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sadari Ranasinghe\Desktop\Mod1-Assignment-Starter_Code\"/>
    </mc:Choice>
  </mc:AlternateContent>
  <xr:revisionPtr revIDLastSave="0" documentId="13_ncr:1_{31B699A3-7AE3-4C81-82C8-F4F87432C485}" xr6:coauthVersionLast="47" xr6:coauthVersionMax="47" xr10:uidLastSave="{00000000-0000-0000-0000-000000000000}"/>
  <bookViews>
    <workbookView xWindow="11424" yWindow="0" windowWidth="11712" windowHeight="12336" tabRatio="841" firstSheet="2" activeTab="4" xr2:uid="{00000000-000D-0000-FFFF-FFFF00000000}"/>
  </bookViews>
  <sheets>
    <sheet name="Crowdfunding" sheetId="1" r:id="rId1"/>
    <sheet name="Category-Stacked coloumn" sheetId="2" r:id="rId2"/>
    <sheet name="Sub-category-Stacked coloumn" sheetId="3" r:id="rId3"/>
    <sheet name="Month based" sheetId="7" r:id="rId4"/>
    <sheet name="Outcome based" sheetId="8" r:id="rId5"/>
    <sheet name="Successful and failed" sheetId="11" r:id="rId6"/>
  </sheets>
  <definedNames>
    <definedName name="_xlnm._FilterDatabase" localSheetId="0" hidden="1">Crowdfunding!$G$1:$G$1001</definedName>
    <definedName name="_xlnm._FilterDatabase" localSheetId="5" hidden="1">'Successful and failed'!$A$1:$A$1001</definedName>
    <definedName name="_xlchart.v1.0" hidden="1">'Successful and failed'!$A$2:$A$566</definedName>
    <definedName name="_xlchart.v1.1" hidden="1">'Successful and failed'!$B$1</definedName>
    <definedName name="_xlchart.v1.2" hidden="1">'Successful and failed'!$B$2:$B$566</definedName>
    <definedName name="_xlchart.v1.3" hidden="1">'Successful and failed'!$C$2:$C$365</definedName>
    <definedName name="_xlchart.v1.4" hidden="1">'Successful and failed'!$D$1</definedName>
    <definedName name="_xlchart.v1.5" hidden="1">'Successful and failed'!$D$2:$D$365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9" i="11" l="1"/>
  <c r="H8" i="11"/>
  <c r="H7" i="11"/>
  <c r="H6" i="11"/>
  <c r="H5" i="11"/>
  <c r="H4" i="11"/>
  <c r="G9" i="11"/>
  <c r="G8" i="11"/>
  <c r="G7" i="11"/>
  <c r="G6" i="11"/>
  <c r="G5" i="11"/>
  <c r="G4" i="11"/>
  <c r="D13" i="8"/>
  <c r="D12" i="8"/>
  <c r="D11" i="8"/>
  <c r="D10" i="8"/>
  <c r="D9" i="8"/>
  <c r="D8" i="8"/>
  <c r="D7" i="8"/>
  <c r="D6" i="8"/>
  <c r="D5" i="8"/>
  <c r="D4" i="8"/>
  <c r="D3" i="8"/>
  <c r="D2" i="8"/>
  <c r="B2" i="8"/>
  <c r="C2" i="8"/>
  <c r="C13" i="8"/>
  <c r="C12" i="8"/>
  <c r="C11" i="8"/>
  <c r="C10" i="8"/>
  <c r="C9" i="8"/>
  <c r="C8" i="8"/>
  <c r="C7" i="8"/>
  <c r="C6" i="8"/>
  <c r="C5" i="8"/>
  <c r="C4" i="8"/>
  <c r="C3" i="8"/>
  <c r="B3" i="8"/>
  <c r="B4" i="8"/>
  <c r="B5" i="8"/>
  <c r="B6" i="8"/>
  <c r="B7" i="8"/>
  <c r="B8" i="8"/>
  <c r="B9" i="8"/>
  <c r="B10" i="8"/>
  <c r="E10" i="8" s="1"/>
  <c r="B11" i="8"/>
  <c r="E11" i="8" s="1"/>
  <c r="B12" i="8"/>
  <c r="B1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E9" i="8" l="1"/>
  <c r="G9" i="8" s="1"/>
  <c r="H10" i="8"/>
  <c r="H11" i="8"/>
  <c r="E3" i="8"/>
  <c r="F3" i="8" s="1"/>
  <c r="G10" i="8"/>
  <c r="G11" i="8"/>
  <c r="E8" i="8"/>
  <c r="G8" i="8" s="1"/>
  <c r="F11" i="8"/>
  <c r="E7" i="8"/>
  <c r="H7" i="8" s="1"/>
  <c r="F10" i="8"/>
  <c r="E6" i="8"/>
  <c r="F6" i="8" s="1"/>
  <c r="F9" i="8"/>
  <c r="E13" i="8"/>
  <c r="F13" i="8" s="1"/>
  <c r="E5" i="8"/>
  <c r="H5" i="8" s="1"/>
  <c r="E12" i="8"/>
  <c r="G12" i="8" s="1"/>
  <c r="E4" i="8"/>
  <c r="G4" i="8" s="1"/>
  <c r="E2" i="8"/>
  <c r="H2" i="8" s="1"/>
  <c r="H9" i="8" l="1"/>
  <c r="H8" i="8"/>
  <c r="G3" i="8"/>
  <c r="G5" i="8"/>
  <c r="H12" i="8"/>
  <c r="H3" i="8"/>
  <c r="F5" i="8"/>
  <c r="F8" i="8"/>
  <c r="G6" i="8"/>
  <c r="F12" i="8"/>
  <c r="H4" i="8"/>
  <c r="F7" i="8"/>
  <c r="F4" i="8"/>
  <c r="H6" i="8"/>
  <c r="H13" i="8"/>
  <c r="G7" i="8"/>
  <c r="G13" i="8"/>
  <c r="G2" i="8"/>
  <c r="F2" i="8"/>
</calcChain>
</file>

<file path=xl/sharedStrings.xml><?xml version="1.0" encoding="utf-8"?>
<sst xmlns="http://schemas.openxmlformats.org/spreadsheetml/2006/main" count="7077" uniqueCount="2129">
  <si>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</si>
  <si>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</si>
  <si>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</si>
  <si>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</si>
  <si>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</si>
  <si>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</si>
  <si>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</si>
  <si>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</si>
  <si>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</si>
  <si>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</si>
  <si>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</si>
  <si>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</si>
  <si>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</si>
  <si>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</si>
  <si>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</si>
  <si>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</si>
  <si>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</si>
  <si>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</si>
  <si>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</si>
  <si>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</si>
  <si>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</si>
  <si>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</si>
  <si>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</si>
  <si>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</si>
  <si>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</si>
  <si>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</si>
  <si>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</si>
  <si>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</si>
  <si>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</si>
  <si>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</si>
  <si>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</si>
  <si>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</si>
  <si>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</si>
  <si>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</si>
  <si>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</si>
  <si>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</si>
  <si>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</si>
  <si>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</si>
  <si>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</si>
  <si>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</si>
  <si>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</si>
  <si>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</si>
  <si>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</si>
  <si>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</si>
  <si>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</si>
  <si>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</si>
  <si>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</si>
  <si>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</si>
  <si>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</si>
  <si>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</si>
  <si>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</si>
  <si>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</si>
  <si>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</si>
  <si>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</si>
  <si>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</si>
  <si>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</si>
  <si>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</si>
  <si>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</si>
  <si>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</si>
  <si>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</si>
  <si>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</si>
  <si>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</si>
  <si>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</si>
  <si>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</si>
  <si>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</si>
  <si>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</si>
  <si>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</si>
  <si>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</si>
  <si>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</si>
  <si>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</si>
  <si>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</si>
  <si>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</si>
  <si>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</si>
  <si>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</si>
  <si>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</si>
  <si>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</si>
  <si>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</si>
  <si>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</si>
  <si>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</si>
  <si>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</si>
  <si>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</si>
  <si>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</si>
  <si>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</si>
  <si>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</si>
  <si>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</si>
  <si>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</si>
  <si>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</si>
  <si>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</si>
  <si>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</si>
  <si>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</si>
  <si>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</si>
  <si>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</si>
  <si>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</si>
  <si>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</si>
  <si>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</si>
  <si>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</si>
  <si>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</si>
  <si>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</si>
  <si>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</si>
  <si>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</si>
  <si>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</si>
  <si>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</si>
  <si>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</si>
  <si>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</si>
  <si>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</si>
  <si>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</si>
  <si>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</si>
  <si>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</si>
  <si>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</si>
  <si>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</si>
  <si>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</si>
  <si>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</si>
  <si>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</si>
  <si>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</si>
  <si>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</si>
  <si>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</si>
  <si>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</si>
  <si>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</si>
  <si>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</si>
  <si>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</si>
  <si>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</si>
  <si>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</si>
  <si>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</si>
  <si>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</si>
  <si>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</si>
  <si>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</si>
  <si>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</si>
  <si>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</si>
  <si>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</si>
  <si>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</si>
  <si>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</si>
  <si>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</si>
  <si>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</si>
  <si>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</si>
  <si>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</si>
  <si>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</si>
  <si>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</si>
  <si>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</si>
  <si>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</si>
  <si>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</si>
  <si>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</si>
  <si>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</si>
  <si>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</si>
  <si>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</si>
  <si>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</si>
  <si>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</si>
  <si>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</si>
  <si>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</si>
  <si>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</si>
  <si>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</si>
  <si>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</si>
  <si>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</si>
  <si>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</si>
  <si>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</si>
  <si>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</si>
  <si>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</si>
  <si>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</si>
  <si>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</si>
  <si>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</si>
  <si>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</si>
  <si>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</si>
  <si>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</si>
  <si>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</si>
  <si>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</si>
  <si>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</si>
  <si>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</si>
  <si>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</si>
  <si>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</si>
  <si>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</si>
  <si>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</si>
  <si>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</si>
  <si>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</si>
  <si>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</si>
  <si>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</si>
  <si>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</si>
  <si>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</si>
  <si>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</si>
  <si>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</si>
  <si>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</si>
  <si>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</si>
  <si>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</si>
  <si>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</si>
  <si>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</si>
  <si>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</si>
  <si>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</si>
  <si>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</si>
  <si>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</si>
  <si>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</si>
  <si>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</si>
  <si>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</si>
  <si>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</si>
  <si>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</si>
  <si>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</si>
  <si>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</si>
  <si>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</si>
  <si>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</si>
  <si>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</si>
  <si>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</si>
  <si>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</si>
  <si>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</si>
  <si>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</si>
  <si>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</si>
  <si>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</si>
  <si>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</si>
  <si>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</si>
  <si>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</si>
  <si>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</si>
  <si>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</si>
  <si>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</si>
  <si>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</si>
  <si>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</si>
  <si>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</si>
  <si>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</si>
  <si>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</si>
  <si>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</si>
  <si>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</si>
  <si>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</si>
  <si>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</si>
  <si>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</si>
  <si>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</si>
  <si>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</si>
  <si>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</si>
  <si>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</si>
  <si>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</si>
  <si>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</si>
  <si>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</si>
  <si>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</si>
  <si>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</si>
  <si>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</si>
  <si>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</si>
  <si>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</si>
  <si>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</si>
  <si>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</si>
  <si>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</si>
  <si>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</si>
  <si>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</si>
  <si>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</si>
  <si>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</si>
  <si>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</si>
  <si>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</si>
  <si>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</si>
  <si>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</si>
  <si>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</si>
  <si>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</si>
  <si>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</si>
  <si>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</si>
  <si>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</si>
  <si>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</si>
  <si>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</si>
  <si>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</si>
  <si>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</si>
  <si>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</si>
  <si>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</si>
  <si>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</si>
  <si>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</si>
  <si>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</si>
  <si>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</si>
  <si>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</si>
  <si>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</si>
  <si>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</si>
  <si>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</si>
  <si>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</si>
  <si>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</si>
  <si>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</si>
  <si>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</si>
  <si>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</si>
  <si>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</si>
  <si>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</si>
  <si>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</si>
  <si>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</si>
  <si>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</si>
  <si>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</si>
  <si>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</si>
  <si>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</si>
  <si>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</si>
  <si>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</si>
  <si>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</si>
  <si>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</si>
  <si>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</si>
  <si>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</si>
  <si>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</si>
  <si>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</si>
  <si>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</si>
  <si>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</si>
  <si>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</si>
  <si>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</si>
  <si>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</si>
  <si>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</si>
  <si>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</si>
  <si>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</si>
  <si>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</si>
  <si>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</si>
  <si>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</si>
  <si>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</si>
  <si>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</si>
  <si>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</si>
  <si>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</si>
  <si>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</si>
  <si>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</si>
  <si>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</si>
  <si>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</si>
  <si>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</si>
  <si>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</si>
  <si>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</si>
  <si>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</si>
  <si>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</si>
  <si>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</si>
  <si>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</si>
  <si>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</si>
  <si>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</si>
  <si>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</si>
  <si>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</si>
  <si>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</si>
  <si>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</si>
  <si>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</si>
  <si>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</si>
  <si>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</si>
  <si>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</si>
  <si>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</si>
  <si>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</si>
  <si>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</si>
  <si>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</si>
  <si>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</si>
  <si>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</si>
  <si>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</si>
  <si>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</si>
  <si>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</si>
  <si>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</si>
  <si>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</si>
  <si>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</si>
  <si>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</si>
  <si>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</si>
  <si>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</si>
  <si>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</si>
  <si>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</si>
  <si>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</si>
  <si>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</si>
  <si>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</si>
  <si>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</si>
  <si>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</si>
  <si>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</si>
  <si>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</si>
  <si>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</si>
  <si>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</si>
  <si>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</si>
  <si>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</si>
  <si>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</si>
  <si>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</si>
  <si>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</si>
  <si>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</si>
  <si>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</si>
  <si>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</si>
  <si>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</si>
  <si>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</si>
  <si>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</si>
  <si>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</si>
  <si>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</si>
  <si>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</si>
  <si>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</si>
  <si>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</si>
  <si>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</si>
  <si>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</si>
  <si>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</si>
  <si>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</si>
  <si>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</si>
  <si>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</si>
  <si>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</si>
  <si>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</si>
  <si>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</si>
  <si>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</si>
  <si>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</si>
  <si>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</si>
  <si>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</si>
  <si>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</si>
  <si>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</si>
  <si>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</si>
  <si>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</si>
  <si>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</si>
  <si>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</si>
  <si>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</si>
  <si>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</si>
  <si>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</si>
  <si>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</si>
  <si>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</si>
  <si>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</si>
  <si>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</si>
  <si>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</si>
  <si>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</si>
  <si>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</si>
  <si>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</si>
  <si>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</si>
  <si>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</si>
  <si>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</si>
  <si>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</si>
  <si>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</si>
  <si>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</si>
  <si>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</si>
  <si>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</si>
  <si>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</si>
  <si>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</si>
  <si>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</si>
  <si>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</si>
  <si>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</si>
  <si>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</si>
  <si>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</si>
  <si>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</si>
  <si>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</si>
  <si>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</si>
  <si>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</si>
  <si>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</si>
  <si>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</si>
  <si>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</si>
  <si>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</si>
  <si>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</si>
  <si>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</si>
  <si>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</si>
  <si>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</si>
  <si>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</si>
  <si>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</si>
  <si>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</si>
  <si>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</si>
  <si>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</si>
  <si>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</si>
  <si>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</si>
  <si>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</si>
  <si>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</si>
  <si>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</si>
  <si>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</si>
  <si>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</si>
  <si>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</si>
  <si>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</si>
  <si>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</si>
  <si>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</si>
  <si>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</si>
  <si>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</si>
  <si>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</si>
  <si>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</si>
  <si>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</si>
  <si>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</si>
  <si>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</si>
  <si>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</si>
  <si>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</si>
  <si>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</si>
  <si>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</si>
  <si>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</si>
  <si>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</si>
  <si>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</si>
  <si>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</si>
  <si>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</si>
  <si>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</si>
  <si>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</si>
  <si>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</si>
  <si>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</si>
  <si>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</si>
  <si>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</si>
  <si>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</si>
  <si>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</si>
  <si>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</si>
  <si>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</si>
  <si>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</si>
  <si>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</si>
  <si>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</si>
  <si>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</si>
  <si>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</si>
  <si>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</si>
  <si>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</si>
  <si>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</si>
  <si>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</si>
  <si>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</si>
  <si>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</si>
  <si>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</si>
  <si>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</si>
  <si>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</si>
  <si>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</si>
  <si>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</si>
  <si>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</si>
  <si>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</si>
  <si>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</si>
  <si>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</si>
  <si>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</si>
  <si>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</si>
  <si>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</si>
  <si>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</si>
  <si>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</si>
  <si>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</si>
  <si>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</si>
  <si>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</si>
  <si>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</si>
  <si>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</si>
  <si>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</si>
  <si>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</si>
  <si>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</si>
  <si>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</si>
  <si>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</si>
  <si>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</si>
  <si>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</si>
  <si>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</si>
  <si>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</si>
  <si>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</si>
  <si>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</si>
  <si>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</si>
  <si>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</si>
  <si>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</si>
  <si>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</si>
  <si>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</si>
  <si>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</si>
  <si>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</si>
  <si>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</si>
  <si>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</si>
  <si>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</si>
  <si>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</si>
  <si>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</si>
  <si>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</si>
  <si>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</si>
  <si>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</si>
  <si>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</si>
  <si>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</si>
  <si>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</si>
  <si>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</si>
  <si>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</si>
  <si>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</si>
  <si>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</si>
  <si>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</si>
  <si>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</si>
  <si>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</si>
  <si>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</si>
  <si>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</si>
  <si>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</si>
  <si>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</si>
  <si>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</si>
  <si>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</si>
  <si>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</si>
  <si>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</si>
  <si>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</si>
  <si>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</si>
  <si>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</si>
  <si>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</si>
  <si>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</si>
  <si>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</si>
  <si>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</si>
  <si>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</si>
  <si>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</si>
  <si>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</si>
  <si>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</si>
  <si>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</si>
  <si>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</si>
  <si>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</si>
  <si>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</si>
  <si>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</si>
  <si>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</si>
  <si>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</si>
  <si>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</si>
  <si>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</si>
  <si>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</si>
  <si>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</si>
  <si>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</si>
  <si>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</si>
  <si>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</si>
  <si>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</si>
  <si>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</si>
  <si>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</si>
  <si>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</si>
  <si>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</si>
  <si>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</si>
  <si>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</si>
  <si>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</si>
  <si>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</si>
  <si>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</si>
  <si>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</si>
  <si>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</si>
  <si>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</si>
  <si>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</si>
  <si>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</si>
  <si>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</si>
  <si>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</si>
  <si>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</si>
  <si>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</si>
  <si>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</si>
  <si>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</si>
  <si>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</si>
  <si>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</si>
  <si>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</si>
  <si>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</si>
  <si>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</si>
  <si>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</si>
  <si>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</si>
  <si>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</si>
  <si>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</si>
  <si>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</si>
  <si>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</si>
  <si>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</si>
  <si>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</si>
  <si>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</si>
  <si>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</si>
  <si>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</si>
  <si>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</si>
  <si>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</si>
  <si>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</si>
  <si>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</si>
  <si>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</si>
  <si>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</si>
  <si>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</si>
  <si>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</si>
  <si>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</si>
  <si>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</si>
  <si>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</si>
  <si>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</si>
  <si>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</si>
  <si>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</si>
  <si>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</si>
  <si>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</si>
  <si>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</si>
  <si>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</si>
  <si>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</si>
  <si>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</si>
  <si>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</si>
  <si>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</si>
  <si>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</si>
  <si>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</si>
  <si>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</si>
  <si>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</si>
  <si>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</si>
  <si>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</si>
  <si>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</si>
  <si>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</si>
  <si>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</si>
  <si>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</si>
  <si>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</si>
  <si>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</si>
  <si>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</si>
  <si>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</si>
  <si>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</si>
  <si>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</si>
  <si>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</si>
  <si>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</si>
  <si>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</si>
  <si>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</si>
  <si>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</si>
  <si>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</si>
  <si>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</si>
  <si>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</si>
  <si>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</si>
  <si>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</si>
  <si>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</si>
  <si>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</si>
  <si>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</si>
  <si>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</si>
  <si>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</si>
  <si>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</si>
  <si>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</si>
  <si>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</si>
  <si>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</si>
  <si>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</si>
  <si>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</si>
  <si>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</si>
  <si>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</si>
  <si>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</si>
  <si>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</si>
  <si>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</si>
  <si>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</si>
  <si>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</si>
  <si>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</si>
  <si>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</si>
  <si>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</si>
  <si>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</si>
  <si>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</si>
  <si>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</si>
  <si>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</si>
  <si>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</si>
  <si>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</si>
  <si>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</si>
  <si>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</si>
  <si>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</si>
  <si>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</si>
  <si>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</si>
  <si>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</si>
  <si>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</si>
  <si>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</si>
  <si>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</si>
  <si>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</si>
  <si>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</si>
  <si>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</si>
  <si>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</si>
  <si>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</si>
  <si>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</si>
  <si>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</si>
  <si>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</si>
  <si>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</si>
  <si>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</si>
  <si>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</si>
  <si>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</si>
  <si>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</si>
  <si>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</si>
  <si>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</si>
  <si>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</si>
  <si>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</si>
  <si>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</si>
  <si>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</si>
  <si>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</si>
  <si>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</si>
  <si>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</si>
  <si>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</si>
  <si>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</si>
  <si>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</si>
  <si>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</si>
  <si>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</si>
  <si>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</si>
  <si>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</si>
  <si>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</si>
  <si>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</si>
  <si>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</si>
  <si>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</si>
  <si>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</si>
  <si>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</si>
  <si>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</si>
  <si>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</si>
  <si>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</si>
  <si>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</si>
  <si>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</si>
  <si>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</si>
  <si>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</si>
  <si>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</si>
  <si>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</si>
  <si>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</si>
  <si>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</si>
  <si>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</si>
  <si>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</si>
  <si>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</si>
  <si>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</si>
  <si>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</si>
  <si>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</si>
  <si>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</si>
  <si>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</si>
  <si>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</si>
  <si>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</si>
  <si>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</si>
  <si>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</si>
  <si>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</si>
  <si>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</si>
  <si>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</si>
  <si>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</si>
  <si>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</si>
  <si>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</si>
  <si>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</si>
  <si>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</si>
  <si>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</si>
  <si>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</si>
  <si>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</si>
  <si>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</si>
  <si>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</si>
  <si>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</si>
  <si>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</si>
  <si>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</si>
  <si>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</si>
  <si>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</si>
  <si>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</si>
  <si>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</si>
  <si>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</si>
  <si>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</si>
  <si>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</si>
  <si>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</si>
  <si>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</si>
  <si>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</si>
  <si>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</si>
  <si>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</si>
  <si>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</si>
  <si>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</si>
  <si>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</si>
  <si>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</si>
  <si>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</si>
  <si>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</si>
  <si>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</si>
  <si>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</si>
  <si>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</si>
  <si>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</si>
  <si>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</si>
  <si>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</si>
  <si>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</si>
  <si>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</si>
  <si>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</si>
  <si>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</si>
  <si>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</si>
  <si>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</si>
  <si>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</si>
  <si>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</si>
  <si>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</si>
  <si>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</si>
  <si>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</si>
  <si>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</si>
  <si>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</si>
  <si>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</si>
  <si>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</si>
  <si>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</si>
  <si>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</si>
  <si>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</si>
  <si>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</si>
  <si>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</si>
  <si>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</si>
  <si>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</si>
  <si>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</si>
  <si>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</si>
  <si>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</si>
  <si>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</si>
  <si>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</si>
  <si>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</si>
  <si>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</si>
  <si>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</si>
  <si>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</si>
  <si>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</si>
  <si>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</si>
  <si>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</si>
  <si>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</si>
  <si>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</si>
  <si>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</si>
  <si>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</si>
  <si>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</si>
  <si>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</si>
  <si>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</si>
  <si>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</si>
  <si>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</si>
  <si>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</si>
  <si>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</si>
  <si>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</si>
  <si>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</si>
  <si>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</si>
  <si>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</si>
  <si>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</si>
  <si>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</si>
  <si>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</si>
  <si>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</si>
  <si>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</si>
  <si>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</si>
  <si>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</si>
  <si>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</si>
  <si>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</si>
  <si>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</si>
  <si>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</si>
  <si>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</si>
  <si>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</si>
  <si>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</si>
  <si>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</si>
  <si>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</si>
  <si>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</si>
  <si>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</si>
  <si>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</si>
  <si>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</si>
  <si>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</si>
  <si>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</si>
  <si>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</si>
  <si>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</si>
  <si>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</si>
  <si>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</si>
  <si>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</si>
  <si>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</si>
  <si>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</si>
  <si>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</si>
  <si>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</si>
  <si>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</si>
  <si>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</si>
  <si>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</si>
  <si>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</si>
  <si>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</si>
  <si>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</si>
  <si>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</si>
  <si>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</si>
  <si>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</si>
  <si>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</si>
  <si>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</si>
  <si>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</si>
  <si>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</si>
  <si>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</si>
  <si>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</si>
  <si>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</si>
  <si>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</si>
  <si>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</si>
  <si>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</si>
  <si>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</si>
  <si>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</si>
  <si>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</si>
  <si>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</si>
  <si>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</si>
  <si>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</si>
  <si>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</si>
  <si>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</si>
  <si>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</si>
  <si>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</si>
  <si>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</si>
  <si>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</si>
  <si>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</si>
  <si>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</si>
  <si>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</si>
  <si>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</si>
  <si>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</si>
  <si>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</si>
  <si>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</si>
  <si>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</si>
  <si>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</si>
  <si>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</si>
  <si>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</si>
  <si>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</si>
  <si>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</si>
  <si>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</si>
  <si>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</si>
  <si>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</si>
  <si>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</si>
  <si>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</si>
  <si>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</si>
  <si>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</si>
  <si>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</si>
  <si>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</si>
  <si>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</si>
  <si>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</si>
  <si>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</si>
  <si>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</si>
  <si>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</si>
  <si>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</si>
  <si>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</si>
  <si>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</si>
  <si>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</si>
  <si>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</si>
  <si>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</si>
  <si>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</si>
  <si>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</si>
  <si>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</si>
  <si>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</si>
  <si>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</si>
  <si>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</si>
  <si>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</si>
  <si>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</si>
  <si>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</si>
  <si>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</si>
  <si>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</si>
  <si>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</si>
  <si>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</si>
  <si>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</si>
  <si>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</si>
  <si>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</si>
  <si>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</si>
  <si>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</si>
  <si>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</si>
  <si>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</si>
  <si>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</si>
  <si>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</si>
  <si>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</si>
  <si>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</si>
  <si>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</si>
  <si>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</si>
  <si>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</si>
  <si>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</si>
  <si>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</si>
  <si>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</si>
  <si>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</si>
  <si>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</si>
  <si>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</si>
  <si>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</si>
  <si>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</si>
  <si>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</si>
  <si>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</si>
  <si>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</si>
  <si>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</si>
  <si>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</si>
  <si>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</si>
  <si>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</si>
  <si>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</si>
  <si>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</si>
  <si>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</si>
  <si>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</si>
  <si>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</si>
  <si>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</si>
  <si>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</si>
  <si>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</si>
  <si>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</si>
  <si>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</si>
  <si>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</si>
  <si>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</si>
  <si>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</si>
  <si>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</si>
  <si>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</si>
  <si>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</si>
  <si>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</si>
  <si>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</si>
  <si>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</si>
  <si>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</si>
  <si>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</si>
  <si>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</si>
  <si>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</si>
  <si>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</si>
  <si>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</si>
  <si>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</si>
  <si>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</si>
  <si>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</si>
  <si>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</si>
  <si>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</si>
  <si>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</si>
  <si>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</si>
  <si>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</si>
  <si>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</si>
  <si>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</si>
  <si>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</si>
  <si>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</si>
  <si>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</si>
  <si>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</si>
  <si>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</si>
  <si>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</si>
  <si>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</si>
  <si>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</si>
  <si>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</si>
  <si>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</si>
  <si>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</si>
  <si>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</si>
  <si>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</si>
  <si>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</si>
  <si>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</si>
  <si>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</si>
  <si>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</si>
  <si>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</si>
  <si>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</si>
  <si>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</si>
  <si>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</si>
  <si>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</si>
  <si>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</si>
  <si>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</si>
  <si>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</si>
  <si>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</si>
  <si>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</si>
  <si>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</si>
  <si>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</si>
  <si>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</si>
  <si>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</si>
  <si>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</si>
  <si>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</si>
  <si>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</si>
  <si>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</si>
  <si>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</si>
  <si>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</si>
  <si>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</si>
  <si>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</si>
  <si>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</si>
  <si>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</si>
  <si>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</si>
  <si>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</si>
  <si>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</si>
  <si>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</si>
  <si>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</si>
  <si>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</si>
  <si>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</si>
  <si>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</si>
  <si>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</si>
  <si>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</si>
  <si>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</si>
  <si>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</si>
  <si>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</si>
  <si>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</si>
  <si>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</si>
  <si>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</si>
  <si>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</si>
  <si>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</si>
  <si>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</si>
  <si>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</si>
  <si>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</si>
  <si>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</si>
  <si>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</si>
  <si>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</si>
  <si>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</si>
  <si>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</si>
  <si>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</si>
  <si>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</si>
  <si>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</si>
  <si>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</si>
  <si>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</si>
  <si>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</si>
  <si>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</si>
  <si>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</si>
  <si>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</si>
  <si>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</si>
  <si>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</si>
  <si>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</si>
  <si>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</si>
  <si>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</si>
  <si>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</si>
  <si>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</si>
  <si>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</si>
  <si>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</si>
  <si>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</si>
  <si>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</si>
  <si>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</si>
  <si>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</si>
  <si>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</si>
  <si>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</si>
  <si>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</si>
  <si>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</si>
  <si>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</si>
  <si>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</si>
  <si>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</si>
  <si>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</si>
  <si>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</si>
  <si>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</si>
  <si>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</si>
  <si>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</si>
  <si>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</si>
  <si>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</si>
  <si>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</si>
  <si>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</si>
  <si>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</si>
  <si>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</si>
  <si>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</si>
  <si>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</si>
  <si>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</si>
  <si>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</si>
  <si>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</si>
  <si>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</si>
  <si>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</si>
  <si>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</si>
  <si>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</si>
  <si>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</si>
  <si>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</si>
  <si>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</si>
  <si>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</si>
  <si>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</si>
  <si>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</si>
  <si>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</si>
  <si>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</si>
  <si>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</si>
  <si>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</si>
  <si>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</si>
  <si>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</si>
  <si>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</si>
  <si>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</si>
  <si>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</si>
  <si>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</si>
  <si>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</si>
  <si>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</si>
  <si>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</si>
  <si>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</si>
  <si>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</si>
  <si>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</si>
  <si>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</si>
  <si>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</si>
  <si>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</si>
  <si>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</si>
  <si>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</si>
  <si>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</si>
  <si>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</si>
  <si>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</si>
  <si>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</si>
  <si>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</si>
  <si>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</si>
  <si>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</si>
  <si>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</si>
  <si>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</si>
  <si>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</si>
  <si>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</si>
  <si>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</si>
  <si>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</si>
  <si>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</si>
  <si>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</si>
  <si>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</si>
  <si>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</si>
  <si>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</si>
  <si>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</si>
  <si>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</si>
  <si>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</si>
  <si>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</si>
  <si>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</si>
  <si>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</si>
  <si>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</si>
  <si>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</si>
  <si>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</si>
  <si>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</si>
  <si>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</si>
  <si>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</si>
  <si>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</si>
  <si>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</si>
  <si>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</si>
  <si>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</si>
  <si>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</si>
  <si>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</si>
  <si>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</si>
  <si>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</si>
  <si>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</si>
  <si>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</si>
  <si>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</si>
  <si>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</si>
  <si>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</si>
  <si>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</si>
  <si>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</si>
  <si>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</si>
  <si>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</si>
  <si>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</si>
  <si>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</si>
  <si>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</si>
  <si>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</si>
  <si>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</si>
  <si>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</si>
  <si>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</si>
  <si>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</si>
  <si>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</si>
  <si>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</si>
  <si>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</si>
  <si>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</si>
  <si>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</si>
  <si>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</si>
  <si>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</si>
  <si>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</si>
  <si>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</si>
  <si>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</si>
  <si>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</si>
  <si>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</si>
  <si>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</si>
  <si>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</si>
  <si>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</si>
  <si>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</si>
  <si>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</si>
  <si>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</si>
  <si>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</si>
  <si>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</si>
  <si>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</si>
  <si>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</si>
  <si>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</si>
  <si>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</si>
  <si>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</si>
  <si>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</si>
  <si>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</si>
  <si>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</si>
  <si>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</si>
  <si>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</si>
  <si>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</si>
  <si>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</si>
  <si>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</si>
  <si>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</si>
  <si>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</si>
  <si>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</si>
  <si>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</si>
  <si>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</si>
  <si>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</si>
  <si>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</si>
  <si>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</si>
  <si>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</si>
  <si>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</si>
  <si>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</si>
  <si>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</si>
  <si>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</si>
  <si>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</si>
  <si>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</si>
  <si>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</si>
  <si>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</si>
  <si>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</si>
  <si>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</si>
  <si>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</si>
  <si>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</si>
  <si>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</si>
  <si>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</si>
  <si>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</si>
  <si>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</si>
  <si>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</si>
  <si>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</si>
  <si>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</si>
  <si>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</si>
  <si>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</si>
  <si>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</si>
  <si>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</si>
  <si>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</si>
  <si>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</si>
  <si>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</si>
  <si>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</si>
  <si>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</si>
  <si>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</si>
  <si>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</si>
  <si>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</si>
  <si>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</si>
  <si>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</si>
  <si>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</si>
  <si>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</si>
  <si>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</si>
  <si>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</si>
  <si>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</si>
  <si>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</si>
  <si>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</si>
  <si>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</si>
  <si>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</si>
  <si>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</si>
  <si>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</si>
  <si>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</si>
  <si>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</si>
  <si>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</si>
  <si>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</si>
  <si>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</si>
  <si>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</si>
  <si>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</si>
  <si>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</si>
  <si>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</si>
  <si>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</si>
  <si>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</si>
  <si>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</si>
  <si>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</si>
  <si>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</si>
  <si>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</si>
  <si>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</si>
  <si>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</si>
  <si>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</si>
  <si>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</si>
  <si>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</si>
  <si>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</si>
  <si>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</si>
  <si>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</si>
  <si>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</si>
  <si>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</si>
  <si>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</si>
  <si>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</si>
  <si>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</si>
  <si>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</si>
  <si>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</si>
  <si>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</si>
  <si>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</si>
  <si>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</si>
  <si>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</si>
  <si>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</si>
  <si>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</si>
  <si>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</si>
  <si>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</si>
  <si>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</si>
  <si>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</si>
  <si>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</si>
  <si>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</si>
  <si>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</si>
  <si>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</si>
  <si>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</si>
  <si>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</si>
  <si>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</si>
  <si>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</si>
  <si>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</si>
  <si>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</si>
  <si>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</si>
  <si>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</si>
  <si>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</si>
  <si>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</si>
  <si>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</si>
  <si>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</si>
  <si>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</si>
  <si>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</si>
  <si>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</si>
  <si>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</si>
  <si>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</si>
  <si>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</si>
  <si>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</si>
  <si>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</si>
  <si>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</si>
  <si>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</si>
  <si>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</si>
  <si>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</si>
  <si>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</si>
  <si>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</si>
  <si>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</si>
  <si>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</si>
  <si>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</si>
  <si>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</si>
  <si>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</si>
  <si>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</si>
  <si>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</si>
  <si>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</si>
  <si>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</si>
  <si>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</si>
  <si>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</si>
  <si>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</si>
  <si>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</si>
  <si>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</si>
  <si>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</si>
  <si>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</si>
  <si>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</si>
  <si>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</si>
  <si>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</si>
  <si>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</si>
  <si>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</si>
  <si>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</si>
  <si>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</si>
  <si>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</si>
  <si>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</si>
  <si>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</si>
  <si>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</si>
  <si>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</si>
  <si>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</si>
  <si>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</si>
  <si>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</si>
  <si>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</si>
  <si>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</si>
  <si>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</si>
  <si>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</si>
  <si>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</si>
  <si>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</si>
  <si>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</si>
  <si>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</si>
  <si>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</si>
  <si>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</si>
  <si>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</si>
  <si>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</si>
  <si>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</si>
  <si>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</si>
  <si>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</si>
  <si>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</si>
  <si>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</si>
  <si>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</si>
  <si>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</si>
  <si>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</si>
  <si>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</si>
  <si>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</si>
  <si>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</si>
  <si>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</si>
  <si>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</si>
  <si>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</si>
  <si>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</si>
  <si>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</si>
  <si>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</si>
  <si>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</si>
  <si>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</si>
  <si>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</si>
  <si>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</si>
  <si>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</si>
  <si>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</si>
  <si>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</si>
  <si>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</si>
  <si>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</si>
  <si>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</si>
  <si>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</si>
  <si>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</si>
  <si>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</si>
  <si>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</si>
  <si>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</si>
  <si>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</si>
  <si>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</si>
  <si>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</si>
  <si>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</si>
  <si>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</si>
  <si>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</si>
  <si>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</si>
  <si>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</si>
  <si>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</si>
  <si>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</si>
  <si>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</si>
  <si>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</si>
  <si>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</si>
  <si>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</si>
  <si>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</si>
  <si>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</si>
  <si>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</si>
  <si>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</si>
  <si>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</si>
  <si>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</si>
  <si>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</si>
  <si>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</si>
  <si>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</si>
  <si>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</si>
  <si>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</si>
  <si>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</si>
  <si>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</si>
  <si>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</si>
  <si>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</si>
  <si>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</si>
  <si>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</si>
  <si>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</si>
  <si>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</si>
  <si>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</si>
  <si>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</si>
  <si>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</si>
  <si>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</si>
  <si>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</si>
  <si>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</si>
  <si>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</si>
  <si>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</si>
  <si>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</si>
  <si>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</si>
  <si>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</si>
  <si>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</si>
  <si>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</si>
  <si>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</si>
  <si>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</si>
  <si>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</si>
  <si>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</si>
  <si>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</si>
  <si>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</si>
  <si>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</si>
  <si>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</si>
  <si>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</si>
  <si>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</si>
  <si>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</si>
  <si>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</si>
  <si>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</si>
  <si>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</si>
  <si>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</si>
  <si>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</si>
  <si>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</si>
  <si>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</si>
  <si>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</si>
  <si>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</si>
  <si>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</si>
  <si>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</si>
  <si>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</si>
  <si>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</si>
  <si>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</si>
  <si>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</si>
  <si>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</si>
  <si>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</si>
  <si>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</si>
  <si>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</si>
  <si>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</si>
  <si>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</si>
  <si>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</si>
  <si>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</si>
  <si>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</si>
  <si>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</si>
  <si>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</si>
  <si>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</si>
  <si>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</si>
  <si>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</si>
  <si>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</si>
  <si>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</si>
  <si>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</si>
  <si>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</si>
  <si>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</si>
  <si>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</si>
  <si>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</si>
  <si>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</si>
  <si>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</si>
  <si>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</si>
  <si>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</si>
  <si>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</si>
  <si>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</si>
  <si>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</si>
  <si>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</si>
  <si>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</si>
  <si>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</si>
  <si>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</si>
  <si>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</si>
  <si>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</si>
  <si>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</si>
  <si>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</si>
  <si>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</si>
  <si>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</si>
  <si>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</si>
  <si>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</si>
  <si>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</si>
  <si>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</si>
  <si>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</si>
  <si>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</si>
  <si>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</si>
  <si>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</si>
  <si>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</si>
  <si>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</si>
  <si>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</si>
  <si>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</si>
  <si>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</si>
  <si>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</si>
  <si>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</si>
  <si>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</si>
  <si>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</si>
  <si>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</si>
  <si>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</si>
  <si>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</si>
  <si>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</si>
  <si>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</si>
  <si>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</si>
  <si>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</si>
  <si>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</si>
  <si>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</si>
  <si>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</si>
  <si>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</si>
  <si>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</si>
  <si>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</si>
  <si>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</si>
  <si>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</si>
  <si>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</si>
  <si>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</si>
  <si>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</si>
  <si>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</si>
  <si>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</si>
  <si>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</si>
  <si>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</si>
  <si>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</si>
  <si>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</si>
  <si>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</si>
  <si>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</si>
  <si>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</si>
  <si>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</si>
  <si>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</si>
  <si>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</si>
  <si>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</si>
  <si>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</si>
  <si>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</si>
  <si>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</si>
  <si>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</si>
  <si>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</si>
  <si>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</si>
  <si>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</si>
  <si>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</si>
  <si>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</si>
  <si>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</si>
  <si>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</si>
  <si>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</si>
  <si>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</si>
  <si>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</si>
  <si>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</si>
  <si>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</si>
  <si>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</si>
  <si>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</si>
  <si>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</si>
  <si>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</si>
  <si>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</si>
  <si>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</si>
  <si>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</si>
  <si>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</si>
  <si>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</si>
  <si>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</si>
  <si>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</si>
  <si>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</si>
  <si>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</si>
  <si>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</si>
  <si>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</si>
  <si>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</si>
  <si>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</si>
  <si>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</si>
  <si>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</si>
  <si>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</si>
  <si>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</si>
  <si>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</si>
  <si>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</si>
  <si>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</si>
  <si>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</si>
  <si>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</si>
  <si>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</si>
  <si>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</si>
  <si>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</si>
  <si>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</si>
  <si>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</si>
  <si>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</si>
  <si>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</si>
  <si>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</si>
  <si>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</si>
  <si>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</si>
  <si>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</si>
  <si>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</si>
  <si>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</si>
  <si>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</si>
  <si>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</si>
  <si>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</si>
  <si>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</si>
  <si>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</si>
  <si>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</si>
  <si>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</si>
  <si>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</si>
  <si>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</si>
  <si>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</si>
  <si>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</si>
  <si>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</si>
  <si>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</si>
  <si>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</si>
  <si>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</si>
  <si>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</si>
  <si>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</si>
  <si>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</si>
  <si>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</si>
  <si>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</si>
  <si>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</si>
  <si>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</si>
  <si>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</si>
  <si>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</si>
  <si>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</si>
  <si>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</si>
  <si>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</si>
  <si>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</si>
  <si>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</si>
  <si>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</si>
  <si>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</si>
  <si>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</si>
  <si>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</si>
  <si>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</si>
  <si>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</si>
  <si>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</si>
  <si>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</si>
  <si>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</si>
  <si>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</si>
  <si>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</si>
  <si>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</si>
  <si>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</si>
  <si>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</si>
  <si>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</si>
  <si>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</si>
  <si>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</si>
  <si>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</si>
  <si>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</si>
  <si>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</si>
  <si>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</si>
  <si>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</si>
  <si>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</si>
  <si>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</si>
  <si>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</si>
  <si>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</si>
  <si>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</si>
  <si>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</si>
  <si>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</si>
  <si>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</si>
  <si>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</si>
  <si>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</si>
  <si>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</si>
  <si>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</si>
  <si>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</si>
  <si>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</si>
  <si>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</si>
  <si>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</si>
  <si>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</si>
  <si>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</si>
  <si>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</si>
  <si>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</si>
  <si>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</si>
  <si>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</si>
  <si>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</si>
  <si>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</si>
  <si>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</si>
  <si>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</si>
  <si>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</si>
  <si>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</si>
  <si>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</si>
  <si>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</si>
  <si>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</si>
  <si>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</si>
  <si>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</si>
  <si>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</si>
  <si>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</si>
  <si>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</si>
  <si>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</si>
  <si>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</si>
  <si>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</si>
  <si>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</si>
  <si>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</si>
  <si>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</si>
  <si>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</si>
  <si>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</si>
  <si>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</si>
  <si>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</si>
  <si>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</si>
  <si>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</si>
  <si>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</si>
  <si>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</si>
  <si>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</si>
  <si>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</si>
  <si>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</si>
  <si>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</si>
  <si>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</si>
  <si>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</si>
  <si>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</si>
  <si>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</si>
  <si>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</si>
  <si>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</si>
  <si>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</si>
  <si>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</si>
  <si>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</si>
  <si>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</si>
  <si>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</si>
  <si>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</si>
  <si>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</si>
  <si>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</si>
  <si>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</si>
  <si>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</si>
  <si>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</si>
  <si>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</si>
  <si>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</si>
  <si>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</si>
  <si>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</si>
  <si>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</si>
  <si>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</si>
  <si>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</si>
  <si>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</si>
  <si>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</si>
  <si>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</si>
  <si>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</si>
  <si>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</si>
  <si>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</si>
  <si>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</si>
  <si>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</si>
  <si>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</si>
  <si>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</si>
  <si>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</si>
  <si>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</si>
  <si>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</si>
  <si>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</si>
  <si>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</si>
  <si>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</si>
  <si>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</si>
  <si>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</si>
  <si>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</si>
  <si>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</si>
  <si>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</si>
  <si>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</si>
  <si>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</si>
  <si>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</si>
  <si>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</si>
  <si>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</si>
  <si>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</si>
  <si>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</si>
  <si>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</si>
  <si>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</si>
  <si>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</si>
  <si>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</si>
  <si>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</si>
  <si>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</si>
  <si>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</si>
  <si>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</si>
  <si>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</si>
  <si>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</si>
  <si>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</si>
  <si>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</si>
  <si>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</si>
  <si>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</si>
  <si>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</si>
  <si>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</si>
  <si>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</si>
  <si>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</si>
  <si>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</si>
  <si>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</si>
  <si>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</si>
  <si>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</si>
  <si>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</si>
  <si>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</si>
  <si>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</si>
  <si>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</si>
  <si>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</si>
  <si>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</si>
  <si>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</si>
  <si>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</si>
  <si>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</si>
  <si>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</si>
  <si>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</si>
  <si>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</si>
  <si>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</si>
  <si>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</si>
  <si>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</si>
  <si>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</si>
  <si>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</si>
  <si>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</si>
  <si>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</si>
  <si>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</si>
  <si>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</si>
  <si>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</si>
  <si>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</si>
  <si>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</si>
  <si>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</si>
  <si>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</si>
  <si>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</si>
  <si>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</si>
  <si>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</si>
  <si>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</si>
  <si>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</si>
  <si>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</si>
  <si>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</si>
  <si>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</si>
  <si>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</si>
  <si>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</si>
  <si>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</si>
  <si>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</si>
  <si>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</si>
  <si>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</si>
  <si>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</si>
  <si>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</si>
  <si>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</si>
  <si>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</si>
  <si>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</si>
  <si>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</si>
  <si>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</si>
  <si>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</si>
  <si>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</si>
  <si>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</si>
  <si>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</si>
  <si>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</si>
  <si>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</si>
  <si>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</si>
  <si>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</si>
  <si>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</si>
  <si>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</si>
  <si>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</si>
  <si>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</si>
  <si>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</si>
  <si>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</si>
  <si>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</si>
  <si>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</si>
  <si>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</si>
  <si>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</si>
  <si>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</si>
  <si>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</si>
  <si>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</si>
  <si>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</si>
  <si>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</si>
  <si>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</si>
  <si>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</si>
  <si>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</si>
  <si>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</si>
  <si>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</si>
  <si>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</si>
  <si>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</si>
  <si>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</si>
  <si>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</si>
  <si>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</si>
  <si>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</si>
  <si>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</si>
  <si>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</si>
  <si>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</si>
  <si>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</si>
  <si>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</si>
  <si>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</si>
  <si>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</si>
  <si>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</si>
  <si>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</si>
  <si>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</si>
  <si>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</si>
  <si>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</si>
  <si>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</si>
  <si>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</si>
  <si>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</si>
  <si>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</si>
  <si>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</si>
  <si>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</si>
  <si>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</si>
  <si>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</si>
  <si>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</si>
  <si>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</si>
  <si>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</si>
  <si>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</si>
  <si>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</si>
  <si>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</si>
  <si>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</si>
  <si>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</si>
  <si>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</si>
  <si>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</si>
  <si>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</si>
  <si>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</si>
  <si>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</si>
  <si>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</si>
  <si>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</si>
  <si>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</si>
  <si>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</si>
  <si>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</si>
  <si>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</si>
  <si>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</si>
  <si>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</si>
  <si>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</si>
  <si>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</si>
  <si>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</si>
  <si>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</si>
  <si>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</si>
  <si>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</si>
  <si>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</si>
  <si>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</si>
  <si>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</si>
  <si>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</si>
  <si>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</si>
  <si>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</si>
  <si>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</si>
  <si>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</si>
  <si>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</si>
  <si>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</si>
  <si>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</si>
  <si>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</si>
  <si>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</si>
  <si>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</si>
  <si>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</si>
  <si>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</si>
  <si>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</si>
  <si>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</si>
  <si>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</si>
  <si>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</si>
  <si>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</si>
  <si>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</si>
  <si>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</si>
  <si>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</si>
  <si>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</si>
  <si>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</si>
  <si>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</si>
  <si>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</si>
  <si>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</si>
  <si>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</si>
  <si>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</si>
  <si>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</si>
  <si>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</si>
  <si>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</si>
  <si>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</si>
  <si>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</si>
  <si>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</si>
  <si>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</si>
  <si>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</si>
  <si>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</si>
  <si>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</si>
  <si>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</si>
  <si>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</si>
  <si>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</si>
  <si>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</si>
  <si>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</si>
  <si>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</si>
  <si>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</si>
  <si>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</si>
  <si>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</si>
  <si>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</si>
  <si>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</si>
  <si>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</si>
  <si>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</si>
  <si>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</si>
  <si>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</si>
  <si>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</si>
  <si>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</si>
  <si>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</si>
  <si>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</si>
  <si>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</si>
  <si>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</si>
  <si>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</si>
  <si>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</si>
  <si>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</si>
  <si>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</si>
  <si>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</si>
  <si>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</si>
  <si>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</si>
  <si>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</si>
  <si>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</si>
  <si>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</si>
  <si>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</si>
  <si>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</si>
  <si>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</si>
  <si>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</si>
  <si>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</si>
  <si>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</si>
  <si>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</si>
  <si>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</si>
  <si>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</si>
  <si>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</si>
  <si>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</si>
  <si>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</si>
  <si>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</si>
  <si>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</si>
  <si>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</si>
  <si>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</si>
  <si>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</si>
  <si>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</si>
  <si>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</si>
  <si>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</si>
  <si>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</si>
  <si>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</si>
  <si>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</si>
  <si>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</si>
  <si>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</si>
  <si>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</si>
  <si>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</si>
  <si>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</si>
  <si>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</si>
  <si>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</si>
  <si>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</si>
  <si>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</si>
  <si>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</si>
  <si>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</si>
  <si>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</si>
  <si>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</si>
  <si>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</si>
  <si>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</si>
  <si>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</si>
  <si>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</si>
  <si>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</si>
  <si>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</si>
  <si>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</si>
  <si>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</si>
  <si>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</si>
  <si>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</si>
  <si>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</si>
  <si>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</si>
  <si>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</si>
  <si>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</si>
  <si>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</si>
  <si>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</si>
  <si>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</si>
  <si>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</si>
  <si>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</si>
  <si>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</si>
  <si>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</si>
  <si>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</si>
  <si>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</si>
  <si>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</si>
  <si>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</si>
  <si>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</si>
  <si>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</si>
  <si>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</si>
  <si>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</si>
  <si>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</si>
  <si>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</si>
  <si>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</si>
  <si>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</si>
  <si>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</si>
  <si>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</si>
  <si>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</si>
  <si>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</si>
  <si>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</si>
  <si>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</si>
  <si>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</si>
  <si>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</si>
  <si>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</si>
  <si>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</si>
  <si>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</si>
  <si>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</si>
  <si>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</si>
  <si>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</si>
  <si>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</si>
  <si>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</si>
  <si>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</si>
  <si>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</si>
  <si>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</si>
  <si>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</si>
  <si>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</si>
  <si>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</si>
  <si>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</si>
  <si>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</si>
  <si>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</si>
  <si>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</si>
  <si>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In the context of this data set , since both the values of the successful and failed projects</t>
  </si>
  <si>
    <t>give significant outliers or extreme values as shown in the above Box and Whisker plots,</t>
  </si>
  <si>
    <t xml:space="preserve">Since these contains outliers, it can be said that these two data sets show a skewed </t>
  </si>
  <si>
    <t xml:space="preserve">distribution where the extreme values influence the mean pulling it away </t>
  </si>
  <si>
    <t>from the center of the distribution. Also, median being less sensitive to extreme values,</t>
  </si>
  <si>
    <t>provides a more strong measure of central tendency in skewed distribution.</t>
  </si>
  <si>
    <t>median might be a more robust summary measure than the mean.</t>
  </si>
  <si>
    <t>Use your data to determine if there is more variability with successful or unsuccessful campaigns. Does this make sense? Why or why not?</t>
  </si>
  <si>
    <t>Use your data to determine whether the mean or the median better summarizes the data.</t>
  </si>
  <si>
    <t xml:space="preserve">Determining if there is more variability with successful or unsuccessful campaigns does make </t>
  </si>
  <si>
    <t>sense.To determine the variability of these data sets, the varainces of those two can be compared.</t>
  </si>
  <si>
    <t>Since the varaince means the dispersion of values in a dataset, higher varainace values compared to</t>
  </si>
  <si>
    <t>other signifies a more spread out from the mean indicating more varaibility.</t>
  </si>
  <si>
    <t>In these two data sets,higher varaince is indicated by the successful campaign and therefore</t>
  </si>
  <si>
    <t>it shows more varaibilty than the failed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</si>
</sst>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8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0" fillId="0" borderId="0" xfId="0" applyNumberFormat="1"/>
    <xf numFmtId="0" fontId="18" fillId="0" borderId="0" xfId="0" applyFont="1" applyAlignment="1">
      <alignment horizontal="left" vertical="center" wrapText="1"/>
    </xf>
    <xf numFmtId="1" fontId="0" fillId="0" borderId="0" xfId="0" applyNumberFormat="1"/>
    <xf numFmtId="0" fontId="19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CC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CC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99CC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[CrowdfundingBook.xlsx]Category-Stacked coloumn!PivotTable1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'Category-Stacked coloumn'!$B$3:$B$4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'Category-Stacked coloumn'!$A$5:$A$14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'Category-Stacked coloumn'!$B$5:$B$14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047-B09D-DC50FF504265}"/>
            </c:ext>
          </c:extLst>
        </c:ser>
        <c:ser>
          <c:idx val="1"/>
          <c:order val="1"/>
          <c:tx>
            <c:strRef>
              <c:f>'Category-Stacked coloumn'!$C$3:$C$4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'Category-Stacked coloumn'!$A$5:$A$14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'Category-Stacked coloumn'!$C$5:$C$14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2-4047-B09D-DC50FF504265}"/>
            </c:ext>
          </c:extLst>
        </c:ser>
        <c:ser>
          <c:idx val="2"/>
          <c:order val="2"/>
          <c:tx>
            <c:strRef>
              <c:f>'Category-Stacked coloumn'!$D$3:$D$4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'Category-Stacked coloumn'!$A$5:$A$14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'Category-Stacked coloumn'!$D$5:$D$14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2-4047-B09D-DC50FF504265}"/>
            </c:ext>
          </c:extLst>
        </c:ser>
        <c:ser>
          <c:idx val="3"/>
          <c:order val="3"/>
          <c:tx>
            <c:strRef>
              <c:f>'Category-Stacked coloumn'!$E$3:$E$4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'Category-Stacked coloumn'!$A$5:$A$14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'Category-Stacked coloumn'!$E$5:$E$14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2-4047-B09D-DC50FF50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170735"/>
        <c:axId val="511168815"/>
      </c:barChart>
      <c:catAx>
        <c:axId val="51117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8815"/>
        <c:crosses val="autoZero"/>
        <c:auto val="1"/>
        <c:lblAlgn val="ctr"/>
        <c:lblOffset val="100"/>
        <c:noMultiLvlLbl val="0"/>
      </c:catAx>
      <c:valAx>
        <c:axId val="5111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[CrowdfundingBook.xlsx]Sub-category-Stacked coloumn!PivotTable2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'Sub-category-Stacked coloumn'!$B$4:$B$5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'Sub-category-Stacked coloumn'!$A$6:$A$30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'Sub-category-Stacked coloumn'!$B$6:$B$30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764-8183-29A2319BF4E8}"/>
            </c:ext>
          </c:extLst>
        </c:ser>
        <c:ser>
          <c:idx val="1"/>
          <c:order val="1"/>
          <c:tx>
            <c:strRef>
              <c:f>'Sub-category-Stacked coloumn'!$C$4:$C$5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'Sub-category-Stacked coloumn'!$A$6:$A$30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'Sub-category-Stacked coloumn'!$C$6:$C$30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764-8183-29A2319BF4E8}"/>
            </c:ext>
          </c:extLst>
        </c:ser>
        <c:ser>
          <c:idx val="2"/>
          <c:order val="2"/>
          <c:tx>
            <c:strRef>
              <c:f>'Sub-category-Stacked coloumn'!$D$4:$D$5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'Sub-category-Stacked coloumn'!$A$6:$A$30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'Sub-category-Stacked coloumn'!$D$6:$D$30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B-4764-8183-29A2319BF4E8}"/>
            </c:ext>
          </c:extLst>
        </c:ser>
        <c:ser>
          <c:idx val="3"/>
          <c:order val="3"/>
          <c:tx>
            <c:strRef>
              <c:f>'Sub-category-Stacked coloumn'!$E$4:$E$5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'Sub-category-Stacked coloumn'!$A$6:$A$30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'Sub-category-Stacked coloumn'!$E$6:$E$30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B-4764-8183-29A2319B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956543"/>
        <c:axId val="661951743"/>
      </c:barChart>
      <c:catAx>
        <c:axId val="6619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1743"/>
        <c:crosses val="autoZero"/>
        <c:auto val="1"/>
        <c:lblAlgn val="ctr"/>
        <c:lblOffset val="100"/>
        <c:noMultiLvlLbl val="0"/>
      </c:catAx>
      <c:valAx>
        <c:axId val="6619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 based!PivotTable6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counts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based'!$B$4:$B$5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based'!$A$6:$A$18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8-41EA-ACDB-8D41EF490759}"/>
            </c:ext>
          </c:extLst>
        </c:ser>
        <c:ser>
          <c:idx val="1"/>
          <c:order val="1"/>
          <c:tx>
            <c:strRef>
              <c:f>'Month based'!$C$4:$C$5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based'!$A$6:$A$18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8-41EA-ACDB-8D41EF490759}"/>
            </c:ext>
          </c:extLst>
        </c:ser>
        <c:ser>
          <c:idx val="2"/>
          <c:order val="2"/>
          <c:tx>
            <c:strRef>
              <c:f>'Month based'!$D$4:$D$5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based'!$A$6:$A$18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8-41EA-ACDB-8D41EF4907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441103"/>
        <c:axId val="664426223"/>
      </c:lineChart>
      <c:catAx>
        <c:axId val="6644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6223"/>
        <c:crosses val="autoZero"/>
        <c:auto val="1"/>
        <c:lblAlgn val="ctr"/>
        <c:lblOffset val="100"/>
        <c:noMultiLvlLbl val="0"/>
      </c:catAx>
      <c:valAx>
        <c:axId val="664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pf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C-48BB-B9D9-76F05F87530C}"/>
            </c:ext>
          </c:extLst>
        </c:ser>
        <c:ser>
          <c:idx val="5"/>
          <c:order val="5"/>
          <c:tx>
            <c:strRef>
              <c:f>'Outcome based'!$G$1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C-48BB-B9D9-76F05F87530C}"/>
            </c:ext>
          </c:extLst>
        </c:ser>
        <c:ser>
          <c:idx val="6"/>
          <c:order val="6"/>
          <c:tx>
            <c:strRef>
              <c:f>'Outcome based'!$H$1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C-48BB-B9D9-76F05F87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67375"/>
        <c:axId val="511164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2C-48BB-B9D9-76F05F8753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2C-48BB-B9D9-76F05F8753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2C-48BB-B9D9-76F05F8753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2C-48BB-B9D9-76F05F87530C}"/>
                  </c:ext>
                </c:extLst>
              </c15:ser>
            </c15:filteredLineSeries>
          </c:ext>
        </c:extLst>
      </c:lineChart>
      <c:catAx>
        <c:axId val="51116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Goal Number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4495"/>
        <c:crosses val="autoZero"/>
        <c:auto val="1"/>
        <c:lblAlgn val="ctr"/>
        <c:lblOffset val="100"/>
        <c:noMultiLvlLbl val="0"/>
      </c:catAx>
      <c:valAx>
        <c:axId val="5111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Backers count distribution by Project outcome-Successful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distribution by Project outcome-Successful</a:t>
          </a:r>
        </a:p>
      </cx:txPr>
    </cx:title>
    <cx:plotArea>
      <cx:plotAreaRegion>
        <cx:series layoutId="boxWhisker" uniqueId="{31465046-16FD-4F5B-BF70-CB7FD2A44430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Project Outcome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Project Outcome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Backers count distribution by Project outcome-Failed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Backers count distribution by Project outcome-Failed</a:t>
          </a:r>
        </a:p>
      </cx:txPr>
    </cx:title>
    <cx:plotArea>
      <cx:plotAreaRegion>
        <cx:series layoutId="boxWhisker" uniqueId="{0D983D59-E2A6-4299-9BE4-06AB2FFEFFC5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Project Outcome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Project Outcome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175260</xdr:rowOff>
    </xdr:from>
    <xdr:to>
      <xdr:col>15</xdr:col>
      <xdr:colOff>472440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EC78-3CDF-7970-2E8E-08FFA7C65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613410</xdr:colOff>
      <xdr:row>2</xdr:row>
      <xdr:rowOff>182880</xdr:rowOff>
    </xdr:from>
    <xdr:to>
      <xdr:col>16</xdr:col>
      <xdr:colOff>381000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0DCD-A69C-D093-6500-4A828AF9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3</xdr:row>
      <xdr:rowOff>7620</xdr:rowOff>
    </xdr:from>
    <xdr:to>
      <xdr:col>13</xdr:col>
      <xdr:colOff>22860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1BCB3-991C-FD40-9519-A57B53F5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2247900</xdr:colOff>
      <xdr:row>14</xdr:row>
      <xdr:rowOff>15240</xdr:rowOff>
    </xdr:from>
    <xdr:to>
      <xdr:col>7</xdr:col>
      <xdr:colOff>1203960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14C5F-B982-ED34-7A77-95991FE5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6</xdr:col>
      <xdr:colOff>838200</xdr:colOff>
      <xdr:row>24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72B2F4-9AC2-4DF3-966F-45E2DB054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9180" y="2804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640080</xdr:colOff>
      <xdr:row>26</xdr:row>
      <xdr:rowOff>0</xdr:rowOff>
    </xdr:from>
    <xdr:to>
      <xdr:col>6</xdr:col>
      <xdr:colOff>807720</xdr:colOff>
      <xdr:row>39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3231FD-9081-4E64-A537-2CA760C05E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5775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adari Ranasinghe" refreshedDate="45411.485188310187" createdVersion="8" refreshedVersion="8" minRefreshableVersion="3" recordCount="1000" xr:uid="{41D15883-8289-4491-8DF4-61AF628D896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adari Ranasinghe" refreshedDate="45411.573549768516" createdVersion="8" refreshedVersion="8" minRefreshableVersion="3" recordCount="1001" xr:uid="{4637EB63-1B1B-4155-8F43-01132923A5E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x v="3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x v="5"/>
    <x v="5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x v="6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x v="7"/>
    <x v="7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x v="8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x v="9"/>
    <x v="9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x v="14"/>
    <x v="14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x v="18"/>
    <x v="18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x v="19"/>
    <x v="19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x v="21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x v="24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x v="27"/>
    <x v="27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x v="29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x v="3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x v="32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x v="33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x v="34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x v="37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x v="39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x v="41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x v="42"/>
    <x v="42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x v="43"/>
    <x v="43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x v="44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x v="45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x v="46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x v="48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x v="49"/>
    <x v="49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x v="51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x v="54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x v="55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x v="56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x v="61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x v="62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x v="63"/>
    <x v="63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x v="64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x v="68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x v="7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x v="72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x v="74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x v="77"/>
    <x v="76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x v="77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x v="78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x v="81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x v="86"/>
    <x v="84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x v="85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x v="86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x v="87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x v="88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x v="4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x v="9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x v="91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x v="93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x v="94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x v="95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x v="98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x v="99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x v="101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x v="106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x v="107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x v="108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x v="109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x v="113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x v="114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x v="115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x v="118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x v="122"/>
    <x v="119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x v="12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x v="121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x v="125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x v="127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x v="128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x v="131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x v="133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x v="135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x v="137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x v="139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x v="143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x v="147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x v="148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x v="15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x v="151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x v="152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x v="156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x v="159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x v="161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x v="167"/>
    <x v="164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x v="165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x v="169"/>
    <x v="166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x v="171"/>
    <x v="168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x v="17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x v="173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x v="178"/>
    <x v="175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x v="179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x v="18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x v="181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x v="183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x v="187"/>
    <x v="184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x v="185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x v="186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x v="190"/>
    <x v="187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x v="188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x v="189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x v="192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x v="193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x v="196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x v="199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x v="2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x v="201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x v="205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x v="206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x v="209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x v="211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x v="212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x v="215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x v="216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x v="217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x v="218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x v="122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x v="22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x v="221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x v="222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x v="224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x v="226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x v="228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x v="229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x v="232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x v="233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x v="234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x v="235"/>
    <x v="235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x v="237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x v="239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x v="24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x v="247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x v="252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x v="253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x v="256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x v="257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x v="259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x v="26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x v="261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x v="262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x v="153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x v="268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x v="27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x v="271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x v="273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x v="148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x v="277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x v="278"/>
    <x v="278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x v="28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x v="282"/>
    <x v="281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x v="284"/>
    <x v="283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x v="284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x v="285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x v="287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x v="29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x v="18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x v="291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x v="294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x v="162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x v="302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x v="303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x v="305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x v="306"/>
    <x v="306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x v="307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x v="309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x v="312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x v="314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x v="315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x v="316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x v="317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x v="318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x v="319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x v="32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x v="321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x v="324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x v="326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x v="328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x v="329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x v="151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x v="33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x v="331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x v="333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x v="334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x v="337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x v="336"/>
    <x v="338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x v="339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x v="34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x v="341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x v="342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x v="343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x v="344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x v="127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x v="346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x v="347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x v="33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x v="352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x v="355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x v="356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x v="359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x v="360"/>
    <x v="362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x v="365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x v="366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x v="371"/>
    <x v="373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x v="375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x v="376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x v="38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x v="103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x v="381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x v="386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x v="387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x v="389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x v="39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x v="392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x v="393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x v="395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x v="397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x v="401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x v="403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x v="405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x v="406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x v="407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x v="409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x v="41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x v="411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x v="411"/>
    <x v="413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x v="414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x v="416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x v="418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x v="418"/>
    <x v="419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x v="42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x v="421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x v="429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x v="435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x v="438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x v="44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x v="443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x v="368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x v="447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x v="451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x v="452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x v="455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x v="456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x v="459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x v="461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x v="462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x v="463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x v="465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x v="466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x v="468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x v="469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x v="471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x v="472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x v="474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x v="476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x v="479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x v="481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x v="483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x v="482"/>
    <x v="487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x v="488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x v="437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x v="49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x v="491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x v="493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x v="495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x v="496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x v="498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x v="499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x v="5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x v="52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x v="504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x v="503"/>
    <x v="505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x v="506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x v="508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x v="51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x v="511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x v="512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x v="514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x v="517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x v="518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x v="519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x v="52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x v="219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x v="521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x v="524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x v="28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x v="525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x v="527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x v="528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x v="36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x v="531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x v="534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x v="536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x v="537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x v="536"/>
    <x v="538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x v="539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x v="541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x v="545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x v="546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x v="547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x v="548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x v="549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x v="551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x v="552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x v="238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x v="554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x v="552"/>
    <x v="496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x v="555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x v="557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x v="559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x v="561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x v="562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x v="565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x v="562"/>
    <x v="568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x v="573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x v="471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x v="574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x v="577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x v="477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x v="581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x v="583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x v="584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x v="586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x v="588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x v="59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x v="51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x v="594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x v="598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x v="599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x v="292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x v="605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x v="612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x v="614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x v="453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x v="62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x v="621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x v="623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x v="624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x v="625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x v="626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x v="627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x v="491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x v="628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x v="629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x v="634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x v="415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x v="635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x v="637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x v="638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x v="64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x v="641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x v="445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x v="643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x v="642"/>
    <x v="644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x v="648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x v="649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x v="651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x v="652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x v="655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x v="657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x v="89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x v="658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x v="659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x v="66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x v="265"/>
    <x v="202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x v="602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x v="668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x v="669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x v="67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x v="671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x v="675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x v="676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x v="682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x v="685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x v="488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x v="686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x v="691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x v="231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x v="693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x v="7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x v="697"/>
    <x v="34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x v="702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x v="705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x v="706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x v="708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x v="71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x v="7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x v="717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x v="718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x v="72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x v="715"/>
    <x v="721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x v="451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x v="724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x v="725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x v="728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x v="729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x v="241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x v="732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x v="734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x v="739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x v="74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x v="697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x v="741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x v="743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x v="745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x v="747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x v="749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x v="751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x v="451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x v="748"/>
    <x v="752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x v="754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x v="755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x v="758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x v="76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x v="78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x v="758"/>
    <x v="762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x v="763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x v="766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x v="768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x v="767"/>
    <x v="769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x v="77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x v="25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x v="772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x v="773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x v="331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x v="776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x v="779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x v="78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x v="781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x v="782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x v="784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x v="341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x v="788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x v="789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x v="791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x v="488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x v="793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x v="794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x v="138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x v="795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x v="796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x v="801"/>
    <x v="798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x v="799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x v="212"/>
    <x v="368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x v="804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x v="806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x v="807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x v="809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x v="81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x v="811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x v="813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x v="815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x v="817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x v="818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x v="819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x v="32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x v="82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x v="824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x v="827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x v="829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x v="83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x v="831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x v="832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x v="833"/>
    <x v="833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x v="837"/>
    <x v="611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x v="837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x v="839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x v="216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x v="84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x v="721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x v="846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x v="847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x v="688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x v="853"/>
    <x v="85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x v="851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x v="856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x v="858"/>
    <x v="857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x v="859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x v="86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x v="264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x v="861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x v="865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x v="866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x v="869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x v="354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x v="87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x v="98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x v="872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x v="874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x v="875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x v="876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x v="589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28998-589B-4CD1-ADF5-7ADF72346B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D595F-8589-4179-B93E-99A3A48330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80FDE-F935-4A5F-B226-DB079E5DAA9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L1" zoomScale="81" zoomScaleNormal="115" workbookViewId="0">
      <selection activeCell="F3" sqref="F3"/>
    </sheetView>
  </sheetViews>
  <sheetFormatPr defaultColWidth="11.19921875" defaultRowHeight="15.6" x14ac:dyDescent="0.3"/>
  <cols>
    <col min="1" max="1" width="4.19921875" bestFit="1" customWidth="1"/>
    <col min="2" max="2" width="27.09765625" customWidth="1"/>
    <col min="3" max="3" width="31.8984375" style="3" customWidth="1"/>
    <col min="5" max="5" width="10.8984375" customWidth="1"/>
    <col min="6" max="6" width="15.19921875" customWidth="1"/>
    <col min="7" max="8" width="14.8984375" customWidth="1"/>
    <col min="9" max="9" width="15.296875" customWidth="1"/>
    <col min="12" max="12" width="13.796875" customWidth="1"/>
    <col min="13" max="13" width="11.19921875" bestFit="1" customWidth="1"/>
    <col min="14" max="15" width="21.8984375" customWidth="1"/>
    <col min="18" max="20" width="24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(((L2/60/60)/24+DATE(1970,1,1)))</f>
        <v>42336.25</v>
      </c>
      <c r="O2" s="6">
        <f>(((M2/60/60)/24+DATE(1970,1,1)))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MID(R2,FIND("/",R2)+1,LEN(R2)-FIND("/",R2))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(((L3/60/60)/24+DATE(1970,1,1)))</f>
        <v>41870.208333333336</v>
      </c>
      <c r="O3" s="6">
        <f t="shared" ref="O3:O66" si="2">(((M3/60/60)/24+DATE(1970,1,1)))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FIND("/",R3)-1)</f>
        <v>music</v>
      </c>
      <c r="T3" t="str">
        <f t="shared" ref="T3:T66" si="4">MID(R3,FIND("/",R3)+1,LEN(R3)-FIND("/",R3))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ref="I5:I68" si="5">ROUND(E5/H5,2)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7">(((L67/60/60)/24+DATE(1970,1,1)))</f>
        <v>40570.25</v>
      </c>
      <c r="O67" s="6">
        <f t="shared" ref="O67:O130" si="8">(((M67/60/60)/24+DATE(1970,1,1)))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FIND("/",R67)-1)</f>
        <v>theater</v>
      </c>
      <c r="T67" t="str">
        <f t="shared" ref="T67:T130" si="10">MID(R67,FIND("/",R67)+1,LEN(R67)-FIND("/",R67))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7"/>
        <v>42102.208333333328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ref="I69:I132" si="11">ROUND(E69/H69,2)</f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7"/>
        <v>40203.25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7"/>
        <v>42943.208333333328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7"/>
        <v>40531.25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7"/>
        <v>40484.208333333336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7"/>
        <v>43799.25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7"/>
        <v>42186.208333333328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7"/>
        <v>42701.25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7"/>
        <v>42456.208333333328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7"/>
        <v>43296.208333333328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7"/>
        <v>42027.25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7"/>
        <v>40448.208333333336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7"/>
        <v>43206.208333333328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7"/>
        <v>43267.208333333328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7"/>
        <v>42976.208333333328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7"/>
        <v>43062.25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7"/>
        <v>43482.25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7"/>
        <v>42579.208333333328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7"/>
        <v>41118.208333333336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7"/>
        <v>40797.208333333336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7"/>
        <v>42128.208333333328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7"/>
        <v>40610.25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7"/>
        <v>42110.208333333328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7"/>
        <v>40283.208333333336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7"/>
        <v>42425.25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7"/>
        <v>42588.208333333328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7"/>
        <v>40352.208333333336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7"/>
        <v>41202.208333333336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7"/>
        <v>43562.208333333328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7"/>
        <v>43752.208333333328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7"/>
        <v>40612.25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7"/>
        <v>42180.208333333328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7"/>
        <v>42212.208333333328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7"/>
        <v>41968.25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7"/>
        <v>40835.208333333336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7"/>
        <v>42056.25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7"/>
        <v>43234.208333333328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7"/>
        <v>40475.208333333336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7"/>
        <v>42878.208333333328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7"/>
        <v>41366.208333333336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7"/>
        <v>43716.208333333328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7"/>
        <v>43213.208333333328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7"/>
        <v>41005.208333333336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7"/>
        <v>41651.25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7"/>
        <v>43354.208333333328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7"/>
        <v>41174.208333333336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7"/>
        <v>41875.208333333336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7"/>
        <v>42990.208333333328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7"/>
        <v>43564.208333333328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7"/>
        <v>43056.25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7"/>
        <v>42265.208333333328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7"/>
        <v>40808.208333333336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7"/>
        <v>41665.25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7"/>
        <v>41806.208333333336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7"/>
        <v>42111.208333333328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7"/>
        <v>41917.208333333336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7"/>
        <v>41970.25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7"/>
        <v>42332.25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7"/>
        <v>43598.208333333328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7"/>
        <v>43362.208333333328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7"/>
        <v>42596.208333333328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7"/>
        <v>40310.208333333336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7"/>
        <v>40417.208333333336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ROUND((E131/D131*100),0)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3">(((L131/60/60)/24+DATE(1970,1,1)))</f>
        <v>42038.25</v>
      </c>
      <c r="O131" s="6">
        <f t="shared" ref="O131:O194" si="14">(((M131/60/60)/24+DATE(1970,1,1)))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FIND("/",R131)-1)</f>
        <v>food</v>
      </c>
      <c r="T131" t="str">
        <f t="shared" ref="T131:T194" si="16">MID(R131,FIND("/",R131)+1,LEN(R131)-FIND("/",R131))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3"/>
        <v>40842.208333333336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ref="I133:I196" si="17">ROUND(E133/H133,2)</f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3"/>
        <v>41607.25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3"/>
        <v>43112.25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3"/>
        <v>40767.208333333336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3"/>
        <v>40713.208333333336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3"/>
        <v>41340.25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3"/>
        <v>41797.208333333336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3"/>
        <v>40457.208333333336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3"/>
        <v>41180.208333333336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3"/>
        <v>42115.208333333328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3"/>
        <v>43156.25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3"/>
        <v>42167.208333333328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3"/>
        <v>41005.208333333336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3"/>
        <v>40357.208333333336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3"/>
        <v>43633.208333333328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3"/>
        <v>41889.208333333336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3"/>
        <v>40855.25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3"/>
        <v>42534.208333333328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3"/>
        <v>42941.208333333328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3"/>
        <v>41275.25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3"/>
        <v>43450.25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3"/>
        <v>41799.208333333336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3"/>
        <v>42783.25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3"/>
        <v>41201.208333333336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3"/>
        <v>42502.208333333328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3"/>
        <v>40262.208333333336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3"/>
        <v>43743.208333333328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3"/>
        <v>41638.25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3"/>
        <v>42346.25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3"/>
        <v>43551.208333333328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3"/>
        <v>43582.208333333328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3"/>
        <v>42270.208333333328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3"/>
        <v>43442.25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3"/>
        <v>43028.208333333328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3"/>
        <v>43016.208333333328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3"/>
        <v>42948.208333333328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3"/>
        <v>40534.25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3"/>
        <v>41435.208333333336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3"/>
        <v>43518.25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3"/>
        <v>41077.208333333336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3"/>
        <v>42950.208333333328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3"/>
        <v>41718.208333333336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3"/>
        <v>41839.208333333336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3"/>
        <v>41412.208333333336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3"/>
        <v>42282.208333333328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3"/>
        <v>42613.208333333328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3"/>
        <v>42616.208333333328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3"/>
        <v>40497.25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3"/>
        <v>42999.208333333328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3"/>
        <v>41350.208333333336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3"/>
        <v>40259.208333333336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3"/>
        <v>43012.208333333328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3"/>
        <v>43631.208333333328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3"/>
        <v>40430.208333333336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3"/>
        <v>43588.208333333328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3"/>
        <v>43233.208333333328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3"/>
        <v>41782.208333333336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3"/>
        <v>41328.25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3"/>
        <v>41975.25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3"/>
        <v>42433.25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3"/>
        <v>41429.208333333336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3"/>
        <v>43536.208333333328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3"/>
        <v>41817.208333333336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ROUND((E195/D195*100),0)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9">(((L195/60/60)/24+DATE(1970,1,1)))</f>
        <v>43198.208333333328</v>
      </c>
      <c r="O195" s="6">
        <f t="shared" ref="O195:O258" si="20">(((M195/60/60)/24+DATE(1970,1,1)))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FIND("/",R195)-1)</f>
        <v>music</v>
      </c>
      <c r="T195" t="str">
        <f t="shared" ref="T195:T258" si="22">MID(R195,FIND("/",R195)+1,LEN(R195)-FIND("/",R195))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7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9"/>
        <v>42261.208333333328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ref="I197:I260" si="23">ROUND(E197/H197,2)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9"/>
        <v>43310.208333333328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9"/>
        <v>42616.208333333328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9"/>
        <v>42909.208333333328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9"/>
        <v>40396.208333333336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9"/>
        <v>42192.208333333328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9"/>
        <v>40262.208333333336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9"/>
        <v>41845.208333333336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9"/>
        <v>40818.208333333336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9"/>
        <v>42752.25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9"/>
        <v>40636.208333333336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9"/>
        <v>43390.208333333328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9"/>
        <v>40236.25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9"/>
        <v>43340.208333333328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9"/>
        <v>43048.25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9"/>
        <v>42496.208333333328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9"/>
        <v>42797.25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9"/>
        <v>41513.208333333336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9"/>
        <v>43814.25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9"/>
        <v>40488.208333333336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9"/>
        <v>40409.208333333336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9"/>
        <v>43509.25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9"/>
        <v>40869.25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9"/>
        <v>43583.208333333328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9"/>
        <v>40858.25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9"/>
        <v>41137.208333333336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9"/>
        <v>40725.208333333336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9"/>
        <v>41081.208333333336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9"/>
        <v>41914.208333333336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9"/>
        <v>42445.208333333328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9"/>
        <v>41906.208333333336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9"/>
        <v>41762.208333333336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9"/>
        <v>40276.208333333336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9"/>
        <v>42139.208333333328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9"/>
        <v>42613.208333333328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9"/>
        <v>42887.208333333328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9"/>
        <v>43805.25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9"/>
        <v>41415.208333333336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9"/>
        <v>42576.208333333328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9"/>
        <v>40706.208333333336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9"/>
        <v>42969.208333333328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9"/>
        <v>42779.25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9"/>
        <v>43641.208333333328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9"/>
        <v>41754.208333333336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9"/>
        <v>43083.25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9"/>
        <v>42245.208333333328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9"/>
        <v>40396.208333333336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9"/>
        <v>41742.208333333336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9"/>
        <v>42865.208333333328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9"/>
        <v>43163.25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9"/>
        <v>41834.208333333336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9"/>
        <v>41736.208333333336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9"/>
        <v>41491.208333333336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9"/>
        <v>42726.25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9"/>
        <v>42004.25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9"/>
        <v>42006.25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9"/>
        <v>40203.25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9"/>
        <v>41252.25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9"/>
        <v>41572.208333333336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9"/>
        <v>40641.208333333336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9"/>
        <v>42787.25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9"/>
        <v>40590.25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9"/>
        <v>42393.25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ROUND((E259/D259*100),0)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5">(((L259/60/60)/24+DATE(1970,1,1)))</f>
        <v>41338.25</v>
      </c>
      <c r="O259" s="6">
        <f t="shared" ref="O259:O322" si="26">(((M259/60/60)/24+DATE(1970,1,1)))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FIND("/",R259)-1)</f>
        <v>theater</v>
      </c>
      <c r="T259" t="str">
        <f t="shared" ref="T259:T322" si="28">MID(R259,FIND("/",R259)+1,LEN(R259)-FIND("/",R259))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3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5"/>
        <v>42712.25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ref="I261:I324" si="29">ROUND(E261/H261,2)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5"/>
        <v>41251.25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5"/>
        <v>41180.208333333336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5"/>
        <v>40415.208333333336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5"/>
        <v>40638.208333333336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5"/>
        <v>40187.25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5"/>
        <v>41317.25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5"/>
        <v>42372.25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5"/>
        <v>41950.25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5"/>
        <v>41206.208333333336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5"/>
        <v>41186.208333333336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5"/>
        <v>43496.25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5"/>
        <v>40514.25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5"/>
        <v>42345.25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5"/>
        <v>43656.208333333328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5"/>
        <v>42995.208333333328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5"/>
        <v>43045.25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5"/>
        <v>43561.208333333328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5"/>
        <v>41018.208333333336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5"/>
        <v>40378.208333333336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5"/>
        <v>41239.25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5"/>
        <v>43346.208333333328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5"/>
        <v>43060.25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5"/>
        <v>40979.25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5"/>
        <v>42701.25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5"/>
        <v>42520.208333333328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5"/>
        <v>41030.208333333336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5"/>
        <v>42623.208333333328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5"/>
        <v>42697.25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5"/>
        <v>42122.208333333328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5"/>
        <v>40982.208333333336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5"/>
        <v>42219.208333333328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5"/>
        <v>41404.208333333336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5"/>
        <v>40831.208333333336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5"/>
        <v>40984.208333333336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5"/>
        <v>40456.208333333336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5"/>
        <v>43399.208333333328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5"/>
        <v>41562.208333333336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5"/>
        <v>43493.25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5"/>
        <v>41653.25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5"/>
        <v>42426.25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5"/>
        <v>42432.25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5"/>
        <v>42977.208333333328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5"/>
        <v>42061.25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5"/>
        <v>43345.208333333328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5"/>
        <v>42376.25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5"/>
        <v>42589.208333333328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5"/>
        <v>42448.208333333328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5"/>
        <v>42930.208333333328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5"/>
        <v>41066.208333333336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5"/>
        <v>40651.208333333336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5"/>
        <v>40807.208333333336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5"/>
        <v>40277.208333333336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5"/>
        <v>40590.25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5"/>
        <v>41572.208333333336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5"/>
        <v>40966.25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5"/>
        <v>43536.208333333328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5"/>
        <v>41783.208333333336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5"/>
        <v>43788.25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5"/>
        <v>42869.208333333328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5"/>
        <v>41684.25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5"/>
        <v>40402.208333333336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5"/>
        <v>40673.208333333336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ROUND((E323/D323*100),0)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1">(((L323/60/60)/24+DATE(1970,1,1)))</f>
        <v>40634.208333333336</v>
      </c>
      <c r="O323" s="6">
        <f t="shared" ref="O323:O386" si="32">(((M323/60/60)/24+DATE(1970,1,1)))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FIND("/",R323)-1)</f>
        <v>film &amp; video</v>
      </c>
      <c r="T323" t="str">
        <f t="shared" ref="T323:T386" si="34">MID(R323,FIND("/",R323)+1,LEN(R323)-FIND("/",R323))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29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1"/>
        <v>40507.25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ref="I325:I388" si="35">ROUND(E325/H325,2)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1"/>
        <v>41725.208333333336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1"/>
        <v>42176.208333333328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1"/>
        <v>43267.208333333328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1"/>
        <v>42364.25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1"/>
        <v>43705.208333333328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1"/>
        <v>43434.25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1"/>
        <v>42716.25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1"/>
        <v>43077.25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1"/>
        <v>40896.25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1"/>
        <v>41361.208333333336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1"/>
        <v>43424.25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1"/>
        <v>43110.25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1"/>
        <v>43784.25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1"/>
        <v>40527.25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1"/>
        <v>43780.25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1"/>
        <v>40821.208333333336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1"/>
        <v>42949.208333333328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1"/>
        <v>40889.25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1"/>
        <v>42244.208333333328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1"/>
        <v>41475.208333333336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1"/>
        <v>41597.25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1"/>
        <v>43122.25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1"/>
        <v>42194.208333333328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1"/>
        <v>42971.208333333328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1"/>
        <v>42046.25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1"/>
        <v>42782.25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1"/>
        <v>42930.208333333328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1"/>
        <v>42144.208333333328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1"/>
        <v>42240.208333333328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1"/>
        <v>42315.25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1"/>
        <v>43651.208333333328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1"/>
        <v>41520.208333333336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1"/>
        <v>42757.25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1"/>
        <v>40922.25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1"/>
        <v>42250.208333333328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1"/>
        <v>43322.208333333328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1"/>
        <v>40782.208333333336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1"/>
        <v>40544.25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1"/>
        <v>43015.208333333328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1"/>
        <v>40570.25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1"/>
        <v>40904.25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1"/>
        <v>43164.25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1"/>
        <v>42733.25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1"/>
        <v>40546.25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1"/>
        <v>41930.208333333336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1"/>
        <v>40464.208333333336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1"/>
        <v>41308.25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1"/>
        <v>43570.208333333328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1"/>
        <v>42043.25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1"/>
        <v>42012.25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1"/>
        <v>42964.208333333328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1"/>
        <v>43476.25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1"/>
        <v>42293.208333333328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1"/>
        <v>41826.208333333336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1"/>
        <v>43760.208333333328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1"/>
        <v>43241.208333333328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1"/>
        <v>40843.208333333336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1"/>
        <v>41448.208333333336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1"/>
        <v>42163.208333333328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1"/>
        <v>43024.208333333328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1"/>
        <v>43509.25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1"/>
        <v>42776.25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ROUND((E387/D387*100),0)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7">(((L387/60/60)/24+DATE(1970,1,1)))</f>
        <v>43553.208333333328</v>
      </c>
      <c r="O387" s="6">
        <f t="shared" ref="O387:O450" si="38">(((M387/60/60)/24+DATE(1970,1,1)))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FIND("/",R387)-1)</f>
        <v>publishing</v>
      </c>
      <c r="T387" t="str">
        <f t="shared" ref="T387:T450" si="40">MID(R387,FIND("/",R387)+1,LEN(R387)-FIND("/",R387))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7"/>
        <v>40355.208333333336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ref="I389:I452" si="41">ROUND(E389/H389,2)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7"/>
        <v>41072.208333333336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7"/>
        <v>40912.25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7"/>
        <v>40479.208333333336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7"/>
        <v>41530.208333333336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7"/>
        <v>41653.25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7"/>
        <v>40549.25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7"/>
        <v>42933.208333333328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7"/>
        <v>41484.208333333336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7"/>
        <v>40885.25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7"/>
        <v>43378.208333333328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7"/>
        <v>41417.208333333336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7"/>
        <v>43228.208333333328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7"/>
        <v>40576.25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7"/>
        <v>41502.208333333336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7"/>
        <v>43765.208333333328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7"/>
        <v>40914.25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7"/>
        <v>40310.208333333336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7"/>
        <v>43053.25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7"/>
        <v>43255.208333333328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7"/>
        <v>41304.25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7"/>
        <v>43751.208333333328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7"/>
        <v>42541.208333333328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7"/>
        <v>42843.208333333328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7"/>
        <v>42122.208333333328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7"/>
        <v>42884.208333333328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7"/>
        <v>41642.25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7"/>
        <v>43431.25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7"/>
        <v>40288.208333333336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7"/>
        <v>40921.25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7"/>
        <v>40560.25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7"/>
        <v>43407.208333333328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7"/>
        <v>41035.208333333336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7"/>
        <v>40899.25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7"/>
        <v>42911.208333333328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7"/>
        <v>42915.208333333328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7"/>
        <v>40285.208333333336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7"/>
        <v>40808.208333333336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7"/>
        <v>43208.208333333328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7"/>
        <v>42213.208333333328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7"/>
        <v>41332.25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7"/>
        <v>41895.208333333336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7"/>
        <v>40585.25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7"/>
        <v>41680.25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7"/>
        <v>43737.208333333328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7"/>
        <v>43273.208333333328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7"/>
        <v>41761.208333333336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7"/>
        <v>41603.25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7"/>
        <v>42705.25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7"/>
        <v>41988.25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7"/>
        <v>43575.208333333328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7"/>
        <v>42260.208333333328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7"/>
        <v>41337.25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7"/>
        <v>42680.208333333328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7"/>
        <v>42916.208333333328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7"/>
        <v>41025.208333333336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7"/>
        <v>42980.208333333328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7"/>
        <v>40451.208333333336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7"/>
        <v>40748.208333333336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7"/>
        <v>40515.25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7"/>
        <v>41261.25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7"/>
        <v>43088.25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7"/>
        <v>41378.208333333336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ROUND((E451/D451*100),0)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3">(((L451/60/60)/24+DATE(1970,1,1)))</f>
        <v>43530.25</v>
      </c>
      <c r="O451" s="6">
        <f t="shared" ref="O451:O514" si="44">(((M451/60/60)/24+DATE(1970,1,1)))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FIND("/",R451)-1)</f>
        <v>games</v>
      </c>
      <c r="T451" t="str">
        <f t="shared" ref="T451:T514" si="46">MID(R451,FIND("/",R451)+1,LEN(R451)-FIND("/",R451))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3"/>
        <v>43394.208333333328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ref="I453:I516" si="47">ROUND(E453/H453,2)</f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3"/>
        <v>42935.208333333328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3"/>
        <v>40365.208333333336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3"/>
        <v>42705.25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3"/>
        <v>41568.208333333336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3"/>
        <v>40809.208333333336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3"/>
        <v>43141.25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3"/>
        <v>42657.208333333328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3"/>
        <v>40265.208333333336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3"/>
        <v>42001.25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3"/>
        <v>40399.208333333336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3"/>
        <v>41757.208333333336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3"/>
        <v>41304.25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3"/>
        <v>41639.25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3"/>
        <v>43142.25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3"/>
        <v>43127.25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3"/>
        <v>41409.208333333336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3"/>
        <v>42331.25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3"/>
        <v>43569.208333333328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3"/>
        <v>42142.208333333328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3"/>
        <v>42716.25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3"/>
        <v>41031.208333333336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3"/>
        <v>43535.208333333328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3"/>
        <v>43277.208333333328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3"/>
        <v>41989.25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3"/>
        <v>41450.208333333336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3"/>
        <v>43322.208333333328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3"/>
        <v>40720.208333333336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3"/>
        <v>42072.208333333328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3"/>
        <v>42945.208333333328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3"/>
        <v>40248.25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3"/>
        <v>41913.208333333336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3"/>
        <v>40963.25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3"/>
        <v>43811.25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3"/>
        <v>41855.208333333336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3"/>
        <v>43626.208333333328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3"/>
        <v>43168.25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3"/>
        <v>42845.208333333328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3"/>
        <v>42403.25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3"/>
        <v>40406.208333333336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3"/>
        <v>43786.25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3"/>
        <v>41456.208333333336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3"/>
        <v>40336.208333333336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3"/>
        <v>43645.208333333328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3"/>
        <v>40990.208333333336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3"/>
        <v>41800.208333333336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3"/>
        <v>42876.208333333328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3"/>
        <v>42724.25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3"/>
        <v>42005.25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3"/>
        <v>42444.208333333328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3"/>
        <v>41395.208333333336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3"/>
        <v>41345.208333333336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3"/>
        <v>41117.208333333336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3"/>
        <v>42186.208333333328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3"/>
        <v>42142.208333333328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3"/>
        <v>41341.25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3"/>
        <v>43062.25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3"/>
        <v>41373.208333333336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3"/>
        <v>43310.208333333328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3"/>
        <v>41034.208333333336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3"/>
        <v>43251.208333333328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3"/>
        <v>43671.208333333328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3"/>
        <v>41825.208333333336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ROUND((E515/D515*100),0)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49">(((L515/60/60)/24+DATE(1970,1,1)))</f>
        <v>40430.208333333336</v>
      </c>
      <c r="O515" s="6">
        <f t="shared" ref="O515:O578" si="50">(((M515/60/60)/24+DATE(1970,1,1)))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FIND("/",R515)-1)</f>
        <v>film &amp; video</v>
      </c>
      <c r="T515" t="str">
        <f t="shared" ref="T515:T578" si="52">MID(R515,FIND("/",R515)+1,LEN(R515)-FIND("/",R515))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7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49"/>
        <v>41614.25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ref="I517:I580" si="53">ROUND(E517/H517,2)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49"/>
        <v>40900.25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49"/>
        <v>40396.208333333336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49"/>
        <v>42860.208333333328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49"/>
        <v>43154.25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49"/>
        <v>42012.25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49"/>
        <v>43574.208333333328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49"/>
        <v>42605.208333333328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49"/>
        <v>41093.208333333336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49"/>
        <v>40241.25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49"/>
        <v>40294.208333333336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49"/>
        <v>40505.25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49"/>
        <v>42364.25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49"/>
        <v>42405.25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49"/>
        <v>41601.25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49"/>
        <v>41769.208333333336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49"/>
        <v>40421.208333333336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49"/>
        <v>41589.25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49"/>
        <v>43125.25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49"/>
        <v>41479.208333333336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49"/>
        <v>43329.208333333328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49"/>
        <v>43259.208333333328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49"/>
        <v>40414.208333333336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49"/>
        <v>43342.208333333328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49"/>
        <v>41539.208333333336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49"/>
        <v>43647.208333333328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49"/>
        <v>43225.208333333328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49"/>
        <v>42165.208333333328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49"/>
        <v>42391.25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49"/>
        <v>41528.208333333336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49"/>
        <v>42377.25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49"/>
        <v>43824.25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49"/>
        <v>43360.208333333328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49"/>
        <v>42029.25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49"/>
        <v>42461.208333333328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49"/>
        <v>41422.208333333336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49"/>
        <v>40968.25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49"/>
        <v>41993.25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49"/>
        <v>42700.25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49"/>
        <v>40545.25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49"/>
        <v>42723.25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49"/>
        <v>41731.208333333336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49"/>
        <v>40792.208333333336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49"/>
        <v>42279.208333333328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49"/>
        <v>42424.25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49"/>
        <v>42584.208333333328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49"/>
        <v>40865.25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49"/>
        <v>40833.208333333336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49"/>
        <v>43536.208333333328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49"/>
        <v>43417.25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49"/>
        <v>42078.208333333328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49"/>
        <v>40862.25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49"/>
        <v>42424.25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49"/>
        <v>41830.208333333336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49"/>
        <v>40374.208333333336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49"/>
        <v>40554.25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49"/>
        <v>41993.25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49"/>
        <v>42174.208333333328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49"/>
        <v>42275.208333333328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49"/>
        <v>41761.208333333336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49"/>
        <v>43806.25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49"/>
        <v>41779.208333333336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49"/>
        <v>43040.208333333328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ROUND((E579/D579*100),0)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5">(((L579/60/60)/24+DATE(1970,1,1)))</f>
        <v>40613.25</v>
      </c>
      <c r="O579" s="6">
        <f t="shared" ref="O579:O642" si="56">(((M579/60/60)/24+DATE(1970,1,1)))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FIND("/",R579)-1)</f>
        <v>music</v>
      </c>
      <c r="T579" t="str">
        <f t="shared" ref="T579:T642" si="58">MID(R579,FIND("/",R579)+1,LEN(R579)-FIND("/",R579))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3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5"/>
        <v>40878.25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ref="I581:I644" si="59">ROUND(E581/H581,2)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5"/>
        <v>40762.208333333336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5"/>
        <v>41696.25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5"/>
        <v>40662.208333333336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5"/>
        <v>42165.208333333328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5"/>
        <v>40959.25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5"/>
        <v>41024.208333333336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5"/>
        <v>40255.208333333336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5"/>
        <v>40499.25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5"/>
        <v>43484.25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5"/>
        <v>40262.208333333336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5"/>
        <v>42190.208333333328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5"/>
        <v>41994.25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5"/>
        <v>40373.208333333336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5"/>
        <v>41789.208333333336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5"/>
        <v>41724.208333333336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5"/>
        <v>42548.208333333328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5"/>
        <v>40253.208333333336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5"/>
        <v>42434.25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5"/>
        <v>43786.25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5"/>
        <v>40344.208333333336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5"/>
        <v>42047.25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5"/>
        <v>41485.208333333336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5"/>
        <v>41789.208333333336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5"/>
        <v>42160.208333333328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5"/>
        <v>43573.208333333328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5"/>
        <v>40565.25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5"/>
        <v>42280.208333333328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5"/>
        <v>42436.25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5"/>
        <v>41721.208333333336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5"/>
        <v>43530.25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5"/>
        <v>43481.25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5"/>
        <v>41259.25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5"/>
        <v>41480.208333333336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5"/>
        <v>40474.208333333336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5"/>
        <v>42973.208333333328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5"/>
        <v>42746.25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5"/>
        <v>42489.208333333328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5"/>
        <v>41537.208333333336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5"/>
        <v>41794.208333333336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5"/>
        <v>41396.208333333336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31.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5"/>
        <v>40669.208333333336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5"/>
        <v>42559.208333333328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5"/>
        <v>42626.208333333328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5"/>
        <v>43205.208333333328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5"/>
        <v>42201.208333333328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5"/>
        <v>42029.25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5"/>
        <v>43857.25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5"/>
        <v>40449.208333333336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5"/>
        <v>40345.208333333336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5"/>
        <v>40455.208333333336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5"/>
        <v>42557.208333333328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5"/>
        <v>43586.208333333328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5"/>
        <v>43550.208333333328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5"/>
        <v>41945.208333333336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5"/>
        <v>42315.25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5"/>
        <v>42819.208333333328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5"/>
        <v>41314.25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5"/>
        <v>40926.25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5"/>
        <v>42688.25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5"/>
        <v>40386.208333333336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5"/>
        <v>43309.208333333328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5"/>
        <v>42387.25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ROUND((E643/D643*100),0)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1">(((L643/60/60)/24+DATE(1970,1,1)))</f>
        <v>42786.25</v>
      </c>
      <c r="O643" s="6">
        <f t="shared" ref="O643:O706" si="62">(((M643/60/60)/24+DATE(1970,1,1)))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FIND("/",R643)-1)</f>
        <v>theater</v>
      </c>
      <c r="T643" t="str">
        <f t="shared" ref="T643:T706" si="64">MID(R643,FIND("/",R643)+1,LEN(R643)-FIND("/",R643))</f>
        <v>plays</v>
      </c>
    </row>
    <row r="644" spans="1:20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59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1"/>
        <v>43451.25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ref="I645:I708" si="65">ROUND(E645/H645,2)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1"/>
        <v>42795.25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1"/>
        <v>43452.25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1"/>
        <v>43369.208333333328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1"/>
        <v>41346.208333333336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31.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1"/>
        <v>43199.208333333328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1"/>
        <v>42922.208333333328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1"/>
        <v>40471.208333333336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1"/>
        <v>41828.208333333336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1"/>
        <v>41692.25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1"/>
        <v>42587.208333333328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1"/>
        <v>42468.208333333328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1"/>
        <v>42240.208333333328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1"/>
        <v>42796.25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1"/>
        <v>43097.25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1"/>
        <v>43096.25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1"/>
        <v>42246.208333333328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1"/>
        <v>40570.25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31.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1"/>
        <v>42237.208333333328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1"/>
        <v>40996.208333333336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1"/>
        <v>43443.25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1"/>
        <v>40458.208333333336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1"/>
        <v>40959.25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1"/>
        <v>40733.208333333336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1"/>
        <v>41516.208333333336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1"/>
        <v>41892.208333333336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1"/>
        <v>41122.208333333336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1"/>
        <v>42912.208333333328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1"/>
        <v>42425.25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1"/>
        <v>40390.208333333336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1"/>
        <v>43180.208333333328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1"/>
        <v>42475.208333333328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1"/>
        <v>40774.208333333336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1"/>
        <v>43719.208333333328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1"/>
        <v>41178.208333333336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31.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1"/>
        <v>42561.208333333328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1"/>
        <v>43484.25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1"/>
        <v>43756.208333333328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1"/>
        <v>43813.25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1"/>
        <v>40898.25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1"/>
        <v>41619.25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1"/>
        <v>43359.208333333328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1"/>
        <v>40358.208333333336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31.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1"/>
        <v>42239.208333333328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1"/>
        <v>43186.208333333328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1"/>
        <v>42806.25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1"/>
        <v>43475.25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1"/>
        <v>41576.208333333336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1"/>
        <v>40874.25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1"/>
        <v>41185.208333333336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1"/>
        <v>43655.208333333328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1"/>
        <v>43025.208333333328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1"/>
        <v>43066.25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1"/>
        <v>42322.25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1"/>
        <v>42114.208333333328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1"/>
        <v>43190.208333333328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1"/>
        <v>40871.25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1"/>
        <v>43641.208333333328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1"/>
        <v>40203.25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1"/>
        <v>40629.208333333336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1"/>
        <v>41477.208333333336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1"/>
        <v>41020.208333333336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1"/>
        <v>42555.208333333328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ROUND((E707/D707*100),0)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7">(((L707/60/60)/24+DATE(1970,1,1)))</f>
        <v>41619.25</v>
      </c>
      <c r="O707" s="6">
        <f t="shared" ref="O707:O770" si="68">(((M707/60/60)/24+DATE(1970,1,1)))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FIND("/",R707)-1)</f>
        <v>publishing</v>
      </c>
      <c r="T707" t="str">
        <f t="shared" ref="T707:T770" si="70">MID(R707,FIND("/",R707)+1,LEN(R707)-FIND("/",R707))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7"/>
        <v>43471.25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ref="I709:I772" si="71">ROUND(E709/H709,2)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7"/>
        <v>43442.25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7"/>
        <v>42877.208333333328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7"/>
        <v>41018.208333333336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7"/>
        <v>43295.208333333328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7"/>
        <v>42393.25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7"/>
        <v>42559.208333333328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7"/>
        <v>42604.208333333328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7"/>
        <v>41870.208333333336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7"/>
        <v>40397.208333333336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7"/>
        <v>41465.208333333336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7"/>
        <v>40777.208333333336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7"/>
        <v>41442.208333333336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7"/>
        <v>41058.208333333336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7"/>
        <v>43152.25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31.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7"/>
        <v>43194.208333333328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7"/>
        <v>43045.25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7"/>
        <v>42431.25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7"/>
        <v>41934.208333333336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7"/>
        <v>41958.25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7"/>
        <v>40476.208333333336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31.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7"/>
        <v>43485.25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7"/>
        <v>42515.208333333328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7"/>
        <v>41309.25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7"/>
        <v>42147.208333333328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7"/>
        <v>42939.208333333328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7"/>
        <v>42816.208333333328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7"/>
        <v>41844.208333333336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7"/>
        <v>42763.25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7"/>
        <v>42459.208333333328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7"/>
        <v>42055.25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7"/>
        <v>42685.25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7"/>
        <v>41959.25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7"/>
        <v>41089.208333333336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7"/>
        <v>42769.25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7"/>
        <v>40321.208333333336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7"/>
        <v>40197.25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7"/>
        <v>42298.208333333328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7"/>
        <v>43322.208333333328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7"/>
        <v>40328.208333333336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7"/>
        <v>40825.208333333336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7"/>
        <v>40423.208333333336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7"/>
        <v>40238.25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7"/>
        <v>41920.208333333336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7"/>
        <v>40360.208333333336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7"/>
        <v>42446.208333333328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7"/>
        <v>40395.208333333336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7"/>
        <v>40321.208333333336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7"/>
        <v>41210.208333333336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7"/>
        <v>43096.25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7"/>
        <v>42024.25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7"/>
        <v>40675.208333333336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7"/>
        <v>41936.208333333336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7"/>
        <v>43136.25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7"/>
        <v>43678.208333333328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7"/>
        <v>42938.208333333328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7"/>
        <v>41241.25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7"/>
        <v>41037.208333333336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7"/>
        <v>40676.208333333336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7"/>
        <v>42840.208333333328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7"/>
        <v>43362.208333333328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31.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7"/>
        <v>42283.208333333328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7"/>
        <v>41619.25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ROUND((E771/D771*100),0)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3">(((L771/60/60)/24+DATE(1970,1,1)))</f>
        <v>41501.208333333336</v>
      </c>
      <c r="O771" s="6">
        <f t="shared" ref="O771:O834" si="74">(((M771/60/60)/24+DATE(1970,1,1)))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FIND("/",R771)-1)</f>
        <v>games</v>
      </c>
      <c r="T771" t="str">
        <f t="shared" ref="T771:T834" si="76">MID(R771,FIND("/",R771)+1,LEN(R771)-FIND("/",R771))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1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3"/>
        <v>41743.208333333336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31.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ref="I773:I836" si="77">ROUND(E773/H773,2)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3"/>
        <v>43491.25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31.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3"/>
        <v>43505.25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3"/>
        <v>42838.208333333328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3"/>
        <v>42513.208333333328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3"/>
        <v>41949.25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3"/>
        <v>43650.208333333328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3"/>
        <v>40809.208333333336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3"/>
        <v>40768.208333333336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3"/>
        <v>42230.208333333328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3"/>
        <v>42573.208333333328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3"/>
        <v>40482.208333333336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3"/>
        <v>40603.25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3"/>
        <v>41625.25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3"/>
        <v>42435.25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3"/>
        <v>43582.208333333328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3"/>
        <v>43186.208333333328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3"/>
        <v>40684.208333333336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3"/>
        <v>41202.208333333336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3"/>
        <v>41786.208333333336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3"/>
        <v>40223.25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3"/>
        <v>42715.25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3"/>
        <v>41451.208333333336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3"/>
        <v>41450.208333333336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3"/>
        <v>43091.25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3"/>
        <v>42675.208333333328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3"/>
        <v>41859.208333333336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3"/>
        <v>43464.25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3"/>
        <v>41060.208333333336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3"/>
        <v>42399.25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3"/>
        <v>42167.208333333328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3"/>
        <v>43830.25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3"/>
        <v>43650.208333333328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3"/>
        <v>43492.25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3"/>
        <v>43102.25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3"/>
        <v>41958.25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3"/>
        <v>40973.25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3"/>
        <v>43753.208333333328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3"/>
        <v>42507.208333333328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3"/>
        <v>41135.208333333336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3"/>
        <v>43067.25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3"/>
        <v>42378.25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3"/>
        <v>43206.208333333328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3"/>
        <v>41148.208333333336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3"/>
        <v>42517.208333333328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3"/>
        <v>43068.25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3"/>
        <v>41680.25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3"/>
        <v>43589.208333333328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3"/>
        <v>43486.25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3"/>
        <v>41237.25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3"/>
        <v>43310.208333333328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3"/>
        <v>42794.25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3"/>
        <v>41698.25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3"/>
        <v>41892.208333333336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3"/>
        <v>40348.208333333336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31.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3"/>
        <v>42941.208333333328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3"/>
        <v>40525.25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3"/>
        <v>40666.208333333336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3"/>
        <v>43340.208333333328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3"/>
        <v>42164.208333333328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3"/>
        <v>43103.25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3"/>
        <v>40994.208333333336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3"/>
        <v>42299.208333333328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ROUND((E835/D835*100),0)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79">(((L835/60/60)/24+DATE(1970,1,1)))</f>
        <v>40588.25</v>
      </c>
      <c r="O835" s="6">
        <f t="shared" ref="O835:O898" si="80">(((M835/60/60)/24+DATE(1970,1,1)))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FIND("/",R835)-1)</f>
        <v>publishing</v>
      </c>
      <c r="T835" t="str">
        <f t="shared" ref="T835:T898" si="82">MID(R835,FIND("/",R835)+1,LEN(R835)-FIND("/",R835))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7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79"/>
        <v>41448.208333333336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ref="I837:I900" si="83">ROUND(E837/H837,2)</f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79"/>
        <v>42063.25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79"/>
        <v>40214.25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79"/>
        <v>40629.208333333336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79"/>
        <v>43370.208333333328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79"/>
        <v>41715.208333333336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79"/>
        <v>41836.208333333336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79"/>
        <v>42419.25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79"/>
        <v>43266.208333333328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79"/>
        <v>43338.208333333328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79"/>
        <v>40930.25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79"/>
        <v>43235.208333333328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79"/>
        <v>43302.208333333328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79"/>
        <v>43107.25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79"/>
        <v>40341.208333333336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79"/>
        <v>40948.25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79"/>
        <v>40866.25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79"/>
        <v>41031.208333333336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79"/>
        <v>40740.208333333336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79"/>
        <v>40714.208333333336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79"/>
        <v>43787.25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79"/>
        <v>40712.208333333336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79"/>
        <v>41023.208333333336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79"/>
        <v>40944.25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79"/>
        <v>43211.208333333328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79"/>
        <v>41334.25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79"/>
        <v>43515.25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79"/>
        <v>40258.208333333336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79"/>
        <v>40756.208333333336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79"/>
        <v>42172.208333333328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79"/>
        <v>42601.208333333328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79"/>
        <v>41897.208333333336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79"/>
        <v>40671.208333333336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79"/>
        <v>43382.208333333328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79"/>
        <v>41559.208333333336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79"/>
        <v>40350.208333333336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79"/>
        <v>42240.208333333328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79"/>
        <v>43040.208333333328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79"/>
        <v>43346.208333333328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79"/>
        <v>41647.25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79"/>
        <v>40291.208333333336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79"/>
        <v>40556.25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79"/>
        <v>43624.208333333328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79"/>
        <v>42577.208333333328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31.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79"/>
        <v>43845.25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79"/>
        <v>42788.25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79"/>
        <v>43667.208333333328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31.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79"/>
        <v>42194.208333333328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79"/>
        <v>42025.25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79"/>
        <v>40323.208333333336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79"/>
        <v>41763.208333333336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79"/>
        <v>40335.208333333336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79"/>
        <v>40416.208333333336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79"/>
        <v>42202.208333333328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79"/>
        <v>42836.208333333328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79"/>
        <v>41710.208333333336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79"/>
        <v>43640.208333333328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79"/>
        <v>40880.25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79"/>
        <v>40319.208333333336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79"/>
        <v>42170.208333333328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79"/>
        <v>41466.208333333336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79"/>
        <v>43134.25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79"/>
        <v>40738.208333333336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ROUND((E899/D899*100),0)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5">(((L899/60/60)/24+DATE(1970,1,1)))</f>
        <v>43583.208333333328</v>
      </c>
      <c r="O899" s="6">
        <f t="shared" ref="O899:O962" si="86">(((M899/60/60)/24+DATE(1970,1,1)))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FIND("/",R899)-1)</f>
        <v>theater</v>
      </c>
      <c r="T899" t="str">
        <f t="shared" ref="T899:T962" si="88">MID(R899,FIND("/",R899)+1,LEN(R899)-FIND("/",R899))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3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5"/>
        <v>43815.25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31.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ref="I901:I964" si="89">ROUND(E901/H901,2)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5"/>
        <v>41554.208333333336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5"/>
        <v>41901.208333333336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5"/>
        <v>43298.208333333328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5"/>
        <v>42399.25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5"/>
        <v>41034.208333333336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5"/>
        <v>41186.208333333336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5"/>
        <v>41536.208333333336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5"/>
        <v>42868.208333333328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5"/>
        <v>40660.208333333336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5"/>
        <v>41031.208333333336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5"/>
        <v>43255.208333333328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5"/>
        <v>42026.25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5"/>
        <v>43717.208333333328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5"/>
        <v>41157.208333333336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31.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5"/>
        <v>43597.208333333328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31.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5"/>
        <v>41490.208333333336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5"/>
        <v>42976.208333333328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5"/>
        <v>41991.25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5"/>
        <v>40722.208333333336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5"/>
        <v>41117.208333333336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5"/>
        <v>43022.208333333328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5"/>
        <v>43503.25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31.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5"/>
        <v>40951.25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5"/>
        <v>43443.25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5"/>
        <v>40373.208333333336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5"/>
        <v>43769.208333333328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5"/>
        <v>43000.208333333328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5"/>
        <v>42502.208333333328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5"/>
        <v>41102.208333333336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5"/>
        <v>41637.25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5"/>
        <v>42858.208333333328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5"/>
        <v>42060.25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31.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5"/>
        <v>41818.208333333336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5"/>
        <v>41709.208333333336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5"/>
        <v>41372.208333333336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5"/>
        <v>42422.25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5"/>
        <v>42209.208333333328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5"/>
        <v>43668.208333333328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5"/>
        <v>42334.25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5"/>
        <v>43263.208333333328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5"/>
        <v>40670.208333333336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5"/>
        <v>41244.25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5"/>
        <v>40552.25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5"/>
        <v>40568.25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5"/>
        <v>41906.208333333336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5"/>
        <v>42776.25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31.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5"/>
        <v>41004.208333333336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5"/>
        <v>40710.208333333336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5"/>
        <v>41908.208333333336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5"/>
        <v>41985.25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5"/>
        <v>42112.208333333328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5"/>
        <v>43571.208333333328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5"/>
        <v>42730.25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5"/>
        <v>42591.208333333328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5"/>
        <v>42358.25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5"/>
        <v>41174.208333333336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5"/>
        <v>41238.25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31.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5"/>
        <v>42360.25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5"/>
        <v>40955.25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5"/>
        <v>40350.208333333336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5"/>
        <v>40357.208333333336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5"/>
        <v>42408.25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ROUND((E963/D963*100),0)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1">(((L963/60/60)/24+DATE(1970,1,1)))</f>
        <v>40591.25</v>
      </c>
      <c r="O963" s="6">
        <f t="shared" ref="O963:O1001" si="92">(((M963/60/60)/24+DATE(1970,1,1)))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FIND("/",R963)-1)</f>
        <v>publishing</v>
      </c>
      <c r="T963" t="str">
        <f t="shared" ref="T963:T1001" si="94">MID(R963,FIND("/",R963)+1,LEN(R963)-FIND("/",R963))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89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1"/>
        <v>41592.25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ref="I965:I1001" si="95">ROUND(E965/H965,2)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1"/>
        <v>40607.25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31.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1"/>
        <v>42135.208333333328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1"/>
        <v>40203.25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1"/>
        <v>42901.208333333328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1"/>
        <v>41005.208333333336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1"/>
        <v>40544.25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1"/>
        <v>43821.25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1"/>
        <v>40672.208333333336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1"/>
        <v>41555.208333333336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1"/>
        <v>41792.208333333336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1"/>
        <v>40522.25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1"/>
        <v>41412.208333333336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1"/>
        <v>42337.25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1"/>
        <v>40571.25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1"/>
        <v>43138.25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1"/>
        <v>42686.25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31.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1"/>
        <v>42078.208333333328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31.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1"/>
        <v>42307.208333333328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1"/>
        <v>43094.25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1"/>
        <v>40743.208333333336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1"/>
        <v>43681.208333333328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1"/>
        <v>43716.208333333328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1"/>
        <v>41614.25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1"/>
        <v>40638.208333333336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31.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1"/>
        <v>42852.208333333328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1"/>
        <v>42686.25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1"/>
        <v>43571.208333333328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1"/>
        <v>42432.25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1"/>
        <v>41907.208333333336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1"/>
        <v>43227.208333333328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31.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1"/>
        <v>42362.25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31.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1"/>
        <v>41929.208333333336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1"/>
        <v>43408.208333333328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1"/>
        <v>41276.25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1"/>
        <v>41659.25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1"/>
        <v>40220.25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1"/>
        <v>42550.208333333328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  <cfRule type="colorScale" priority="7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29B7-477D-4E4C-BD58-298674F8E5F6}">
  <sheetPr codeName="Sheet2"/>
  <dimension ref="A1:F14"/>
  <sheetViews>
    <sheetView topLeftCell="D1" workbookViewId="0">
      <selection activeCell="P2" sqref="P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2038</v>
      </c>
      <c r="E8">
        <v>4</v>
      </c>
      <c r="F8">
        <v>4</v>
      </c>
    </row>
    <row r="9" spans="1:6" x14ac:dyDescent="0.3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0E7D-F835-452B-ACF3-8CB747C1CB92}">
  <sheetPr codeName="Sheet3"/>
  <dimension ref="A1:F30"/>
  <sheetViews>
    <sheetView workbookViewId="0">
      <selection activeCell="B8" sqref="B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5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2053</v>
      </c>
      <c r="E7">
        <v>4</v>
      </c>
      <c r="F7">
        <v>4</v>
      </c>
    </row>
    <row r="8" spans="1:6" x14ac:dyDescent="0.3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2054</v>
      </c>
      <c r="C10">
        <v>8</v>
      </c>
      <c r="E10">
        <v>10</v>
      </c>
      <c r="F10">
        <v>18</v>
      </c>
    </row>
    <row r="11" spans="1:6" x14ac:dyDescent="0.3">
      <c r="A11" s="5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2063</v>
      </c>
      <c r="C20">
        <v>4</v>
      </c>
      <c r="E20">
        <v>4</v>
      </c>
      <c r="F20">
        <v>8</v>
      </c>
    </row>
    <row r="21" spans="1:6" x14ac:dyDescent="0.3">
      <c r="A21" s="5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2047</v>
      </c>
      <c r="C22">
        <v>9</v>
      </c>
      <c r="E22">
        <v>5</v>
      </c>
      <c r="F22">
        <v>14</v>
      </c>
    </row>
    <row r="23" spans="1:6" x14ac:dyDescent="0.3">
      <c r="A23" s="5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2064</v>
      </c>
      <c r="C25">
        <v>7</v>
      </c>
      <c r="E25">
        <v>14</v>
      </c>
      <c r="F25">
        <v>21</v>
      </c>
    </row>
    <row r="26" spans="1:6" x14ac:dyDescent="0.3">
      <c r="A26" s="5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2059</v>
      </c>
      <c r="E29">
        <v>3</v>
      </c>
      <c r="F29">
        <v>3</v>
      </c>
    </row>
    <row r="30" spans="1:6" x14ac:dyDescent="0.3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8AEF-FB3C-492C-8971-EF37610FBB00}">
  <sheetPr codeName="Sheet4"/>
  <dimension ref="A1:E18"/>
  <sheetViews>
    <sheetView topLeftCell="E1" workbookViewId="0">
      <selection activeCell="A4" activeCellId="1" sqref="A1:B2 A4:E18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4" t="s">
        <v>2031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2068</v>
      </c>
      <c r="B4" s="4" t="s">
        <v>2069</v>
      </c>
    </row>
    <row r="5" spans="1:5" x14ac:dyDescent="0.3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C215-CB3A-4D95-B6B1-F1766353194B}">
  <sheetPr codeName="Sheet5"/>
  <dimension ref="A1:H13"/>
  <sheetViews>
    <sheetView tabSelected="1" topLeftCell="A16" workbookViewId="0">
      <selection activeCell="F1" activeCellId="1" sqref="A1:A13 F1:H13"/>
    </sheetView>
  </sheetViews>
  <sheetFormatPr defaultRowHeight="15.6" x14ac:dyDescent="0.3"/>
  <cols>
    <col min="1" max="1" width="29.8984375" customWidth="1"/>
    <col min="2" max="2" width="18.09765625" customWidth="1"/>
    <col min="3" max="3" width="15.09765625" customWidth="1"/>
    <col min="4" max="4" width="16.796875" customWidth="1"/>
    <col min="5" max="5" width="13.8984375" customWidth="1"/>
    <col min="6" max="6" width="19.19921875" customWidth="1"/>
    <col min="7" max="7" width="16.09765625" customWidth="1"/>
    <col min="8" max="8" width="18.3984375" customWidth="1"/>
  </cols>
  <sheetData>
    <row r="1" spans="1:8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t="s">
        <v>2105</v>
      </c>
      <c r="B2">
        <f>COUNTIFS(Crowdfunding!$D$2:'Crowdfunding'!$D$1001, "&lt;1000", Crowdfunding!$G$2:'Crowdfunding'!$G$1001, "*successful*")</f>
        <v>30</v>
      </c>
      <c r="C2">
        <f>COUNTIFS(Crowdfunding!$D$2:'Crowdfunding'!$D$1001, "&lt;1000", Crowdfunding!$G$2:'Crowdfunding'!$G$1001, "*failed*")</f>
        <v>20</v>
      </c>
      <c r="D2">
        <f>COUNTIFS(Crowdfunding!$D$2:'Crowdfunding'!$D$1001, "&lt;1000", Crowdfunding!$G$2:'Crowdfunding'!$G$1001, "*canceled*")</f>
        <v>1</v>
      </c>
      <c r="E2">
        <f>SUM(B2:D2)</f>
        <v>51</v>
      </c>
      <c r="F2" s="8">
        <f>ROUND((B2/E2),2)</f>
        <v>0.59</v>
      </c>
      <c r="G2" s="8">
        <f>ROUND((C2/E2),2)</f>
        <v>0.39</v>
      </c>
      <c r="H2" s="8">
        <f>ROUND((D2/E2),2)</f>
        <v>0.02</v>
      </c>
    </row>
    <row r="3" spans="1:8" x14ac:dyDescent="0.3">
      <c r="A3" t="s">
        <v>2094</v>
      </c>
      <c r="B3">
        <f>COUNTIFS(Crowdfunding!$D$2:'Crowdfunding'!$D$1001, "&lt;=4999", Crowdfunding!$D$2:'Crowdfunding'!$D$1001, "&gt;=1000",Crowdfunding!$G$2:'Crowdfunding'!$G$1001, "*successful*")</f>
        <v>191</v>
      </c>
      <c r="C3">
        <f>COUNTIFS(Crowdfunding!$D$2:'Crowdfunding'!$D$1001, "&lt;=4999", Crowdfunding!$D$2:'Crowdfunding'!$D$1001, "&gt;=1000",Crowdfunding!$G$2:'Crowdfunding'!$G$1001, "*failed*")</f>
        <v>38</v>
      </c>
      <c r="D3">
        <f>COUNTIFS(Crowdfunding!$D$2:'Crowdfunding'!$D$1001, "&lt;=4999", Crowdfunding!$D$2:'Crowdfunding'!$D$1001, "&gt;=1000",Crowdfunding!$G$2:'Crowdfunding'!$G$1001, "*canceled*")</f>
        <v>2</v>
      </c>
      <c r="E3">
        <f t="shared" ref="E3:E13" si="0">SUM(B3:D3)</f>
        <v>231</v>
      </c>
      <c r="F3" s="8">
        <f t="shared" ref="F3:F13" si="1">ROUND((B3/E3),2)</f>
        <v>0.83</v>
      </c>
      <c r="G3" s="8">
        <f t="shared" ref="G3:G12" si="2">ROUND((C3/E3),2)</f>
        <v>0.16</v>
      </c>
      <c r="H3" s="8">
        <f t="shared" ref="H3:H13" si="3">ROUND((D3/E3),2)</f>
        <v>0.01</v>
      </c>
    </row>
    <row r="4" spans="1:8" x14ac:dyDescent="0.3">
      <c r="A4" t="s">
        <v>2095</v>
      </c>
      <c r="B4">
        <f>COUNTIFS(Crowdfunding!$D$2:'Crowdfunding'!$D$1001, "&lt;=9999", Crowdfunding!$D$2:'Crowdfunding'!$D$1001, "&gt;=5000",Crowdfunding!$G$2:'Crowdfunding'!$G$1001, "*successful*")</f>
        <v>164</v>
      </c>
      <c r="C4">
        <f>COUNTIFS(Crowdfunding!$D$2:'Crowdfunding'!$D$1001, "&lt;=9999", Crowdfunding!$D$2:'Crowdfunding'!$D$1001, "&gt;=5000",Crowdfunding!$G$2:'Crowdfunding'!$G$1001, "*failed*")</f>
        <v>126</v>
      </c>
      <c r="D4">
        <f>COUNTIFS(Crowdfunding!$D$2:'Crowdfunding'!$D$1001, "&lt;=9999", Crowdfunding!$D$2:'Crowdfunding'!$D$1001, "&gt;=5000",Crowdfunding!$G$2:'Crowdfunding'!$G$1001, "*canceled*")</f>
        <v>25</v>
      </c>
      <c r="E4">
        <f t="shared" si="0"/>
        <v>315</v>
      </c>
      <c r="F4" s="8">
        <f t="shared" si="1"/>
        <v>0.52</v>
      </c>
      <c r="G4" s="8">
        <f t="shared" si="2"/>
        <v>0.4</v>
      </c>
      <c r="H4" s="8">
        <f t="shared" si="3"/>
        <v>0.08</v>
      </c>
    </row>
    <row r="5" spans="1:8" x14ac:dyDescent="0.3">
      <c r="A5" t="s">
        <v>2096</v>
      </c>
      <c r="B5">
        <f>COUNTIFS(Crowdfunding!$D$2:'Crowdfunding'!$D$1001, "&lt;=14999", Crowdfunding!$D$2:'Crowdfunding'!$D$1001, "&gt;=10000",Crowdfunding!$G$2:'Crowdfunding'!$G$1001, "*successful*")</f>
        <v>4</v>
      </c>
      <c r="C5">
        <f>COUNTIFS(Crowdfunding!$D$2:'Crowdfunding'!$D$1001, "&lt;=14999", Crowdfunding!$D$2:'Crowdfunding'!$D$1001, "&gt;=10000",Crowdfunding!$G$2:'Crowdfunding'!$G$1001, "*failed*")</f>
        <v>5</v>
      </c>
      <c r="D5">
        <f>COUNTIFS(Crowdfunding!$D$2:'Crowdfunding'!$D$1001, "&lt;=14999", Crowdfunding!$D$2:'Crowdfunding'!$D$1001, "&gt;=10000",Crowdfunding!$G$2:'Crowdfunding'!$G$1001, "*canceled*")</f>
        <v>0</v>
      </c>
      <c r="E5">
        <f t="shared" si="0"/>
        <v>9</v>
      </c>
      <c r="F5" s="8">
        <f t="shared" si="1"/>
        <v>0.44</v>
      </c>
      <c r="G5" s="8">
        <f t="shared" si="2"/>
        <v>0.56000000000000005</v>
      </c>
      <c r="H5" s="8">
        <f t="shared" si="3"/>
        <v>0</v>
      </c>
    </row>
    <row r="6" spans="1:8" x14ac:dyDescent="0.3">
      <c r="A6" t="s">
        <v>2097</v>
      </c>
      <c r="B6">
        <f>COUNTIFS(Crowdfunding!$D$2:'Crowdfunding'!$D$1001, "&lt;=19999", Crowdfunding!$D$2:'Crowdfunding'!$D$1001, "&gt;=15000",Crowdfunding!$G$2:'Crowdfunding'!$G$1001, "*successful*")</f>
        <v>10</v>
      </c>
      <c r="C6">
        <f>COUNTIFS(Crowdfunding!$D$2:'Crowdfunding'!$D$1001, "&lt;=19999", Crowdfunding!$D$2:'Crowdfunding'!$D$1001, "&gt;=15000",Crowdfunding!$G$2:'Crowdfunding'!$G$1001, "*failed*")</f>
        <v>0</v>
      </c>
      <c r="D6">
        <f>COUNTIFS(Crowdfunding!$D$2:'Crowdfunding'!$D$1001, "&lt;=19999", Crowdfunding!$D$2:'Crowdfunding'!$D$1001, "&gt;=15000",Crowdfunding!$G$2:'Crowdfunding'!$G$1001, "*canceled*")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2098</v>
      </c>
      <c r="B7">
        <f>COUNTIFS(Crowdfunding!$D$2:'Crowdfunding'!$D$1001, "&lt;=24999", Crowdfunding!$D$2:'Crowdfunding'!$D$1001, "&gt;=20000",Crowdfunding!$G$2:'Crowdfunding'!$G$1001, "*successful*")</f>
        <v>7</v>
      </c>
      <c r="C7">
        <f>COUNTIFS(Crowdfunding!$D$2:'Crowdfunding'!$D$1001, "&lt;=24999", Crowdfunding!$D$2:'Crowdfunding'!$D$1001, "&gt;=20000",Crowdfunding!$G$2:'Crowdfunding'!$G$1001, "*failed*")</f>
        <v>0</v>
      </c>
      <c r="D7">
        <f>COUNTIFS(Crowdfunding!$D$2:'Crowdfunding'!$D$1001, "&lt;=24999", Crowdfunding!$D$2:'Crowdfunding'!$D$1001, "&gt;=20000",Crowdfunding!$G$2:'Crowdfunding'!$G$1001, "*canceled*")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2099</v>
      </c>
      <c r="B8">
        <f>COUNTIFS(Crowdfunding!$D$2:'Crowdfunding'!$D$1001, "&lt;=29999", Crowdfunding!$D$2:'Crowdfunding'!$D$1001, "&gt;=25000",Crowdfunding!$G$2:'Crowdfunding'!$G$1001, "*successful*")</f>
        <v>11</v>
      </c>
      <c r="C8">
        <f>COUNTIFS(Crowdfunding!$D$2:'Crowdfunding'!$D$1001, "&lt;=29999", Crowdfunding!$D$2:'Crowdfunding'!$D$1001, "&gt;=25000",Crowdfunding!$G$2:'Crowdfunding'!$G$1001, "*failed*")</f>
        <v>3</v>
      </c>
      <c r="D8">
        <f>COUNTIFS(Crowdfunding!$D$2:'Crowdfunding'!$D$1001, "&lt;=29999", Crowdfunding!$D$2:'Crowdfunding'!$D$1001, "&gt;=25000",Crowdfunding!$G$2:'Crowdfunding'!$G$1001, "*canceled*")</f>
        <v>0</v>
      </c>
      <c r="E8">
        <f t="shared" si="0"/>
        <v>14</v>
      </c>
      <c r="F8" s="8">
        <f t="shared" si="1"/>
        <v>0.79</v>
      </c>
      <c r="G8" s="8">
        <f t="shared" si="2"/>
        <v>0.21</v>
      </c>
      <c r="H8" s="8">
        <f t="shared" si="3"/>
        <v>0</v>
      </c>
    </row>
    <row r="9" spans="1:8" x14ac:dyDescent="0.3">
      <c r="A9" t="s">
        <v>2100</v>
      </c>
      <c r="B9">
        <f>COUNTIFS(Crowdfunding!$D$2:'Crowdfunding'!$D$1001, "&lt;=34999", Crowdfunding!$D$2:'Crowdfunding'!$D$1001, "&gt;=30000",Crowdfunding!$G$2:'Crowdfunding'!$G$1001, "*successful*")</f>
        <v>7</v>
      </c>
      <c r="C9">
        <f>COUNTIFS(Crowdfunding!$D$2:'Crowdfunding'!$D$1001, "&lt;=34999", Crowdfunding!$D$2:'Crowdfunding'!$D$1001, "&gt;=30000",Crowdfunding!$G$2:'Crowdfunding'!$G$1001, "*failed*")</f>
        <v>0</v>
      </c>
      <c r="D9">
        <f>COUNTIFS(Crowdfunding!$D$2:'Crowdfunding'!$D$1001, "&lt;=34999", Crowdfunding!$D$2:'Crowdfunding'!$D$1001, "&gt;=30000",Crowdfunding!$G$2:'Crowdfunding'!$G$1001, "*canceled*")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2101</v>
      </c>
      <c r="B10">
        <f>COUNTIFS(Crowdfunding!$D$2:'Crowdfunding'!$D$1001, "&lt;=39999", Crowdfunding!$D$2:'Crowdfunding'!$D$1001, "&gt;=35000",Crowdfunding!$G$2:'Crowdfunding'!$G$1001, "*successful*")</f>
        <v>8</v>
      </c>
      <c r="C10">
        <f>COUNTIFS(Crowdfunding!$D$2:'Crowdfunding'!$D$1001, "&lt;=39999", Crowdfunding!$D$2:'Crowdfunding'!$D$1001, "&gt;=35000",Crowdfunding!$G$2:'Crowdfunding'!$G$1001, "*failed*")</f>
        <v>3</v>
      </c>
      <c r="D10">
        <f>COUNTIFS(Crowdfunding!$D$2:'Crowdfunding'!$D$1001, "&lt;=39999", Crowdfunding!$D$2:'Crowdfunding'!$D$1001, "&gt;=35000",Crowdfunding!$G$2:'Crowdfunding'!$G$1001, "*canceled*")</f>
        <v>1</v>
      </c>
      <c r="E10">
        <f t="shared" si="0"/>
        <v>12</v>
      </c>
      <c r="F10" s="8">
        <f t="shared" si="1"/>
        <v>0.67</v>
      </c>
      <c r="G10" s="8">
        <f t="shared" si="2"/>
        <v>0.25</v>
      </c>
      <c r="H10" s="8">
        <f t="shared" si="3"/>
        <v>0.08</v>
      </c>
    </row>
    <row r="11" spans="1:8" x14ac:dyDescent="0.3">
      <c r="A11" t="s">
        <v>2102</v>
      </c>
      <c r="B11">
        <f>COUNTIFS(Crowdfunding!$D$2:'Crowdfunding'!$D$1001, "&lt;=44999", Crowdfunding!$D$2:'Crowdfunding'!$D$1001, "&gt;=40000",Crowdfunding!$G$2:'Crowdfunding'!$G$1001, "*successful*")</f>
        <v>11</v>
      </c>
      <c r="C11">
        <f>COUNTIFS(Crowdfunding!$D$2:'Crowdfunding'!$D$1001, "&lt;=44999", Crowdfunding!$D$2:'Crowdfunding'!$D$1001, "&gt;=40000",Crowdfunding!$G$2:'Crowdfunding'!$G$1001, "*failed*")</f>
        <v>3</v>
      </c>
      <c r="D11">
        <f>COUNTIFS(Crowdfunding!$D$2:'Crowdfunding'!$D$1001, "&lt;=44999", Crowdfunding!$D$2:'Crowdfunding'!$D$1001, "&gt;=40000",Crowdfunding!$G$2:'Crowdfunding'!$G$1001, "*canceled*")</f>
        <v>0</v>
      </c>
      <c r="E11">
        <f t="shared" si="0"/>
        <v>14</v>
      </c>
      <c r="F11" s="8">
        <f t="shared" si="1"/>
        <v>0.79</v>
      </c>
      <c r="G11" s="8">
        <f t="shared" si="2"/>
        <v>0.21</v>
      </c>
      <c r="H11" s="8">
        <f t="shared" si="3"/>
        <v>0</v>
      </c>
    </row>
    <row r="12" spans="1:8" x14ac:dyDescent="0.3">
      <c r="A12" t="s">
        <v>2103</v>
      </c>
      <c r="B12">
        <f>COUNTIFS(Crowdfunding!$D$2:'Crowdfunding'!$D$1001, "&lt;=49999", Crowdfunding!$D$2:'Crowdfunding'!$D$1001, "&gt;=45000",Crowdfunding!$G$2:'Crowdfunding'!$G$1001, "*successful*")</f>
        <v>8</v>
      </c>
      <c r="C12">
        <f>COUNTIFS(Crowdfunding!$D$2:'Crowdfunding'!$D$1001, "&lt;=49999", Crowdfunding!$D$2:'Crowdfunding'!$D$1001, "&gt;=45000",Crowdfunding!$G$2:'Crowdfunding'!$G$1001, "*failed*")</f>
        <v>3</v>
      </c>
      <c r="D12">
        <f>COUNTIFS(Crowdfunding!$D$2:'Crowdfunding'!$D$1001, "&lt;=49999", Crowdfunding!$D$2:'Crowdfunding'!$D$1001, "&gt;=45000",Crowdfunding!$G$2:'Crowdfunding'!$G$1001, "*canceled*")</f>
        <v>0</v>
      </c>
      <c r="E12">
        <f t="shared" si="0"/>
        <v>11</v>
      </c>
      <c r="F12" s="8">
        <f t="shared" si="1"/>
        <v>0.73</v>
      </c>
      <c r="G12" s="8">
        <f t="shared" si="2"/>
        <v>0.27</v>
      </c>
      <c r="H12" s="8">
        <f t="shared" si="3"/>
        <v>0</v>
      </c>
    </row>
    <row r="13" spans="1:8" x14ac:dyDescent="0.3">
      <c r="A13" t="s">
        <v>2104</v>
      </c>
      <c r="B13">
        <f>COUNTIFS(Crowdfunding!$D$2:'Crowdfunding'!$D$1001, "&gt;=50000", Crowdfunding!$G$2:'Crowdfunding'!$G$1001, "*successful*")</f>
        <v>114</v>
      </c>
      <c r="C13">
        <f>COUNTIFS(Crowdfunding!$D$2:'Crowdfunding'!$D$1001, "&gt;=50000", Crowdfunding!$G$2:'Crowdfunding'!$G$1001, "*failed*")</f>
        <v>163</v>
      </c>
      <c r="D13">
        <f>COUNTIFS(Crowdfunding!$D$2:'Crowdfunding'!$D$1001, "&gt;=50000", Crowdfunding!$G$2:'Crowdfunding'!$G$1001, "*canceled*")</f>
        <v>28</v>
      </c>
      <c r="E13">
        <f t="shared" si="0"/>
        <v>305</v>
      </c>
      <c r="F13" s="8">
        <f t="shared" si="1"/>
        <v>0.37</v>
      </c>
      <c r="G13" s="8">
        <f>ROUND((C13/E13),2)</f>
        <v>0.53</v>
      </c>
      <c r="H13" s="8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5A-1E83-40A6-BFD1-0800A63E08E1}">
  <sheetPr codeName="Sheet6"/>
  <dimension ref="A1:H566"/>
  <sheetViews>
    <sheetView topLeftCell="A60" workbookViewId="0">
      <selection activeCell="I29" sqref="I29"/>
    </sheetView>
  </sheetViews>
  <sheetFormatPr defaultRowHeight="15.6" x14ac:dyDescent="0.3"/>
  <cols>
    <col min="1" max="2" width="15.59765625" customWidth="1"/>
    <col min="3" max="3" width="11.19921875"/>
    <col min="4" max="4" width="12.69921875" customWidth="1"/>
    <col min="6" max="6" width="49" customWidth="1"/>
    <col min="7" max="7" width="11.09765625" customWidth="1"/>
  </cols>
  <sheetData>
    <row r="1" spans="1:8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8" x14ac:dyDescent="0.3">
      <c r="A2" t="s">
        <v>20</v>
      </c>
      <c r="B2">
        <v>158</v>
      </c>
      <c r="C2" t="s">
        <v>14</v>
      </c>
      <c r="D2">
        <v>0</v>
      </c>
    </row>
    <row r="3" spans="1:8" x14ac:dyDescent="0.3">
      <c r="A3" t="s">
        <v>20</v>
      </c>
      <c r="B3">
        <v>1425</v>
      </c>
      <c r="C3" t="s">
        <v>14</v>
      </c>
      <c r="D3">
        <v>24</v>
      </c>
      <c r="G3" t="s">
        <v>2112</v>
      </c>
      <c r="H3" t="s">
        <v>2113</v>
      </c>
    </row>
    <row r="4" spans="1:8" ht="21" customHeight="1" x14ac:dyDescent="0.3">
      <c r="A4" t="s">
        <v>20</v>
      </c>
      <c r="B4">
        <v>174</v>
      </c>
      <c r="C4" t="s">
        <v>14</v>
      </c>
      <c r="D4">
        <v>53</v>
      </c>
      <c r="F4" s="9" t="s">
        <v>2106</v>
      </c>
      <c r="G4">
        <f>ROUND(AVERAGE(B2:B566),0)</f>
        <v>851</v>
      </c>
      <c r="H4" s="10">
        <f>AVERAGE(D:D)</f>
        <v>585.61538461538464</v>
      </c>
    </row>
    <row r="5" spans="1:8" ht="24.6" customHeight="1" x14ac:dyDescent="0.3">
      <c r="A5" t="s">
        <v>20</v>
      </c>
      <c r="B5">
        <v>227</v>
      </c>
      <c r="C5" t="s">
        <v>14</v>
      </c>
      <c r="D5">
        <v>18</v>
      </c>
      <c r="F5" s="9" t="s">
        <v>2107</v>
      </c>
      <c r="G5">
        <f>MEDIAN(B:B)</f>
        <v>201</v>
      </c>
      <c r="H5" s="10">
        <f>MEDIAN(D:D)</f>
        <v>114.5</v>
      </c>
    </row>
    <row r="6" spans="1:8" ht="22.2" customHeight="1" x14ac:dyDescent="0.3">
      <c r="A6" t="s">
        <v>20</v>
      </c>
      <c r="B6">
        <v>220</v>
      </c>
      <c r="C6" t="s">
        <v>14</v>
      </c>
      <c r="D6">
        <v>44</v>
      </c>
      <c r="F6" s="9" t="s">
        <v>2108</v>
      </c>
      <c r="G6">
        <f>MIN(B:B)</f>
        <v>16</v>
      </c>
      <c r="H6" s="10">
        <f>MIN(D:D)</f>
        <v>0</v>
      </c>
    </row>
    <row r="7" spans="1:8" ht="27" customHeight="1" x14ac:dyDescent="0.3">
      <c r="A7" t="s">
        <v>20</v>
      </c>
      <c r="B7">
        <v>98</v>
      </c>
      <c r="C7" t="s">
        <v>14</v>
      </c>
      <c r="D7">
        <v>27</v>
      </c>
      <c r="F7" s="9" t="s">
        <v>2109</v>
      </c>
      <c r="G7">
        <f>MAX(B:B)</f>
        <v>7295</v>
      </c>
      <c r="H7" s="10">
        <f>MAX(D:D)</f>
        <v>6080</v>
      </c>
    </row>
    <row r="8" spans="1:8" ht="19.8" customHeight="1" x14ac:dyDescent="0.3">
      <c r="A8" t="s">
        <v>20</v>
      </c>
      <c r="B8">
        <v>100</v>
      </c>
      <c r="C8" t="s">
        <v>14</v>
      </c>
      <c r="D8">
        <v>55</v>
      </c>
      <c r="F8" s="9" t="s">
        <v>2110</v>
      </c>
      <c r="G8" s="10">
        <f>_xlfn.VAR.P(B:B)</f>
        <v>1603373.7324019109</v>
      </c>
      <c r="H8" s="10">
        <f>_xlfn.VAR.P(D:D)</f>
        <v>921574.68174133555</v>
      </c>
    </row>
    <row r="9" spans="1:8" ht="28.2" customHeight="1" x14ac:dyDescent="0.3">
      <c r="A9" t="s">
        <v>20</v>
      </c>
      <c r="B9">
        <v>1249</v>
      </c>
      <c r="C9" t="s">
        <v>14</v>
      </c>
      <c r="D9">
        <v>200</v>
      </c>
      <c r="F9" s="9" t="s">
        <v>2111</v>
      </c>
      <c r="G9" s="10">
        <f>_xlfn.STDEV.P(B:B)</f>
        <v>1266.2439466397898</v>
      </c>
      <c r="H9" s="10">
        <f>_xlfn.STDEV.P(D:D)</f>
        <v>959.98681331637863</v>
      </c>
    </row>
    <row r="10" spans="1:8" x14ac:dyDescent="0.3">
      <c r="A10" t="s">
        <v>20</v>
      </c>
      <c r="B10">
        <v>1396</v>
      </c>
      <c r="C10" t="s">
        <v>14</v>
      </c>
      <c r="D10">
        <v>452</v>
      </c>
    </row>
    <row r="11" spans="1:8" x14ac:dyDescent="0.3">
      <c r="A11" t="s">
        <v>20</v>
      </c>
      <c r="B11">
        <v>890</v>
      </c>
      <c r="C11" t="s">
        <v>14</v>
      </c>
      <c r="D11">
        <v>674</v>
      </c>
    </row>
    <row r="12" spans="1:8" x14ac:dyDescent="0.3">
      <c r="A12" t="s">
        <v>20</v>
      </c>
      <c r="B12">
        <v>142</v>
      </c>
      <c r="C12" t="s">
        <v>14</v>
      </c>
      <c r="D12">
        <v>558</v>
      </c>
    </row>
    <row r="13" spans="1:8" x14ac:dyDescent="0.3">
      <c r="A13" t="s">
        <v>20</v>
      </c>
      <c r="B13">
        <v>2673</v>
      </c>
      <c r="C13" t="s">
        <v>14</v>
      </c>
      <c r="D13">
        <v>15</v>
      </c>
    </row>
    <row r="14" spans="1:8" x14ac:dyDescent="0.3">
      <c r="A14" t="s">
        <v>20</v>
      </c>
      <c r="B14">
        <v>163</v>
      </c>
      <c r="C14" t="s">
        <v>14</v>
      </c>
      <c r="D14">
        <v>2307</v>
      </c>
    </row>
    <row r="15" spans="1:8" x14ac:dyDescent="0.3">
      <c r="A15" t="s">
        <v>20</v>
      </c>
      <c r="B15">
        <v>2220</v>
      </c>
      <c r="C15" t="s">
        <v>14</v>
      </c>
      <c r="D15">
        <v>88</v>
      </c>
    </row>
    <row r="16" spans="1:8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6" x14ac:dyDescent="0.3">
      <c r="A33" t="s">
        <v>20</v>
      </c>
      <c r="B33">
        <v>303</v>
      </c>
      <c r="C33" t="s">
        <v>14</v>
      </c>
      <c r="D33">
        <v>1</v>
      </c>
    </row>
    <row r="34" spans="1:6" x14ac:dyDescent="0.3">
      <c r="A34" t="s">
        <v>20</v>
      </c>
      <c r="B34">
        <v>209</v>
      </c>
      <c r="C34" t="s">
        <v>14</v>
      </c>
      <c r="D34">
        <v>37</v>
      </c>
    </row>
    <row r="35" spans="1:6" x14ac:dyDescent="0.3">
      <c r="A35" t="s">
        <v>20</v>
      </c>
      <c r="B35">
        <v>131</v>
      </c>
      <c r="C35" t="s">
        <v>14</v>
      </c>
      <c r="D35">
        <v>60</v>
      </c>
    </row>
    <row r="36" spans="1:6" x14ac:dyDescent="0.3">
      <c r="A36" t="s">
        <v>20</v>
      </c>
      <c r="B36">
        <v>164</v>
      </c>
      <c r="C36" t="s">
        <v>14</v>
      </c>
      <c r="D36">
        <v>296</v>
      </c>
    </row>
    <row r="37" spans="1:6" x14ac:dyDescent="0.3">
      <c r="A37" t="s">
        <v>20</v>
      </c>
      <c r="B37">
        <v>201</v>
      </c>
      <c r="C37" t="s">
        <v>14</v>
      </c>
      <c r="D37">
        <v>3304</v>
      </c>
    </row>
    <row r="38" spans="1:6" x14ac:dyDescent="0.3">
      <c r="A38" t="s">
        <v>20</v>
      </c>
      <c r="B38">
        <v>211</v>
      </c>
      <c r="C38" t="s">
        <v>14</v>
      </c>
      <c r="D38">
        <v>73</v>
      </c>
    </row>
    <row r="39" spans="1:6" x14ac:dyDescent="0.3">
      <c r="A39" t="s">
        <v>20</v>
      </c>
      <c r="B39">
        <v>128</v>
      </c>
      <c r="C39" t="s">
        <v>14</v>
      </c>
      <c r="D39">
        <v>3387</v>
      </c>
    </row>
    <row r="40" spans="1:6" x14ac:dyDescent="0.3">
      <c r="A40" t="s">
        <v>20</v>
      </c>
      <c r="B40">
        <v>1600</v>
      </c>
      <c r="C40" t="s">
        <v>14</v>
      </c>
      <c r="D40">
        <v>662</v>
      </c>
    </row>
    <row r="41" spans="1:6" x14ac:dyDescent="0.3">
      <c r="A41" t="s">
        <v>20</v>
      </c>
      <c r="B41">
        <v>249</v>
      </c>
      <c r="C41" t="s">
        <v>14</v>
      </c>
      <c r="D41">
        <v>774</v>
      </c>
    </row>
    <row r="42" spans="1:6" ht="20.399999999999999" x14ac:dyDescent="0.3">
      <c r="A42" t="s">
        <v>20</v>
      </c>
      <c r="B42">
        <v>236</v>
      </c>
      <c r="C42" t="s">
        <v>14</v>
      </c>
      <c r="D42">
        <v>672</v>
      </c>
      <c r="F42" s="11" t="s">
        <v>2122</v>
      </c>
    </row>
    <row r="43" spans="1:6" x14ac:dyDescent="0.3">
      <c r="A43" t="s">
        <v>20</v>
      </c>
      <c r="B43">
        <v>4065</v>
      </c>
      <c r="C43" t="s">
        <v>14</v>
      </c>
      <c r="D43">
        <v>940</v>
      </c>
    </row>
    <row r="44" spans="1:6" x14ac:dyDescent="0.3">
      <c r="A44" t="s">
        <v>20</v>
      </c>
      <c r="B44">
        <v>246</v>
      </c>
      <c r="C44" t="s">
        <v>14</v>
      </c>
      <c r="D44">
        <v>117</v>
      </c>
      <c r="F44" t="s">
        <v>2114</v>
      </c>
    </row>
    <row r="45" spans="1:6" x14ac:dyDescent="0.3">
      <c r="A45" t="s">
        <v>20</v>
      </c>
      <c r="B45">
        <v>2475</v>
      </c>
      <c r="C45" t="s">
        <v>14</v>
      </c>
      <c r="D45">
        <v>115</v>
      </c>
      <c r="F45" t="s">
        <v>2115</v>
      </c>
    </row>
    <row r="46" spans="1:6" x14ac:dyDescent="0.3">
      <c r="A46" t="s">
        <v>20</v>
      </c>
      <c r="B46">
        <v>76</v>
      </c>
      <c r="C46" t="s">
        <v>14</v>
      </c>
      <c r="D46">
        <v>326</v>
      </c>
      <c r="F46" t="s">
        <v>2120</v>
      </c>
    </row>
    <row r="47" spans="1:6" x14ac:dyDescent="0.3">
      <c r="A47" t="s">
        <v>20</v>
      </c>
      <c r="B47">
        <v>54</v>
      </c>
      <c r="C47" t="s">
        <v>14</v>
      </c>
      <c r="D47">
        <v>1</v>
      </c>
      <c r="F47" t="s">
        <v>2116</v>
      </c>
    </row>
    <row r="48" spans="1:6" x14ac:dyDescent="0.3">
      <c r="A48" t="s">
        <v>20</v>
      </c>
      <c r="B48">
        <v>88</v>
      </c>
      <c r="C48" t="s">
        <v>14</v>
      </c>
      <c r="D48">
        <v>1467</v>
      </c>
      <c r="F48" t="s">
        <v>2117</v>
      </c>
    </row>
    <row r="49" spans="1:6" x14ac:dyDescent="0.3">
      <c r="A49" t="s">
        <v>20</v>
      </c>
      <c r="B49">
        <v>85</v>
      </c>
      <c r="C49" t="s">
        <v>14</v>
      </c>
      <c r="D49">
        <v>5681</v>
      </c>
      <c r="F49" t="s">
        <v>2118</v>
      </c>
    </row>
    <row r="50" spans="1:6" x14ac:dyDescent="0.3">
      <c r="A50" t="s">
        <v>20</v>
      </c>
      <c r="B50">
        <v>170</v>
      </c>
      <c r="C50" t="s">
        <v>14</v>
      </c>
      <c r="D50">
        <v>1059</v>
      </c>
      <c r="F50" t="s">
        <v>2119</v>
      </c>
    </row>
    <row r="51" spans="1:6" x14ac:dyDescent="0.3">
      <c r="A51" t="s">
        <v>20</v>
      </c>
      <c r="B51">
        <v>330</v>
      </c>
      <c r="C51" t="s">
        <v>14</v>
      </c>
      <c r="D51">
        <v>1194</v>
      </c>
    </row>
    <row r="52" spans="1:6" x14ac:dyDescent="0.3">
      <c r="A52" t="s">
        <v>20</v>
      </c>
      <c r="B52">
        <v>127</v>
      </c>
      <c r="C52" t="s">
        <v>14</v>
      </c>
      <c r="D52">
        <v>30</v>
      </c>
    </row>
    <row r="53" spans="1:6" ht="20.399999999999999" x14ac:dyDescent="0.3">
      <c r="A53" t="s">
        <v>20</v>
      </c>
      <c r="B53">
        <v>411</v>
      </c>
      <c r="C53" t="s">
        <v>14</v>
      </c>
      <c r="D53">
        <v>75</v>
      </c>
      <c r="F53" s="11" t="s">
        <v>2121</v>
      </c>
    </row>
    <row r="54" spans="1:6" x14ac:dyDescent="0.3">
      <c r="A54" t="s">
        <v>20</v>
      </c>
      <c r="B54">
        <v>180</v>
      </c>
      <c r="C54" t="s">
        <v>14</v>
      </c>
      <c r="D54">
        <v>955</v>
      </c>
    </row>
    <row r="55" spans="1:6" x14ac:dyDescent="0.3">
      <c r="A55" t="s">
        <v>20</v>
      </c>
      <c r="B55">
        <v>374</v>
      </c>
      <c r="C55" t="s">
        <v>14</v>
      </c>
      <c r="D55">
        <v>67</v>
      </c>
    </row>
    <row r="56" spans="1:6" x14ac:dyDescent="0.3">
      <c r="A56" t="s">
        <v>20</v>
      </c>
      <c r="B56">
        <v>71</v>
      </c>
      <c r="C56" t="s">
        <v>14</v>
      </c>
      <c r="D56">
        <v>5</v>
      </c>
      <c r="F56" t="s">
        <v>2123</v>
      </c>
    </row>
    <row r="57" spans="1:6" x14ac:dyDescent="0.3">
      <c r="A57" t="s">
        <v>20</v>
      </c>
      <c r="B57">
        <v>203</v>
      </c>
      <c r="C57" t="s">
        <v>14</v>
      </c>
      <c r="D57">
        <v>26</v>
      </c>
      <c r="F57" t="s">
        <v>2124</v>
      </c>
    </row>
    <row r="58" spans="1:6" x14ac:dyDescent="0.3">
      <c r="A58" t="s">
        <v>20</v>
      </c>
      <c r="B58">
        <v>113</v>
      </c>
      <c r="C58" t="s">
        <v>14</v>
      </c>
      <c r="D58">
        <v>1130</v>
      </c>
      <c r="F58" t="s">
        <v>2125</v>
      </c>
    </row>
    <row r="59" spans="1:6" x14ac:dyDescent="0.3">
      <c r="A59" t="s">
        <v>20</v>
      </c>
      <c r="B59">
        <v>96</v>
      </c>
      <c r="C59" t="s">
        <v>14</v>
      </c>
      <c r="D59">
        <v>782</v>
      </c>
      <c r="F59" t="s">
        <v>2126</v>
      </c>
    </row>
    <row r="60" spans="1:6" x14ac:dyDescent="0.3">
      <c r="A60" t="s">
        <v>20</v>
      </c>
      <c r="B60">
        <v>498</v>
      </c>
      <c r="C60" t="s">
        <v>14</v>
      </c>
      <c r="D60">
        <v>210</v>
      </c>
      <c r="F60" t="s">
        <v>2127</v>
      </c>
    </row>
    <row r="61" spans="1:6" x14ac:dyDescent="0.3">
      <c r="A61" t="s">
        <v>20</v>
      </c>
      <c r="B61">
        <v>180</v>
      </c>
      <c r="C61" t="s">
        <v>14</v>
      </c>
      <c r="D61">
        <v>136</v>
      </c>
      <c r="F61" t="s">
        <v>2128</v>
      </c>
    </row>
    <row r="62" spans="1:6" x14ac:dyDescent="0.3">
      <c r="A62" t="s">
        <v>20</v>
      </c>
      <c r="B62">
        <v>27</v>
      </c>
      <c r="C62" t="s">
        <v>14</v>
      </c>
      <c r="D62">
        <v>86</v>
      </c>
    </row>
    <row r="63" spans="1:6" x14ac:dyDescent="0.3">
      <c r="A63" t="s">
        <v>20</v>
      </c>
      <c r="B63">
        <v>2331</v>
      </c>
      <c r="C63" t="s">
        <v>14</v>
      </c>
      <c r="D63">
        <v>19</v>
      </c>
    </row>
    <row r="64" spans="1:6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lorScale" priority="13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ntainsText" dxfId="7" priority="9" operator="containsText" text="canceled">
      <formula>NOT(ISERROR(SEARCH("canceled",A1)))</formula>
    </cfRule>
    <cfRule type="containsText" dxfId="6" priority="10" operator="containsText" text="live">
      <formula>NOT(ISERROR(SEARCH("live",A1)))</formula>
    </cfRule>
    <cfRule type="containsText" dxfId="5" priority="11" operator="containsText" text="successful">
      <formula>NOT(ISERROR(SEARCH("successful",A1)))</formula>
    </cfRule>
    <cfRule type="containsText" dxfId="4" priority="12" operator="containsText" text="failed">
      <formula>NOT(ISERROR(SEARCH("failed",A1)))</formula>
    </cfRule>
  </conditionalFormatting>
  <conditionalFormatting sqref="A1048142:A1048576">
    <cfRule type="colorScale" priority="29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conditionalFormatting sqref="C1047941:C1048576">
    <cfRule type="colorScale" priority="21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Category-Stacked coloumn</vt:lpstr>
      <vt:lpstr>Sub-category-Stacked coloumn</vt:lpstr>
      <vt:lpstr>Month based</vt:lpstr>
      <vt:lpstr>Outcome based</vt:lpstr>
      <vt:lpstr>Successful and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rasadari ranasinghe</cp:lastModifiedBy>
  <dcterms:created xsi:type="dcterms:W3CDTF">2021-09-29T18:52:28Z</dcterms:created>
  <dcterms:modified xsi:type="dcterms:W3CDTF">2024-05-01T16:41:28Z</dcterms:modified>
</cp:coreProperties>
</file>