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yProjects\mm_moex\"/>
    </mc:Choice>
  </mc:AlternateContent>
  <bookViews>
    <workbookView xWindow="360" yWindow="17" windowWidth="20957" windowHeight="9720"/>
  </bookViews>
  <sheets>
    <sheet name="Лист1" sheetId="2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Лист1!$B$77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X10" i="2" l="1"/>
  <c r="W10" i="2"/>
  <c r="X9" i="2"/>
  <c r="W9" i="2"/>
  <c r="X8" i="2"/>
  <c r="W8" i="2"/>
  <c r="U5" i="2"/>
  <c r="U4" i="2"/>
  <c r="U3" i="2"/>
  <c r="L82" i="2" l="1"/>
  <c r="L79" i="2"/>
  <c r="L76" i="2" s="1"/>
  <c r="Q84" i="2" l="1"/>
  <c r="P84" i="2"/>
  <c r="O84" i="2"/>
  <c r="L84" i="2"/>
  <c r="K84" i="2"/>
  <c r="J84" i="2"/>
  <c r="F84" i="2"/>
  <c r="E84" i="2"/>
  <c r="C84" i="2"/>
  <c r="B84" i="2"/>
  <c r="Q82" i="2"/>
  <c r="Q81" i="2" s="1"/>
  <c r="P82" i="2"/>
  <c r="P81" i="2" s="1"/>
  <c r="K82" i="2"/>
  <c r="K81" i="2" s="1"/>
  <c r="E82" i="2"/>
  <c r="C82" i="2"/>
  <c r="Q78" i="2"/>
  <c r="P78" i="2"/>
  <c r="O78" i="2"/>
  <c r="L78" i="2"/>
  <c r="C78" i="2"/>
  <c r="K78" i="2"/>
  <c r="J78" i="2"/>
  <c r="F78" i="2"/>
  <c r="E79" i="2"/>
  <c r="E76" i="2" s="1"/>
  <c r="E78" i="2"/>
  <c r="B78" i="2"/>
  <c r="Q74" i="2"/>
  <c r="Q75" i="2" s="1"/>
  <c r="P74" i="2"/>
  <c r="P75" i="2" s="1"/>
  <c r="O74" i="2"/>
  <c r="O75" i="2" s="1"/>
  <c r="L74" i="2"/>
  <c r="L75" i="2" s="1"/>
  <c r="K74" i="2"/>
  <c r="K75" i="2" s="1"/>
  <c r="J74" i="2"/>
  <c r="J75" i="2" s="1"/>
  <c r="F74" i="2"/>
  <c r="F75" i="2" s="1"/>
  <c r="E74" i="2"/>
  <c r="E75" i="2" s="1"/>
  <c r="C74" i="2"/>
  <c r="C75" i="2" s="1"/>
  <c r="B74" i="2"/>
  <c r="B75" i="2" s="1"/>
  <c r="Q70" i="2"/>
  <c r="Q63" i="2"/>
  <c r="P70" i="2"/>
  <c r="P71" i="2" s="1"/>
  <c r="L70" i="2"/>
  <c r="J70" i="2"/>
  <c r="C70" i="2"/>
  <c r="B70" i="2"/>
  <c r="P63" i="2"/>
  <c r="O63" i="2"/>
  <c r="Q67" i="2"/>
  <c r="Q66" i="2"/>
  <c r="Q65" i="2"/>
  <c r="P67" i="2"/>
  <c r="P66" i="2"/>
  <c r="P65" i="2"/>
  <c r="O67" i="2"/>
  <c r="O66" i="2"/>
  <c r="O65" i="2"/>
  <c r="L63" i="2"/>
  <c r="K63" i="2"/>
  <c r="J63" i="2"/>
  <c r="F63" i="2"/>
  <c r="B63" i="2"/>
  <c r="L67" i="2"/>
  <c r="L66" i="2"/>
  <c r="L65" i="2"/>
  <c r="K67" i="2"/>
  <c r="K66" i="2"/>
  <c r="K65" i="2"/>
  <c r="J67" i="2"/>
  <c r="J66" i="2"/>
  <c r="J65" i="2"/>
  <c r="F67" i="2"/>
  <c r="F66" i="2"/>
  <c r="F65" i="2"/>
  <c r="E67" i="2"/>
  <c r="E66" i="2"/>
  <c r="E65" i="2"/>
  <c r="B65" i="2"/>
  <c r="B66" i="2"/>
  <c r="B67" i="2"/>
  <c r="C67" i="2"/>
  <c r="Q60" i="2"/>
  <c r="P60" i="2"/>
  <c r="O60" i="2"/>
  <c r="L60" i="2"/>
  <c r="K60" i="2"/>
  <c r="J60" i="2"/>
  <c r="F60" i="2"/>
  <c r="E60" i="2"/>
  <c r="B60" i="2"/>
  <c r="C59" i="2"/>
  <c r="C63" i="2" s="1"/>
  <c r="C58" i="2"/>
  <c r="C66" i="2" s="1"/>
  <c r="C57" i="2"/>
  <c r="C65" i="2" s="1"/>
  <c r="R13" i="2"/>
  <c r="R15" i="2" s="1"/>
  <c r="R10" i="2"/>
  <c r="R5" i="2"/>
  <c r="Q13" i="2"/>
  <c r="Q15" i="2" s="1"/>
  <c r="Q10" i="2"/>
  <c r="Q5" i="2"/>
  <c r="P13" i="2"/>
  <c r="P15" i="2" s="1"/>
  <c r="P10" i="2"/>
  <c r="P5" i="2"/>
  <c r="O10" i="2"/>
  <c r="L10" i="2"/>
  <c r="K10" i="2"/>
  <c r="J10" i="2"/>
  <c r="H10" i="2"/>
  <c r="G10" i="2"/>
  <c r="F10" i="2"/>
  <c r="E10" i="2"/>
  <c r="C10" i="2"/>
  <c r="B10" i="2"/>
  <c r="O13" i="2"/>
  <c r="O15" i="2" s="1"/>
  <c r="O5" i="2"/>
  <c r="B82" i="2" l="1"/>
  <c r="B81" i="2" s="1"/>
  <c r="C81" i="2"/>
  <c r="E81" i="2"/>
  <c r="F79" i="2"/>
  <c r="F76" i="2" s="1"/>
  <c r="F82" i="2"/>
  <c r="F81" i="2" s="1"/>
  <c r="L81" i="2"/>
  <c r="K79" i="2"/>
  <c r="K76" i="2" s="1"/>
  <c r="O82" i="2"/>
  <c r="O81" i="2" s="1"/>
  <c r="J79" i="2"/>
  <c r="J76" i="2" s="1"/>
  <c r="J82" i="2"/>
  <c r="J81" i="2" s="1"/>
  <c r="L71" i="2"/>
  <c r="Q71" i="2"/>
  <c r="B79" i="2"/>
  <c r="B76" i="2" s="1"/>
  <c r="J71" i="2"/>
  <c r="C60" i="2"/>
  <c r="B71" i="2"/>
  <c r="C71" i="2"/>
  <c r="B15" i="2"/>
  <c r="M13" i="2"/>
  <c r="M15" i="2" s="1"/>
  <c r="K13" i="2"/>
  <c r="K15" i="2" s="1"/>
  <c r="J13" i="2"/>
  <c r="J15" i="2" s="1"/>
  <c r="H13" i="2"/>
  <c r="H15" i="2" s="1"/>
  <c r="G13" i="2"/>
  <c r="G15" i="2" s="1"/>
  <c r="F13" i="2"/>
  <c r="F15" i="2" s="1"/>
  <c r="E13" i="2"/>
  <c r="E15" i="2" s="1"/>
  <c r="C13" i="2"/>
  <c r="C15" i="2" s="1"/>
  <c r="B13" i="2"/>
  <c r="L5" i="2"/>
  <c r="H5" i="2"/>
  <c r="C5" i="2"/>
  <c r="B5" i="2"/>
  <c r="L13" i="2" l="1"/>
  <c r="L15" i="2" s="1"/>
</calcChain>
</file>

<file path=xl/sharedStrings.xml><?xml version="1.0" encoding="utf-8"?>
<sst xmlns="http://schemas.openxmlformats.org/spreadsheetml/2006/main" count="196" uniqueCount="129">
  <si>
    <t>alpha</t>
  </si>
  <si>
    <t>2-part lin</t>
  </si>
  <si>
    <t>1-500</t>
  </si>
  <si>
    <t>RTS</t>
  </si>
  <si>
    <t>RTSM</t>
  </si>
  <si>
    <t>SBER</t>
  </si>
  <si>
    <t>VTBR</t>
  </si>
  <si>
    <t>SPYF</t>
  </si>
  <si>
    <t>Si</t>
  </si>
  <si>
    <t>Eu</t>
  </si>
  <si>
    <t>ED</t>
  </si>
  <si>
    <t>CNY</t>
  </si>
  <si>
    <t>BR</t>
  </si>
  <si>
    <t>GOLD</t>
  </si>
  <si>
    <t>NG</t>
  </si>
  <si>
    <t>SILV</t>
  </si>
  <si>
    <t>Шаг цены</t>
  </si>
  <si>
    <t>Стоимость шага цены</t>
  </si>
  <si>
    <t>Объем торгов (контр)</t>
  </si>
  <si>
    <t>Число сделок в день</t>
  </si>
  <si>
    <t>Открытый интерес</t>
  </si>
  <si>
    <t>$ 0,2</t>
  </si>
  <si>
    <t>Стоимость шага цены руб</t>
  </si>
  <si>
    <t>$ 0,1</t>
  </si>
  <si>
    <t>Last price</t>
  </si>
  <si>
    <t>Плечо</t>
  </si>
  <si>
    <t>100-200К</t>
  </si>
  <si>
    <t>20-40К</t>
  </si>
  <si>
    <t>80К</t>
  </si>
  <si>
    <t>9К</t>
  </si>
  <si>
    <t>130К</t>
  </si>
  <si>
    <t>30К</t>
  </si>
  <si>
    <t>Номинал контракта руб</t>
  </si>
  <si>
    <t>ГО руб</t>
  </si>
  <si>
    <t>USDRUB</t>
  </si>
  <si>
    <t>GAZR</t>
  </si>
  <si>
    <t>$ 0,01</t>
  </si>
  <si>
    <t>150-200К</t>
  </si>
  <si>
    <t>50-100К</t>
  </si>
  <si>
    <t>30-50К</t>
  </si>
  <si>
    <t>2,5-3М</t>
  </si>
  <si>
    <t>100-150К</t>
  </si>
  <si>
    <t>50-60К</t>
  </si>
  <si>
    <t>400-500К</t>
  </si>
  <si>
    <t>16К</t>
  </si>
  <si>
    <t>6К</t>
  </si>
  <si>
    <t>12К</t>
  </si>
  <si>
    <t>600К</t>
  </si>
  <si>
    <t>25К</t>
  </si>
  <si>
    <t>15К</t>
  </si>
  <si>
    <t>10К</t>
  </si>
  <si>
    <t>360К</t>
  </si>
  <si>
    <t>200К</t>
  </si>
  <si>
    <t>300К</t>
  </si>
  <si>
    <t>4М</t>
  </si>
  <si>
    <t>400К</t>
  </si>
  <si>
    <t>500К</t>
  </si>
  <si>
    <t>2М</t>
  </si>
  <si>
    <t>100К</t>
  </si>
  <si>
    <t>50К</t>
  </si>
  <si>
    <t>30-60К</t>
  </si>
  <si>
    <t>Средняя сделка контрактов</t>
  </si>
  <si>
    <t>250К</t>
  </si>
  <si>
    <t>40-50К</t>
  </si>
  <si>
    <t>20К</t>
  </si>
  <si>
    <t>20-30К</t>
  </si>
  <si>
    <t>5К</t>
  </si>
  <si>
    <t>start interval</t>
  </si>
  <si>
    <t>quality</t>
  </si>
  <si>
    <t>4+</t>
  </si>
  <si>
    <t>end interval</t>
  </si>
  <si>
    <t>Comment</t>
  </si>
  <si>
    <t>2-part</t>
  </si>
  <si>
    <t>alpha 2nd part</t>
  </si>
  <si>
    <t>5+</t>
  </si>
  <si>
    <t>???</t>
  </si>
  <si>
    <t>Tail exponent</t>
  </si>
  <si>
    <t>Price impact model</t>
  </si>
  <si>
    <t>Тип модели</t>
  </si>
  <si>
    <t>K</t>
  </si>
  <si>
    <t>Intercept</t>
  </si>
  <si>
    <t>R2</t>
  </si>
  <si>
    <t>Quality</t>
  </si>
  <si>
    <t>linear</t>
  </si>
  <si>
    <t>log</t>
  </si>
  <si>
    <t>Intercept p-value</t>
  </si>
  <si>
    <t xml:space="preserve">Price impact on end </t>
  </si>
  <si>
    <t>start V</t>
  </si>
  <si>
    <t>end V</t>
  </si>
  <si>
    <t>Price impact on start</t>
  </si>
  <si>
    <t>3+</t>
  </si>
  <si>
    <t>pow?</t>
  </si>
  <si>
    <t>pow beta</t>
  </si>
  <si>
    <t>pow K</t>
  </si>
  <si>
    <t>pow R2</t>
  </si>
  <si>
    <t>interval</t>
  </si>
  <si>
    <t>мало</t>
  </si>
  <si>
    <t>данных</t>
  </si>
  <si>
    <t>full linear</t>
  </si>
  <si>
    <t>Volatility (sigma)</t>
  </si>
  <si>
    <t>low</t>
  </si>
  <si>
    <t>high</t>
  </si>
  <si>
    <t>mean</t>
  </si>
  <si>
    <t>R-price shift</t>
  </si>
  <si>
    <t>gamma</t>
  </si>
  <si>
    <t>% volatility</t>
  </si>
  <si>
    <t>gamma*sigma</t>
  </si>
  <si>
    <t>Spread</t>
  </si>
  <si>
    <t>2nd component log</t>
  </si>
  <si>
    <t>Spread log model</t>
  </si>
  <si>
    <t>Spread linear model</t>
  </si>
  <si>
    <t>Z = gamma / alpha K</t>
  </si>
  <si>
    <t>Z ^2</t>
  </si>
  <si>
    <t>sigma^2 gamma T/2</t>
  </si>
  <si>
    <t>РЕЗЮМЕ</t>
  </si>
  <si>
    <t>сдвиг на 1 inventory</t>
  </si>
  <si>
    <t>Вариант 1</t>
  </si>
  <si>
    <t>спред</t>
  </si>
  <si>
    <t>Вариант 2</t>
  </si>
  <si>
    <t>log component</t>
  </si>
  <si>
    <t>Equation (set to 0)</t>
  </si>
  <si>
    <t>Linear model Spread</t>
  </si>
  <si>
    <t>Total log model spread</t>
  </si>
  <si>
    <t>2-3</t>
  </si>
  <si>
    <t>3-4</t>
  </si>
  <si>
    <t>7-8</t>
  </si>
  <si>
    <t>ГО всего</t>
  </si>
  <si>
    <t>Ri</t>
  </si>
  <si>
    <t>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</si>
</sst>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5" fontId="0" fillId="2" borderId="0" xfId="0" applyNumberFormat="1" applyFill="1"/>
    <xf numFmtId="3" fontId="0" fillId="0" borderId="0" xfId="0" applyNumberFormat="1"/>
    <xf numFmtId="164" fontId="0" fillId="0" borderId="0" xfId="0" applyNumberFormat="1"/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0" fontId="0" fillId="4" borderId="0" xfId="0" applyFill="1" applyAlignment="1">
      <alignment horizontal="right"/>
    </xf>
    <xf numFmtId="0" fontId="0" fillId="4" borderId="0" xfId="0" applyFill="1"/>
    <xf numFmtId="0" fontId="5" fillId="0" borderId="0" xfId="0" applyFont="1" applyFill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5" borderId="0" xfId="0" applyFont="1" applyFill="1" applyAlignment="1">
      <alignment horizontal="right"/>
    </xf>
    <xf numFmtId="0" fontId="0" fillId="5" borderId="0" xfId="0" applyFill="1"/>
    <xf numFmtId="0" fontId="5" fillId="0" borderId="0" xfId="0" applyFont="1"/>
    <xf numFmtId="0" fontId="0" fillId="6" borderId="0" xfId="0" applyFill="1"/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4" borderId="0" xfId="0" applyFont="1" applyFill="1"/>
    <xf numFmtId="10" fontId="0" fillId="0" borderId="0" xfId="1" applyNumberFormat="1" applyFont="1"/>
    <xf numFmtId="166" fontId="0" fillId="0" borderId="0" xfId="0" applyNumberFormat="1"/>
    <xf numFmtId="165" fontId="0" fillId="0" borderId="0" xfId="0" applyNumberFormat="1"/>
    <xf numFmtId="0" fontId="5" fillId="3" borderId="0" xfId="0" applyFont="1" applyFill="1"/>
    <xf numFmtId="164" fontId="0" fillId="0" borderId="0" xfId="0" applyNumberFormat="1" applyFill="1"/>
    <xf numFmtId="165" fontId="0" fillId="6" borderId="0" xfId="0" applyNumberFormat="1" applyFill="1"/>
    <xf numFmtId="0" fontId="2" fillId="0" borderId="0" xfId="0" applyFont="1"/>
    <xf numFmtId="0" fontId="3" fillId="7" borderId="0" xfId="0" applyFont="1" applyFill="1"/>
    <xf numFmtId="164" fontId="5" fillId="0" borderId="0" xfId="0" applyNumberFormat="1" applyFont="1"/>
    <xf numFmtId="164" fontId="5" fillId="6" borderId="0" xfId="0" applyNumberFormat="1" applyFont="1" applyFill="1"/>
    <xf numFmtId="16" fontId="2" fillId="0" borderId="0" xfId="0" quotePrefix="1" applyNumberFormat="1" applyFont="1" applyAlignment="1">
      <alignment horizontal="right"/>
    </xf>
    <xf numFmtId="0" fontId="2" fillId="0" borderId="0" xfId="0" quotePrefix="1" applyFont="1" applyAlignment="1">
      <alignment horizontal="right"/>
    </xf>
    <xf numFmtId="0" fontId="0" fillId="0" borderId="0" xfId="0" applyFill="1"/>
    <xf numFmtId="0" fontId="2" fillId="0" borderId="0" xfId="0" quotePrefix="1" applyFont="1" applyFill="1" applyAlignment="1">
      <alignment horizontal="right"/>
    </xf>
    <xf numFmtId="0" fontId="2" fillId="4" borderId="0" xfId="0" quotePrefix="1" applyFont="1" applyFill="1" applyAlignment="1">
      <alignment horizontal="right"/>
    </xf>
    <xf numFmtId="0" fontId="6" fillId="4" borderId="0" xfId="0" applyFont="1" applyFill="1"/>
    <xf numFmtId="0" fontId="6" fillId="4" borderId="0" xfId="0" quotePrefix="1" applyFont="1" applyFill="1" applyAlignment="1">
      <alignment horizontal="right"/>
    </xf>
    <xf numFmtId="0" fontId="1" fillId="0" borderId="0" xfId="0" applyFont="1"/>
    <xf numFmtId="10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CCFFCC"/>
      <color rgb="FFFF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3"/>
  <sheetViews>
    <sheetView tabSelected="1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X11" sqref="X11"/>
    </sheetView>
  </sheetViews>
  <sheetFormatPr defaultRowHeight="14.6" x14ac:dyDescent="0.4"/>
  <cols>
    <col min="1" max="1" width="27.07421875" style="1" customWidth="1"/>
    <col min="2" max="2" width="11.84375" style="1" bestFit="1" customWidth="1"/>
    <col min="3" max="3" width="9.23046875" style="1"/>
    <col min="4" max="4" width="2.07421875" style="1" customWidth="1"/>
    <col min="5" max="8" width="9.23046875" style="1"/>
    <col min="9" max="9" width="2.07421875" style="1" customWidth="1"/>
    <col min="10" max="13" width="9.23046875" style="1"/>
    <col min="14" max="14" width="2.07421875" style="1" customWidth="1"/>
    <col min="15" max="16" width="9.23046875" style="1"/>
    <col min="17" max="17" width="9.84375" style="1" bestFit="1" customWidth="1"/>
    <col min="18" max="16384" width="9.23046875" style="1"/>
  </cols>
  <sheetData>
    <row r="1" spans="1:24" x14ac:dyDescent="0.4">
      <c r="A1" s="7" t="s">
        <v>34</v>
      </c>
      <c r="B1" s="4">
        <v>61</v>
      </c>
    </row>
    <row r="2" spans="1:24" x14ac:dyDescent="0.4">
      <c r="A2" s="8"/>
      <c r="B2" s="9" t="s">
        <v>3</v>
      </c>
      <c r="C2" s="9" t="s">
        <v>4</v>
      </c>
      <c r="D2" s="9"/>
      <c r="E2" s="9" t="s">
        <v>5</v>
      </c>
      <c r="F2" s="10" t="s">
        <v>35</v>
      </c>
      <c r="G2" s="9" t="s">
        <v>6</v>
      </c>
      <c r="H2" s="9" t="s">
        <v>7</v>
      </c>
      <c r="I2" s="9"/>
      <c r="J2" s="9" t="s">
        <v>8</v>
      </c>
      <c r="K2" s="9" t="s">
        <v>9</v>
      </c>
      <c r="L2" s="9" t="s">
        <v>10</v>
      </c>
      <c r="M2" s="9" t="s">
        <v>11</v>
      </c>
      <c r="N2" s="9"/>
      <c r="O2" s="10" t="s">
        <v>12</v>
      </c>
      <c r="P2" s="10" t="s">
        <v>13</v>
      </c>
      <c r="Q2" s="10" t="s">
        <v>14</v>
      </c>
      <c r="R2" s="10" t="s">
        <v>15</v>
      </c>
      <c r="U2" s="43" t="s">
        <v>126</v>
      </c>
    </row>
    <row r="3" spans="1:24" x14ac:dyDescent="0.4">
      <c r="A3" s="1" t="s">
        <v>16</v>
      </c>
      <c r="B3" s="1">
        <v>10</v>
      </c>
      <c r="C3" s="1">
        <v>0.5</v>
      </c>
      <c r="E3" s="1">
        <v>1</v>
      </c>
      <c r="F3" s="1">
        <v>1</v>
      </c>
      <c r="G3" s="1">
        <v>1</v>
      </c>
      <c r="H3" s="1">
        <v>0.01</v>
      </c>
      <c r="J3" s="1">
        <v>1</v>
      </c>
      <c r="K3" s="1">
        <v>1</v>
      </c>
      <c r="L3" s="1">
        <v>1E-4</v>
      </c>
      <c r="M3" s="1">
        <v>0.01</v>
      </c>
      <c r="O3" s="1">
        <v>0.01</v>
      </c>
      <c r="P3" s="1">
        <v>0.1</v>
      </c>
      <c r="Q3" s="1">
        <v>1E-3</v>
      </c>
      <c r="R3" s="1">
        <v>0.01</v>
      </c>
      <c r="U3" s="5">
        <f>B14+C14+J14+P14</f>
        <v>58180</v>
      </c>
    </row>
    <row r="4" spans="1:24" x14ac:dyDescent="0.4">
      <c r="A4" s="1" t="s">
        <v>17</v>
      </c>
      <c r="B4" s="3" t="s">
        <v>21</v>
      </c>
      <c r="C4" s="3" t="s">
        <v>23</v>
      </c>
      <c r="E4" s="1">
        <v>1</v>
      </c>
      <c r="F4" s="1">
        <v>1</v>
      </c>
      <c r="G4" s="1">
        <v>1</v>
      </c>
      <c r="H4" s="11" t="s">
        <v>36</v>
      </c>
      <c r="J4" s="1">
        <v>1</v>
      </c>
      <c r="K4" s="1">
        <v>1</v>
      </c>
      <c r="L4" s="11" t="s">
        <v>23</v>
      </c>
      <c r="M4" s="1">
        <v>10</v>
      </c>
      <c r="O4" s="11" t="s">
        <v>23</v>
      </c>
      <c r="P4" s="11" t="s">
        <v>23</v>
      </c>
      <c r="Q4" s="11" t="s">
        <v>23</v>
      </c>
      <c r="R4" s="11" t="s">
        <v>23</v>
      </c>
      <c r="U4" s="1">
        <f>U3*3</f>
        <v>174540</v>
      </c>
    </row>
    <row r="5" spans="1:24" x14ac:dyDescent="0.4">
      <c r="A5" s="1" t="s">
        <v>22</v>
      </c>
      <c r="B5" s="12">
        <f>$B$1*0.2</f>
        <v>12.200000000000001</v>
      </c>
      <c r="C5" s="13">
        <f>$B$1*0.1</f>
        <v>6.1000000000000005</v>
      </c>
      <c r="E5" s="1">
        <v>1</v>
      </c>
      <c r="F5" s="1">
        <v>1</v>
      </c>
      <c r="G5" s="1">
        <v>1</v>
      </c>
      <c r="H5" s="20">
        <f>0.01*$B$1</f>
        <v>0.61</v>
      </c>
      <c r="J5" s="1">
        <v>1</v>
      </c>
      <c r="K5" s="1">
        <v>1</v>
      </c>
      <c r="L5" s="13">
        <f>$B$1*0.1</f>
        <v>6.1000000000000005</v>
      </c>
      <c r="M5" s="13">
        <v>10</v>
      </c>
      <c r="O5" s="13">
        <f>$B$1*0.1</f>
        <v>6.1000000000000005</v>
      </c>
      <c r="P5" s="13">
        <f>$B$1*0.1</f>
        <v>6.1000000000000005</v>
      </c>
      <c r="Q5" s="13">
        <f>$B$1*0.1</f>
        <v>6.1000000000000005</v>
      </c>
      <c r="R5" s="13">
        <f>$B$1*0.1</f>
        <v>6.1000000000000005</v>
      </c>
      <c r="U5" s="1">
        <f>U3*2</f>
        <v>116360</v>
      </c>
    </row>
    <row r="7" spans="1:24" x14ac:dyDescent="0.4">
      <c r="A7" s="1" t="s">
        <v>18</v>
      </c>
      <c r="B7" s="3" t="s">
        <v>26</v>
      </c>
      <c r="C7" s="3" t="s">
        <v>27</v>
      </c>
      <c r="E7" s="11" t="s">
        <v>37</v>
      </c>
      <c r="F7" s="11" t="s">
        <v>38</v>
      </c>
      <c r="G7" s="11" t="s">
        <v>38</v>
      </c>
      <c r="H7" s="11" t="s">
        <v>39</v>
      </c>
      <c r="J7" s="14" t="s">
        <v>40</v>
      </c>
      <c r="K7" s="11" t="s">
        <v>41</v>
      </c>
      <c r="L7" s="11" t="s">
        <v>42</v>
      </c>
      <c r="M7" s="11" t="s">
        <v>43</v>
      </c>
      <c r="O7" s="11" t="s">
        <v>58</v>
      </c>
      <c r="P7" s="11" t="s">
        <v>60</v>
      </c>
      <c r="Q7" s="11" t="s">
        <v>63</v>
      </c>
      <c r="R7" s="11" t="s">
        <v>65</v>
      </c>
    </row>
    <row r="8" spans="1:24" x14ac:dyDescent="0.4">
      <c r="A8" s="1" t="s">
        <v>19</v>
      </c>
      <c r="B8" s="3" t="s">
        <v>28</v>
      </c>
      <c r="C8" s="3" t="s">
        <v>29</v>
      </c>
      <c r="E8" s="11" t="s">
        <v>31</v>
      </c>
      <c r="F8" s="11" t="s">
        <v>44</v>
      </c>
      <c r="G8" s="19" t="s">
        <v>45</v>
      </c>
      <c r="H8" s="11" t="s">
        <v>46</v>
      </c>
      <c r="J8" s="11" t="s">
        <v>47</v>
      </c>
      <c r="K8" s="11" t="s">
        <v>48</v>
      </c>
      <c r="L8" s="11" t="s">
        <v>49</v>
      </c>
      <c r="M8" s="11" t="s">
        <v>50</v>
      </c>
      <c r="O8" s="11" t="s">
        <v>59</v>
      </c>
      <c r="P8" s="11" t="s">
        <v>31</v>
      </c>
      <c r="Q8" s="11" t="s">
        <v>64</v>
      </c>
      <c r="R8" s="19" t="s">
        <v>66</v>
      </c>
      <c r="U8" s="43" t="s">
        <v>8</v>
      </c>
      <c r="V8" s="44">
        <v>4.6199999999999998E-5</v>
      </c>
      <c r="W8" s="1">
        <f>V8*J13</f>
        <v>2.8643999999999998</v>
      </c>
      <c r="X8" s="1">
        <f>W8/4</f>
        <v>0.71609999999999996</v>
      </c>
    </row>
    <row r="9" spans="1:24" x14ac:dyDescent="0.4">
      <c r="A9" s="1" t="s">
        <v>20</v>
      </c>
      <c r="B9" s="3" t="s">
        <v>30</v>
      </c>
      <c r="C9" s="3" t="s">
        <v>31</v>
      </c>
      <c r="E9" s="11" t="s">
        <v>51</v>
      </c>
      <c r="F9" s="11" t="s">
        <v>52</v>
      </c>
      <c r="G9" s="11" t="s">
        <v>52</v>
      </c>
      <c r="H9" s="11" t="s">
        <v>53</v>
      </c>
      <c r="J9" s="11" t="s">
        <v>54</v>
      </c>
      <c r="K9" s="11" t="s">
        <v>55</v>
      </c>
      <c r="L9" s="11" t="s">
        <v>56</v>
      </c>
      <c r="M9" s="11" t="s">
        <v>57</v>
      </c>
      <c r="O9" s="11" t="s">
        <v>28</v>
      </c>
      <c r="P9" s="11" t="s">
        <v>62</v>
      </c>
      <c r="Q9" s="11" t="s">
        <v>48</v>
      </c>
      <c r="R9" s="11" t="s">
        <v>30</v>
      </c>
      <c r="U9" s="43" t="s">
        <v>127</v>
      </c>
      <c r="V9" s="44">
        <v>6.6000000000000005E-5</v>
      </c>
      <c r="W9" s="1">
        <f>V9*B13</f>
        <v>8.5351200000000009</v>
      </c>
      <c r="X9" s="1">
        <f>W9/4</f>
        <v>2.1337800000000002</v>
      </c>
    </row>
    <row r="10" spans="1:24" x14ac:dyDescent="0.4">
      <c r="A10" s="7" t="s">
        <v>61</v>
      </c>
      <c r="B10" s="15">
        <f>150000/80000</f>
        <v>1.875</v>
      </c>
      <c r="C10" s="15">
        <f>30000/9000</f>
        <v>3.3333333333333335</v>
      </c>
      <c r="E10" s="15">
        <f>160000/30000</f>
        <v>5.333333333333333</v>
      </c>
      <c r="F10" s="15">
        <f>75000/16000</f>
        <v>4.6875</v>
      </c>
      <c r="G10" s="15">
        <f>75000/6000</f>
        <v>12.5</v>
      </c>
      <c r="H10" s="15">
        <f>40000/12000</f>
        <v>3.3333333333333335</v>
      </c>
      <c r="J10" s="15">
        <f>2.5/0.6</f>
        <v>4.166666666666667</v>
      </c>
      <c r="K10" s="15">
        <f>120/25</f>
        <v>4.8</v>
      </c>
      <c r="L10" s="15">
        <f>50/15</f>
        <v>3.3333333333333335</v>
      </c>
      <c r="M10" s="15">
        <v>40</v>
      </c>
      <c r="O10" s="15">
        <f>100/50</f>
        <v>2</v>
      </c>
      <c r="P10" s="15">
        <f>40/30</f>
        <v>1.3333333333333333</v>
      </c>
      <c r="Q10" s="6">
        <f>40/20</f>
        <v>2</v>
      </c>
      <c r="R10" s="6">
        <f>20/5</f>
        <v>4</v>
      </c>
      <c r="U10" s="43" t="s">
        <v>128</v>
      </c>
      <c r="V10" s="44">
        <v>1.3200000000000001E-4</v>
      </c>
      <c r="W10" s="1">
        <f>V10*P13</f>
        <v>13.688400000000001</v>
      </c>
      <c r="X10" s="1">
        <f>W10/4</f>
        <v>3.4221000000000004</v>
      </c>
    </row>
    <row r="12" spans="1:24" x14ac:dyDescent="0.4">
      <c r="A12" s="1" t="s">
        <v>24</v>
      </c>
      <c r="B12" s="5">
        <v>106000</v>
      </c>
      <c r="C12" s="5">
        <v>1060</v>
      </c>
      <c r="E12" s="1">
        <v>12000</v>
      </c>
      <c r="F12" s="1">
        <v>17000</v>
      </c>
      <c r="G12" s="1">
        <v>1800</v>
      </c>
      <c r="H12" s="1">
        <v>410</v>
      </c>
      <c r="J12" s="1">
        <v>62000</v>
      </c>
      <c r="K12" s="1">
        <v>62000</v>
      </c>
      <c r="L12" s="1">
        <v>1.0011000000000001</v>
      </c>
      <c r="M12" s="1">
        <v>9.15</v>
      </c>
      <c r="O12" s="1">
        <v>100</v>
      </c>
      <c r="P12" s="1">
        <v>1700</v>
      </c>
      <c r="Q12" s="1">
        <v>8.5</v>
      </c>
      <c r="R12" s="1">
        <v>20</v>
      </c>
    </row>
    <row r="13" spans="1:24" x14ac:dyDescent="0.4">
      <c r="A13" s="1" t="s">
        <v>32</v>
      </c>
      <c r="B13" s="5">
        <f>B12*0.2/B3*$B$1</f>
        <v>129320</v>
      </c>
      <c r="C13" s="5">
        <f>C12*0.1/C3*$B$1</f>
        <v>12932</v>
      </c>
      <c r="E13" s="5">
        <f>E12</f>
        <v>12000</v>
      </c>
      <c r="F13" s="5">
        <f t="shared" ref="F13:G13" si="0">F12</f>
        <v>17000</v>
      </c>
      <c r="G13" s="5">
        <f t="shared" si="0"/>
        <v>1800</v>
      </c>
      <c r="H13" s="5">
        <f>H12*B1</f>
        <v>25010</v>
      </c>
      <c r="J13" s="5">
        <f>J12</f>
        <v>62000</v>
      </c>
      <c r="K13" s="5">
        <f>K12</f>
        <v>62000</v>
      </c>
      <c r="L13" s="5">
        <f>K13</f>
        <v>62000</v>
      </c>
      <c r="M13" s="5">
        <f>M12*1000</f>
        <v>9150</v>
      </c>
      <c r="O13" s="5">
        <f>O12*10*B1</f>
        <v>61000</v>
      </c>
      <c r="P13" s="5">
        <f>P12*B1</f>
        <v>103700</v>
      </c>
      <c r="Q13" s="5">
        <f>Q12*100*B1</f>
        <v>51850</v>
      </c>
      <c r="R13" s="5">
        <f>R12*10*B1</f>
        <v>12200</v>
      </c>
    </row>
    <row r="14" spans="1:24" x14ac:dyDescent="0.4">
      <c r="A14" s="1" t="s">
        <v>33</v>
      </c>
      <c r="B14" s="5">
        <v>38000</v>
      </c>
      <c r="C14" s="5">
        <v>3800</v>
      </c>
      <c r="E14" s="5">
        <v>3250</v>
      </c>
      <c r="F14" s="5">
        <v>4540</v>
      </c>
      <c r="G14" s="5">
        <v>560</v>
      </c>
      <c r="H14" s="5">
        <v>3100</v>
      </c>
      <c r="J14" s="5">
        <v>9500</v>
      </c>
      <c r="K14" s="5">
        <v>9700</v>
      </c>
      <c r="L14" s="5">
        <v>2700</v>
      </c>
      <c r="M14" s="5">
        <v>998</v>
      </c>
      <c r="O14" s="5">
        <v>20800</v>
      </c>
      <c r="P14" s="5">
        <v>6880</v>
      </c>
      <c r="Q14" s="5">
        <v>12580</v>
      </c>
      <c r="R14" s="5">
        <v>2990</v>
      </c>
    </row>
    <row r="15" spans="1:24" x14ac:dyDescent="0.4">
      <c r="A15" s="1" t="s">
        <v>25</v>
      </c>
      <c r="B15" s="6">
        <f>B13/B14</f>
        <v>3.4031578947368422</v>
      </c>
      <c r="C15" s="6">
        <f>C13/C14</f>
        <v>3.4031578947368422</v>
      </c>
      <c r="E15" s="6">
        <f>E13/E14</f>
        <v>3.6923076923076925</v>
      </c>
      <c r="F15" s="6">
        <f t="shared" ref="F15:H15" si="1">F13/F14</f>
        <v>3.7444933920704844</v>
      </c>
      <c r="G15" s="6">
        <f t="shared" si="1"/>
        <v>3.2142857142857144</v>
      </c>
      <c r="H15" s="6">
        <f t="shared" si="1"/>
        <v>8.0677419354838715</v>
      </c>
      <c r="J15" s="6">
        <f t="shared" ref="J15:R15" si="2">J13/J14</f>
        <v>6.5263157894736841</v>
      </c>
      <c r="K15" s="6">
        <f t="shared" si="2"/>
        <v>6.391752577319588</v>
      </c>
      <c r="L15" s="6">
        <f t="shared" si="2"/>
        <v>22.962962962962962</v>
      </c>
      <c r="M15" s="6">
        <f t="shared" si="2"/>
        <v>9.168336673346694</v>
      </c>
      <c r="O15" s="6">
        <f t="shared" si="2"/>
        <v>2.9326923076923075</v>
      </c>
      <c r="P15" s="6">
        <f t="shared" si="2"/>
        <v>15.072674418604651</v>
      </c>
      <c r="Q15" s="6">
        <f t="shared" si="2"/>
        <v>4.1216216216216219</v>
      </c>
      <c r="R15" s="6">
        <f t="shared" si="2"/>
        <v>4.080267558528428</v>
      </c>
    </row>
    <row r="17" spans="1:18" x14ac:dyDescent="0.4">
      <c r="A17" s="29" t="s">
        <v>76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 x14ac:dyDescent="0.4">
      <c r="A18" s="7" t="s">
        <v>0</v>
      </c>
      <c r="B18" s="1">
        <v>2.4</v>
      </c>
      <c r="C18" s="1">
        <v>1.9</v>
      </c>
      <c r="E18" s="1">
        <v>1.3</v>
      </c>
      <c r="F18" s="1">
        <v>1.4</v>
      </c>
      <c r="J18" s="1">
        <v>1.17</v>
      </c>
      <c r="K18" s="1">
        <v>1.85</v>
      </c>
      <c r="L18" s="1">
        <v>1.4</v>
      </c>
      <c r="M18" s="1">
        <v>1.9</v>
      </c>
      <c r="O18" s="1">
        <v>1.22</v>
      </c>
      <c r="P18" s="1">
        <v>1.7</v>
      </c>
      <c r="Q18" s="1">
        <v>1.85</v>
      </c>
    </row>
    <row r="19" spans="1:18" x14ac:dyDescent="0.4">
      <c r="A19" s="7" t="s">
        <v>67</v>
      </c>
      <c r="B19" s="1">
        <v>5</v>
      </c>
      <c r="C19" s="1">
        <v>5</v>
      </c>
      <c r="E19" s="1">
        <v>5</v>
      </c>
      <c r="F19" s="1">
        <v>5</v>
      </c>
      <c r="J19" s="1">
        <v>3</v>
      </c>
      <c r="K19" s="1">
        <v>3</v>
      </c>
      <c r="L19" s="1">
        <v>3</v>
      </c>
      <c r="M19" s="1">
        <v>3</v>
      </c>
      <c r="O19" s="1">
        <v>3</v>
      </c>
      <c r="P19" s="1">
        <v>5</v>
      </c>
      <c r="Q19" s="1">
        <v>3</v>
      </c>
    </row>
    <row r="20" spans="1:18" x14ac:dyDescent="0.4">
      <c r="A20" s="7" t="s">
        <v>70</v>
      </c>
      <c r="B20" s="18">
        <v>400</v>
      </c>
      <c r="C20" s="1">
        <v>300</v>
      </c>
      <c r="E20" s="1">
        <v>200</v>
      </c>
      <c r="F20" s="1">
        <v>150</v>
      </c>
      <c r="J20" s="1">
        <v>200</v>
      </c>
      <c r="K20" s="1">
        <v>300</v>
      </c>
      <c r="L20" s="1">
        <v>400</v>
      </c>
      <c r="M20" s="1">
        <v>100</v>
      </c>
      <c r="O20" s="1">
        <v>25</v>
      </c>
      <c r="P20" s="1">
        <v>300</v>
      </c>
      <c r="Q20" s="1">
        <v>500</v>
      </c>
    </row>
    <row r="21" spans="1:18" x14ac:dyDescent="0.4">
      <c r="A21" s="7" t="s">
        <v>68</v>
      </c>
      <c r="B21" s="16" t="s">
        <v>69</v>
      </c>
      <c r="C21" s="2">
        <v>5</v>
      </c>
      <c r="E21" s="17" t="s">
        <v>69</v>
      </c>
      <c r="F21" s="17" t="s">
        <v>69</v>
      </c>
      <c r="J21" s="17" t="s">
        <v>69</v>
      </c>
      <c r="K21" s="2">
        <v>5</v>
      </c>
      <c r="L21" s="2">
        <v>5</v>
      </c>
      <c r="M21" s="17" t="s">
        <v>74</v>
      </c>
      <c r="O21" s="2">
        <v>5</v>
      </c>
      <c r="P21" s="2">
        <v>4</v>
      </c>
      <c r="Q21" s="17" t="s">
        <v>74</v>
      </c>
    </row>
    <row r="22" spans="1:18" x14ac:dyDescent="0.4">
      <c r="A22" s="7" t="s">
        <v>71</v>
      </c>
      <c r="E22" s="7" t="s">
        <v>72</v>
      </c>
      <c r="F22" s="7" t="s">
        <v>75</v>
      </c>
      <c r="J22" s="7" t="s">
        <v>72</v>
      </c>
      <c r="O22" s="7" t="s">
        <v>72</v>
      </c>
    </row>
    <row r="24" spans="1:18" x14ac:dyDescent="0.4">
      <c r="A24" s="7" t="s">
        <v>73</v>
      </c>
      <c r="E24" s="1">
        <v>3</v>
      </c>
      <c r="F24" s="1">
        <v>3.5</v>
      </c>
      <c r="J24" s="1">
        <v>2.8</v>
      </c>
      <c r="O24" s="1">
        <v>2.2000000000000002</v>
      </c>
    </row>
    <row r="25" spans="1:18" x14ac:dyDescent="0.4">
      <c r="A25" s="7" t="s">
        <v>67</v>
      </c>
      <c r="E25" s="1">
        <v>300</v>
      </c>
      <c r="F25" s="1">
        <v>200</v>
      </c>
      <c r="J25" s="1">
        <v>200</v>
      </c>
      <c r="O25" s="1">
        <v>20</v>
      </c>
    </row>
    <row r="26" spans="1:18" x14ac:dyDescent="0.4">
      <c r="A26" s="7" t="s">
        <v>68</v>
      </c>
      <c r="E26" s="17">
        <v>4</v>
      </c>
      <c r="F26" s="2">
        <v>1</v>
      </c>
      <c r="J26" s="2">
        <v>5</v>
      </c>
      <c r="O26" s="2">
        <v>5</v>
      </c>
    </row>
    <row r="27" spans="1:18" x14ac:dyDescent="0.4">
      <c r="A27" s="7"/>
    </row>
    <row r="28" spans="1:18" x14ac:dyDescent="0.4">
      <c r="A28" s="29" t="s">
        <v>77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18" x14ac:dyDescent="0.4">
      <c r="A29" s="7" t="s">
        <v>78</v>
      </c>
      <c r="B29" s="23" t="s">
        <v>83</v>
      </c>
      <c r="C29" s="23" t="s">
        <v>83</v>
      </c>
      <c r="E29" s="23" t="s">
        <v>83</v>
      </c>
      <c r="F29" s="23" t="s">
        <v>83</v>
      </c>
      <c r="J29" s="17" t="s">
        <v>83</v>
      </c>
      <c r="K29" s="17" t="s">
        <v>83</v>
      </c>
      <c r="L29" s="17" t="s">
        <v>83</v>
      </c>
      <c r="M29" s="17" t="s">
        <v>96</v>
      </c>
      <c r="O29" s="23" t="s">
        <v>83</v>
      </c>
      <c r="P29" s="17" t="s">
        <v>83</v>
      </c>
      <c r="Q29" s="17" t="s">
        <v>83</v>
      </c>
    </row>
    <row r="30" spans="1:18" x14ac:dyDescent="0.4">
      <c r="A30" s="7" t="s">
        <v>87</v>
      </c>
      <c r="B30" s="1">
        <v>1</v>
      </c>
      <c r="C30" s="1">
        <v>1</v>
      </c>
      <c r="E30" s="1">
        <v>1</v>
      </c>
      <c r="F30" s="1">
        <v>1</v>
      </c>
      <c r="J30" s="1">
        <v>1</v>
      </c>
      <c r="K30" s="1">
        <v>1</v>
      </c>
      <c r="L30" s="1">
        <v>1</v>
      </c>
      <c r="M30" s="17" t="s">
        <v>97</v>
      </c>
      <c r="O30" s="1">
        <v>1</v>
      </c>
      <c r="P30" s="1">
        <v>1</v>
      </c>
      <c r="Q30" s="1">
        <v>1</v>
      </c>
    </row>
    <row r="31" spans="1:18" x14ac:dyDescent="0.4">
      <c r="A31" s="7" t="s">
        <v>88</v>
      </c>
      <c r="B31" s="1">
        <v>20</v>
      </c>
      <c r="C31" s="1">
        <v>25</v>
      </c>
      <c r="E31" s="1">
        <v>30</v>
      </c>
      <c r="F31" s="1">
        <v>15</v>
      </c>
      <c r="J31" s="1">
        <v>40</v>
      </c>
      <c r="K31" s="1">
        <v>18</v>
      </c>
      <c r="L31" s="1">
        <v>20</v>
      </c>
      <c r="O31" s="1">
        <v>200</v>
      </c>
      <c r="P31" s="1">
        <v>30</v>
      </c>
      <c r="Q31" s="1">
        <v>15</v>
      </c>
    </row>
    <row r="32" spans="1:18" x14ac:dyDescent="0.4">
      <c r="A32" s="7" t="s">
        <v>86</v>
      </c>
      <c r="B32" s="1">
        <v>4</v>
      </c>
      <c r="C32" s="13">
        <v>2</v>
      </c>
      <c r="E32" s="1">
        <v>3</v>
      </c>
      <c r="F32" s="1">
        <v>8</v>
      </c>
      <c r="J32" s="1">
        <v>7</v>
      </c>
      <c r="K32" s="1">
        <v>20</v>
      </c>
      <c r="L32" s="13">
        <v>2</v>
      </c>
      <c r="O32" s="1">
        <v>11</v>
      </c>
      <c r="P32" s="1">
        <v>4</v>
      </c>
      <c r="Q32" s="1">
        <v>7</v>
      </c>
    </row>
    <row r="33" spans="1:17" x14ac:dyDescent="0.4">
      <c r="A33" s="7" t="s">
        <v>81</v>
      </c>
      <c r="B33" s="1">
        <v>0.99</v>
      </c>
      <c r="C33" s="1">
        <v>0.84</v>
      </c>
      <c r="E33" s="1">
        <v>0.98</v>
      </c>
      <c r="F33" s="1">
        <v>0.97</v>
      </c>
      <c r="J33" s="1">
        <v>0.98</v>
      </c>
      <c r="K33" s="1">
        <v>0.98</v>
      </c>
      <c r="L33" s="1">
        <v>0.99</v>
      </c>
      <c r="O33" s="1">
        <v>0.83</v>
      </c>
      <c r="P33" s="1">
        <v>0.98</v>
      </c>
      <c r="Q33" s="1">
        <v>0.93</v>
      </c>
    </row>
    <row r="34" spans="1:17" x14ac:dyDescent="0.4">
      <c r="A34" s="7" t="s">
        <v>79</v>
      </c>
      <c r="B34" s="1">
        <v>1.52</v>
      </c>
      <c r="C34" s="1">
        <v>1.2E-2</v>
      </c>
      <c r="E34" s="1">
        <v>6.1400000000000003E-2</v>
      </c>
      <c r="F34" s="1">
        <v>0.371</v>
      </c>
      <c r="J34" s="1">
        <v>0.14349999999999999</v>
      </c>
      <c r="K34" s="1">
        <v>0.69599999999999995</v>
      </c>
      <c r="L34" s="7">
        <v>3.9999999999999998E-6</v>
      </c>
      <c r="O34" s="1">
        <v>5.0000000000000001E-4</v>
      </c>
      <c r="P34" s="1">
        <v>0.01</v>
      </c>
      <c r="Q34" s="1">
        <v>3.8000000000000002E-4</v>
      </c>
    </row>
    <row r="35" spans="1:17" x14ac:dyDescent="0.4">
      <c r="A35" s="7" t="s">
        <v>80</v>
      </c>
      <c r="B35" s="1">
        <v>8.9</v>
      </c>
      <c r="C35" s="1">
        <v>0.56999999999999995</v>
      </c>
      <c r="E35" s="1">
        <v>1.2669999999999999</v>
      </c>
      <c r="F35" s="1">
        <v>2.11</v>
      </c>
      <c r="J35" s="1">
        <v>2.08</v>
      </c>
      <c r="K35" s="1">
        <v>2.44</v>
      </c>
      <c r="L35" s="1">
        <v>1.25E-4</v>
      </c>
      <c r="O35" s="1">
        <v>4.5000000000000003E-5</v>
      </c>
      <c r="P35" s="1">
        <v>0.11550000000000001</v>
      </c>
      <c r="Q35" s="1">
        <v>1E-3</v>
      </c>
    </row>
    <row r="36" spans="1:17" x14ac:dyDescent="0.4">
      <c r="A36" s="7" t="s">
        <v>82</v>
      </c>
      <c r="B36" s="17" t="s">
        <v>74</v>
      </c>
      <c r="C36" s="2">
        <v>4</v>
      </c>
      <c r="E36" s="17" t="s">
        <v>74</v>
      </c>
      <c r="F36" s="17" t="s">
        <v>74</v>
      </c>
      <c r="J36" s="2">
        <v>5</v>
      </c>
      <c r="K36" s="2">
        <v>4</v>
      </c>
      <c r="L36" s="17" t="s">
        <v>74</v>
      </c>
      <c r="O36" s="17" t="s">
        <v>69</v>
      </c>
      <c r="P36" s="2">
        <v>5</v>
      </c>
      <c r="Q36" s="17" t="s">
        <v>69</v>
      </c>
    </row>
    <row r="38" spans="1:17" x14ac:dyDescent="0.4">
      <c r="A38" s="7" t="s">
        <v>78</v>
      </c>
      <c r="B38" s="24" t="s">
        <v>84</v>
      </c>
      <c r="C38" s="24" t="s">
        <v>84</v>
      </c>
      <c r="E38" s="17" t="s">
        <v>83</v>
      </c>
      <c r="F38" s="17" t="s">
        <v>83</v>
      </c>
      <c r="J38" s="17" t="s">
        <v>84</v>
      </c>
      <c r="K38" s="17" t="s">
        <v>83</v>
      </c>
      <c r="L38" s="23" t="s">
        <v>84</v>
      </c>
      <c r="P38" s="23" t="s">
        <v>84</v>
      </c>
      <c r="Q38" s="23" t="s">
        <v>84</v>
      </c>
    </row>
    <row r="39" spans="1:17" x14ac:dyDescent="0.4">
      <c r="A39" s="7" t="s">
        <v>87</v>
      </c>
      <c r="B39" s="1">
        <v>30</v>
      </c>
      <c r="C39" s="1">
        <v>40</v>
      </c>
      <c r="E39" s="1">
        <v>30</v>
      </c>
      <c r="F39" s="1">
        <v>15</v>
      </c>
      <c r="J39" s="1">
        <v>60</v>
      </c>
      <c r="K39" s="1">
        <v>18</v>
      </c>
      <c r="L39" s="1">
        <v>20</v>
      </c>
      <c r="P39" s="1">
        <v>30</v>
      </c>
      <c r="Q39" s="1">
        <v>5</v>
      </c>
    </row>
    <row r="40" spans="1:17" x14ac:dyDescent="0.4">
      <c r="A40" s="7" t="s">
        <v>88</v>
      </c>
      <c r="B40" s="1">
        <v>150</v>
      </c>
      <c r="C40" s="1">
        <v>200</v>
      </c>
      <c r="E40" s="1">
        <v>100</v>
      </c>
      <c r="F40" s="1">
        <v>100</v>
      </c>
      <c r="J40" s="1">
        <v>500</v>
      </c>
      <c r="K40" s="1">
        <v>150</v>
      </c>
      <c r="L40" s="1">
        <v>100</v>
      </c>
      <c r="P40" s="1">
        <v>80</v>
      </c>
      <c r="Q40" s="1">
        <v>100</v>
      </c>
    </row>
    <row r="41" spans="1:17" x14ac:dyDescent="0.4">
      <c r="A41" s="7" t="s">
        <v>89</v>
      </c>
      <c r="B41" s="1">
        <v>5</v>
      </c>
      <c r="C41" s="1">
        <v>2</v>
      </c>
      <c r="E41" s="1">
        <v>3</v>
      </c>
      <c r="F41" s="1">
        <v>8</v>
      </c>
      <c r="J41" s="1">
        <v>10</v>
      </c>
      <c r="K41" s="1">
        <v>20</v>
      </c>
      <c r="L41" s="1">
        <v>2</v>
      </c>
      <c r="P41" s="1">
        <v>4</v>
      </c>
      <c r="Q41" s="1">
        <v>7</v>
      </c>
    </row>
    <row r="42" spans="1:17" x14ac:dyDescent="0.4">
      <c r="A42" s="7" t="s">
        <v>81</v>
      </c>
      <c r="B42" s="1">
        <v>0.55000000000000004</v>
      </c>
      <c r="C42" s="1">
        <v>0.37</v>
      </c>
      <c r="E42" s="1">
        <v>0.88</v>
      </c>
      <c r="F42" s="1">
        <v>0.82499999999999996</v>
      </c>
      <c r="J42" s="1">
        <v>0.83</v>
      </c>
      <c r="K42" s="1">
        <v>0.33</v>
      </c>
      <c r="L42" s="1">
        <v>0.68</v>
      </c>
      <c r="P42" s="1">
        <v>0.4</v>
      </c>
      <c r="Q42" s="1">
        <v>0.14000000000000001</v>
      </c>
    </row>
    <row r="43" spans="1:17" x14ac:dyDescent="0.4">
      <c r="A43" s="7" t="s">
        <v>79</v>
      </c>
      <c r="B43" s="1">
        <v>44</v>
      </c>
      <c r="C43" s="1">
        <v>1.02</v>
      </c>
      <c r="E43" s="1">
        <v>3.9800000000000002E-2</v>
      </c>
      <c r="F43" s="1">
        <v>0.19500000000000001</v>
      </c>
      <c r="J43" s="1">
        <v>8.16</v>
      </c>
      <c r="K43" s="1">
        <v>0.25</v>
      </c>
      <c r="L43" s="1">
        <v>9.2E-5</v>
      </c>
      <c r="P43" s="1">
        <v>0.27500000000000002</v>
      </c>
      <c r="Q43" s="1">
        <v>3.3999999999999998E-3</v>
      </c>
    </row>
    <row r="44" spans="1:17" x14ac:dyDescent="0.4">
      <c r="A44" s="7" t="s">
        <v>80</v>
      </c>
      <c r="B44" s="1">
        <v>-99</v>
      </c>
      <c r="C44" s="1">
        <v>-2.76</v>
      </c>
      <c r="E44" s="1">
        <v>1.86</v>
      </c>
      <c r="F44" s="1">
        <v>5.68</v>
      </c>
      <c r="J44" s="1">
        <v>-24</v>
      </c>
      <c r="K44" s="1">
        <v>14</v>
      </c>
      <c r="L44" s="1">
        <v>-9.0000000000000006E-5</v>
      </c>
      <c r="P44" s="1">
        <v>-0.52</v>
      </c>
      <c r="Q44" s="1">
        <v>-2.5999999999999999E-3</v>
      </c>
    </row>
    <row r="45" spans="1:17" x14ac:dyDescent="0.4">
      <c r="A45" s="7" t="s">
        <v>85</v>
      </c>
      <c r="B45" s="22">
        <v>1E-3</v>
      </c>
      <c r="C45" s="22">
        <v>3.7000000000000002E-3</v>
      </c>
      <c r="E45" s="1">
        <v>0</v>
      </c>
      <c r="F45" s="1">
        <v>0</v>
      </c>
      <c r="J45" s="22">
        <v>0</v>
      </c>
      <c r="K45" s="1">
        <v>0</v>
      </c>
      <c r="L45" s="13">
        <v>0.03</v>
      </c>
      <c r="P45" s="13">
        <v>5.5E-2</v>
      </c>
      <c r="Q45" s="13">
        <v>0.34</v>
      </c>
    </row>
    <row r="46" spans="1:17" x14ac:dyDescent="0.4">
      <c r="A46" s="7" t="s">
        <v>82</v>
      </c>
      <c r="B46" s="2">
        <v>4</v>
      </c>
      <c r="C46" s="2">
        <v>2</v>
      </c>
      <c r="E46" s="17" t="s">
        <v>69</v>
      </c>
      <c r="F46" s="17" t="s">
        <v>90</v>
      </c>
      <c r="J46" s="2">
        <v>5</v>
      </c>
      <c r="K46" s="2">
        <v>4</v>
      </c>
      <c r="L46" s="2">
        <v>4</v>
      </c>
      <c r="P46" s="17" t="s">
        <v>90</v>
      </c>
      <c r="Q46" s="17">
        <v>4</v>
      </c>
    </row>
    <row r="48" spans="1:17" x14ac:dyDescent="0.4">
      <c r="A48" s="7" t="s">
        <v>71</v>
      </c>
      <c r="E48" s="7" t="s">
        <v>1</v>
      </c>
      <c r="F48" s="7" t="s">
        <v>1</v>
      </c>
      <c r="J48" s="25" t="s">
        <v>91</v>
      </c>
      <c r="O48" s="7" t="s">
        <v>98</v>
      </c>
    </row>
    <row r="49" spans="1:18" x14ac:dyDescent="0.4">
      <c r="A49" s="7" t="s">
        <v>92</v>
      </c>
      <c r="J49" s="1">
        <v>0.48499999999999999</v>
      </c>
    </row>
    <row r="50" spans="1:18" x14ac:dyDescent="0.4">
      <c r="A50" s="7" t="s">
        <v>93</v>
      </c>
      <c r="J50" s="1">
        <v>0.28999999999999998</v>
      </c>
    </row>
    <row r="51" spans="1:18" x14ac:dyDescent="0.4">
      <c r="A51" s="7" t="s">
        <v>94</v>
      </c>
      <c r="J51" s="1">
        <v>0.96</v>
      </c>
    </row>
    <row r="52" spans="1:18" x14ac:dyDescent="0.4">
      <c r="A52" s="7" t="s">
        <v>95</v>
      </c>
      <c r="J52" s="17" t="s">
        <v>2</v>
      </c>
    </row>
    <row r="53" spans="1:18" x14ac:dyDescent="0.4">
      <c r="A53" s="7" t="s">
        <v>82</v>
      </c>
      <c r="J53" s="17" t="s">
        <v>74</v>
      </c>
    </row>
    <row r="56" spans="1:18" x14ac:dyDescent="0.4">
      <c r="A56" s="29" t="s">
        <v>99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</row>
    <row r="57" spans="1:18" x14ac:dyDescent="0.4">
      <c r="A57" s="7" t="s">
        <v>100</v>
      </c>
      <c r="B57" s="1">
        <v>700</v>
      </c>
      <c r="C57" s="1">
        <f>B57/100</f>
        <v>7</v>
      </c>
      <c r="E57" s="1">
        <v>50</v>
      </c>
      <c r="F57" s="1">
        <v>100</v>
      </c>
      <c r="J57" s="1">
        <v>300</v>
      </c>
      <c r="K57" s="1">
        <v>300</v>
      </c>
      <c r="L57" s="1">
        <v>1E-3</v>
      </c>
      <c r="O57" s="1">
        <v>0.5</v>
      </c>
      <c r="P57" s="1">
        <v>3</v>
      </c>
      <c r="Q57" s="1">
        <v>0.06</v>
      </c>
    </row>
    <row r="58" spans="1:18" x14ac:dyDescent="0.4">
      <c r="A58" s="7" t="s">
        <v>101</v>
      </c>
      <c r="B58" s="1">
        <v>1400</v>
      </c>
      <c r="C58" s="1">
        <f>B58/100</f>
        <v>14</v>
      </c>
      <c r="E58" s="1">
        <v>200</v>
      </c>
      <c r="F58" s="1">
        <v>300</v>
      </c>
      <c r="J58" s="1">
        <v>800</v>
      </c>
      <c r="K58" s="1">
        <v>600</v>
      </c>
      <c r="L58" s="1">
        <v>2.5000000000000001E-3</v>
      </c>
      <c r="O58" s="1">
        <v>0.8</v>
      </c>
      <c r="P58" s="1">
        <v>4.5</v>
      </c>
      <c r="Q58" s="1">
        <v>7.4999999999999997E-2</v>
      </c>
    </row>
    <row r="59" spans="1:18" x14ac:dyDescent="0.4">
      <c r="A59" s="7" t="s">
        <v>102</v>
      </c>
      <c r="B59" s="1">
        <v>1000</v>
      </c>
      <c r="C59" s="1">
        <f>B59/100</f>
        <v>10</v>
      </c>
      <c r="E59" s="1">
        <v>100</v>
      </c>
      <c r="F59" s="1">
        <v>200</v>
      </c>
      <c r="J59" s="1">
        <v>400</v>
      </c>
      <c r="K59" s="1">
        <v>400</v>
      </c>
      <c r="L59" s="1">
        <v>1.5E-3</v>
      </c>
      <c r="O59" s="1">
        <v>0.6</v>
      </c>
      <c r="P59" s="1">
        <v>3.5</v>
      </c>
      <c r="Q59" s="1">
        <v>6.5000000000000002E-2</v>
      </c>
    </row>
    <row r="60" spans="1:18" x14ac:dyDescent="0.4">
      <c r="A60" s="7" t="s">
        <v>105</v>
      </c>
      <c r="B60" s="26">
        <f>B59/B12</f>
        <v>9.433962264150943E-3</v>
      </c>
      <c r="C60" s="26">
        <f>C59/C12</f>
        <v>9.433962264150943E-3</v>
      </c>
      <c r="E60" s="26">
        <f>E59/E12</f>
        <v>8.3333333333333332E-3</v>
      </c>
      <c r="F60" s="26">
        <f>F59/F12</f>
        <v>1.1764705882352941E-2</v>
      </c>
      <c r="J60" s="26">
        <f>J59/J12</f>
        <v>6.4516129032258064E-3</v>
      </c>
      <c r="K60" s="26">
        <f>K59/K12</f>
        <v>6.4516129032258064E-3</v>
      </c>
      <c r="L60" s="26">
        <f>L59/L12</f>
        <v>1.4983518130056936E-3</v>
      </c>
      <c r="O60" s="26">
        <f>O59/O12</f>
        <v>6.0000000000000001E-3</v>
      </c>
      <c r="P60" s="26">
        <f>P59/P12</f>
        <v>2.0588235294117649E-3</v>
      </c>
      <c r="Q60" s="26">
        <f>Q59/Q12</f>
        <v>7.6470588235294122E-3</v>
      </c>
    </row>
    <row r="62" spans="1:18" x14ac:dyDescent="0.4">
      <c r="A62" s="29" t="s">
        <v>103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 x14ac:dyDescent="0.4">
      <c r="A63" s="7" t="s">
        <v>106</v>
      </c>
      <c r="B63" s="1">
        <f>B64*B59</f>
        <v>0.04</v>
      </c>
      <c r="C63" s="1">
        <f>C64*C59</f>
        <v>0.2</v>
      </c>
      <c r="E63" s="1">
        <v>1E-4</v>
      </c>
      <c r="F63" s="1">
        <f>F64*F59</f>
        <v>0.04</v>
      </c>
      <c r="J63" s="1">
        <f>J64*J59</f>
        <v>0.01</v>
      </c>
      <c r="K63" s="1">
        <f>K64*K59</f>
        <v>1.2E-2</v>
      </c>
      <c r="L63" s="1">
        <f>L64*L59</f>
        <v>0.15</v>
      </c>
      <c r="O63" s="1">
        <f>O64*O59</f>
        <v>0.06</v>
      </c>
      <c r="P63" s="1">
        <f>P64*P59</f>
        <v>7.0000000000000007E-2</v>
      </c>
      <c r="Q63" s="27">
        <f>Q64*Q59</f>
        <v>3.2500000000000001E-2</v>
      </c>
    </row>
    <row r="64" spans="1:18" x14ac:dyDescent="0.4">
      <c r="A64" s="7" t="s">
        <v>104</v>
      </c>
      <c r="B64" s="1">
        <v>4.0000000000000003E-5</v>
      </c>
      <c r="C64" s="1">
        <v>0.02</v>
      </c>
      <c r="E64" s="1">
        <v>8.0000000000000004E-4</v>
      </c>
      <c r="F64" s="1">
        <v>2.0000000000000001E-4</v>
      </c>
      <c r="J64" s="1">
        <v>2.5000000000000001E-5</v>
      </c>
      <c r="K64" s="1">
        <v>3.0000000000000001E-5</v>
      </c>
      <c r="L64" s="1">
        <v>100</v>
      </c>
      <c r="O64" s="1">
        <v>0.1</v>
      </c>
      <c r="P64" s="1">
        <v>0.02</v>
      </c>
      <c r="Q64" s="1">
        <v>0.5</v>
      </c>
    </row>
    <row r="65" spans="1:18" x14ac:dyDescent="0.4">
      <c r="A65" s="7" t="s">
        <v>100</v>
      </c>
      <c r="B65" s="6">
        <f t="shared" ref="B65:C67" si="3">B57*B57*B$64 / 2 / B$3</f>
        <v>0.98000000000000009</v>
      </c>
      <c r="C65" s="6">
        <f t="shared" si="3"/>
        <v>0.98</v>
      </c>
      <c r="E65" s="6">
        <f t="shared" ref="E65:F67" si="4">E57*E57*E$64 / 2 / E$3</f>
        <v>1</v>
      </c>
      <c r="F65" s="6">
        <f t="shared" si="4"/>
        <v>1</v>
      </c>
      <c r="J65" s="6">
        <f t="shared" ref="J65:L67" si="5">J57*J57*J$64 / 2 / J$3</f>
        <v>1.125</v>
      </c>
      <c r="K65" s="6">
        <f t="shared" si="5"/>
        <v>1.35</v>
      </c>
      <c r="L65" s="6">
        <f t="shared" si="5"/>
        <v>0.49999999999999994</v>
      </c>
      <c r="O65" s="6">
        <f t="shared" ref="O65:Q67" si="6">O57*O57*O$64 / 2 / O$3</f>
        <v>1.25</v>
      </c>
      <c r="P65" s="6">
        <f t="shared" si="6"/>
        <v>0.89999999999999991</v>
      </c>
      <c r="Q65" s="6">
        <f t="shared" si="6"/>
        <v>0.89999999999999991</v>
      </c>
    </row>
    <row r="66" spans="1:18" x14ac:dyDescent="0.4">
      <c r="A66" s="7" t="s">
        <v>101</v>
      </c>
      <c r="B66" s="6">
        <f t="shared" si="3"/>
        <v>3.9200000000000004</v>
      </c>
      <c r="C66" s="6">
        <f t="shared" si="3"/>
        <v>3.92</v>
      </c>
      <c r="E66" s="6">
        <f t="shared" si="4"/>
        <v>16</v>
      </c>
      <c r="F66" s="6">
        <f t="shared" si="4"/>
        <v>9</v>
      </c>
      <c r="J66" s="6">
        <f t="shared" si="5"/>
        <v>8</v>
      </c>
      <c r="K66" s="6">
        <f t="shared" si="5"/>
        <v>5.4</v>
      </c>
      <c r="L66" s="6">
        <f t="shared" si="5"/>
        <v>3.125</v>
      </c>
      <c r="O66" s="6">
        <f t="shared" si="6"/>
        <v>3.2000000000000006</v>
      </c>
      <c r="P66" s="6">
        <f t="shared" si="6"/>
        <v>2.0249999999999999</v>
      </c>
      <c r="Q66" s="6">
        <f t="shared" si="6"/>
        <v>1.40625</v>
      </c>
    </row>
    <row r="67" spans="1:18" x14ac:dyDescent="0.4">
      <c r="A67" s="7" t="s">
        <v>102</v>
      </c>
      <c r="B67" s="6">
        <f t="shared" si="3"/>
        <v>2</v>
      </c>
      <c r="C67" s="6">
        <f t="shared" si="3"/>
        <v>2</v>
      </c>
      <c r="E67" s="6">
        <f t="shared" si="4"/>
        <v>4</v>
      </c>
      <c r="F67" s="6">
        <f t="shared" si="4"/>
        <v>4</v>
      </c>
      <c r="J67" s="6">
        <f t="shared" si="5"/>
        <v>2</v>
      </c>
      <c r="K67" s="6">
        <f t="shared" si="5"/>
        <v>2.4</v>
      </c>
      <c r="L67" s="6">
        <f t="shared" si="5"/>
        <v>1.125</v>
      </c>
      <c r="O67" s="6">
        <f t="shared" si="6"/>
        <v>1.7999999999999998</v>
      </c>
      <c r="P67" s="6">
        <f t="shared" si="6"/>
        <v>1.2249999999999999</v>
      </c>
      <c r="Q67" s="6">
        <f t="shared" si="6"/>
        <v>1.0562500000000001</v>
      </c>
    </row>
    <row r="68" spans="1:18" x14ac:dyDescent="0.4">
      <c r="A68" s="7"/>
    </row>
    <row r="69" spans="1:18" x14ac:dyDescent="0.4">
      <c r="A69" s="29" t="s">
        <v>109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1:18" x14ac:dyDescent="0.4">
      <c r="A70" s="7" t="s">
        <v>108</v>
      </c>
      <c r="B70" s="6">
        <f>2/B64*LOG(1+B64*B43/B18) / B$3</f>
        <v>1.5918295008061849</v>
      </c>
      <c r="C70" s="6">
        <f>2/C64*LOG(1+C64*C43/C18) / C$3</f>
        <v>0.92761926885983481</v>
      </c>
      <c r="E70" s="6"/>
      <c r="F70" s="6"/>
      <c r="J70" s="6">
        <f>2/J64*LOG(1+J64*J43/J18) / J$3</f>
        <v>6.0573231757710255</v>
      </c>
      <c r="L70" s="6">
        <f>2/L64*LOG(1+L64*L43/L18) / L$3</f>
        <v>0.56891976619338136</v>
      </c>
      <c r="P70" s="6">
        <f>2/P64*LOG(1+P64*P43/P18) / P$3</f>
        <v>1.4028023651420685</v>
      </c>
      <c r="Q70" s="30">
        <f>LOG(1+Q64*Q43/Q18) *2/Q64 / Q3</f>
        <v>1.5955926652950336</v>
      </c>
    </row>
    <row r="71" spans="1:18" x14ac:dyDescent="0.4">
      <c r="A71" s="21" t="s">
        <v>122</v>
      </c>
      <c r="B71" s="34">
        <f>B70+B67</f>
        <v>3.5918295008061847</v>
      </c>
      <c r="C71" s="34">
        <f>C70+C67</f>
        <v>2.9276192688598348</v>
      </c>
      <c r="D71" s="21"/>
      <c r="E71" s="21"/>
      <c r="F71" s="21"/>
      <c r="G71" s="21"/>
      <c r="H71" s="21"/>
      <c r="I71" s="21"/>
      <c r="J71" s="34">
        <f>J70+J67</f>
        <v>8.0573231757710246</v>
      </c>
      <c r="K71" s="21"/>
      <c r="L71" s="34">
        <f>L70+L67</f>
        <v>1.6939197661933814</v>
      </c>
      <c r="M71" s="21"/>
      <c r="N71" s="21"/>
      <c r="O71" s="21"/>
      <c r="P71" s="34">
        <f>P70+P67</f>
        <v>2.6278023651420686</v>
      </c>
      <c r="Q71" s="34">
        <f>Q70+Q67</f>
        <v>2.6518426652950335</v>
      </c>
    </row>
    <row r="73" spans="1:18" x14ac:dyDescent="0.4">
      <c r="A73" s="29" t="s">
        <v>110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1:18" x14ac:dyDescent="0.4">
      <c r="A74" s="7" t="s">
        <v>111</v>
      </c>
      <c r="B74" s="1">
        <f>B64/B18/B34</f>
        <v>1.0964912280701755E-5</v>
      </c>
      <c r="C74" s="1">
        <f>C64/C18/C34</f>
        <v>0.87719298245614041</v>
      </c>
      <c r="E74" s="1">
        <f>E64/E18/E34</f>
        <v>1.0022550739163116E-2</v>
      </c>
      <c r="F74" s="1">
        <f>F64/F18/F34</f>
        <v>3.8505968425105896E-4</v>
      </c>
      <c r="J74" s="1">
        <f>J64/J18/J34</f>
        <v>1.489025879269782E-4</v>
      </c>
      <c r="K74" s="1">
        <f>K64/K18/K34</f>
        <v>2.3299161230195714E-5</v>
      </c>
      <c r="L74" s="22">
        <f>L64/L18/L34</f>
        <v>17857142.857142858</v>
      </c>
      <c r="O74" s="22">
        <f>O64/O18/O34</f>
        <v>163.9344262295082</v>
      </c>
      <c r="P74" s="1">
        <f>P64/P18/P34</f>
        <v>1.1764705882352942</v>
      </c>
      <c r="Q74" s="1">
        <f>Q64/Q18/Q34</f>
        <v>711.23755334281634</v>
      </c>
    </row>
    <row r="75" spans="1:18" x14ac:dyDescent="0.4">
      <c r="A75" s="7" t="s">
        <v>112</v>
      </c>
      <c r="B75" s="13">
        <f>B74^2</f>
        <v>1.2022930132348416E-10</v>
      </c>
      <c r="C75" s="1">
        <f>C74^2</f>
        <v>0.76946752847029865</v>
      </c>
      <c r="E75" s="13">
        <f>E74^2</f>
        <v>1.0045152331909912E-4</v>
      </c>
      <c r="F75" s="13">
        <f>F74^2</f>
        <v>1.4827096043552521E-7</v>
      </c>
      <c r="J75" s="13">
        <f>J74^2</f>
        <v>2.2171980691351473E-8</v>
      </c>
      <c r="K75" s="13">
        <f>K74^2</f>
        <v>5.4285091403065504E-10</v>
      </c>
      <c r="L75" s="22">
        <f>L74^2</f>
        <v>318877551020408.19</v>
      </c>
      <c r="O75" s="22">
        <f>O74^2</f>
        <v>26874.496103198067</v>
      </c>
      <c r="P75" s="1">
        <f>P74^2</f>
        <v>1.3840830449826991</v>
      </c>
      <c r="Q75" s="1">
        <f>Q74^2</f>
        <v>505858.85728507553</v>
      </c>
    </row>
    <row r="76" spans="1:18" x14ac:dyDescent="0.4">
      <c r="A76" s="32" t="s">
        <v>120</v>
      </c>
      <c r="B76" s="6">
        <f>-B77+B78+B79</f>
        <v>-9.9622960584300202E-6</v>
      </c>
      <c r="E76" s="6">
        <f>-E77+E78+E79</f>
        <v>2.3391506737890921E-4</v>
      </c>
      <c r="F76" s="6">
        <f>-F77+F78+F79</f>
        <v>-4.4863104293080269E-5</v>
      </c>
      <c r="J76" s="6">
        <f>-J77+J78+J79</f>
        <v>-1.8327765230186088E-4</v>
      </c>
      <c r="K76" s="6">
        <f>-K77+K78+K79</f>
        <v>-4.7303206032189848E-6</v>
      </c>
      <c r="L76" s="6">
        <f>-L77+L78+L79</f>
        <v>-5.6578264648293436E-2</v>
      </c>
    </row>
    <row r="77" spans="1:18" x14ac:dyDescent="0.4">
      <c r="A77" s="33" t="s">
        <v>107</v>
      </c>
      <c r="B77" s="28">
        <v>20.297310798479341</v>
      </c>
      <c r="C77" s="28">
        <v>1.1477705713753632</v>
      </c>
      <c r="D77" s="28"/>
      <c r="E77" s="28">
        <v>2.2046087437843229</v>
      </c>
      <c r="F77" s="28">
        <v>2.875835415219314</v>
      </c>
      <c r="J77" s="28">
        <v>5.521422881475492</v>
      </c>
      <c r="K77" s="28">
        <v>1.1377146165197403</v>
      </c>
      <c r="L77" s="31">
        <v>0.11999132708006374</v>
      </c>
      <c r="O77" s="28">
        <v>6.4843326222551294E-5</v>
      </c>
      <c r="P77" s="28">
        <v>0.2354251861089135</v>
      </c>
      <c r="Q77" s="28">
        <v>2.0017687704218974E-3</v>
      </c>
    </row>
    <row r="78" spans="1:18" x14ac:dyDescent="0.4">
      <c r="A78" s="7" t="s">
        <v>113</v>
      </c>
      <c r="B78" s="6">
        <f>B59*B59*B$64 / 2</f>
        <v>20</v>
      </c>
      <c r="C78" s="6">
        <f>C59*C59*C$64 / 2</f>
        <v>1</v>
      </c>
      <c r="E78" s="6">
        <f>E59*E59*E$64 / 2</f>
        <v>4</v>
      </c>
      <c r="F78" s="6">
        <f>F59*F59*F$64 / 2</f>
        <v>4</v>
      </c>
      <c r="J78" s="6">
        <f>J59*J59*J$64 / 2</f>
        <v>2</v>
      </c>
      <c r="K78" s="6">
        <f>K59*K59*K$64 / 2</f>
        <v>2.4</v>
      </c>
      <c r="L78" s="28">
        <f>L59*L59*L$64 / 2</f>
        <v>1.125E-4</v>
      </c>
      <c r="O78" s="27">
        <f>O59*O59*O$64 / 2</f>
        <v>1.7999999999999999E-2</v>
      </c>
      <c r="P78" s="27">
        <f>P59*P59*P$64 / 2</f>
        <v>0.1225</v>
      </c>
      <c r="Q78" s="27">
        <f>Q59*Q59*Q$64 / 2</f>
        <v>1.0562500000000001E-3</v>
      </c>
    </row>
    <row r="79" spans="1:18" x14ac:dyDescent="0.4">
      <c r="A79" s="32" t="s">
        <v>119</v>
      </c>
      <c r="B79" s="7">
        <f>1/B64 * LOG(1+B74*(B77-2*B35))</f>
        <v>0.2973008361832824</v>
      </c>
      <c r="E79" s="7">
        <f>1/E64 * LOG(1+E74*(E77-2*E35))</f>
        <v>-1.7951573411482982</v>
      </c>
      <c r="F79" s="7">
        <f>1/F64 * LOG(1+F74*(F77-2*F35))</f>
        <v>-1.1242094478849791</v>
      </c>
      <c r="J79" s="7">
        <f>1/J64 * LOG(1+J74*(J77-2*J35))</f>
        <v>3.5212396038231901</v>
      </c>
      <c r="K79" s="7">
        <f>1/K64 * LOG(1+K74*(K77-2*K35))</f>
        <v>-1.2622901138008629</v>
      </c>
      <c r="L79" s="7">
        <f>1/L64 * LOG(1+L74*(L77-2*L35))</f>
        <v>6.3300562431770305E-2</v>
      </c>
    </row>
    <row r="80" spans="1:18" x14ac:dyDescent="0.4">
      <c r="A80" s="7"/>
    </row>
    <row r="81" spans="1:17" x14ac:dyDescent="0.4">
      <c r="A81" s="32" t="s">
        <v>120</v>
      </c>
      <c r="B81" s="6">
        <f>-B77+B78+B82</f>
        <v>-7.9270928644015193E-6</v>
      </c>
      <c r="C81" s="6">
        <f>-C77+C78+C82</f>
        <v>-8.354674857657951E-6</v>
      </c>
      <c r="E81" s="6">
        <f>-E77+E78+E82</f>
        <v>1.7179718746502814E-3</v>
      </c>
      <c r="F81" s="6">
        <f>-F77+F78+F82</f>
        <v>1.0064264370313047E-4</v>
      </c>
      <c r="J81" s="6">
        <f>-J77+J78+J82</f>
        <v>-4.8398516736547492E-6</v>
      </c>
      <c r="K81" s="6">
        <f>-K77+K78+K82</f>
        <v>2.2786313274458792E-5</v>
      </c>
      <c r="L81" s="6">
        <f>-L77+L78+L82</f>
        <v>7.0170193236601675E-4</v>
      </c>
      <c r="O81" s="6">
        <f>-O77+O78+O82</f>
        <v>6.1659721108907328E-6</v>
      </c>
      <c r="P81" s="6">
        <f>-P77+P78+P82</f>
        <v>-2.3014036240553981E-5</v>
      </c>
      <c r="Q81" s="6">
        <f>-Q77+Q78+Q82</f>
        <v>1.4683648361366584E-4</v>
      </c>
    </row>
    <row r="82" spans="1:17" x14ac:dyDescent="0.4">
      <c r="A82" s="32" t="s">
        <v>119</v>
      </c>
      <c r="B82" s="1">
        <f>1/B64*LOG(1+B74*(B77-2*B35) + B75*(B35*B35-B35*B77+B77*B77/4))</f>
        <v>0.29730287138647643</v>
      </c>
      <c r="C82" s="1">
        <f>1/C64*LOG(1+C74*(C77-2*C35) + C75*(C35*C35-C35*C77+C77*C77/4))</f>
        <v>0.14776221670050554</v>
      </c>
      <c r="E82" s="1">
        <f>1/E64*LOG(1+E74*(E77-2*E35) + E75*(E35*E35-E35*E77+E77*E77/4))</f>
        <v>-1.7936732843410268</v>
      </c>
      <c r="F82" s="1">
        <f>1/F64*LOG(1+F74*(F77-2*F35) + F75*(F35*F35-F35*F77+F77*F77/4))</f>
        <v>-1.1240639421369829</v>
      </c>
      <c r="J82" s="1">
        <f>1/J64*LOG(1+J74*(J77-2*J35) + J75*(J35*J35-J35*J77+J77*J77/4))</f>
        <v>3.5214180416238183</v>
      </c>
      <c r="K82" s="1">
        <f>1/K64*LOG(1+K74*(K77-2*K35) + K75*(K35*K35-K35*K77+K77*K77/4))</f>
        <v>-1.2622625971669852</v>
      </c>
      <c r="L82" s="1">
        <f>1/L64*LOG(1+L74*(L77-2*L35) + L75*(L35*L35-L35*L77+L77*L77/4))</f>
        <v>0.12058052901242976</v>
      </c>
      <c r="O82" s="1">
        <f>1/O64*LOG(1+O74*(O77-2*O35) + O75*(O35*O35-O35*O77+O77*O77/4))</f>
        <v>-1.7928990701666557E-2</v>
      </c>
      <c r="P82" s="1">
        <f>1/P64*LOG(1+P74*(P77-2*P35) + P75*(P35*P35-P35*P77+P77*P77/4))</f>
        <v>0.11290217207267295</v>
      </c>
      <c r="Q82" s="1">
        <f>1/Q64*LOG(1+Q74*(Q77-2*Q35) + Q75*(Q35*Q35-Q35*Q77+Q77*Q77/4))</f>
        <v>1.0923552540355631E-3</v>
      </c>
    </row>
    <row r="83" spans="1:17" x14ac:dyDescent="0.4">
      <c r="A83" s="32"/>
    </row>
    <row r="84" spans="1:17" x14ac:dyDescent="0.4">
      <c r="A84" s="21" t="s">
        <v>121</v>
      </c>
      <c r="B84" s="34">
        <f>B77/B3</f>
        <v>2.029731079847934</v>
      </c>
      <c r="C84" s="34">
        <f>C77/C3</f>
        <v>2.2955411427507264</v>
      </c>
      <c r="D84" s="21"/>
      <c r="E84" s="34">
        <f>E77/E3</f>
        <v>2.2046087437843229</v>
      </c>
      <c r="F84" s="34">
        <f>F77/F3</f>
        <v>2.875835415219314</v>
      </c>
      <c r="G84" s="21"/>
      <c r="H84" s="21"/>
      <c r="I84" s="21"/>
      <c r="J84" s="34">
        <f>J77/J3</f>
        <v>5.521422881475492</v>
      </c>
      <c r="K84" s="34">
        <f>K77/K3</f>
        <v>1.1377146165197403</v>
      </c>
      <c r="L84" s="35">
        <f>L77/L3</f>
        <v>1199.9132708006373</v>
      </c>
      <c r="M84" s="21"/>
      <c r="N84" s="21"/>
      <c r="O84" s="35">
        <f>O77/O3</f>
        <v>6.4843326222551291E-3</v>
      </c>
      <c r="P84" s="34">
        <f>P77/P3</f>
        <v>2.3542518610891348</v>
      </c>
      <c r="Q84" s="34">
        <f>Q77/Q3</f>
        <v>2.0017687704218972</v>
      </c>
    </row>
    <row r="85" spans="1:17" x14ac:dyDescent="0.4">
      <c r="H85" s="3"/>
    </row>
    <row r="86" spans="1:17" x14ac:dyDescent="0.4">
      <c r="A86" s="7" t="s">
        <v>114</v>
      </c>
    </row>
    <row r="87" spans="1:17" x14ac:dyDescent="0.4">
      <c r="A87" s="7" t="s">
        <v>116</v>
      </c>
      <c r="P87" s="38"/>
    </row>
    <row r="88" spans="1:17" x14ac:dyDescent="0.4">
      <c r="A88" s="7" t="s">
        <v>115</v>
      </c>
      <c r="B88" s="13">
        <v>2</v>
      </c>
      <c r="C88" s="13">
        <v>2</v>
      </c>
      <c r="J88" s="13">
        <v>2</v>
      </c>
      <c r="L88" s="1">
        <v>1</v>
      </c>
      <c r="P88" s="41">
        <v>1</v>
      </c>
      <c r="Q88" s="13">
        <v>1</v>
      </c>
    </row>
    <row r="89" spans="1:17" x14ac:dyDescent="0.4">
      <c r="A89" s="7" t="s">
        <v>117</v>
      </c>
      <c r="B89" s="13">
        <v>4</v>
      </c>
      <c r="C89" s="40" t="s">
        <v>124</v>
      </c>
      <c r="J89" s="13">
        <v>8</v>
      </c>
      <c r="L89" s="1">
        <v>2</v>
      </c>
      <c r="P89" s="42" t="s">
        <v>123</v>
      </c>
      <c r="Q89" s="40" t="s">
        <v>124</v>
      </c>
    </row>
    <row r="91" spans="1:17" x14ac:dyDescent="0.4">
      <c r="A91" s="7" t="s">
        <v>118</v>
      </c>
    </row>
    <row r="92" spans="1:17" x14ac:dyDescent="0.4">
      <c r="A92" s="7" t="s">
        <v>115</v>
      </c>
      <c r="B92" s="1">
        <v>1</v>
      </c>
      <c r="C92" s="1">
        <v>1</v>
      </c>
      <c r="J92" s="1">
        <v>1</v>
      </c>
      <c r="L92" s="13">
        <v>2</v>
      </c>
      <c r="M92" s="13">
        <v>2</v>
      </c>
      <c r="P92" s="38">
        <v>2</v>
      </c>
      <c r="Q92" s="1">
        <v>1</v>
      </c>
    </row>
    <row r="93" spans="1:17" x14ac:dyDescent="0.4">
      <c r="A93" s="7" t="s">
        <v>117</v>
      </c>
      <c r="B93" s="36" t="s">
        <v>123</v>
      </c>
      <c r="C93" s="1">
        <v>2</v>
      </c>
      <c r="J93" s="37" t="s">
        <v>125</v>
      </c>
      <c r="L93" s="13">
        <v>4</v>
      </c>
      <c r="M93" s="13">
        <v>4</v>
      </c>
      <c r="P93" s="39" t="s">
        <v>124</v>
      </c>
      <c r="Q93" s="1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p o P V f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C q m g 9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p o P V S i K R 7 g O A A A A E Q A A A B M A H A B G b 3 J t d W x h c y 9 T Z W N 0 a W 9 u M S 5 t I K I Y A C i g F A A A A A A A A A A A A A A A A A A A A A A A A A A A A C t O T S 7 J z M 9 T C I b Q h t Y A U E s B A i 0 A F A A C A A g A q p o P V f H / x O + m A A A A + Q A A A B I A A A A A A A A A A A A A A A A A A A A A A E N v b m Z p Z y 9 Q Y W N r Y W d l L n h t b F B L A Q I t A B Q A A g A I A K q a D 1 U P y u m r p A A A A O k A A A A T A A A A A A A A A A A A A A A A A P I A A A B b Q 2 9 u d G V u d F 9 U e X B l c 1 0 u e G 1 s U E s B A i 0 A F A A C A A g A q p o P V S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g a 5 c 0 Y U 2 R q e N p F F v V V + S A A A A A A I A A A A A A B B m A A A A A Q A A I A A A A L y q u t P G 6 T 2 i R Q U t K v z W d e F 3 r 6 W 4 E u u U R v T f 7 f Z x M E l 9 A A A A A A 6 A A A A A A g A A I A A A A P d F g C v X 7 2 4 p u t J O w m z B j H 6 7 m n Z A 6 y k H z 0 1 o R 9 x o r 3 V f U A A A A L C T a 0 R X J U w D u r g 1 h h L W 7 M K 7 C i V J q L v T a k P b r S A / s P S D w c 0 L T 3 U X 7 + / 7 Z 8 g u e b d F g v k h T h / 3 9 b H u y 9 0 B x X d g i k u 7 W m j i F R i 9 1 h Y n U i C H O 2 T K Q A A A A H I K m k 9 5 6 m O W t H W 3 V s k O q q E 4 R W U T 3 O 9 4 F l p j j U T Y m P Q 7 H 4 G m 9 Y J Y v b Q H X u / e n E w O S V E U 5 Q m y D 3 D i C f I n U a b N F T w = < / D a t a M a s h u p > 
</file>

<file path=customXml/itemProps1.xml><?xml version="1.0" encoding="utf-8"?>
<ds:datastoreItem xmlns:ds="http://schemas.openxmlformats.org/officeDocument/2006/customXml" ds:itemID="{B17575DC-0B70-485F-9F9A-5C46CD272B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Sharp.Ra</cp:lastModifiedBy>
  <cp:revision>1</cp:revision>
  <dcterms:modified xsi:type="dcterms:W3CDTF">2022-08-26T15:04:49Z</dcterms:modified>
</cp:coreProperties>
</file>