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My Profile\Portfolio\Investment Analysis TSUE\Project 1\"/>
    </mc:Choice>
  </mc:AlternateContent>
  <xr:revisionPtr revIDLastSave="0" documentId="13_ncr:1_{5C2554B2-BFBD-490F-91AA-7ECC2C56128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ask" sheetId="3" r:id="rId1"/>
    <sheet name="Table" sheetId="2" r:id="rId2"/>
    <sheet name="Answ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9" i="1" s="1"/>
  <c r="H2" i="1"/>
  <c r="B9" i="1" s="1"/>
  <c r="C8" i="1"/>
  <c r="D8" i="1" s="1"/>
  <c r="E8" i="1" s="1"/>
  <c r="F8" i="1" s="1"/>
  <c r="G8" i="1" s="1"/>
  <c r="B7" i="1"/>
  <c r="B5" i="1"/>
  <c r="C4" i="1"/>
  <c r="C6" i="1" s="1"/>
  <c r="C3" i="1"/>
  <c r="D3" i="1" s="1"/>
  <c r="B11" i="1" l="1"/>
  <c r="B12" i="1" s="1"/>
  <c r="B13" i="1" s="1"/>
  <c r="B16" i="1" s="1"/>
  <c r="E9" i="1"/>
  <c r="G9" i="1"/>
  <c r="C9" i="1"/>
  <c r="D9" i="1"/>
  <c r="F9" i="1"/>
  <c r="K2" i="1"/>
  <c r="L2" i="1" s="1"/>
  <c r="O2" i="1" s="1"/>
  <c r="K3" i="1" s="1"/>
  <c r="E3" i="1"/>
  <c r="B10" i="1"/>
  <c r="C7" i="1"/>
  <c r="D4" i="1"/>
  <c r="C5" i="1"/>
  <c r="C20" i="1" l="1"/>
  <c r="M2" i="1"/>
  <c r="N2" i="1" s="1"/>
  <c r="C11" i="1"/>
  <c r="F3" i="1"/>
  <c r="D6" i="1"/>
  <c r="D7" i="1" s="1"/>
  <c r="E4" i="1"/>
  <c r="D5" i="1"/>
  <c r="D11" i="1" s="1"/>
  <c r="B20" i="1"/>
  <c r="M3" i="1"/>
  <c r="C10" i="1" s="1"/>
  <c r="L3" i="1"/>
  <c r="D12" i="1" l="1"/>
  <c r="D13" i="1" s="1"/>
  <c r="C12" i="1"/>
  <c r="C13" i="1" s="1"/>
  <c r="E6" i="1"/>
  <c r="E7" i="1" s="1"/>
  <c r="F4" i="1"/>
  <c r="G3" i="1"/>
  <c r="F5" i="1"/>
  <c r="N3" i="1"/>
  <c r="L4" i="1"/>
  <c r="E5" i="1"/>
  <c r="O3" i="1"/>
  <c r="K4" i="1" s="1"/>
  <c r="B14" i="1" l="1"/>
  <c r="D20" i="1"/>
  <c r="C16" i="1"/>
  <c r="B19" i="1" s="1"/>
  <c r="E20" i="1"/>
  <c r="D16" i="1"/>
  <c r="L5" i="1"/>
  <c r="F6" i="1"/>
  <c r="F7" i="1" s="1"/>
  <c r="F11" i="1" s="1"/>
  <c r="G4" i="1"/>
  <c r="G6" i="1" s="1"/>
  <c r="G7" i="1" s="1"/>
  <c r="M4" i="1"/>
  <c r="D10" i="1" s="1"/>
  <c r="O4" i="1"/>
  <c r="K5" i="1" s="1"/>
  <c r="E11" i="1"/>
  <c r="E12" i="1" s="1"/>
  <c r="F12" i="1" l="1"/>
  <c r="F13" i="1" s="1"/>
  <c r="L6" i="1"/>
  <c r="N4" i="1"/>
  <c r="E13" i="1"/>
  <c r="O5" i="1"/>
  <c r="K6" i="1" s="1"/>
  <c r="M5" i="1"/>
  <c r="E10" i="1" s="1"/>
  <c r="G5" i="1"/>
  <c r="G11" i="1" s="1"/>
  <c r="G20" i="1" l="1"/>
  <c r="F16" i="1"/>
  <c r="G12" i="1"/>
  <c r="G13" i="1" s="1"/>
  <c r="O6" i="1"/>
  <c r="K7" i="1" s="1"/>
  <c r="M6" i="1"/>
  <c r="F10" i="1" s="1"/>
  <c r="F20" i="1"/>
  <c r="E16" i="1"/>
  <c r="L7" i="1"/>
  <c r="N5" i="1"/>
  <c r="H12" i="1" l="1"/>
  <c r="B15" i="1" s="1"/>
  <c r="N6" i="1"/>
  <c r="H20" i="1"/>
  <c r="B21" i="1" s="1"/>
  <c r="G16" i="1"/>
  <c r="H16" i="1"/>
  <c r="O7" i="1"/>
  <c r="M7" i="1"/>
  <c r="G10" i="1" s="1"/>
  <c r="B18" i="1" l="1"/>
  <c r="B17" i="1"/>
  <c r="N7" i="1"/>
</calcChain>
</file>

<file path=xl/sharedStrings.xml><?xml version="1.0" encoding="utf-8"?>
<sst xmlns="http://schemas.openxmlformats.org/spreadsheetml/2006/main" count="112" uniqueCount="96">
  <si>
    <t>Indicators</t>
  </si>
  <si>
    <t>Quantity</t>
  </si>
  <si>
    <t>ICFA</t>
  </si>
  <si>
    <t>Price</t>
  </si>
  <si>
    <t>Revenue</t>
  </si>
  <si>
    <t>Interest</t>
  </si>
  <si>
    <t>EBIT</t>
  </si>
  <si>
    <t>WACC</t>
  </si>
  <si>
    <t>NPV</t>
  </si>
  <si>
    <t>PI</t>
  </si>
  <si>
    <t>IRR</t>
  </si>
  <si>
    <t>VС 65%</t>
  </si>
  <si>
    <t>FС</t>
  </si>
  <si>
    <t>DPC</t>
  </si>
  <si>
    <t>NP</t>
  </si>
  <si>
    <t>NCF</t>
  </si>
  <si>
    <t>ROI</t>
  </si>
  <si>
    <t xml:space="preserve">Years </t>
  </si>
  <si>
    <t xml:space="preserve">Initial cost </t>
  </si>
  <si>
    <t>Principle</t>
  </si>
  <si>
    <t>Total amount</t>
  </si>
  <si>
    <t>Balance</t>
  </si>
  <si>
    <t>Investment</t>
  </si>
  <si>
    <t>PP 1 year 129 days</t>
  </si>
  <si>
    <t>D. Cash Flow 19.26%</t>
  </si>
  <si>
    <t>DPP 1 year 254 days</t>
  </si>
  <si>
    <t>Profit tax</t>
  </si>
  <si>
    <t>The value of indicators by year</t>
  </si>
  <si>
    <t>Quantity of products, pcs.</t>
  </si>
  <si>
    <t>Price of one product, soums</t>
  </si>
  <si>
    <t>Revenue, thousand soums</t>
  </si>
  <si>
    <t>Variable costs per product, soums</t>
  </si>
  <si>
    <t>Total variable costs, thousand soums</t>
  </si>
  <si>
    <t>Fixed costs, thousand soums</t>
  </si>
  <si>
    <t>Depreciation charges, thousand soums</t>
  </si>
  <si>
    <t>Interest, thousand soums</t>
  </si>
  <si>
    <t>Profit before tax, thousand soums</t>
  </si>
  <si>
    <t>Net profit, thousand soums</t>
  </si>
  <si>
    <t>Net cash flow, thousand soums</t>
  </si>
  <si>
    <t>TVC</t>
  </si>
  <si>
    <t>Solve the following problem.</t>
  </si>
  <si>
    <t>№</t>
  </si>
  <si>
    <r>
      <t>The 1</t>
    </r>
    <r>
      <rPr>
        <b/>
        <vertAlign val="superscript"/>
        <sz val="12"/>
        <color theme="1"/>
        <rFont val="Times New Roman"/>
        <family val="1"/>
        <charset val="204"/>
      </rPr>
      <t>st</t>
    </r>
    <r>
      <rPr>
        <b/>
        <sz val="12"/>
        <color theme="1"/>
        <rFont val="Times New Roman"/>
        <family val="1"/>
        <charset val="204"/>
      </rPr>
      <t xml:space="preserve"> year</t>
    </r>
  </si>
  <si>
    <r>
      <t>The 2</t>
    </r>
    <r>
      <rPr>
        <b/>
        <vertAlign val="superscript"/>
        <sz val="12"/>
        <color theme="1"/>
        <rFont val="Times New Roman"/>
        <family val="1"/>
        <charset val="204"/>
      </rPr>
      <t>nd</t>
    </r>
    <r>
      <rPr>
        <b/>
        <sz val="12"/>
        <color theme="1"/>
        <rFont val="Times New Roman"/>
        <family val="1"/>
        <charset val="204"/>
      </rPr>
      <t xml:space="preserve"> year</t>
    </r>
  </si>
  <si>
    <r>
      <t>The 3</t>
    </r>
    <r>
      <rPr>
        <b/>
        <vertAlign val="superscript"/>
        <sz val="12"/>
        <color theme="1"/>
        <rFont val="Times New Roman"/>
        <family val="1"/>
        <charset val="204"/>
      </rPr>
      <t>rd</t>
    </r>
    <r>
      <rPr>
        <b/>
        <sz val="12"/>
        <color theme="1"/>
        <rFont val="Times New Roman"/>
        <family val="1"/>
        <charset val="204"/>
      </rPr>
      <t xml:space="preserve"> year</t>
    </r>
  </si>
  <si>
    <r>
      <t>The 4</t>
    </r>
    <r>
      <rPr>
        <b/>
        <vertAlign val="superscript"/>
        <sz val="12"/>
        <color theme="1"/>
        <rFont val="Times New Roman"/>
        <family val="1"/>
        <charset val="204"/>
      </rPr>
      <t>th</t>
    </r>
    <r>
      <rPr>
        <b/>
        <sz val="12"/>
        <color theme="1"/>
        <rFont val="Times New Roman"/>
        <family val="1"/>
        <charset val="204"/>
      </rPr>
      <t xml:space="preserve"> year</t>
    </r>
  </si>
  <si>
    <r>
      <t>The 5</t>
    </r>
    <r>
      <rPr>
        <b/>
        <vertAlign val="superscript"/>
        <sz val="12"/>
        <color theme="1"/>
        <rFont val="Times New Roman"/>
        <family val="1"/>
        <charset val="204"/>
      </rPr>
      <t>th</t>
    </r>
    <r>
      <rPr>
        <b/>
        <sz val="12"/>
        <color theme="1"/>
        <rFont val="Times New Roman"/>
        <family val="1"/>
        <charset val="204"/>
      </rPr>
      <t xml:space="preserve"> year</t>
    </r>
  </si>
  <si>
    <r>
      <t>The 6</t>
    </r>
    <r>
      <rPr>
        <b/>
        <vertAlign val="superscript"/>
        <sz val="12"/>
        <color theme="1"/>
        <rFont val="Times New Roman"/>
        <family val="1"/>
        <charset val="204"/>
      </rPr>
      <t>th</t>
    </r>
    <r>
      <rPr>
        <b/>
        <sz val="12"/>
        <color theme="1"/>
        <rFont val="Times New Roman"/>
        <family val="1"/>
        <charset val="204"/>
      </rPr>
      <t xml:space="preserve"> year</t>
    </r>
  </si>
  <si>
    <t>1.</t>
  </si>
  <si>
    <t>Q</t>
  </si>
  <si>
    <t>2.</t>
  </si>
  <si>
    <t>P</t>
  </si>
  <si>
    <t>3.</t>
  </si>
  <si>
    <t>4.</t>
  </si>
  <si>
    <t>5.</t>
  </si>
  <si>
    <t>VC</t>
  </si>
  <si>
    <t>6.</t>
  </si>
  <si>
    <t>FC</t>
  </si>
  <si>
    <t>7.</t>
  </si>
  <si>
    <t>D</t>
  </si>
  <si>
    <t>8.</t>
  </si>
  <si>
    <t>I</t>
  </si>
  <si>
    <t>9.</t>
  </si>
  <si>
    <t>10.</t>
  </si>
  <si>
    <t>11.</t>
  </si>
  <si>
    <t>12.</t>
  </si>
  <si>
    <t>PP</t>
  </si>
  <si>
    <t>13.</t>
  </si>
  <si>
    <t>ROI (ROCE)</t>
  </si>
  <si>
    <t>14.</t>
  </si>
  <si>
    <t>15.</t>
  </si>
  <si>
    <t>16.</t>
  </si>
  <si>
    <t>DPP</t>
  </si>
  <si>
    <t>17.</t>
  </si>
  <si>
    <t>The indicators change over the years as follows:</t>
  </si>
  <si>
    <t>- the volume of production increases by 10% every year;</t>
  </si>
  <si>
    <t>- the price of one product increases by 6% annually;</t>
  </si>
  <si>
    <t>- fixed costs increase by 8% annually;</t>
  </si>
  <si>
    <t>- depreciation charges are calculated using the cumulative method;</t>
  </si>
  <si>
    <t>- All investments are aimed at purchasing equipment.</t>
  </si>
  <si>
    <t>- the ratio of borrowed funds to equity in the investment volume is 1:3 (25%:75%).</t>
  </si>
  <si>
    <t>- The borrower received a loan from the bank at 28% per annum.</t>
  </si>
  <si>
    <t>- the share of variable costs in the price of one product is 65% (VC);</t>
  </si>
  <si>
    <t>Indicators of the enterprise for the 1st year to determine cash flow</t>
  </si>
  <si>
    <t>Profit Tax %</t>
  </si>
  <si>
    <t>Discount rate for equity capital</t>
  </si>
  <si>
    <t>Initial cost of fixed assets (ICFA).</t>
  </si>
  <si>
    <t>Scrap value of fixed assets</t>
  </si>
  <si>
    <t>Service life</t>
  </si>
  <si>
    <t>Method used</t>
  </si>
  <si>
    <t>1.5% of ICFA</t>
  </si>
  <si>
    <t>6 years</t>
  </si>
  <si>
    <t xml:space="preserve">cumulative </t>
  </si>
  <si>
    <t>Task №</t>
  </si>
  <si>
    <t>If the project duration is 6 years, find the net cash flow, PP, ROI, NPV, PI, DPP, IRR.</t>
  </si>
  <si>
    <t>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</si>
</sst>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4" fillId="0" borderId="5" xfId="0" applyFont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9" fontId="2" fillId="0" borderId="4" xfId="0" applyNumberFormat="1" applyFont="1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0" xfId="0" applyFont="1"/>
    <xf numFmtId="0" fontId="8" fillId="0" borderId="2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BFA6-8764-4783-9D2F-46BAF6AD4231}">
  <dimension ref="A1:N12"/>
  <sheetViews>
    <sheetView workbookViewId="0">
      <selection activeCell="C5" sqref="C5"/>
    </sheetView>
  </sheetViews>
  <sheetFormatPr defaultRowHeight="14.4" x14ac:dyDescent="0.3"/>
  <cols>
    <col min="1" max="1" width="62.5546875" customWidth="1"/>
    <col min="10" max="10" width="11.5546875" bestFit="1" customWidth="1"/>
    <col min="11" max="11" width="7.109375" bestFit="1" customWidth="1"/>
    <col min="12" max="12" width="9.6640625" bestFit="1" customWidth="1"/>
  </cols>
  <sheetData>
    <row r="1" spans="1:14" ht="16.2" customHeight="1" x14ac:dyDescent="0.3">
      <c r="A1" s="19" t="s">
        <v>40</v>
      </c>
      <c r="B1" s="14"/>
      <c r="C1" s="20" t="s">
        <v>83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6" x14ac:dyDescent="0.3">
      <c r="A2" s="15"/>
      <c r="C2" s="23" t="s">
        <v>93</v>
      </c>
      <c r="D2" s="23"/>
      <c r="E2" s="22" t="s">
        <v>28</v>
      </c>
      <c r="F2" s="22" t="s">
        <v>29</v>
      </c>
      <c r="G2" s="22" t="s">
        <v>31</v>
      </c>
      <c r="H2" s="22" t="s">
        <v>33</v>
      </c>
      <c r="I2" s="22" t="s">
        <v>34</v>
      </c>
      <c r="J2" s="22"/>
      <c r="K2" s="22"/>
      <c r="L2" s="22"/>
      <c r="M2" s="22" t="s">
        <v>84</v>
      </c>
      <c r="N2" s="22" t="s">
        <v>85</v>
      </c>
    </row>
    <row r="3" spans="1:14" ht="66" x14ac:dyDescent="0.3">
      <c r="A3" s="16" t="s">
        <v>74</v>
      </c>
      <c r="C3" s="23"/>
      <c r="D3" s="23"/>
      <c r="E3" s="22"/>
      <c r="F3" s="22"/>
      <c r="G3" s="22"/>
      <c r="H3" s="22"/>
      <c r="I3" s="17" t="s">
        <v>86</v>
      </c>
      <c r="J3" s="17" t="s">
        <v>87</v>
      </c>
      <c r="K3" s="17" t="s">
        <v>88</v>
      </c>
      <c r="L3" s="17" t="s">
        <v>89</v>
      </c>
      <c r="M3" s="22"/>
      <c r="N3" s="22"/>
    </row>
    <row r="4" spans="1:14" ht="15.6" x14ac:dyDescent="0.3">
      <c r="A4" s="16" t="s">
        <v>75</v>
      </c>
      <c r="C4" s="21" t="s">
        <v>95</v>
      </c>
      <c r="D4" s="21"/>
      <c r="E4" s="18">
        <v>2140</v>
      </c>
      <c r="F4" s="18">
        <v>12100</v>
      </c>
      <c r="G4" s="18">
        <v>7865</v>
      </c>
      <c r="H4" s="18">
        <v>2440</v>
      </c>
      <c r="I4" s="18">
        <v>6700</v>
      </c>
      <c r="J4" s="18" t="s">
        <v>90</v>
      </c>
      <c r="K4" s="18" t="s">
        <v>91</v>
      </c>
      <c r="L4" s="18" t="s">
        <v>92</v>
      </c>
      <c r="M4" s="18">
        <v>7</v>
      </c>
      <c r="N4" s="18">
        <v>17</v>
      </c>
    </row>
    <row r="5" spans="1:14" ht="15.6" x14ac:dyDescent="0.3">
      <c r="A5" s="16" t="s">
        <v>76</v>
      </c>
    </row>
    <row r="6" spans="1:14" ht="15.6" x14ac:dyDescent="0.3">
      <c r="A6" s="16" t="s">
        <v>77</v>
      </c>
    </row>
    <row r="7" spans="1:14" ht="15.6" x14ac:dyDescent="0.3">
      <c r="A7" s="16" t="s">
        <v>78</v>
      </c>
    </row>
    <row r="8" spans="1:14" ht="31.2" x14ac:dyDescent="0.3">
      <c r="A8" s="16" t="s">
        <v>82</v>
      </c>
    </row>
    <row r="9" spans="1:14" ht="15.6" x14ac:dyDescent="0.3">
      <c r="A9" s="16" t="s">
        <v>79</v>
      </c>
    </row>
    <row r="10" spans="1:14" ht="31.2" x14ac:dyDescent="0.3">
      <c r="A10" s="16" t="s">
        <v>80</v>
      </c>
    </row>
    <row r="11" spans="1:14" ht="15.6" x14ac:dyDescent="0.3">
      <c r="A11" s="16" t="s">
        <v>81</v>
      </c>
    </row>
    <row r="12" spans="1:14" ht="31.2" x14ac:dyDescent="0.3">
      <c r="A12" s="16" t="s">
        <v>94</v>
      </c>
    </row>
  </sheetData>
  <mergeCells count="10">
    <mergeCell ref="C1:N1"/>
    <mergeCell ref="C4:D4"/>
    <mergeCell ref="M2:M3"/>
    <mergeCell ref="N2:N3"/>
    <mergeCell ref="C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C828-4958-47CB-BFFB-94719F76A738}">
  <dimension ref="A1:I22"/>
  <sheetViews>
    <sheetView workbookViewId="0">
      <selection activeCell="B26" sqref="B26"/>
    </sheetView>
  </sheetViews>
  <sheetFormatPr defaultRowHeight="14.4" x14ac:dyDescent="0.3"/>
  <cols>
    <col min="1" max="1" width="3.77734375" bestFit="1" customWidth="1"/>
    <col min="2" max="2" width="35.109375" bestFit="1" customWidth="1"/>
    <col min="3" max="3" width="5.77734375" bestFit="1" customWidth="1"/>
    <col min="4" max="4" width="12.21875" bestFit="1" customWidth="1"/>
    <col min="5" max="5" width="12.5546875" bestFit="1" customWidth="1"/>
    <col min="6" max="6" width="12.44140625" bestFit="1" customWidth="1"/>
    <col min="7" max="9" width="12.33203125" bestFit="1" customWidth="1"/>
  </cols>
  <sheetData>
    <row r="1" spans="1:9" ht="16.2" thickBot="1" x14ac:dyDescent="0.35">
      <c r="A1" s="24" t="s">
        <v>41</v>
      </c>
      <c r="B1" s="26" t="s">
        <v>0</v>
      </c>
      <c r="C1" s="24"/>
      <c r="D1" s="28" t="s">
        <v>27</v>
      </c>
      <c r="E1" s="29"/>
      <c r="F1" s="29"/>
      <c r="G1" s="29"/>
      <c r="H1" s="29"/>
      <c r="I1" s="30"/>
    </row>
    <row r="2" spans="1:9" ht="18.600000000000001" thickBot="1" x14ac:dyDescent="0.35">
      <c r="A2" s="25"/>
      <c r="B2" s="27"/>
      <c r="C2" s="25"/>
      <c r="D2" s="9" t="s">
        <v>42</v>
      </c>
      <c r="E2" s="10" t="s">
        <v>43</v>
      </c>
      <c r="F2" s="10" t="s">
        <v>44</v>
      </c>
      <c r="G2" s="10" t="s">
        <v>45</v>
      </c>
      <c r="H2" s="10" t="s">
        <v>46</v>
      </c>
      <c r="I2" s="10" t="s">
        <v>47</v>
      </c>
    </row>
    <row r="3" spans="1:9" ht="16.2" thickBot="1" x14ac:dyDescent="0.35">
      <c r="A3" s="4" t="s">
        <v>48</v>
      </c>
      <c r="B3" s="11" t="s">
        <v>28</v>
      </c>
      <c r="C3" s="12" t="s">
        <v>49</v>
      </c>
      <c r="D3" s="11"/>
      <c r="E3" s="11"/>
      <c r="F3" s="11"/>
      <c r="G3" s="11"/>
      <c r="H3" s="11"/>
      <c r="I3" s="11"/>
    </row>
    <row r="4" spans="1:9" ht="15.6" x14ac:dyDescent="0.3">
      <c r="A4" s="31" t="s">
        <v>50</v>
      </c>
      <c r="B4" s="31" t="s">
        <v>29</v>
      </c>
      <c r="C4" s="13"/>
      <c r="D4" s="31"/>
      <c r="E4" s="31"/>
      <c r="F4" s="31"/>
      <c r="G4" s="31"/>
      <c r="H4" s="31"/>
      <c r="I4" s="31"/>
    </row>
    <row r="5" spans="1:9" ht="16.2" thickBot="1" x14ac:dyDescent="0.35">
      <c r="A5" s="32"/>
      <c r="B5" s="32"/>
      <c r="C5" s="12" t="s">
        <v>51</v>
      </c>
      <c r="D5" s="32"/>
      <c r="E5" s="32"/>
      <c r="F5" s="32"/>
      <c r="G5" s="32"/>
      <c r="H5" s="32"/>
      <c r="I5" s="32"/>
    </row>
    <row r="6" spans="1:9" ht="16.2" thickBot="1" x14ac:dyDescent="0.35">
      <c r="A6" s="4" t="s">
        <v>52</v>
      </c>
      <c r="B6" s="11" t="s">
        <v>30</v>
      </c>
      <c r="C6" s="12"/>
      <c r="D6" s="11"/>
      <c r="E6" s="11"/>
      <c r="F6" s="11"/>
      <c r="G6" s="11"/>
      <c r="H6" s="11"/>
      <c r="I6" s="11"/>
    </row>
    <row r="7" spans="1:9" ht="15.6" x14ac:dyDescent="0.3">
      <c r="A7" s="31" t="s">
        <v>53</v>
      </c>
      <c r="B7" s="31" t="s">
        <v>31</v>
      </c>
      <c r="C7" s="13"/>
      <c r="D7" s="31"/>
      <c r="E7" s="31"/>
      <c r="F7" s="31"/>
      <c r="G7" s="31"/>
      <c r="H7" s="31"/>
      <c r="I7" s="31"/>
    </row>
    <row r="8" spans="1:9" ht="16.2" thickBot="1" x14ac:dyDescent="0.35">
      <c r="A8" s="32"/>
      <c r="B8" s="32"/>
      <c r="C8" s="12" t="s">
        <v>55</v>
      </c>
      <c r="D8" s="32"/>
      <c r="E8" s="32"/>
      <c r="F8" s="32"/>
      <c r="G8" s="32"/>
      <c r="H8" s="32"/>
      <c r="I8" s="32"/>
    </row>
    <row r="9" spans="1:9" ht="15.6" x14ac:dyDescent="0.3">
      <c r="A9" s="31" t="s">
        <v>54</v>
      </c>
      <c r="B9" s="31" t="s">
        <v>32</v>
      </c>
      <c r="C9" s="13"/>
      <c r="D9" s="31"/>
      <c r="E9" s="31"/>
      <c r="F9" s="31"/>
      <c r="G9" s="31"/>
      <c r="H9" s="31"/>
      <c r="I9" s="31"/>
    </row>
    <row r="10" spans="1:9" ht="16.2" thickBot="1" x14ac:dyDescent="0.35">
      <c r="A10" s="32"/>
      <c r="B10" s="32"/>
      <c r="C10" s="12" t="s">
        <v>39</v>
      </c>
      <c r="D10" s="32"/>
      <c r="E10" s="32"/>
      <c r="F10" s="32"/>
      <c r="G10" s="32"/>
      <c r="H10" s="32"/>
      <c r="I10" s="32"/>
    </row>
    <row r="11" spans="1:9" ht="16.2" thickBot="1" x14ac:dyDescent="0.35">
      <c r="A11" s="4" t="s">
        <v>56</v>
      </c>
      <c r="B11" s="11" t="s">
        <v>33</v>
      </c>
      <c r="C11" s="12" t="s">
        <v>57</v>
      </c>
      <c r="D11" s="11"/>
      <c r="E11" s="11"/>
      <c r="F11" s="11"/>
      <c r="G11" s="11"/>
      <c r="H11" s="11"/>
      <c r="I11" s="11"/>
    </row>
    <row r="12" spans="1:9" ht="16.2" thickBot="1" x14ac:dyDescent="0.35">
      <c r="A12" s="4" t="s">
        <v>58</v>
      </c>
      <c r="B12" s="11" t="s">
        <v>34</v>
      </c>
      <c r="C12" s="12" t="s">
        <v>59</v>
      </c>
      <c r="D12" s="11"/>
      <c r="E12" s="11"/>
      <c r="F12" s="11"/>
      <c r="G12" s="11"/>
      <c r="H12" s="11"/>
      <c r="I12" s="11"/>
    </row>
    <row r="13" spans="1:9" ht="16.2" thickBot="1" x14ac:dyDescent="0.35">
      <c r="A13" s="4" t="s">
        <v>60</v>
      </c>
      <c r="B13" s="11" t="s">
        <v>35</v>
      </c>
      <c r="C13" s="12" t="s">
        <v>61</v>
      </c>
      <c r="D13" s="11"/>
      <c r="E13" s="11"/>
      <c r="F13" s="11"/>
      <c r="G13" s="11"/>
      <c r="H13" s="11"/>
      <c r="I13" s="11"/>
    </row>
    <row r="14" spans="1:9" ht="16.2" thickBot="1" x14ac:dyDescent="0.35">
      <c r="A14" s="4" t="s">
        <v>62</v>
      </c>
      <c r="B14" s="11" t="s">
        <v>36</v>
      </c>
      <c r="C14" s="12" t="s">
        <v>6</v>
      </c>
      <c r="D14" s="11"/>
      <c r="E14" s="11"/>
      <c r="F14" s="11"/>
      <c r="G14" s="11"/>
      <c r="H14" s="11"/>
      <c r="I14" s="11"/>
    </row>
    <row r="15" spans="1:9" ht="16.2" thickBot="1" x14ac:dyDescent="0.35">
      <c r="A15" s="4" t="s">
        <v>63</v>
      </c>
      <c r="B15" s="11" t="s">
        <v>37</v>
      </c>
      <c r="C15" s="12" t="s">
        <v>14</v>
      </c>
      <c r="D15" s="11"/>
      <c r="E15" s="11"/>
      <c r="F15" s="11"/>
      <c r="G15" s="11"/>
      <c r="H15" s="11"/>
      <c r="I15" s="11"/>
    </row>
    <row r="16" spans="1:9" ht="16.2" thickBot="1" x14ac:dyDescent="0.35">
      <c r="A16" s="4" t="s">
        <v>64</v>
      </c>
      <c r="B16" s="11" t="s">
        <v>38</v>
      </c>
      <c r="C16" s="12" t="s">
        <v>15</v>
      </c>
      <c r="D16" s="11"/>
      <c r="E16" s="11"/>
      <c r="F16" s="11"/>
      <c r="G16" s="11"/>
      <c r="H16" s="11"/>
      <c r="I16" s="11"/>
    </row>
    <row r="17" spans="1:9" ht="16.2" thickBot="1" x14ac:dyDescent="0.35">
      <c r="A17" s="4" t="s">
        <v>65</v>
      </c>
      <c r="B17" s="11" t="s">
        <v>66</v>
      </c>
      <c r="C17" s="33"/>
      <c r="D17" s="34"/>
      <c r="E17" s="34"/>
      <c r="F17" s="34"/>
      <c r="G17" s="34"/>
      <c r="H17" s="35"/>
      <c r="I17" s="11"/>
    </row>
    <row r="18" spans="1:9" ht="16.2" thickBot="1" x14ac:dyDescent="0.35">
      <c r="A18" s="4" t="s">
        <v>67</v>
      </c>
      <c r="B18" s="11" t="s">
        <v>68</v>
      </c>
      <c r="C18" s="33"/>
      <c r="D18" s="34"/>
      <c r="E18" s="34"/>
      <c r="F18" s="34"/>
      <c r="G18" s="34"/>
      <c r="H18" s="35"/>
      <c r="I18" s="11"/>
    </row>
    <row r="19" spans="1:9" ht="16.2" thickBot="1" x14ac:dyDescent="0.35">
      <c r="A19" s="4" t="s">
        <v>69</v>
      </c>
      <c r="B19" s="11" t="s">
        <v>8</v>
      </c>
      <c r="C19" s="33"/>
      <c r="D19" s="34"/>
      <c r="E19" s="34"/>
      <c r="F19" s="34"/>
      <c r="G19" s="34"/>
      <c r="H19" s="35"/>
      <c r="I19" s="11"/>
    </row>
    <row r="20" spans="1:9" ht="16.2" thickBot="1" x14ac:dyDescent="0.35">
      <c r="A20" s="4" t="s">
        <v>70</v>
      </c>
      <c r="B20" s="11" t="s">
        <v>9</v>
      </c>
      <c r="C20" s="33"/>
      <c r="D20" s="34"/>
      <c r="E20" s="34"/>
      <c r="F20" s="34"/>
      <c r="G20" s="34"/>
      <c r="H20" s="35"/>
      <c r="I20" s="11"/>
    </row>
    <row r="21" spans="1:9" ht="16.2" thickBot="1" x14ac:dyDescent="0.35">
      <c r="A21" s="4" t="s">
        <v>71</v>
      </c>
      <c r="B21" s="11" t="s">
        <v>72</v>
      </c>
      <c r="C21" s="33"/>
      <c r="D21" s="34"/>
      <c r="E21" s="34"/>
      <c r="F21" s="34"/>
      <c r="G21" s="34"/>
      <c r="H21" s="35"/>
      <c r="I21" s="11"/>
    </row>
    <row r="22" spans="1:9" ht="16.2" thickBot="1" x14ac:dyDescent="0.35">
      <c r="A22" s="4" t="s">
        <v>73</v>
      </c>
      <c r="B22" s="11" t="s">
        <v>10</v>
      </c>
      <c r="C22" s="33"/>
      <c r="D22" s="34"/>
      <c r="E22" s="34"/>
      <c r="F22" s="34"/>
      <c r="G22" s="34"/>
      <c r="H22" s="35"/>
      <c r="I22" s="11"/>
    </row>
  </sheetData>
  <mergeCells count="34">
    <mergeCell ref="C21:H21"/>
    <mergeCell ref="C22:H22"/>
    <mergeCell ref="H9:H10"/>
    <mergeCell ref="I9:I10"/>
    <mergeCell ref="C17:H17"/>
    <mergeCell ref="C18:H18"/>
    <mergeCell ref="C19:H19"/>
    <mergeCell ref="C20:H20"/>
    <mergeCell ref="G9:G10"/>
    <mergeCell ref="G7:G8"/>
    <mergeCell ref="H7:H8"/>
    <mergeCell ref="I7:I8"/>
    <mergeCell ref="A9:A10"/>
    <mergeCell ref="B9:B10"/>
    <mergeCell ref="D9:D10"/>
    <mergeCell ref="E9:E10"/>
    <mergeCell ref="F9:F10"/>
    <mergeCell ref="A7:A8"/>
    <mergeCell ref="B7:B8"/>
    <mergeCell ref="D7:D8"/>
    <mergeCell ref="E7:E8"/>
    <mergeCell ref="F7:F8"/>
    <mergeCell ref="A1:A2"/>
    <mergeCell ref="B1:B2"/>
    <mergeCell ref="C1:C2"/>
    <mergeCell ref="D1:I1"/>
    <mergeCell ref="A4:A5"/>
    <mergeCell ref="B4:B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Q12" sqref="Q12"/>
    </sheetView>
  </sheetViews>
  <sheetFormatPr defaultRowHeight="14.4" x14ac:dyDescent="0.3"/>
  <cols>
    <col min="1" max="1" width="25.109375" bestFit="1" customWidth="1"/>
    <col min="2" max="2" width="12.6640625" bestFit="1" customWidth="1"/>
    <col min="3" max="8" width="12" bestFit="1" customWidth="1"/>
    <col min="9" max="9" width="6.77734375" customWidth="1"/>
    <col min="10" max="10" width="10.44140625" bestFit="1" customWidth="1"/>
    <col min="11" max="11" width="12.6640625" bestFit="1" customWidth="1"/>
    <col min="12" max="13" width="12.109375" bestFit="1" customWidth="1"/>
    <col min="14" max="14" width="12.88671875" bestFit="1" customWidth="1"/>
    <col min="15" max="15" width="12.5546875" bestFit="1" customWidth="1"/>
    <col min="16" max="16" width="12" bestFit="1" customWidth="1"/>
  </cols>
  <sheetData>
    <row r="1" spans="1:15" x14ac:dyDescent="0.3">
      <c r="A1" s="6"/>
      <c r="B1" s="37" t="s">
        <v>27</v>
      </c>
      <c r="C1" s="38"/>
      <c r="D1" s="38"/>
      <c r="E1" s="38"/>
      <c r="F1" s="38"/>
      <c r="G1" s="39"/>
      <c r="H1" s="1"/>
      <c r="I1" s="1"/>
      <c r="J1" s="6" t="s">
        <v>17</v>
      </c>
      <c r="K1" s="6" t="s">
        <v>18</v>
      </c>
      <c r="L1" s="6" t="s">
        <v>19</v>
      </c>
      <c r="M1" s="6" t="s">
        <v>5</v>
      </c>
      <c r="N1" s="6" t="s">
        <v>20</v>
      </c>
      <c r="O1" s="6" t="s">
        <v>21</v>
      </c>
    </row>
    <row r="2" spans="1:15" x14ac:dyDescent="0.3">
      <c r="A2" s="5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2">
        <f>SUM(B2:G2)</f>
        <v>21</v>
      </c>
      <c r="I2" s="1"/>
      <c r="J2" s="5">
        <v>1</v>
      </c>
      <c r="K2" s="42">
        <f>K11</f>
        <v>2233333.3333333335</v>
      </c>
      <c r="L2" s="42">
        <f>K2/6</f>
        <v>372222.22222222225</v>
      </c>
      <c r="M2" s="42">
        <f>K2*0.28</f>
        <v>625333.33333333349</v>
      </c>
      <c r="N2" s="42">
        <f t="shared" ref="N2:N7" si="0">L2+M2</f>
        <v>997555.55555555574</v>
      </c>
      <c r="O2" s="42">
        <f t="shared" ref="O2:O7" si="1">K2-L2</f>
        <v>1861111.1111111112</v>
      </c>
    </row>
    <row r="3" spans="1:15" x14ac:dyDescent="0.3">
      <c r="A3" s="5" t="s">
        <v>1</v>
      </c>
      <c r="B3" s="42">
        <v>2140</v>
      </c>
      <c r="C3" s="42">
        <f>B3*1.1</f>
        <v>2354</v>
      </c>
      <c r="D3" s="42">
        <f>C3*1.1</f>
        <v>2589.4</v>
      </c>
      <c r="E3" s="42">
        <f>D3*1.1</f>
        <v>2848.34</v>
      </c>
      <c r="F3" s="42">
        <f>E3*1.1</f>
        <v>3133.1740000000004</v>
      </c>
      <c r="G3" s="42">
        <f>F3*1.1</f>
        <v>3446.4914000000008</v>
      </c>
      <c r="H3" s="41"/>
      <c r="I3" s="1"/>
      <c r="J3" s="5">
        <v>2</v>
      </c>
      <c r="K3" s="42">
        <f>O2</f>
        <v>1861111.1111111112</v>
      </c>
      <c r="L3" s="42">
        <f>L2</f>
        <v>372222.22222222225</v>
      </c>
      <c r="M3" s="42">
        <f>K3*0.3</f>
        <v>558333.33333333337</v>
      </c>
      <c r="N3" s="42">
        <f t="shared" si="0"/>
        <v>930555.55555555562</v>
      </c>
      <c r="O3" s="42">
        <f t="shared" si="1"/>
        <v>1488888.888888889</v>
      </c>
    </row>
    <row r="4" spans="1:15" x14ac:dyDescent="0.3">
      <c r="A4" s="5" t="s">
        <v>3</v>
      </c>
      <c r="B4" s="42">
        <v>12100</v>
      </c>
      <c r="C4" s="42">
        <f>B4*1.06</f>
        <v>12826</v>
      </c>
      <c r="D4" s="42">
        <f>C4*1.06</f>
        <v>13595.560000000001</v>
      </c>
      <c r="E4" s="42">
        <f>D4*1.06</f>
        <v>14411.293600000003</v>
      </c>
      <c r="F4" s="42">
        <f>E4*1.06</f>
        <v>15275.971216000004</v>
      </c>
      <c r="G4" s="42">
        <f>F4*1.06</f>
        <v>16192.529488960005</v>
      </c>
      <c r="H4" s="41"/>
      <c r="I4" s="1"/>
      <c r="J4" s="5">
        <v>3</v>
      </c>
      <c r="K4" s="42">
        <f>O3</f>
        <v>1488888.888888889</v>
      </c>
      <c r="L4" s="42">
        <f>L3</f>
        <v>372222.22222222225</v>
      </c>
      <c r="M4" s="42">
        <f>K4*0.3</f>
        <v>446666.66666666669</v>
      </c>
      <c r="N4" s="42">
        <f t="shared" si="0"/>
        <v>818888.88888888899</v>
      </c>
      <c r="O4" s="42">
        <f t="shared" si="1"/>
        <v>1116666.6666666667</v>
      </c>
    </row>
    <row r="5" spans="1:15" x14ac:dyDescent="0.3">
      <c r="A5" s="5" t="s">
        <v>4</v>
      </c>
      <c r="B5" s="42">
        <f t="shared" ref="B5:G5" si="2">B3*B4</f>
        <v>25894000</v>
      </c>
      <c r="C5" s="42">
        <f t="shared" si="2"/>
        <v>30192404</v>
      </c>
      <c r="D5" s="42">
        <f t="shared" si="2"/>
        <v>35204343.064000003</v>
      </c>
      <c r="E5" s="42">
        <f t="shared" si="2"/>
        <v>41048264.01262401</v>
      </c>
      <c r="F5" s="42">
        <f t="shared" si="2"/>
        <v>47862275.838719599</v>
      </c>
      <c r="G5" s="42">
        <f t="shared" si="2"/>
        <v>55807413.627947062</v>
      </c>
      <c r="H5" s="41"/>
      <c r="I5" s="1"/>
      <c r="J5" s="5">
        <v>4</v>
      </c>
      <c r="K5" s="42">
        <f>O4</f>
        <v>1116666.6666666667</v>
      </c>
      <c r="L5" s="42">
        <f>L4</f>
        <v>372222.22222222225</v>
      </c>
      <c r="M5" s="42">
        <f>K5*0.3</f>
        <v>335000</v>
      </c>
      <c r="N5" s="42">
        <f t="shared" si="0"/>
        <v>707222.22222222225</v>
      </c>
      <c r="O5" s="42">
        <f t="shared" si="1"/>
        <v>744444.4444444445</v>
      </c>
    </row>
    <row r="6" spans="1:15" x14ac:dyDescent="0.3">
      <c r="A6" s="5" t="s">
        <v>11</v>
      </c>
      <c r="B6" s="42">
        <v>7865</v>
      </c>
      <c r="C6" s="42">
        <f>C4*0.65</f>
        <v>8336.9</v>
      </c>
      <c r="D6" s="42">
        <f>D4*0.65</f>
        <v>8837.1140000000014</v>
      </c>
      <c r="E6" s="42">
        <f>E4*0.65</f>
        <v>9367.3408400000026</v>
      </c>
      <c r="F6" s="42">
        <f>F4*0.65</f>
        <v>9929.3812904000024</v>
      </c>
      <c r="G6" s="42">
        <f>G4*0.65</f>
        <v>10525.144167824003</v>
      </c>
      <c r="H6" s="41"/>
      <c r="I6" s="1"/>
      <c r="J6" s="5">
        <v>5</v>
      </c>
      <c r="K6" s="42">
        <f>O5</f>
        <v>744444.4444444445</v>
      </c>
      <c r="L6" s="42">
        <f>L5</f>
        <v>372222.22222222225</v>
      </c>
      <c r="M6" s="42">
        <f>K6*0.3</f>
        <v>223333.33333333334</v>
      </c>
      <c r="N6" s="42">
        <f t="shared" si="0"/>
        <v>595555.55555555562</v>
      </c>
      <c r="O6" s="42">
        <f t="shared" si="1"/>
        <v>372222.22222222225</v>
      </c>
    </row>
    <row r="7" spans="1:15" x14ac:dyDescent="0.3">
      <c r="A7" s="5" t="s">
        <v>39</v>
      </c>
      <c r="B7" s="42">
        <f t="shared" ref="B7:G7" si="3">B3*B6</f>
        <v>16831100</v>
      </c>
      <c r="C7" s="42">
        <f t="shared" si="3"/>
        <v>19625062.599999998</v>
      </c>
      <c r="D7" s="42">
        <f t="shared" si="3"/>
        <v>22882822.991600003</v>
      </c>
      <c r="E7" s="42">
        <f t="shared" si="3"/>
        <v>26681371.608205609</v>
      </c>
      <c r="F7" s="42">
        <f t="shared" si="3"/>
        <v>31110479.29516774</v>
      </c>
      <c r="G7" s="42">
        <f t="shared" si="3"/>
        <v>36274818.858165592</v>
      </c>
      <c r="H7" s="41"/>
      <c r="I7" s="1"/>
      <c r="J7" s="5">
        <v>6</v>
      </c>
      <c r="K7" s="42">
        <f>O6</f>
        <v>372222.22222222225</v>
      </c>
      <c r="L7" s="42">
        <f>L6</f>
        <v>372222.22222222225</v>
      </c>
      <c r="M7" s="42">
        <f>K7*0.3</f>
        <v>111666.66666666667</v>
      </c>
      <c r="N7" s="42">
        <f t="shared" si="0"/>
        <v>483888.88888888893</v>
      </c>
      <c r="O7" s="42">
        <f t="shared" si="1"/>
        <v>0</v>
      </c>
    </row>
    <row r="8" spans="1:15" x14ac:dyDescent="0.3">
      <c r="A8" s="5" t="s">
        <v>12</v>
      </c>
      <c r="B8" s="42">
        <v>2440000</v>
      </c>
      <c r="C8" s="42">
        <f>B8*1.08</f>
        <v>2635200</v>
      </c>
      <c r="D8" s="42">
        <f>C8*1.08</f>
        <v>2846016</v>
      </c>
      <c r="E8" s="42">
        <f>D8*1.08</f>
        <v>3073697.2800000003</v>
      </c>
      <c r="F8" s="42">
        <f>E8*1.08</f>
        <v>3319593.0624000006</v>
      </c>
      <c r="G8" s="42">
        <f>F8*1.08</f>
        <v>3585160.5073920009</v>
      </c>
      <c r="H8" s="41"/>
      <c r="I8" s="1"/>
      <c r="J8" s="1"/>
      <c r="K8" s="1"/>
      <c r="L8" s="1"/>
      <c r="M8" s="1"/>
      <c r="N8" s="1"/>
      <c r="O8" s="1"/>
    </row>
    <row r="9" spans="1:15" x14ac:dyDescent="0.3">
      <c r="A9" s="5" t="s">
        <v>13</v>
      </c>
      <c r="B9" s="42">
        <f>(K10-K10*1.5%)*6/H2</f>
        <v>1885571.4285714286</v>
      </c>
      <c r="C9" s="42">
        <f>(K10-K10*1.5%)*5/H2</f>
        <v>1571309.5238095238</v>
      </c>
      <c r="D9" s="42">
        <f>(K10-K10*1.5%)*4/H2</f>
        <v>1257047.6190476189</v>
      </c>
      <c r="E9" s="42">
        <f>(K10-K10*1.5%)*3/H2</f>
        <v>942785.71428571432</v>
      </c>
      <c r="F9" s="42">
        <f>(K10-K10*1.5%)*2/H2</f>
        <v>628523.80952380947</v>
      </c>
      <c r="G9" s="42">
        <f>(K10-K10*1.5%)*1/H2</f>
        <v>314261.90476190473</v>
      </c>
      <c r="H9" s="41"/>
      <c r="I9" s="1"/>
      <c r="J9" s="5" t="s">
        <v>22</v>
      </c>
      <c r="K9" s="40">
        <f>K10+K11</f>
        <v>8933333.333333334</v>
      </c>
      <c r="L9" s="1"/>
      <c r="M9" s="1"/>
      <c r="N9" s="1"/>
      <c r="O9" s="1"/>
    </row>
    <row r="10" spans="1:15" x14ac:dyDescent="0.3">
      <c r="A10" s="5" t="s">
        <v>5</v>
      </c>
      <c r="B10" s="42">
        <f>K11*0.28</f>
        <v>625333.33333333349</v>
      </c>
      <c r="C10" s="42">
        <f>M3</f>
        <v>558333.33333333337</v>
      </c>
      <c r="D10" s="42">
        <f>M4</f>
        <v>446666.66666666669</v>
      </c>
      <c r="E10" s="42">
        <f>M5</f>
        <v>335000</v>
      </c>
      <c r="F10" s="42">
        <f>M6</f>
        <v>223333.33333333334</v>
      </c>
      <c r="G10" s="42">
        <f>M7</f>
        <v>111666.66666666667</v>
      </c>
      <c r="H10" s="41"/>
      <c r="I10" s="1"/>
      <c r="J10" s="5" t="s">
        <v>2</v>
      </c>
      <c r="K10" s="42">
        <v>6700000</v>
      </c>
      <c r="L10" s="8">
        <v>0.75</v>
      </c>
      <c r="M10" s="1"/>
      <c r="N10" s="1"/>
      <c r="O10" s="1"/>
    </row>
    <row r="11" spans="1:15" x14ac:dyDescent="0.3">
      <c r="A11" s="5" t="s">
        <v>6</v>
      </c>
      <c r="B11" s="42">
        <f t="shared" ref="B11:G11" si="4">B5-B7-B8-B9</f>
        <v>4737328.5714285709</v>
      </c>
      <c r="C11" s="42">
        <f t="shared" si="4"/>
        <v>6360831.876190478</v>
      </c>
      <c r="D11" s="42">
        <f t="shared" si="4"/>
        <v>8218456.4533523805</v>
      </c>
      <c r="E11" s="42">
        <f t="shared" si="4"/>
        <v>10350409.410132686</v>
      </c>
      <c r="F11" s="42">
        <f t="shared" si="4"/>
        <v>12803679.671628049</v>
      </c>
      <c r="G11" s="42">
        <f t="shared" si="4"/>
        <v>15633172.357627565</v>
      </c>
      <c r="H11" s="41"/>
      <c r="I11" s="1"/>
      <c r="J11" s="7"/>
      <c r="K11" s="42">
        <f>K10*L11/L10</f>
        <v>2233333.3333333335</v>
      </c>
      <c r="L11" s="8">
        <v>0.25</v>
      </c>
      <c r="M11" s="1"/>
      <c r="N11" s="1"/>
      <c r="O11" s="1"/>
    </row>
    <row r="12" spans="1:15" x14ac:dyDescent="0.3">
      <c r="A12" s="5" t="s">
        <v>14</v>
      </c>
      <c r="B12" s="42">
        <f t="shared" ref="B12:G12" si="5">B11*(1-0.07)</f>
        <v>4405715.5714285709</v>
      </c>
      <c r="C12" s="42">
        <f t="shared" si="5"/>
        <v>5915573.644857144</v>
      </c>
      <c r="D12" s="42">
        <f t="shared" si="5"/>
        <v>7643164.5016177138</v>
      </c>
      <c r="E12" s="42">
        <f t="shared" si="5"/>
        <v>9625880.7514233962</v>
      </c>
      <c r="F12" s="42">
        <f t="shared" si="5"/>
        <v>11907422.094614085</v>
      </c>
      <c r="G12" s="42">
        <f t="shared" si="5"/>
        <v>14538850.292593634</v>
      </c>
      <c r="H12" s="40">
        <f>SUM(B12:G12)</f>
        <v>54036606.856534548</v>
      </c>
      <c r="I12" s="1"/>
      <c r="J12" s="5" t="s">
        <v>7</v>
      </c>
      <c r="K12" s="40">
        <f>0.75/1*0.17+0.25*0.28*(1-0.07)</f>
        <v>0.19259999999999999</v>
      </c>
      <c r="L12" s="1"/>
      <c r="M12" s="1"/>
      <c r="N12" s="1"/>
      <c r="O12" s="1"/>
    </row>
    <row r="13" spans="1:15" x14ac:dyDescent="0.3">
      <c r="A13" s="5" t="s">
        <v>15</v>
      </c>
      <c r="B13" s="42">
        <f t="shared" ref="B13:G13" si="6">B9+B12</f>
        <v>6291287</v>
      </c>
      <c r="C13" s="42">
        <f t="shared" si="6"/>
        <v>7486883.1686666682</v>
      </c>
      <c r="D13" s="42">
        <f t="shared" si="6"/>
        <v>8900212.1206653323</v>
      </c>
      <c r="E13" s="42">
        <f t="shared" si="6"/>
        <v>10568666.465709111</v>
      </c>
      <c r="F13" s="42">
        <f t="shared" si="6"/>
        <v>12535945.904137895</v>
      </c>
      <c r="G13" s="42">
        <f t="shared" si="6"/>
        <v>14853112.197355539</v>
      </c>
      <c r="H13" s="41"/>
      <c r="I13" s="1"/>
      <c r="J13" s="5" t="s">
        <v>26</v>
      </c>
      <c r="K13" s="3">
        <v>7.0000000000000007E-2</v>
      </c>
      <c r="L13" s="1"/>
      <c r="M13" s="1"/>
      <c r="N13" s="1"/>
      <c r="O13" s="1"/>
    </row>
    <row r="14" spans="1:15" x14ac:dyDescent="0.3">
      <c r="A14" s="5" t="s">
        <v>23</v>
      </c>
      <c r="B14" s="43">
        <f>(K9-B13)/C13*365</f>
        <v>128.80485643245405</v>
      </c>
      <c r="C14" s="43"/>
      <c r="D14" s="43"/>
      <c r="E14" s="43"/>
      <c r="F14" s="43"/>
      <c r="G14" s="43"/>
      <c r="H14" s="41"/>
      <c r="I14" s="1"/>
      <c r="L14" s="1"/>
      <c r="M14" s="1"/>
      <c r="N14" s="1"/>
      <c r="O14" s="1"/>
    </row>
    <row r="15" spans="1:15" x14ac:dyDescent="0.3">
      <c r="A15" s="5" t="s">
        <v>16</v>
      </c>
      <c r="B15" s="43">
        <f>H12/6/K9</f>
        <v>1.0081456503084802</v>
      </c>
      <c r="C15" s="43"/>
      <c r="D15" s="43"/>
      <c r="E15" s="43"/>
      <c r="F15" s="43"/>
      <c r="G15" s="43"/>
      <c r="H15" s="41"/>
      <c r="I15" s="1"/>
      <c r="J15" s="1"/>
      <c r="K15" s="1"/>
      <c r="L15" s="1"/>
      <c r="M15" s="1"/>
      <c r="N15" s="1"/>
      <c r="O15" s="1"/>
    </row>
    <row r="16" spans="1:15" x14ac:dyDescent="0.3">
      <c r="A16" s="5" t="s">
        <v>24</v>
      </c>
      <c r="B16" s="44">
        <f>B13/(1+K12)^B2</f>
        <v>5275269.9983229917</v>
      </c>
      <c r="C16" s="44">
        <f>C13/(1+K12)^C2</f>
        <v>5263946.2502601547</v>
      </c>
      <c r="D16" s="44">
        <f>D13/(1+K12)^D2</f>
        <v>5247058.9367942214</v>
      </c>
      <c r="E16" s="44">
        <f>E13/(1+K12)^E2</f>
        <v>5224454.7529902747</v>
      </c>
      <c r="F16" s="44">
        <f>F13/(1+K12)^F2</f>
        <v>5196166.8070629248</v>
      </c>
      <c r="G16" s="44">
        <f>G13/(1+K12)^G2</f>
        <v>5162364.0955792107</v>
      </c>
      <c r="H16" s="45">
        <f>SUM(B16:G16)</f>
        <v>31369260.841009777</v>
      </c>
      <c r="I16" s="1"/>
      <c r="J16" s="1"/>
      <c r="K16" s="1"/>
      <c r="L16" s="1"/>
      <c r="M16" s="1"/>
      <c r="N16" s="1"/>
      <c r="O16" s="1"/>
    </row>
    <row r="17" spans="1:15" x14ac:dyDescent="0.3">
      <c r="A17" s="5" t="s">
        <v>8</v>
      </c>
      <c r="B17" s="43">
        <f>H16-K9</f>
        <v>22435927.507676445</v>
      </c>
      <c r="C17" s="43"/>
      <c r="D17" s="43"/>
      <c r="E17" s="43"/>
      <c r="F17" s="43"/>
      <c r="G17" s="43"/>
      <c r="H17" s="41"/>
      <c r="I17" s="1"/>
      <c r="J17" s="1"/>
      <c r="K17" s="1"/>
      <c r="L17" s="1"/>
      <c r="M17" s="1"/>
      <c r="N17" s="1"/>
      <c r="O17" s="1"/>
    </row>
    <row r="18" spans="1:15" x14ac:dyDescent="0.3">
      <c r="A18" s="5" t="s">
        <v>9</v>
      </c>
      <c r="B18" s="43">
        <f>H16/K9</f>
        <v>3.5114844225010944</v>
      </c>
      <c r="C18" s="43"/>
      <c r="D18" s="43"/>
      <c r="E18" s="43"/>
      <c r="F18" s="43"/>
      <c r="G18" s="43"/>
      <c r="H18" s="41"/>
      <c r="I18" s="1"/>
      <c r="J18" s="1"/>
      <c r="K18" s="1"/>
      <c r="L18" s="1"/>
      <c r="M18" s="1"/>
      <c r="N18" s="1"/>
      <c r="O18" s="1"/>
    </row>
    <row r="19" spans="1:15" x14ac:dyDescent="0.3">
      <c r="A19" s="5" t="s">
        <v>25</v>
      </c>
      <c r="B19" s="43">
        <f>(K9-B16)/C16*365</f>
        <v>253.64869886594815</v>
      </c>
      <c r="C19" s="43"/>
      <c r="D19" s="43"/>
      <c r="E19" s="43"/>
      <c r="F19" s="43"/>
      <c r="G19" s="43"/>
      <c r="H19" s="41"/>
      <c r="I19" s="1"/>
      <c r="J19" s="1"/>
      <c r="K19" s="1"/>
      <c r="L19" s="1"/>
      <c r="M19" s="1"/>
      <c r="N19" s="1"/>
      <c r="O19" s="1"/>
    </row>
    <row r="20" spans="1:15" x14ac:dyDescent="0.3">
      <c r="A20" s="5" t="s">
        <v>10</v>
      </c>
      <c r="B20" s="42">
        <f>-K9</f>
        <v>-8933333.333333334</v>
      </c>
      <c r="C20" s="42">
        <f t="shared" ref="C20:H20" si="7">B13</f>
        <v>6291287</v>
      </c>
      <c r="D20" s="42">
        <f t="shared" si="7"/>
        <v>7486883.1686666682</v>
      </c>
      <c r="E20" s="42">
        <f t="shared" si="7"/>
        <v>8900212.1206653323</v>
      </c>
      <c r="F20" s="42">
        <f t="shared" si="7"/>
        <v>10568666.465709111</v>
      </c>
      <c r="G20" s="42">
        <f t="shared" si="7"/>
        <v>12535945.904137895</v>
      </c>
      <c r="H20" s="40">
        <f t="shared" si="7"/>
        <v>14853112.197355539</v>
      </c>
      <c r="K20" s="1"/>
      <c r="L20" s="1"/>
      <c r="M20" s="1"/>
      <c r="N20" s="1"/>
      <c r="O20" s="1"/>
    </row>
    <row r="21" spans="1:15" x14ac:dyDescent="0.3">
      <c r="A21" s="5" t="s">
        <v>10</v>
      </c>
      <c r="B21" s="36">
        <f>IRR(B20:H20)</f>
        <v>0.84219799857490796</v>
      </c>
      <c r="C21" s="36"/>
      <c r="D21" s="36"/>
      <c r="E21" s="36"/>
      <c r="F21" s="36"/>
      <c r="G21" s="36"/>
      <c r="H21" s="1"/>
      <c r="I21" s="1"/>
      <c r="J21" s="1"/>
      <c r="K21" s="1"/>
      <c r="L21" s="1"/>
      <c r="M21" s="1"/>
      <c r="N21" s="1"/>
      <c r="O21" s="1"/>
    </row>
  </sheetData>
  <mergeCells count="7">
    <mergeCell ref="B21:G21"/>
    <mergeCell ref="B14:G14"/>
    <mergeCell ref="B15:G15"/>
    <mergeCell ref="B17:G17"/>
    <mergeCell ref="B18:G18"/>
    <mergeCell ref="B19:G19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</vt:lpstr>
      <vt:lpstr>Table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Sharofjon Rashidov</dc:creator>
  <cp:lastModifiedBy>Sharofjon Rashidov</cp:lastModifiedBy>
  <dcterms:created xsi:type="dcterms:W3CDTF">2024-12-13T16:34:47Z</dcterms:created>
  <dcterms:modified xsi:type="dcterms:W3CDTF">2025-08-25T12:25:44Z</dcterms:modified>
</cp:coreProperties>
</file>