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iddiq2/Downloads/"/>
    </mc:Choice>
  </mc:AlternateContent>
  <xr:revisionPtr revIDLastSave="0" documentId="13_ncr:1_{DCE90B28-4EDC-A343-A332-B1E89C55C953}" xr6:coauthVersionLast="47" xr6:coauthVersionMax="47" xr10:uidLastSave="{00000000-0000-0000-0000-000000000000}"/>
  <bookViews>
    <workbookView xWindow="0" yWindow="480" windowWidth="38400" windowHeight="21120" xr2:uid="{00000000-000D-0000-FFFF-FFFF00000000}"/>
  </bookViews>
  <sheets>
    <sheet name="Sheet1" sheetId="1" r:id="rId1"/>
  </sheets>
  <definedNames>
    <definedName name="_xlnm._FilterDatabase" localSheetId="0" hidden="1">Sheet1!$A$1:$N$1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K66" i="1"/>
  <c r="K47" i="1"/>
  <c r="K366" i="1"/>
  <c r="K289" i="1"/>
  <c r="K210" i="1"/>
  <c r="K161" i="1"/>
  <c r="K353" i="1"/>
  <c r="K37" i="1"/>
  <c r="K123" i="1"/>
  <c r="K81" i="1"/>
  <c r="K199" i="1"/>
  <c r="K234" i="1"/>
  <c r="K139" i="1"/>
  <c r="K140" i="1"/>
  <c r="K4" i="1"/>
  <c r="K115" i="1"/>
  <c r="K13" i="1"/>
  <c r="K295" i="1"/>
  <c r="K22" i="1"/>
  <c r="K141" i="1"/>
  <c r="K310" i="1"/>
  <c r="K147" i="1"/>
  <c r="K132" i="1"/>
  <c r="K223" i="1"/>
  <c r="K209" i="1"/>
  <c r="K259" i="1"/>
  <c r="K168" i="1"/>
  <c r="K218" i="1"/>
  <c r="K344" i="1"/>
  <c r="K196" i="1"/>
  <c r="K301" i="1"/>
  <c r="K91" i="1"/>
  <c r="K125" i="1"/>
  <c r="K359" i="1"/>
  <c r="K364" i="1"/>
  <c r="K279" i="1"/>
  <c r="K396" i="1"/>
  <c r="K170" i="1"/>
  <c r="K27" i="1"/>
  <c r="K36" i="1"/>
  <c r="K260" i="1"/>
  <c r="K30" i="1"/>
  <c r="K309" i="1"/>
  <c r="K287" i="1"/>
  <c r="K105" i="1"/>
  <c r="K216" i="1"/>
  <c r="K49" i="1"/>
  <c r="K276" i="1"/>
  <c r="K28" i="1"/>
  <c r="K229" i="1"/>
  <c r="K108" i="1"/>
  <c r="K179" i="1"/>
  <c r="K9" i="1"/>
  <c r="K58" i="1"/>
  <c r="K233" i="1"/>
  <c r="K176" i="1"/>
  <c r="K372" i="1"/>
  <c r="K192" i="1"/>
  <c r="K29" i="1"/>
  <c r="K313" i="1"/>
  <c r="K95" i="1"/>
  <c r="K177" i="1"/>
  <c r="K258" i="1"/>
  <c r="K33" i="1"/>
  <c r="K195" i="1"/>
  <c r="K389" i="1"/>
  <c r="K8" i="1"/>
  <c r="K119" i="1"/>
  <c r="K282" i="1"/>
  <c r="K374" i="1"/>
  <c r="K41" i="1"/>
  <c r="K356" i="1"/>
  <c r="K99" i="1"/>
  <c r="K40" i="1"/>
  <c r="K296" i="1"/>
  <c r="K294" i="1"/>
  <c r="K98" i="1"/>
  <c r="K324" i="1"/>
  <c r="K53" i="1"/>
  <c r="K173" i="1"/>
  <c r="K213" i="1"/>
  <c r="K136" i="1"/>
  <c r="K122" i="1"/>
  <c r="K221" i="1"/>
  <c r="K172" i="1"/>
  <c r="K166" i="1"/>
  <c r="K124" i="1"/>
  <c r="K155" i="1"/>
  <c r="K224" i="1"/>
  <c r="K262" i="1"/>
  <c r="K326" i="1"/>
  <c r="K292" i="1"/>
  <c r="K336" i="1"/>
  <c r="K312" i="1"/>
  <c r="K112" i="1"/>
  <c r="K3" i="1"/>
  <c r="K220" i="1"/>
  <c r="K193" i="1"/>
  <c r="K182" i="1"/>
  <c r="K290" i="1"/>
  <c r="K330" i="1"/>
  <c r="K135" i="1"/>
  <c r="K314" i="1"/>
  <c r="K384" i="1"/>
  <c r="K321" i="1"/>
  <c r="K257" i="1"/>
  <c r="K323" i="1"/>
  <c r="K82" i="1"/>
  <c r="K202" i="1"/>
  <c r="K360" i="1"/>
  <c r="K236" i="1"/>
  <c r="K57" i="1"/>
  <c r="K153" i="1"/>
  <c r="K42" i="1"/>
  <c r="K138" i="1"/>
  <c r="K208" i="1"/>
  <c r="K159" i="1"/>
  <c r="K228" i="1"/>
  <c r="K383" i="1"/>
  <c r="K365" i="1"/>
  <c r="K393" i="1"/>
  <c r="K62" i="1"/>
  <c r="K126" i="1"/>
  <c r="K88" i="1"/>
  <c r="K231" i="1"/>
  <c r="K398" i="1"/>
  <c r="K281" i="1"/>
  <c r="K319" i="1"/>
  <c r="K121" i="1"/>
  <c r="K273" i="1"/>
  <c r="K64" i="1"/>
  <c r="K274" i="1"/>
  <c r="K104" i="1"/>
  <c r="K178" i="1"/>
  <c r="K34" i="1"/>
  <c r="K380" i="1"/>
  <c r="K162" i="1"/>
  <c r="K6" i="1"/>
  <c r="K87" i="1"/>
  <c r="K114" i="1"/>
  <c r="K284" i="1"/>
  <c r="K200" i="1"/>
  <c r="K291" i="1"/>
  <c r="K25" i="1"/>
  <c r="K403" i="1"/>
  <c r="K331" i="1"/>
  <c r="K92" i="1"/>
  <c r="K318" i="1"/>
  <c r="K127" i="1"/>
  <c r="K286" i="1"/>
  <c r="K35" i="1"/>
  <c r="K308" i="1"/>
  <c r="K180" i="1"/>
  <c r="K328" i="1"/>
  <c r="K350" i="1"/>
  <c r="K90" i="1"/>
  <c r="K297" i="1"/>
  <c r="K129" i="1"/>
  <c r="K373" i="1"/>
  <c r="K67" i="1"/>
  <c r="K299" i="1"/>
  <c r="K93" i="1"/>
  <c r="K355" i="1"/>
  <c r="K96" i="1"/>
  <c r="K329" i="1"/>
  <c r="K117" i="1"/>
  <c r="K52" i="1"/>
  <c r="K187" i="1"/>
  <c r="K235" i="1"/>
  <c r="K107" i="1"/>
  <c r="K85" i="1"/>
  <c r="K133" i="1"/>
  <c r="K267" i="1"/>
  <c r="K118" i="1"/>
  <c r="K60" i="1"/>
  <c r="K23" i="1"/>
  <c r="K21" i="1"/>
  <c r="K204" i="1"/>
  <c r="K219" i="1"/>
  <c r="K302" i="1"/>
  <c r="K351" i="1"/>
  <c r="K151" i="1"/>
  <c r="K367" i="1"/>
  <c r="K38" i="1"/>
  <c r="K134" i="1"/>
  <c r="K316" i="1"/>
  <c r="K103" i="1"/>
  <c r="K376" i="1"/>
  <c r="K217" i="1"/>
  <c r="K2" i="1"/>
  <c r="K399" i="1"/>
  <c r="K20" i="1"/>
  <c r="K101" i="1"/>
  <c r="K265" i="1"/>
  <c r="K97" i="1"/>
  <c r="K163" i="1"/>
  <c r="K264" i="1"/>
  <c r="K381" i="1"/>
  <c r="K181" i="1"/>
  <c r="K63" i="1"/>
  <c r="K160" i="1"/>
  <c r="K317" i="1"/>
  <c r="K268" i="1"/>
  <c r="K346" i="1"/>
  <c r="K154" i="1"/>
  <c r="K327" i="1"/>
  <c r="K388" i="1"/>
  <c r="K335" i="1"/>
  <c r="K361" i="1"/>
  <c r="K102" i="1"/>
  <c r="K43" i="1"/>
  <c r="K395" i="1"/>
  <c r="K24" i="1"/>
  <c r="K387" i="1"/>
  <c r="K343" i="1"/>
  <c r="K226" i="1"/>
  <c r="K240" i="1"/>
  <c r="K211" i="1"/>
  <c r="K131" i="1"/>
  <c r="K303" i="1"/>
  <c r="K84" i="1"/>
  <c r="K237" i="1"/>
  <c r="K241" i="1"/>
  <c r="K242" i="1"/>
  <c r="K261" i="1"/>
  <c r="K283" i="1"/>
  <c r="K263" i="1"/>
  <c r="K110" i="1"/>
  <c r="K11" i="1"/>
  <c r="K247" i="1"/>
  <c r="K285" i="1"/>
  <c r="K250" i="1"/>
  <c r="K246" i="1"/>
  <c r="K337" i="1"/>
  <c r="K252" i="1"/>
  <c r="K128" i="1"/>
  <c r="K152" i="1"/>
  <c r="K44" i="1"/>
  <c r="K244" i="1"/>
  <c r="K149" i="1"/>
  <c r="K156" i="1"/>
  <c r="K253" i="1"/>
  <c r="K358" i="1"/>
  <c r="K230" i="1"/>
  <c r="K68" i="1"/>
  <c r="K368" i="1"/>
  <c r="K369" i="1"/>
  <c r="K266" i="1"/>
  <c r="K238" i="1"/>
  <c r="K83" i="1"/>
  <c r="K248" i="1"/>
  <c r="K255" i="1"/>
  <c r="K256" i="1"/>
  <c r="K322" i="1"/>
  <c r="K100" i="1"/>
  <c r="K65" i="1"/>
  <c r="K183" i="1"/>
  <c r="K143" i="1"/>
  <c r="K342" i="1"/>
  <c r="K31" i="1"/>
  <c r="K245" i="1"/>
  <c r="K167" i="1"/>
  <c r="K251" i="1"/>
  <c r="K222" i="1"/>
  <c r="K212" i="1"/>
  <c r="K249" i="1"/>
  <c r="K315" i="1"/>
  <c r="K14" i="1"/>
  <c r="K243" i="1"/>
  <c r="K254" i="1"/>
  <c r="K347" i="1"/>
  <c r="K174" i="1"/>
  <c r="K188" i="1"/>
  <c r="K189" i="1"/>
  <c r="K15" i="1"/>
  <c r="K16" i="1"/>
  <c r="K150" i="1"/>
  <c r="K339" i="1"/>
  <c r="K239" i="1"/>
  <c r="K400" i="1"/>
  <c r="K215" i="1"/>
  <c r="K56" i="1"/>
  <c r="K7" i="1"/>
  <c r="K270" i="1"/>
  <c r="K185" i="1"/>
  <c r="K48" i="1"/>
  <c r="K405" i="1"/>
  <c r="K306" i="1"/>
  <c r="K269" i="1"/>
  <c r="K71" i="1"/>
  <c r="K72" i="1"/>
  <c r="K73" i="1"/>
  <c r="K74" i="1"/>
  <c r="K75" i="1"/>
  <c r="K76" i="1"/>
  <c r="K77" i="1"/>
  <c r="K78" i="1"/>
  <c r="K70" i="1"/>
  <c r="K79" i="1"/>
  <c r="K348" i="1"/>
  <c r="K116" i="1"/>
  <c r="K338" i="1"/>
  <c r="K164" i="1"/>
  <c r="K340" i="1"/>
  <c r="K406" i="1"/>
  <c r="K214" i="1"/>
  <c r="K54" i="1"/>
  <c r="K18" i="1"/>
  <c r="K271" i="1"/>
  <c r="K407" i="1"/>
  <c r="K17" i="1"/>
  <c r="K12" i="1"/>
  <c r="K10" i="1"/>
  <c r="K198" i="1"/>
  <c r="K206" i="1"/>
  <c r="K333" i="1"/>
  <c r="K311" i="1"/>
  <c r="K382" i="1"/>
  <c r="K225" i="1"/>
  <c r="K205" i="1"/>
  <c r="K408" i="1"/>
  <c r="K80" i="1"/>
  <c r="K349" i="1"/>
  <c r="K375" i="1"/>
  <c r="K391" i="1"/>
  <c r="K352" i="1"/>
  <c r="K111" i="1"/>
  <c r="K145" i="1"/>
  <c r="K390" i="1"/>
  <c r="K19" i="1"/>
  <c r="K379" i="1"/>
  <c r="K146" i="1"/>
  <c r="K144" i="1"/>
  <c r="K341" i="1"/>
  <c r="K272" i="1"/>
  <c r="K304" i="1"/>
  <c r="K130" i="1"/>
  <c r="K397" i="1"/>
  <c r="K345" i="1"/>
  <c r="K157" i="1"/>
  <c r="K169" i="1"/>
  <c r="G98" i="1"/>
  <c r="G396" i="1"/>
  <c r="G211" i="1"/>
  <c r="G119" i="1"/>
  <c r="G118" i="1"/>
  <c r="G151" i="1"/>
  <c r="G218" i="1"/>
  <c r="G212" i="1"/>
  <c r="G10" i="1"/>
  <c r="G344" i="1"/>
  <c r="G367" i="1"/>
  <c r="G369" i="1"/>
  <c r="G368" i="1"/>
  <c r="G366" i="1"/>
  <c r="G156" i="1"/>
  <c r="G294" i="1"/>
  <c r="G140" i="1"/>
  <c r="G152" i="1"/>
  <c r="G310" i="1"/>
  <c r="G337" i="1"/>
  <c r="G125" i="1"/>
  <c r="G33" i="1"/>
  <c r="G34" i="1"/>
  <c r="G35" i="1"/>
  <c r="G30" i="1"/>
  <c r="G26" i="1"/>
  <c r="G28" i="1"/>
  <c r="G231" i="1"/>
  <c r="G27" i="1"/>
  <c r="G121" i="1"/>
  <c r="G29" i="1"/>
  <c r="G16" i="1"/>
  <c r="G19" i="1"/>
  <c r="G18" i="1"/>
  <c r="G14" i="1"/>
  <c r="G15" i="1"/>
  <c r="G17" i="1"/>
  <c r="G13" i="1"/>
  <c r="G104" i="1"/>
  <c r="G178" i="1"/>
  <c r="G153" i="1"/>
  <c r="G154" i="1"/>
  <c r="G308" i="1"/>
  <c r="G96" i="1"/>
  <c r="G91" i="1"/>
  <c r="G23" i="1"/>
  <c r="G40" i="1"/>
  <c r="G87" i="1"/>
  <c r="G168" i="1"/>
  <c r="G403" i="1"/>
  <c r="G183" i="1"/>
  <c r="G306" i="1"/>
  <c r="G65" i="1"/>
  <c r="G391" i="1"/>
  <c r="G219" i="1"/>
  <c r="G21" i="1"/>
  <c r="G132" i="1"/>
  <c r="G92" i="1"/>
  <c r="G111" i="1"/>
  <c r="G110" i="1"/>
  <c r="G107" i="1"/>
  <c r="G126" i="1"/>
  <c r="G274" i="1"/>
  <c r="G204" i="1"/>
  <c r="G123" i="1"/>
  <c r="G4" i="1"/>
  <c r="G399" i="1"/>
  <c r="G180" i="1"/>
  <c r="G181" i="1"/>
  <c r="G287" i="1"/>
  <c r="G199" i="1"/>
  <c r="G331" i="1"/>
  <c r="G90" i="1"/>
  <c r="G383" i="1"/>
  <c r="G105" i="1"/>
  <c r="G145" i="1"/>
  <c r="G342" i="1"/>
  <c r="G146" i="1"/>
  <c r="G144" i="1"/>
  <c r="G67" i="1"/>
  <c r="G22" i="1"/>
  <c r="G99" i="1"/>
  <c r="G100" i="1"/>
  <c r="G37" i="1"/>
  <c r="G284" i="1"/>
  <c r="G315" i="1"/>
  <c r="G313" i="1"/>
  <c r="G314" i="1"/>
  <c r="G353" i="1"/>
  <c r="G372" i="1"/>
  <c r="G210" i="1"/>
  <c r="G405" i="1"/>
  <c r="G182" i="1"/>
  <c r="G215" i="1"/>
  <c r="G48" i="1"/>
  <c r="G388" i="1"/>
  <c r="G233" i="1"/>
  <c r="G84" i="1"/>
  <c r="G83" i="1"/>
  <c r="G228" i="1"/>
  <c r="G336" i="1"/>
  <c r="G176" i="1"/>
  <c r="G166" i="1"/>
  <c r="G309" i="1"/>
  <c r="G404" i="1"/>
  <c r="G170" i="1"/>
  <c r="G361" i="1"/>
  <c r="G358" i="1"/>
  <c r="G355" i="1"/>
  <c r="G226" i="1"/>
  <c r="G346" i="1"/>
  <c r="G326" i="1"/>
  <c r="G63" i="1"/>
  <c r="G159" i="1"/>
  <c r="G382" i="1"/>
  <c r="G206" i="1"/>
  <c r="G155" i="1"/>
  <c r="G163" i="1"/>
  <c r="G341" i="1"/>
  <c r="G340" i="1"/>
  <c r="G339" i="1"/>
  <c r="G311" i="1"/>
  <c r="G42" i="1"/>
  <c r="G131" i="1"/>
  <c r="G335" i="1"/>
  <c r="G328" i="1"/>
  <c r="G327" i="1"/>
  <c r="G102" i="1"/>
  <c r="G103" i="1"/>
  <c r="G101" i="1"/>
  <c r="G2" i="1"/>
  <c r="G173" i="1"/>
  <c r="G285" i="1"/>
  <c r="G187" i="1"/>
  <c r="G343" i="1"/>
  <c r="G338" i="1"/>
  <c r="G160" i="1"/>
  <c r="G267" i="1"/>
  <c r="G268" i="1"/>
  <c r="G263" i="1"/>
  <c r="G265" i="1"/>
  <c r="G264" i="1"/>
  <c r="G269" i="1"/>
  <c r="G266" i="1"/>
  <c r="G270" i="1"/>
  <c r="G272" i="1"/>
  <c r="G273" i="1"/>
  <c r="G262" i="1"/>
  <c r="G271" i="1"/>
  <c r="G390" i="1"/>
  <c r="G143" i="1"/>
  <c r="G225" i="1"/>
  <c r="G229" i="1"/>
  <c r="G329" i="1"/>
  <c r="G349" i="1"/>
  <c r="G348" i="1"/>
  <c r="G97" i="1"/>
  <c r="G261" i="1"/>
  <c r="G38" i="1"/>
  <c r="G400" i="1"/>
  <c r="G230" i="1"/>
  <c r="G365" i="1"/>
  <c r="G213" i="1"/>
  <c r="G217" i="1"/>
  <c r="G292" i="1"/>
  <c r="G291" i="1"/>
  <c r="G193" i="1"/>
  <c r="G195" i="1"/>
  <c r="G194" i="1"/>
  <c r="G406" i="1"/>
  <c r="G407" i="1"/>
  <c r="G198" i="1"/>
  <c r="G279" i="1"/>
  <c r="G281" i="1"/>
  <c r="G11" i="1"/>
  <c r="G9" i="1"/>
  <c r="G393" i="1"/>
  <c r="G380" i="1"/>
  <c r="G379" i="1"/>
  <c r="G57" i="1"/>
  <c r="G58" i="1"/>
  <c r="G384" i="1"/>
  <c r="G350" i="1"/>
  <c r="G53" i="1"/>
  <c r="G54" i="1"/>
  <c r="G108" i="1"/>
  <c r="G286" i="1"/>
  <c r="G141" i="1"/>
  <c r="G12" i="1"/>
  <c r="G387" i="1"/>
  <c r="G395" i="1"/>
  <c r="G177" i="1"/>
  <c r="G303" i="1"/>
  <c r="G304" i="1"/>
  <c r="G162" i="1"/>
  <c r="G376" i="1"/>
  <c r="G283" i="1"/>
  <c r="G41" i="1"/>
  <c r="G282" i="1"/>
  <c r="G95" i="1"/>
  <c r="G192" i="1"/>
  <c r="G276" i="1"/>
  <c r="G85" i="1"/>
  <c r="G3" i="1"/>
  <c r="G333" i="1"/>
  <c r="G6" i="1"/>
  <c r="G250" i="1"/>
  <c r="G253" i="1"/>
  <c r="G242" i="1"/>
  <c r="G237" i="1"/>
  <c r="G256" i="1"/>
  <c r="G246" i="1"/>
  <c r="G244" i="1"/>
  <c r="G248" i="1"/>
  <c r="G243" i="1"/>
  <c r="G249" i="1"/>
  <c r="G238" i="1"/>
  <c r="G245" i="1"/>
  <c r="G241" i="1"/>
  <c r="G251" i="1"/>
  <c r="G247" i="1"/>
  <c r="G254" i="1"/>
  <c r="G240" i="1"/>
  <c r="G252" i="1"/>
  <c r="G239" i="1"/>
  <c r="G255" i="1"/>
  <c r="G236" i="1"/>
  <c r="G138" i="1"/>
  <c r="G257" i="1"/>
  <c r="G130" i="1"/>
  <c r="G397" i="1"/>
  <c r="G8" i="1"/>
  <c r="G114" i="1"/>
  <c r="G179" i="1"/>
  <c r="G345" i="1"/>
  <c r="G290" i="1"/>
  <c r="G135" i="1"/>
  <c r="G316" i="1"/>
  <c r="G317" i="1"/>
  <c r="G318" i="1"/>
  <c r="G44" i="1"/>
  <c r="G43" i="1"/>
  <c r="G129" i="1"/>
  <c r="G319" i="1"/>
  <c r="G5" i="1"/>
  <c r="G293" i="1"/>
  <c r="G221" i="1"/>
  <c r="G52" i="1"/>
  <c r="G64" i="1"/>
  <c r="G81" i="1"/>
  <c r="G359" i="1"/>
  <c r="G147" i="1"/>
  <c r="G330" i="1"/>
  <c r="G216" i="1"/>
  <c r="G172" i="1"/>
  <c r="G347" i="1"/>
  <c r="G62" i="1"/>
  <c r="G117" i="1"/>
  <c r="G398" i="1"/>
  <c r="G7" i="1"/>
  <c r="G321" i="1"/>
  <c r="G322" i="1"/>
  <c r="G373" i="1"/>
  <c r="G202" i="1"/>
  <c r="G122" i="1"/>
  <c r="G235" i="1"/>
  <c r="G408" i="1"/>
  <c r="G205" i="1"/>
  <c r="G128" i="1"/>
  <c r="G174" i="1"/>
  <c r="G188" i="1"/>
  <c r="G189" i="1"/>
  <c r="G295" i="1"/>
  <c r="G296" i="1"/>
  <c r="G297" i="1"/>
  <c r="G324" i="1"/>
  <c r="G127" i="1"/>
  <c r="G150" i="1"/>
  <c r="G149" i="1"/>
  <c r="G196" i="1"/>
  <c r="G299" i="1"/>
  <c r="G375" i="1"/>
  <c r="G374" i="1"/>
  <c r="G351" i="1"/>
  <c r="G352" i="1"/>
  <c r="G185" i="1"/>
  <c r="G360" i="1"/>
  <c r="G161" i="1"/>
  <c r="G51" i="1"/>
  <c r="G214" i="1"/>
  <c r="G289" i="1"/>
  <c r="G25" i="1"/>
  <c r="G24" i="1"/>
  <c r="G157" i="1"/>
  <c r="G70" i="1"/>
  <c r="G75" i="1"/>
  <c r="G76" i="1"/>
  <c r="G73" i="1"/>
  <c r="G74" i="1"/>
  <c r="G79" i="1"/>
  <c r="G72" i="1"/>
  <c r="G71" i="1"/>
  <c r="G77" i="1"/>
  <c r="G78" i="1"/>
  <c r="G20" i="1"/>
  <c r="G222" i="1"/>
  <c r="G223" i="1"/>
  <c r="G224" i="1"/>
  <c r="G260" i="1"/>
  <c r="G389" i="1"/>
  <c r="G115" i="1"/>
  <c r="G116" i="1"/>
  <c r="G82" i="1"/>
  <c r="G60" i="1"/>
  <c r="G49" i="1"/>
  <c r="G323" i="1"/>
  <c r="G88" i="1"/>
  <c r="G56" i="1"/>
  <c r="G301" i="1"/>
  <c r="G93" i="1"/>
  <c r="G36" i="1"/>
  <c r="G136" i="1"/>
  <c r="G80" i="1"/>
  <c r="G68" i="1"/>
  <c r="G167" i="1"/>
  <c r="G169" i="1"/>
  <c r="G31" i="1"/>
  <c r="G164" i="1"/>
  <c r="N32" i="1"/>
  <c r="K32" i="1" s="1"/>
  <c r="N300" i="1"/>
  <c r="K300" i="1" s="1"/>
  <c r="N334" i="1"/>
  <c r="K334" i="1" s="1"/>
  <c r="N370" i="1"/>
  <c r="K370" i="1" s="1"/>
  <c r="N69" i="1"/>
  <c r="K69" i="1" s="1"/>
  <c r="N51" i="1"/>
  <c r="K51" i="1" s="1"/>
  <c r="N184" i="1"/>
  <c r="K184" i="1" s="1"/>
  <c r="N305" i="1"/>
  <c r="K305" i="1" s="1"/>
  <c r="N142" i="1"/>
  <c r="K142" i="1" s="1"/>
  <c r="N148" i="1"/>
  <c r="K148" i="1" s="1"/>
  <c r="N307" i="1"/>
  <c r="K307" i="1" s="1"/>
  <c r="N201" i="1"/>
  <c r="K201" i="1" s="1"/>
  <c r="N364" i="1"/>
  <c r="N61" i="1"/>
  <c r="K61" i="1" s="1"/>
  <c r="N200" i="1"/>
  <c r="N227" i="1"/>
  <c r="K227" i="1" s="1"/>
  <c r="N401" i="1"/>
  <c r="K401" i="1" s="1"/>
  <c r="N378" i="1"/>
  <c r="K378" i="1" s="1"/>
  <c r="N293" i="1"/>
  <c r="K293" i="1" s="1"/>
  <c r="N5" i="1"/>
  <c r="K5" i="1" s="1"/>
  <c r="N113" i="1"/>
  <c r="K113" i="1" s="1"/>
  <c r="N332" i="1"/>
  <c r="K332" i="1" s="1"/>
  <c r="N190" i="1"/>
  <c r="K190" i="1" s="1"/>
  <c r="N191" i="1"/>
  <c r="K191" i="1" s="1"/>
  <c r="N158" i="1"/>
  <c r="K158" i="1" s="1"/>
  <c r="N377" i="1"/>
  <c r="K377" i="1" s="1"/>
  <c r="N55" i="1"/>
  <c r="K55" i="1" s="1"/>
  <c r="N394" i="1"/>
  <c r="K394" i="1" s="1"/>
  <c r="N175" i="1"/>
  <c r="K175" i="1" s="1"/>
  <c r="N59" i="1" l="1"/>
  <c r="K59" i="1" s="1"/>
  <c r="N280" i="1"/>
  <c r="K280" i="1" s="1"/>
  <c r="N197" i="1"/>
  <c r="K197" i="1" s="1"/>
  <c r="N194" i="1"/>
  <c r="K194" i="1" s="1"/>
  <c r="N165" i="1"/>
  <c r="K165" i="1" s="1"/>
  <c r="N171" i="1"/>
  <c r="K171" i="1" s="1"/>
  <c r="N275" i="1"/>
  <c r="K275" i="1" s="1"/>
  <c r="N207" i="1"/>
  <c r="K207" i="1" s="1"/>
  <c r="N354" i="1"/>
  <c r="K354" i="1" s="1"/>
  <c r="N232" i="1"/>
  <c r="K232" i="1" s="1"/>
  <c r="N137" i="1"/>
  <c r="K137" i="1" s="1"/>
  <c r="N45" i="1"/>
  <c r="K45" i="1" s="1"/>
  <c r="N277" i="1"/>
  <c r="K277" i="1" s="1"/>
  <c r="N278" i="1"/>
  <c r="K278" i="1" s="1"/>
  <c r="N46" i="1"/>
  <c r="K46" i="1" s="1"/>
  <c r="N320" i="1"/>
  <c r="K320" i="1" s="1"/>
  <c r="N357" i="1"/>
  <c r="K357" i="1" s="1"/>
  <c r="N404" i="1"/>
  <c r="K404" i="1" s="1"/>
  <c r="N94" i="1"/>
  <c r="K94" i="1" s="1"/>
  <c r="N288" i="1"/>
  <c r="K288" i="1" s="1"/>
  <c r="N50" i="1"/>
  <c r="K50" i="1" s="1"/>
  <c r="N39" i="1"/>
  <c r="K39" i="1" s="1"/>
  <c r="N298" i="1"/>
  <c r="K298" i="1" s="1"/>
  <c r="N120" i="1"/>
  <c r="K120" i="1" s="1"/>
  <c r="N392" i="1"/>
  <c r="K392" i="1" s="1"/>
  <c r="N89" i="1"/>
  <c r="K89" i="1" s="1"/>
  <c r="N186" i="1"/>
  <c r="K186" i="1" s="1"/>
  <c r="N203" i="1"/>
  <c r="K203" i="1" s="1"/>
  <c r="N109" i="1"/>
  <c r="K109" i="1" s="1"/>
  <c r="N362" i="1"/>
  <c r="K362" i="1" s="1"/>
  <c r="N325" i="1" l="1"/>
  <c r="K325" i="1" s="1"/>
  <c r="J32" i="1" l="1"/>
  <c r="G32" i="1" s="1"/>
  <c r="J300" i="1"/>
  <c r="G300" i="1" s="1"/>
  <c r="J334" i="1"/>
  <c r="G334" i="1" s="1"/>
  <c r="J370" i="1"/>
  <c r="G370" i="1" s="1"/>
  <c r="J69" i="1"/>
  <c r="G69" i="1" s="1"/>
  <c r="J184" i="1"/>
  <c r="G184" i="1" s="1"/>
  <c r="J305" i="1"/>
  <c r="G305" i="1" s="1"/>
  <c r="J142" i="1"/>
  <c r="G142" i="1" s="1"/>
  <c r="J148" i="1"/>
  <c r="G148" i="1" s="1"/>
  <c r="J112" i="1"/>
  <c r="G112" i="1" s="1"/>
  <c r="J307" i="1"/>
  <c r="G307" i="1" s="1"/>
  <c r="J234" i="1"/>
  <c r="G234" i="1" s="1"/>
  <c r="J381" i="1"/>
  <c r="G381" i="1" s="1"/>
  <c r="J201" i="1"/>
  <c r="G201" i="1" s="1"/>
  <c r="J364" i="1"/>
  <c r="G364" i="1" s="1"/>
  <c r="J61" i="1"/>
  <c r="G61" i="1" s="1"/>
  <c r="J220" i="1"/>
  <c r="G220" i="1" s="1"/>
  <c r="J200" i="1"/>
  <c r="G200" i="1" s="1"/>
  <c r="J227" i="1"/>
  <c r="G227" i="1" s="1"/>
  <c r="J401" i="1"/>
  <c r="G401" i="1" s="1"/>
  <c r="J378" i="1"/>
  <c r="G378" i="1" s="1"/>
  <c r="J66" i="1"/>
  <c r="G66" i="1" s="1"/>
  <c r="J113" i="1"/>
  <c r="G113" i="1" s="1"/>
  <c r="J332" i="1" l="1"/>
  <c r="G332" i="1" s="1"/>
  <c r="J190" i="1"/>
  <c r="G190" i="1" s="1"/>
  <c r="J191" i="1"/>
  <c r="G191" i="1" s="1"/>
  <c r="J158" i="1"/>
  <c r="G158" i="1" s="1"/>
  <c r="J377" i="1"/>
  <c r="G377" i="1" s="1"/>
  <c r="J124" i="1"/>
  <c r="G124" i="1" s="1"/>
  <c r="J55" i="1"/>
  <c r="G55" i="1" s="1"/>
  <c r="J394" i="1"/>
  <c r="G394" i="1" s="1"/>
  <c r="J258" i="1"/>
  <c r="G258" i="1" s="1"/>
  <c r="J175" i="1"/>
  <c r="G175" i="1" s="1"/>
  <c r="J59" i="1"/>
  <c r="G59" i="1" s="1"/>
  <c r="J280" i="1"/>
  <c r="G280" i="1" s="1"/>
  <c r="J197" i="1"/>
  <c r="G197" i="1" s="1"/>
  <c r="J312" i="1"/>
  <c r="G312" i="1" s="1"/>
  <c r="J165" i="1"/>
  <c r="G165" i="1" s="1"/>
  <c r="J171" i="1"/>
  <c r="G171" i="1" s="1"/>
  <c r="J275" i="1"/>
  <c r="G275" i="1" s="1"/>
  <c r="J207" i="1" l="1"/>
  <c r="G207" i="1" s="1"/>
  <c r="J209" i="1"/>
  <c r="G209" i="1" s="1"/>
  <c r="J354" i="1"/>
  <c r="G354" i="1" s="1"/>
  <c r="J232" i="1"/>
  <c r="G232" i="1" s="1"/>
  <c r="J137" i="1"/>
  <c r="G137" i="1" s="1"/>
  <c r="J45" i="1"/>
  <c r="G45" i="1" s="1"/>
  <c r="J277" i="1"/>
  <c r="G277" i="1" s="1"/>
  <c r="J278" i="1"/>
  <c r="G278" i="1" s="1"/>
  <c r="J46" i="1"/>
  <c r="G46" i="1" s="1"/>
  <c r="J320" i="1"/>
  <c r="G320" i="1" s="1"/>
  <c r="J357" i="1"/>
  <c r="G357" i="1" s="1"/>
  <c r="J356" i="1"/>
  <c r="G356" i="1" s="1"/>
  <c r="J94" i="1"/>
  <c r="G94" i="1" s="1"/>
  <c r="J288" i="1"/>
  <c r="G288" i="1" s="1"/>
  <c r="J50" i="1"/>
  <c r="G50" i="1" s="1"/>
  <c r="J39" i="1"/>
  <c r="G39" i="1" s="1"/>
  <c r="J298" i="1"/>
  <c r="G298" i="1" s="1"/>
  <c r="J120" i="1"/>
  <c r="G120" i="1" s="1"/>
  <c r="J392" i="1"/>
  <c r="G392" i="1" s="1"/>
  <c r="J302" i="1"/>
  <c r="G302" i="1" s="1"/>
  <c r="J89" i="1"/>
  <c r="G89" i="1" s="1"/>
  <c r="J186" i="1"/>
  <c r="G186" i="1" s="1"/>
  <c r="J203" i="1"/>
  <c r="G203" i="1" s="1"/>
  <c r="J109" i="1"/>
  <c r="G109" i="1" s="1"/>
  <c r="J362" i="1"/>
  <c r="G362" i="1" s="1"/>
  <c r="J325" i="1"/>
  <c r="G325" i="1" s="1"/>
  <c r="N402" i="1" l="1"/>
  <c r="K402" i="1" s="1"/>
  <c r="N385" i="1"/>
  <c r="K385" i="1" s="1"/>
  <c r="J402" i="1"/>
  <c r="G402" i="1" s="1"/>
  <c r="J385" i="1"/>
  <c r="G385" i="1" s="1"/>
  <c r="J133" i="1"/>
  <c r="G133" i="1" s="1"/>
  <c r="J134" i="1"/>
  <c r="G134" i="1" s="1"/>
  <c r="J47" i="1"/>
  <c r="G47" i="1" s="1"/>
  <c r="J208" i="1"/>
  <c r="G208" i="1" s="1"/>
  <c r="N363" i="1"/>
  <c r="K363" i="1" s="1"/>
  <c r="J363" i="1"/>
  <c r="G363" i="1" s="1"/>
  <c r="N386" i="1"/>
  <c r="K386" i="1" s="1"/>
  <c r="J386" i="1"/>
  <c r="G386" i="1" s="1"/>
  <c r="J106" i="1" l="1"/>
  <c r="G106" i="1" s="1"/>
  <c r="N106" i="1"/>
  <c r="K106" i="1" s="1"/>
  <c r="J259" i="1" l="1"/>
  <c r="G259" i="1" s="1"/>
  <c r="J139" i="1"/>
  <c r="G139" i="1" s="1"/>
  <c r="J86" i="1"/>
  <c r="G86" i="1" s="1"/>
  <c r="N86" i="1"/>
  <c r="K86" i="1" s="1"/>
  <c r="N371" i="1" l="1"/>
  <c r="K371" i="1" s="1"/>
  <c r="J371" i="1"/>
  <c r="G371" i="1" s="1"/>
</calcChain>
</file>

<file path=xl/sharedStrings.xml><?xml version="1.0" encoding="utf-8"?>
<sst xmlns="http://schemas.openxmlformats.org/spreadsheetml/2006/main" count="2050" uniqueCount="1214">
  <si>
    <t>Name</t>
  </si>
  <si>
    <t>No.</t>
  </si>
  <si>
    <t>Address</t>
  </si>
  <si>
    <t>City</t>
  </si>
  <si>
    <t>ZIP Code</t>
  </si>
  <si>
    <t>County</t>
  </si>
  <si>
    <t>TOTAL LBS</t>
  </si>
  <si>
    <t>TOTAL STORE RESCUE POUNDS</t>
  </si>
  <si>
    <t>Alamance Co Community Services</t>
  </si>
  <si>
    <t>0538EMP01</t>
  </si>
  <si>
    <t>236 N. Mebane St</t>
  </si>
  <si>
    <t>Burlington</t>
  </si>
  <si>
    <t>ALA</t>
  </si>
  <si>
    <t>Piedmont Rescue Mission</t>
  </si>
  <si>
    <t>0664EMP01</t>
  </si>
  <si>
    <t>1519 N Mebane St</t>
  </si>
  <si>
    <t>Melfield United Ch of Christ</t>
  </si>
  <si>
    <t>0692EMP01</t>
  </si>
  <si>
    <t>2144 Melfield Dr</t>
  </si>
  <si>
    <t>Haw River</t>
  </si>
  <si>
    <t>Gethsemane Christian Church</t>
  </si>
  <si>
    <t>0758EMP01</t>
  </si>
  <si>
    <t>1650 Burch Bridge Rd</t>
  </si>
  <si>
    <t>Harvest Baptist Church</t>
  </si>
  <si>
    <t>0805EMP01</t>
  </si>
  <si>
    <t>3741 S Church St</t>
  </si>
  <si>
    <t>Greater Canaan Baptist Church</t>
  </si>
  <si>
    <t>1022EMP01</t>
  </si>
  <si>
    <t>1764 N NC Hwy 119</t>
  </si>
  <si>
    <t>Mebane</t>
  </si>
  <si>
    <t>Burlington Assembly of God</t>
  </si>
  <si>
    <t>1072SPK01</t>
  </si>
  <si>
    <t>903 Tucker St</t>
  </si>
  <si>
    <t>BPK-Episcopal Church/Holy Comf</t>
  </si>
  <si>
    <t>1114BPK01</t>
  </si>
  <si>
    <t>320 E Davis Street</t>
  </si>
  <si>
    <t>The Salvation Army - Alamance</t>
  </si>
  <si>
    <t>1116EMP01</t>
  </si>
  <si>
    <t>812 N. Anthony Street</t>
  </si>
  <si>
    <t>Burnett's Chapel Christian Chu</t>
  </si>
  <si>
    <t>1121EMP01</t>
  </si>
  <si>
    <t>1957 Burnett's Church Rd</t>
  </si>
  <si>
    <t>Graham</t>
  </si>
  <si>
    <t>Breakthrough Community Church</t>
  </si>
  <si>
    <t>1122EMP01</t>
  </si>
  <si>
    <t>703 S Third Street</t>
  </si>
  <si>
    <t>SCH-Breakthrough Community Ch</t>
  </si>
  <si>
    <t>1122EMP02</t>
  </si>
  <si>
    <t>1951 S. NC Hwy 119</t>
  </si>
  <si>
    <t>SCH-Breakthrough Comm-Broadvie</t>
  </si>
  <si>
    <t>1122EMP03</t>
  </si>
  <si>
    <t>2229 Braodview Dr.</t>
  </si>
  <si>
    <t>Trinity Worship Center</t>
  </si>
  <si>
    <t>1123EMP01</t>
  </si>
  <si>
    <t>3157 S Church Street</t>
  </si>
  <si>
    <t>DreamAlign Ministries</t>
  </si>
  <si>
    <t>1125EMP01</t>
  </si>
  <si>
    <t>124 East Pine Street</t>
  </si>
  <si>
    <t>Allied Churches of Alamance Co</t>
  </si>
  <si>
    <t>1126EMS01</t>
  </si>
  <si>
    <t>206 N Fisher Street</t>
  </si>
  <si>
    <t>Allied Churches - Joes Diner</t>
  </si>
  <si>
    <t>1126SPK01</t>
  </si>
  <si>
    <t>Fresh Manna Food Ministries</t>
  </si>
  <si>
    <t>1132EMP01</t>
  </si>
  <si>
    <t>802 Chapel Hill Rd</t>
  </si>
  <si>
    <t>Blessed Sac-Little Portion FP</t>
  </si>
  <si>
    <t>1133EMP01</t>
  </si>
  <si>
    <t>328 W David ST.</t>
  </si>
  <si>
    <t>BPK-First UMC-South Graham</t>
  </si>
  <si>
    <t>1169BPK01</t>
  </si>
  <si>
    <t>320 Ivey rd</t>
  </si>
  <si>
    <t>Christian Tabernacle Christian</t>
  </si>
  <si>
    <t>1180EMP01</t>
  </si>
  <si>
    <t>1020 Rosenwald St.</t>
  </si>
  <si>
    <t>S.A.F.E-Southern ALA Family Em</t>
  </si>
  <si>
    <t>1185EMP01</t>
  </si>
  <si>
    <t>5950 Hwy 87 S.</t>
  </si>
  <si>
    <t>BPK -Solid Rock- Sparta Elem</t>
  </si>
  <si>
    <t>0249BPK01</t>
  </si>
  <si>
    <t>71 Womble St</t>
  </si>
  <si>
    <t>Sparta</t>
  </si>
  <si>
    <t>ALG</t>
  </si>
  <si>
    <t>BPK-Solid Rock - Piney Creek</t>
  </si>
  <si>
    <t>0249BPK03</t>
  </si>
  <si>
    <t>71 Womble Street</t>
  </si>
  <si>
    <t>BPK - Solid Rock - Glade Creek</t>
  </si>
  <si>
    <t>0249BPK04</t>
  </si>
  <si>
    <t xml:space="preserve"> Solid Rock Food Closet</t>
  </si>
  <si>
    <t>0249EMP01</t>
  </si>
  <si>
    <t>The Salv Army - Taylorsvi</t>
  </si>
  <si>
    <t>0042EMP02</t>
  </si>
  <si>
    <t>226 West Gate Drive</t>
  </si>
  <si>
    <t>Taylorsville</t>
  </si>
  <si>
    <t>ALX</t>
  </si>
  <si>
    <t>Mt Pisgah - Good Samaritan FP</t>
  </si>
  <si>
    <t>0319EMP01</t>
  </si>
  <si>
    <t>9379 NC Hwy 127</t>
  </si>
  <si>
    <t>Hickory</t>
  </si>
  <si>
    <t>Stony Point Christian Ministri</t>
  </si>
  <si>
    <t>0331EMP01</t>
  </si>
  <si>
    <t>411 Ruritan Park Rd</t>
  </si>
  <si>
    <t>Stony Point</t>
  </si>
  <si>
    <t>Christian Crisis Center</t>
  </si>
  <si>
    <t>0478EMP01</t>
  </si>
  <si>
    <t>215 5th Ave SW</t>
  </si>
  <si>
    <t>SCH-ALX Co Hab-Central HS</t>
  </si>
  <si>
    <t>0895EMP02</t>
  </si>
  <si>
    <t>223 School Drive</t>
  </si>
  <si>
    <t>Hiddenite Community Helpers</t>
  </si>
  <si>
    <t>1138EMP01</t>
  </si>
  <si>
    <t>45 Fire Dept CT.</t>
  </si>
  <si>
    <t>Hiddenite</t>
  </si>
  <si>
    <t>957 Mobile Cafe/ The Cafe</t>
  </si>
  <si>
    <t>1163SPK01</t>
  </si>
  <si>
    <t>54 Main Street</t>
  </si>
  <si>
    <t>Ashe Really Cares</t>
  </si>
  <si>
    <t>0627EMP01</t>
  </si>
  <si>
    <t>204 Beaver Creek School Road</t>
  </si>
  <si>
    <t>West Jefferson</t>
  </si>
  <si>
    <t>ASH</t>
  </si>
  <si>
    <t>Ashe Outreach Ministries</t>
  </si>
  <si>
    <t>0754EMP01</t>
  </si>
  <si>
    <t>11719 Highway 88 West</t>
  </si>
  <si>
    <t>Creston</t>
  </si>
  <si>
    <t>SCH-Ashe Outreach-Blue Ridge</t>
  </si>
  <si>
    <t>0754EMP02</t>
  </si>
  <si>
    <t>Ashe Outreach-Riverview-SNR</t>
  </si>
  <si>
    <t>0754SPK02</t>
  </si>
  <si>
    <t>Jefferson United Methodist</t>
  </si>
  <si>
    <t>0842EMP01</t>
  </si>
  <si>
    <t>115 E Main St</t>
  </si>
  <si>
    <t>Jefferson</t>
  </si>
  <si>
    <t>Ashe County Sharing Center</t>
  </si>
  <si>
    <t>1061EMP01</t>
  </si>
  <si>
    <t>115 Colvard Street</t>
  </si>
  <si>
    <t>SCH-Ashe Co Sharing-Mtn View</t>
  </si>
  <si>
    <t>1061EMP02</t>
  </si>
  <si>
    <t>SCH - Ashe County - WCC</t>
  </si>
  <si>
    <t>1061EMP03</t>
  </si>
  <si>
    <t>363 Campus Drive</t>
  </si>
  <si>
    <t>MBL - Ashe County Sharing Ctr</t>
  </si>
  <si>
    <t>1061EMP04</t>
  </si>
  <si>
    <t>HTH-Ashe Cty-Ashe Memorial</t>
  </si>
  <si>
    <t>1061EMP05</t>
  </si>
  <si>
    <t>200 Hospital Avenue</t>
  </si>
  <si>
    <t>MBL-Ashe County Sharing Senior</t>
  </si>
  <si>
    <t>1061EMP06</t>
  </si>
  <si>
    <t>BPK-Caswell Co Parish-Oakwood</t>
  </si>
  <si>
    <t>0095BPK01</t>
  </si>
  <si>
    <t>1038 Main Street</t>
  </si>
  <si>
    <t>Yanceyville</t>
  </si>
  <si>
    <t>CAS</t>
  </si>
  <si>
    <t>BPK-Caswell Parish-Bartlett Ya</t>
  </si>
  <si>
    <t>0095BPK02</t>
  </si>
  <si>
    <t>BPK- Caswell Parish-NL Dillard</t>
  </si>
  <si>
    <t>0095BPK03</t>
  </si>
  <si>
    <t>BPK-Caswell Parish-North Elem.</t>
  </si>
  <si>
    <t>0095BPK04</t>
  </si>
  <si>
    <t>BPK-Caswell Parish-South Elem</t>
  </si>
  <si>
    <t>0095BPK05</t>
  </si>
  <si>
    <t>BPK-Caswell Parish-Stoney Cree</t>
  </si>
  <si>
    <t>0095BPK06</t>
  </si>
  <si>
    <t>Caswell County Parish, Inc</t>
  </si>
  <si>
    <t>0095EMP01</t>
  </si>
  <si>
    <t>Shady Grove United Methodist C</t>
  </si>
  <si>
    <t>0892EMP01</t>
  </si>
  <si>
    <t>1705 Shady Grove Rd</t>
  </si>
  <si>
    <t>Providence</t>
  </si>
  <si>
    <t>Locust Hill UMC</t>
  </si>
  <si>
    <t>1139EMP01</t>
  </si>
  <si>
    <t>281 Stoney Creek School Road</t>
  </si>
  <si>
    <t>Reidsville(Yanceyville)</t>
  </si>
  <si>
    <t>County Outreach Ministry</t>
  </si>
  <si>
    <t>1152EMP01</t>
  </si>
  <si>
    <t>225 Third Street</t>
  </si>
  <si>
    <t>1152SPK01</t>
  </si>
  <si>
    <t>The Salv Army - Lenoi</t>
  </si>
  <si>
    <t>0042EMP01</t>
  </si>
  <si>
    <t>4370 Hickory Blvd</t>
  </si>
  <si>
    <t>Granite Falls</t>
  </si>
  <si>
    <t>CLW</t>
  </si>
  <si>
    <t>Dulatown-Kwanzaa Family Inn</t>
  </si>
  <si>
    <t>0349EMS01</t>
  </si>
  <si>
    <t>1631 Old North Rd</t>
  </si>
  <si>
    <t>Lenoir</t>
  </si>
  <si>
    <t>South Caldwell Christian Minis</t>
  </si>
  <si>
    <t>0395EMP01</t>
  </si>
  <si>
    <t>5 Quarry Rd</t>
  </si>
  <si>
    <t>Caldwell County Yokefellow</t>
  </si>
  <si>
    <t>0415EMP01</t>
  </si>
  <si>
    <t>1602 Harper Ave NW</t>
  </si>
  <si>
    <t>0415EMS01</t>
  </si>
  <si>
    <t>1129 West Ave.</t>
  </si>
  <si>
    <t>First Baptist Church Whitnel</t>
  </si>
  <si>
    <t>0688EMP01</t>
  </si>
  <si>
    <t>1201 Connelly Springs Rd SW</t>
  </si>
  <si>
    <t>Dulatown Presbyterian</t>
  </si>
  <si>
    <t>0726EMP01</t>
  </si>
  <si>
    <t>1537 Miller Hill Rd</t>
  </si>
  <si>
    <t>Mountain Grove Baptist Church</t>
  </si>
  <si>
    <t>0793EMP01</t>
  </si>
  <si>
    <t>2485 Connelly Springs Road</t>
  </si>
  <si>
    <t>Shelter Home of Caldwell Co</t>
  </si>
  <si>
    <t>0932EMS01</t>
  </si>
  <si>
    <t>CONFIDENTIAL</t>
  </si>
  <si>
    <t>BPK - Gamewell UMC</t>
  </si>
  <si>
    <t>0954BPK01</t>
  </si>
  <si>
    <t>2897 Morganton Blvd</t>
  </si>
  <si>
    <t>BPK - Grace Chapel UMC</t>
  </si>
  <si>
    <t>0974BPK01</t>
  </si>
  <si>
    <t>4336 Grace Chapel Rd.</t>
  </si>
  <si>
    <t>BPK - Whitnel UMC</t>
  </si>
  <si>
    <t>0980BPK01</t>
  </si>
  <si>
    <t>1373 Delwood Dr SW</t>
  </si>
  <si>
    <t>BPK - Trinity UMC - Val Mead</t>
  </si>
  <si>
    <t>1062BPK01</t>
  </si>
  <si>
    <t>901 Seehorn St NE</t>
  </si>
  <si>
    <t>Mt Olivet UMC-Olivet Comm FP</t>
  </si>
  <si>
    <t>1065EMP01</t>
  </si>
  <si>
    <t>3282 Collettsville Rd</t>
  </si>
  <si>
    <t>Lenoir Soup Kitchen</t>
  </si>
  <si>
    <t>1127SPK01</t>
  </si>
  <si>
    <t>1113 College Avenue SW</t>
  </si>
  <si>
    <t>Pay It Forward Food Pantry</t>
  </si>
  <si>
    <t>1193EMP01</t>
  </si>
  <si>
    <t>2058 Harper Avenue NW</t>
  </si>
  <si>
    <t>A Storehouse for Jesus</t>
  </si>
  <si>
    <t>0526EMP01</t>
  </si>
  <si>
    <t>675 E Lexington Rd</t>
  </si>
  <si>
    <t>Mocksville</t>
  </si>
  <si>
    <t>DVE</t>
  </si>
  <si>
    <t>IDW-Hardison UMC Summer FoodBG</t>
  </si>
  <si>
    <t>1017EMP03</t>
  </si>
  <si>
    <t>1603 Jericho Church Rd</t>
  </si>
  <si>
    <t>Ascension Food Pantry</t>
  </si>
  <si>
    <t>1048EMP01</t>
  </si>
  <si>
    <t>183 Fork-Bixby Rd</t>
  </si>
  <si>
    <t>Advance</t>
  </si>
  <si>
    <t>IDW-Church of the Ascension-Co</t>
  </si>
  <si>
    <t>1048EMP02</t>
  </si>
  <si>
    <t>SCH-Ch/Ascension- Cornatzer El</t>
  </si>
  <si>
    <t>1048EMP03</t>
  </si>
  <si>
    <t>SCH - Davie High Hunger Fight</t>
  </si>
  <si>
    <t>1134EMP01</t>
  </si>
  <si>
    <t>180 War Eagle Dr</t>
  </si>
  <si>
    <t>First Bapt. Ch.-Cooleemee</t>
  </si>
  <si>
    <t>1189EMP01</t>
  </si>
  <si>
    <t>204 Marginal Street</t>
  </si>
  <si>
    <t>Cooleemee</t>
  </si>
  <si>
    <t>First Assembly of God</t>
  </si>
  <si>
    <t>0029EMP01</t>
  </si>
  <si>
    <t>382 Walser Road</t>
  </si>
  <si>
    <t>Lexington</t>
  </si>
  <si>
    <t>DVS</t>
  </si>
  <si>
    <t>The Salv Army-DVS - Social Ser</t>
  </si>
  <si>
    <t>0170EMP01</t>
  </si>
  <si>
    <t>314 W 9th Ave</t>
  </si>
  <si>
    <t>0170SPK01</t>
  </si>
  <si>
    <t>North Lexington Baptist</t>
  </si>
  <si>
    <t>0276EMP01</t>
  </si>
  <si>
    <t>201 Mize Rd</t>
  </si>
  <si>
    <t>Thomasville Community Ministry</t>
  </si>
  <si>
    <t>0504EMP01</t>
  </si>
  <si>
    <t>10 W Guilford St</t>
  </si>
  <si>
    <t>Thomasville</t>
  </si>
  <si>
    <t>Davidson Community Action</t>
  </si>
  <si>
    <t>0561EMP01</t>
  </si>
  <si>
    <t>911 S Talbert Blvd</t>
  </si>
  <si>
    <t>South Davidson Family Resource</t>
  </si>
  <si>
    <t>0576EMP01</t>
  </si>
  <si>
    <t>292 South Main St.</t>
  </si>
  <si>
    <t>Denton</t>
  </si>
  <si>
    <t>Abbotts Creek - Labor of Love</t>
  </si>
  <si>
    <t>0630EMP01</t>
  </si>
  <si>
    <t>2817 Abbotts Creek Church Rd</t>
  </si>
  <si>
    <t>High Point</t>
  </si>
  <si>
    <t>IDW-Abbotts Crk-Wallburg Elem</t>
  </si>
  <si>
    <t>0630EMP02</t>
  </si>
  <si>
    <t>New Temple House of Provisions</t>
  </si>
  <si>
    <t>0665EMP01</t>
  </si>
  <si>
    <t>403 National Highway</t>
  </si>
  <si>
    <t>Pastors Pantry (Seniors)</t>
  </si>
  <si>
    <t>0708EMP01</t>
  </si>
  <si>
    <t>307 N State St</t>
  </si>
  <si>
    <t>First Pentecostal-Servant's Ta</t>
  </si>
  <si>
    <t>0768EMP01</t>
  </si>
  <si>
    <t>509 Cloniger Road</t>
  </si>
  <si>
    <t>Fairgrove Family Resource</t>
  </si>
  <si>
    <t>0783EMP01</t>
  </si>
  <si>
    <t>159 Myrtle Drive</t>
  </si>
  <si>
    <t>SCH-Fairgrove Family Resource</t>
  </si>
  <si>
    <t>0783EMP02</t>
  </si>
  <si>
    <t>Services for the Deaf</t>
  </si>
  <si>
    <t>0784EMP01</t>
  </si>
  <si>
    <t>8 Franklin St</t>
  </si>
  <si>
    <t>Canaan United Methodist Church</t>
  </si>
  <si>
    <t>0963EMP01</t>
  </si>
  <si>
    <t>1760 Shady Grove Church Rd</t>
  </si>
  <si>
    <t>Winston-Salem</t>
  </si>
  <si>
    <t>BPK - CIS Lex - Pickett</t>
  </si>
  <si>
    <t>0968BPK02</t>
  </si>
  <si>
    <t>218 S Main St.</t>
  </si>
  <si>
    <t>BPK - CIS Lex - Southwood Elem</t>
  </si>
  <si>
    <t>0968BPK05</t>
  </si>
  <si>
    <t>5850 NC Hwy 8</t>
  </si>
  <si>
    <t>BPK - CIS Lex - Middle School</t>
  </si>
  <si>
    <t>0968BPK07</t>
  </si>
  <si>
    <t>218 S. Main St</t>
  </si>
  <si>
    <t>BPK - CIS Lex - Chas. England</t>
  </si>
  <si>
    <t>0968BPK08</t>
  </si>
  <si>
    <t>218 S Main St</t>
  </si>
  <si>
    <t>Pleasant Grove United Methodis</t>
  </si>
  <si>
    <t>0998EMP01</t>
  </si>
  <si>
    <t>1393 Hasty School Rd.</t>
  </si>
  <si>
    <t>Upper Room Food Ministry, Inc.</t>
  </si>
  <si>
    <t>1009EMP01</t>
  </si>
  <si>
    <t>11219 NC Highway 8</t>
  </si>
  <si>
    <t>JCF Ministries Full Gospel Chu</t>
  </si>
  <si>
    <t>1045EMP01</t>
  </si>
  <si>
    <t>1700 S Main Street</t>
  </si>
  <si>
    <t>SCH-JCF Min - South Mount Elem</t>
  </si>
  <si>
    <t>1045EMP02</t>
  </si>
  <si>
    <t>He Cares, Inc.</t>
  </si>
  <si>
    <t>1094SPK01</t>
  </si>
  <si>
    <t>12 W Guildford St.</t>
  </si>
  <si>
    <t>SCH-CIS-Thomasville</t>
  </si>
  <si>
    <t>1102EMP01</t>
  </si>
  <si>
    <t>401 Liberty Drive</t>
  </si>
  <si>
    <t>Grace Episcopal Church</t>
  </si>
  <si>
    <t>1105SPK01</t>
  </si>
  <si>
    <t>419 S Main Street</t>
  </si>
  <si>
    <t>BPK-Least of These Ministries</t>
  </si>
  <si>
    <t>1135BPK01</t>
  </si>
  <si>
    <t>4600W Old US Hwy 64</t>
  </si>
  <si>
    <t>Least of These - W DVS Minist</t>
  </si>
  <si>
    <t>1135EMP01</t>
  </si>
  <si>
    <t>4600 W Old Highway 64</t>
  </si>
  <si>
    <t>SCH- Least of These-Reeds Elem</t>
  </si>
  <si>
    <t>1135EMP02</t>
  </si>
  <si>
    <t>Greater Things Outreach</t>
  </si>
  <si>
    <t>1155EMP01</t>
  </si>
  <si>
    <t>6282 Old US Hwy 52</t>
  </si>
  <si>
    <t>Loaves and Fishes Food Ministr</t>
  </si>
  <si>
    <t>1203EMP01</t>
  </si>
  <si>
    <t>902 South Main St.</t>
  </si>
  <si>
    <t>Winston-Salem Rescue Mission</t>
  </si>
  <si>
    <t>0104EMP01</t>
  </si>
  <si>
    <t>717 Oak St</t>
  </si>
  <si>
    <t>FSY</t>
  </si>
  <si>
    <t>0104EMS01</t>
  </si>
  <si>
    <t>Crisis Control Ministry</t>
  </si>
  <si>
    <t>0106EMP01</t>
  </si>
  <si>
    <t>200 E 10th St</t>
  </si>
  <si>
    <t>Sunnyside Ministry</t>
  </si>
  <si>
    <t>0107EMP01</t>
  </si>
  <si>
    <t>319 Haled St</t>
  </si>
  <si>
    <t>Family Services Shelter</t>
  </si>
  <si>
    <t>0110EMS01</t>
  </si>
  <si>
    <t>Senior Serv - MOW (seniors)</t>
  </si>
  <si>
    <t>0111EMP01</t>
  </si>
  <si>
    <t>2895 Shorefair Dr</t>
  </si>
  <si>
    <t>BPK-Holy Fam Cath. Ch.-Morgan</t>
  </si>
  <si>
    <t>0130BPK02</t>
  </si>
  <si>
    <t>3210 Village Point Dr.</t>
  </si>
  <si>
    <t>Clemmons</t>
  </si>
  <si>
    <t>Samaritan Ministries1043</t>
  </si>
  <si>
    <t>0136SPK01</t>
  </si>
  <si>
    <t>414 Northwest Blvd.</t>
  </si>
  <si>
    <t>The Salv Army - Trade St</t>
  </si>
  <si>
    <t>0163EMP01</t>
  </si>
  <si>
    <t>1200 N Trade St</t>
  </si>
  <si>
    <t>The Salv Army-Kernersville</t>
  </si>
  <si>
    <t>0163EMP03</t>
  </si>
  <si>
    <t>130 E Mountain St.</t>
  </si>
  <si>
    <t>Kernersville</t>
  </si>
  <si>
    <t>0163SPK01</t>
  </si>
  <si>
    <t>1255 N Trade St</t>
  </si>
  <si>
    <t>BPK - St Paul's Epis -So. Fork</t>
  </si>
  <si>
    <t>0172BPK01</t>
  </si>
  <si>
    <t>875 West 5th Street</t>
  </si>
  <si>
    <t>St Peter's World Outreach</t>
  </si>
  <si>
    <t>0397EMP01</t>
  </si>
  <si>
    <t>3683 Old Lexington Rd</t>
  </si>
  <si>
    <t>Union Baptist Church</t>
  </si>
  <si>
    <t>0443EMP01</t>
  </si>
  <si>
    <t>406 Northwest Blvd</t>
  </si>
  <si>
    <t>Catholic Charities</t>
  </si>
  <si>
    <t>0453EMP01</t>
  </si>
  <si>
    <t>1612 14th St. NE</t>
  </si>
  <si>
    <t>Christ Rescue Temple</t>
  </si>
  <si>
    <t>0522EMP01</t>
  </si>
  <si>
    <t>1500 N. Dunleith Ave.</t>
  </si>
  <si>
    <t>0522SPK01</t>
  </si>
  <si>
    <t>St. John CME Church</t>
  </si>
  <si>
    <t>0573EMP01</t>
  </si>
  <si>
    <t>350 NW Crawford Place</t>
  </si>
  <si>
    <t>Holy Trinity -RICH Food Pantry</t>
  </si>
  <si>
    <t>0639EMP01</t>
  </si>
  <si>
    <t>5307 Peters Creek Parkway</t>
  </si>
  <si>
    <t>Iglesia Wesleyana el Buen Sama</t>
  </si>
  <si>
    <t>0716EMP01</t>
  </si>
  <si>
    <t>2800 Ludwig St</t>
  </si>
  <si>
    <t>St Paul United Methodist Churc</t>
  </si>
  <si>
    <t>0720EMP01</t>
  </si>
  <si>
    <t>2400 Dellabrook</t>
  </si>
  <si>
    <t>Iglesia Nueva Vida</t>
  </si>
  <si>
    <t>0722EMP01</t>
  </si>
  <si>
    <t>4423 S Main St</t>
  </si>
  <si>
    <t>Next Step Ministries</t>
  </si>
  <si>
    <t>0733EMS01</t>
  </si>
  <si>
    <t>The Shalom Project</t>
  </si>
  <si>
    <t>0744EMP01</t>
  </si>
  <si>
    <t>639 Green St</t>
  </si>
  <si>
    <t>0744SPK01</t>
  </si>
  <si>
    <t>639 Green Street</t>
  </si>
  <si>
    <t>Piney Grove Baptist Church</t>
  </si>
  <si>
    <t>0808EMP01</t>
  </si>
  <si>
    <t>4740 Indiana Ave</t>
  </si>
  <si>
    <t>New Jerusalem Baptist Church</t>
  </si>
  <si>
    <t>0815EMP01</t>
  </si>
  <si>
    <t>1227 N Dunleith Ave</t>
  </si>
  <si>
    <t>Love Community Development</t>
  </si>
  <si>
    <t>0865EMP01</t>
  </si>
  <si>
    <t>3980 N Liberty St</t>
  </si>
  <si>
    <t>Whole Man Min.</t>
  </si>
  <si>
    <t>0917EMP01</t>
  </si>
  <si>
    <t>3916 Old Lexington Rd</t>
  </si>
  <si>
    <t>Ephesus Seventh Day Adventist</t>
  </si>
  <si>
    <t>0939EMP01</t>
  </si>
  <si>
    <t>1225 N Cleveland Ave</t>
  </si>
  <si>
    <t>Maple Springs United Methodist</t>
  </si>
  <si>
    <t>0944EMP01</t>
  </si>
  <si>
    <t>2569 Reynolda Rd</t>
  </si>
  <si>
    <t>Bethabara Moravian Church</t>
  </si>
  <si>
    <t>0945EMP01</t>
  </si>
  <si>
    <t>2100 Bethabara Rd</t>
  </si>
  <si>
    <t>BPK - Centenary UMC - Brunson</t>
  </si>
  <si>
    <t>0948BPK01</t>
  </si>
  <si>
    <t>657 W Fifth St</t>
  </si>
  <si>
    <t>BPK-Centenary UMC-Wiley</t>
  </si>
  <si>
    <t>0948BPK02</t>
  </si>
  <si>
    <t>646 W Fifth Street</t>
  </si>
  <si>
    <t>Winsotn-Salem</t>
  </si>
  <si>
    <t>Centenary United Methodist</t>
  </si>
  <si>
    <t>0948EMP01</t>
  </si>
  <si>
    <t>633 w fourth 1/2/ st.</t>
  </si>
  <si>
    <t>BPK- Mt Tabor UMC-Northhills E</t>
  </si>
  <si>
    <t>0956BPK01</t>
  </si>
  <si>
    <t>340 Alspaugh Drive</t>
  </si>
  <si>
    <t>SCH - Mt Tabor-Food/Thought</t>
  </si>
  <si>
    <t>0956EMP01</t>
  </si>
  <si>
    <t>601 N Cherry St</t>
  </si>
  <si>
    <t>St Stephen Missionary Baptist</t>
  </si>
  <si>
    <t>0957EMP01</t>
  </si>
  <si>
    <t>5000 Noble St</t>
  </si>
  <si>
    <t>Beulah Baptist Church</t>
  </si>
  <si>
    <t>0973EMP01</t>
  </si>
  <si>
    <t>1352 N Trade St</t>
  </si>
  <si>
    <t>Agape Care &amp; Share, Inc.</t>
  </si>
  <si>
    <t>0983EMP01</t>
  </si>
  <si>
    <t>3650-G Patterson Ave</t>
  </si>
  <si>
    <t>FaithZone Christian Fellowship</t>
  </si>
  <si>
    <t>1003EMP01</t>
  </si>
  <si>
    <t>2306 Cragmore Rd</t>
  </si>
  <si>
    <t>BPK-Sedge Garden UMC-Hall Wood</t>
  </si>
  <si>
    <t>1033BPK01</t>
  </si>
  <si>
    <t>794 Sedge Garden Rd</t>
  </si>
  <si>
    <t>Winston-Salem Friends Meeting</t>
  </si>
  <si>
    <t>1035EMP01</t>
  </si>
  <si>
    <t>3151 Reynolda Rd</t>
  </si>
  <si>
    <t>Ardmore United Methodist</t>
  </si>
  <si>
    <t>1040EMP01</t>
  </si>
  <si>
    <t>630 S Hawthorne Rd</t>
  </si>
  <si>
    <t>Christ Church, Anglican Missio</t>
  </si>
  <si>
    <t>1042EMP01</t>
  </si>
  <si>
    <t>2252 Queen St</t>
  </si>
  <si>
    <t>Mt. Moriah- Bread of Life</t>
  </si>
  <si>
    <t>1043EMP01</t>
  </si>
  <si>
    <t>317 Jefferson St</t>
  </si>
  <si>
    <t>Bridges Church-Bridging the Ga</t>
  </si>
  <si>
    <t>1044EMP01</t>
  </si>
  <si>
    <t>3151 Reynolda Rd.</t>
  </si>
  <si>
    <t>BPK - First Presby - Diggs Lat</t>
  </si>
  <si>
    <t>1056BPK01</t>
  </si>
  <si>
    <t>235 N Marshall St</t>
  </si>
  <si>
    <t>BPK Beck's North For. High Sch</t>
  </si>
  <si>
    <t>1060BPK03</t>
  </si>
  <si>
    <t>5505 Becks Church Road</t>
  </si>
  <si>
    <t>Winston Salem</t>
  </si>
  <si>
    <t>BPK - Beck's Baptist Ch - NW M</t>
  </si>
  <si>
    <t>1060BPK01</t>
  </si>
  <si>
    <t>5505 Beck's Church Rd</t>
  </si>
  <si>
    <t>BPK- Beck's Bapt Ch- FSY Acad</t>
  </si>
  <si>
    <t>1060BPK02</t>
  </si>
  <si>
    <t>5505 Beck's Baptist Rd</t>
  </si>
  <si>
    <t>BPK-United Metropolitan Min-Pe</t>
  </si>
  <si>
    <t>1066BPK01</t>
  </si>
  <si>
    <t>450 Metropolitan Dr</t>
  </si>
  <si>
    <t>SCH-Knollwood Bapt-Bolton Elem</t>
  </si>
  <si>
    <t>1068EMP01</t>
  </si>
  <si>
    <t>1210 Bolton Street</t>
  </si>
  <si>
    <t>BPK - Hope Presbyterian Church</t>
  </si>
  <si>
    <t>1071BPK01</t>
  </si>
  <si>
    <t>2050 Peace Haven Rd</t>
  </si>
  <si>
    <t>BPK-Epiphany Lutheran Ch-Ibrah</t>
  </si>
  <si>
    <t>1074BPK01</t>
  </si>
  <si>
    <t>5220 Silas Creek Pkwy</t>
  </si>
  <si>
    <t>SCH-Epiphany Luth-Ibraham</t>
  </si>
  <si>
    <t>1074EMP01</t>
  </si>
  <si>
    <t>5036 Old Walkertown Road</t>
  </si>
  <si>
    <t>BPK - Ardmore Bapt-Ashley Elem</t>
  </si>
  <si>
    <t>1078BPK01</t>
  </si>
  <si>
    <t>501 Miller Street</t>
  </si>
  <si>
    <t>IDW-College Pk-Vienna Elem</t>
  </si>
  <si>
    <t>1087EMP01</t>
  </si>
  <si>
    <t>1701 Polo Road</t>
  </si>
  <si>
    <t>IDW-College Pk-Old Richmond El</t>
  </si>
  <si>
    <t>1087EMP02</t>
  </si>
  <si>
    <t>SCH-College Pk-TJMS Pantry</t>
  </si>
  <si>
    <t>1087EMP03</t>
  </si>
  <si>
    <t>1701 Polo Rd</t>
  </si>
  <si>
    <t>Christ Kingdom Worship</t>
  </si>
  <si>
    <t>1096EMP01</t>
  </si>
  <si>
    <t>3894 Northampton Dr</t>
  </si>
  <si>
    <t>Clemmons Food Pantry</t>
  </si>
  <si>
    <t>1101EMP01</t>
  </si>
  <si>
    <t>2585 Old Glory Rd, Suite 109</t>
  </si>
  <si>
    <t>IDW-Morris Chapel-Walkertown E</t>
  </si>
  <si>
    <t>1103EMP01</t>
  </si>
  <si>
    <t>Walkertown</t>
  </si>
  <si>
    <t>Morris Chapel UMC</t>
  </si>
  <si>
    <t>1103EMP02</t>
  </si>
  <si>
    <t>2715 Darrow Road</t>
  </si>
  <si>
    <t>BPK - First Bapt Kernersville</t>
  </si>
  <si>
    <t>1104BPK01</t>
  </si>
  <si>
    <t>401 Oakhurst Street</t>
  </si>
  <si>
    <t>Central Triad Church</t>
  </si>
  <si>
    <t>1106EMP01</t>
  </si>
  <si>
    <t>2935 Cole Rd</t>
  </si>
  <si>
    <t>BPK-West Side - Ward Elem</t>
  </si>
  <si>
    <t>1107BPK01</t>
  </si>
  <si>
    <t>595 S Peace Haven Rd</t>
  </si>
  <si>
    <t>BPK-Mineral Springs - Min Sp M</t>
  </si>
  <si>
    <t>1109BPK01</t>
  </si>
  <si>
    <t>5460 Skylark Rd.</t>
  </si>
  <si>
    <t>Pfafftown</t>
  </si>
  <si>
    <t>BPK - First Christian Church</t>
  </si>
  <si>
    <t>1113BPK01</t>
  </si>
  <si>
    <t>2320 Country Club Road</t>
  </si>
  <si>
    <t>SCH- Highland Pres-Moore Elem</t>
  </si>
  <si>
    <t>1129EMP01</t>
  </si>
  <si>
    <t>2380 Cloverdale Avenue</t>
  </si>
  <si>
    <t>BPK-Forsyth BPK-Gibson</t>
  </si>
  <si>
    <t>1131BPK01</t>
  </si>
  <si>
    <t>380-H Knollwood St Box 402</t>
  </si>
  <si>
    <t>BPK-Forsyth BackPack-Union Cro</t>
  </si>
  <si>
    <t>1131BPK03</t>
  </si>
  <si>
    <t>380-H Knollwood St box 402</t>
  </si>
  <si>
    <t>BPK-Forsyth Backpack Prog-Cook</t>
  </si>
  <si>
    <t>1131BPK05</t>
  </si>
  <si>
    <t>BPK-Forsyth BPK-Middle Fork El</t>
  </si>
  <si>
    <t>1131BPK06</t>
  </si>
  <si>
    <t>BPK-Forsyth BPK-Konnoak Elem</t>
  </si>
  <si>
    <t>1131BPK07</t>
  </si>
  <si>
    <t>BPK-Forsyth Backpack-Hanes Mag</t>
  </si>
  <si>
    <t>1131BPK08</t>
  </si>
  <si>
    <t>BPK-Forsyth BPK-Kimberley Park</t>
  </si>
  <si>
    <t>1131BPK10</t>
  </si>
  <si>
    <t>BPK-Forsyth BPK-Elem School Ac</t>
  </si>
  <si>
    <t>1131BPK11</t>
  </si>
  <si>
    <t>BPK-Forsyth Backpack-W-S Prep</t>
  </si>
  <si>
    <t>1131BPK12</t>
  </si>
  <si>
    <t>BPK -Forsyth BPK - Forest Park</t>
  </si>
  <si>
    <t>1131BPK13</t>
  </si>
  <si>
    <t>380-H Knollwood St Box402</t>
  </si>
  <si>
    <t>IDW-Forsyth BPK - 5 Elem</t>
  </si>
  <si>
    <t>1131EMP01</t>
  </si>
  <si>
    <t>380-H Knollwood St</t>
  </si>
  <si>
    <t>SCH-Forsyth BPK -Parkland Mag</t>
  </si>
  <si>
    <t>1131EMP02</t>
  </si>
  <si>
    <t>SFSP-Forsyth BPK-SciTech</t>
  </si>
  <si>
    <t>1131YTH01</t>
  </si>
  <si>
    <t>901 MLK Jr Drive</t>
  </si>
  <si>
    <t>BPK-Friedberg Moravian-Griffit</t>
  </si>
  <si>
    <t>1145BPK01</t>
  </si>
  <si>
    <t>2178 Friedberg Church</t>
  </si>
  <si>
    <t>BPK-Pinedale Christian-Kimmel</t>
  </si>
  <si>
    <t>1146BPK01</t>
  </si>
  <si>
    <t>3395 Peters Creek Parkway</t>
  </si>
  <si>
    <t>H.O.P.E. of Winston-Salem</t>
  </si>
  <si>
    <t>1147EMP01</t>
  </si>
  <si>
    <t>355 Crawford Pl</t>
  </si>
  <si>
    <t>1147SPK01</t>
  </si>
  <si>
    <t>505 Decon Blvd</t>
  </si>
  <si>
    <t>BPK-First Presbyterian Ch-Kern</t>
  </si>
  <si>
    <t>1157BPK01</t>
  </si>
  <si>
    <t>611 Oakhurst St</t>
  </si>
  <si>
    <t>BPK-First Presb-E FSY Middle</t>
  </si>
  <si>
    <t>1157BPK02</t>
  </si>
  <si>
    <t>611 Oakhurst Drive</t>
  </si>
  <si>
    <t>SCH-Southwest Elem Food Pantry</t>
  </si>
  <si>
    <t>1162EMP01</t>
  </si>
  <si>
    <t>1631 Southwest School Dr.</t>
  </si>
  <si>
    <t>SCH-Fraternity Ch. Breth-Ward</t>
  </si>
  <si>
    <t>1164EMP01</t>
  </si>
  <si>
    <t>3760 Fraternity Church Rd</t>
  </si>
  <si>
    <t>NC Bapt. Hosp-Downtown Plz</t>
  </si>
  <si>
    <t>1171EMP01</t>
  </si>
  <si>
    <t>1200 Martin Luther King Jr. Dr</t>
  </si>
  <si>
    <t>SCH-Union Chapel-Cook Literacy</t>
  </si>
  <si>
    <t>1173EMP01</t>
  </si>
  <si>
    <t>920 11th St NW</t>
  </si>
  <si>
    <t>BPK-Grace Presb.-Cash Elem</t>
  </si>
  <si>
    <t>1178BPK01</t>
  </si>
  <si>
    <t>360 Hopkins Road</t>
  </si>
  <si>
    <t>Positive Wellness Alliance</t>
  </si>
  <si>
    <t>1181EMP01</t>
  </si>
  <si>
    <t>704 Brookstown Avenue</t>
  </si>
  <si>
    <t>Beloved Community Food Pantry</t>
  </si>
  <si>
    <t>1188EMP01</t>
  </si>
  <si>
    <t>3205 S. Main Street</t>
  </si>
  <si>
    <t>High Horizons</t>
  </si>
  <si>
    <t>1198EMP01</t>
  </si>
  <si>
    <t>3254 Kernersville Rd</t>
  </si>
  <si>
    <t>Sincerely Agape</t>
  </si>
  <si>
    <t>0059EMP01</t>
  </si>
  <si>
    <t>410 Brentwood St</t>
  </si>
  <si>
    <t>GLF</t>
  </si>
  <si>
    <t>Triad Adult Day Care</t>
  </si>
  <si>
    <t>0109EMP01</t>
  </si>
  <si>
    <t>409 E Fairfield Rd</t>
  </si>
  <si>
    <t>Salvation Army</t>
  </si>
  <si>
    <t>0176EMP01</t>
  </si>
  <si>
    <t>301 W Green Dr</t>
  </si>
  <si>
    <t>MBL-The Salv Army HP</t>
  </si>
  <si>
    <t>0176EMP02</t>
  </si>
  <si>
    <t>301 W Green Drive</t>
  </si>
  <si>
    <t>The Salv Army - High Pt</t>
  </si>
  <si>
    <t>0176EMS01</t>
  </si>
  <si>
    <t>Cathedral of His Glory - Nghbr</t>
  </si>
  <si>
    <t>0270EMP02</t>
  </si>
  <si>
    <t>4501 Lake Jeanette Rd</t>
  </si>
  <si>
    <t>Greensboro</t>
  </si>
  <si>
    <t>Family Services of P - Carpent</t>
  </si>
  <si>
    <t>0307EMS01</t>
  </si>
  <si>
    <t>Family Services of P - Clara H</t>
  </si>
  <si>
    <t>0307EMS02</t>
  </si>
  <si>
    <t>Greensboro Urban Ministry</t>
  </si>
  <si>
    <t>0380EMP01</t>
  </si>
  <si>
    <t>305 West Gate City Blvd</t>
  </si>
  <si>
    <t>0380SPK01</t>
  </si>
  <si>
    <t>Open Door Ministries</t>
  </si>
  <si>
    <t>0500EMP01</t>
  </si>
  <si>
    <t>400 N Centennial St</t>
  </si>
  <si>
    <t>Open Door Minist - shelter</t>
  </si>
  <si>
    <t>0500EMS01</t>
  </si>
  <si>
    <t>Open Door Ministries - Cassell</t>
  </si>
  <si>
    <t>0500EMS02</t>
  </si>
  <si>
    <t>1022 True Lane</t>
  </si>
  <si>
    <t>Open Door Minist - Father's Ta</t>
  </si>
  <si>
    <t>0500SPK01</t>
  </si>
  <si>
    <t>Caring Services, Inc.</t>
  </si>
  <si>
    <t>0507EMP01</t>
  </si>
  <si>
    <t>102 Chestnut St</t>
  </si>
  <si>
    <t>Solid Rock Baptist Church</t>
  </si>
  <si>
    <t>0541EMP01</t>
  </si>
  <si>
    <t>903 E Kearns Ave</t>
  </si>
  <si>
    <t>Stokesdale Church of God</t>
  </si>
  <si>
    <t>0612EMP01</t>
  </si>
  <si>
    <t>7835 Anthony Rd.</t>
  </si>
  <si>
    <t>Stokesdale</t>
  </si>
  <si>
    <t>0612SPK01</t>
  </si>
  <si>
    <t>7835 Anthony Rd</t>
  </si>
  <si>
    <t>Servant Center - Servant House</t>
  </si>
  <si>
    <t>0616EMS01</t>
  </si>
  <si>
    <t>1312 Lexington Ave</t>
  </si>
  <si>
    <t>The Salv Army - GSO - Ctr of H</t>
  </si>
  <si>
    <t>0650EMP01</t>
  </si>
  <si>
    <t>1311 S Eugene St</t>
  </si>
  <si>
    <t>0650EMS01</t>
  </si>
  <si>
    <t>1311 S. Eugene St</t>
  </si>
  <si>
    <t>High Point Seventh Day</t>
  </si>
  <si>
    <t>0683EMP01</t>
  </si>
  <si>
    <t>279 Eastchester Dr.</t>
  </si>
  <si>
    <t>SCH-HP Seventh Day-Central HS</t>
  </si>
  <si>
    <t>0683EMP02</t>
  </si>
  <si>
    <t>801 Ferndale Blvd</t>
  </si>
  <si>
    <t>Cedar Grove Tabernacle of Prai</t>
  </si>
  <si>
    <t>0746EMP01</t>
  </si>
  <si>
    <t>612 Norwalk St</t>
  </si>
  <si>
    <t>St Paul Baptist Church</t>
  </si>
  <si>
    <t>0759EMP01</t>
  </si>
  <si>
    <t>1309 Larkin St</t>
  </si>
  <si>
    <t>SNR - St Paul Baptist Church</t>
  </si>
  <si>
    <t>0759SPK01</t>
  </si>
  <si>
    <t>MBL-Food Assistance (seniors))</t>
  </si>
  <si>
    <t>0796EMP01</t>
  </si>
  <si>
    <t>3720-A Alliance Dr</t>
  </si>
  <si>
    <t>The Redeemed Christian Church</t>
  </si>
  <si>
    <t>0834EMP01</t>
  </si>
  <si>
    <t>1808 Mack Street</t>
  </si>
  <si>
    <t>Piedmont Health Serv &amp; Sickle</t>
  </si>
  <si>
    <t>0843EMP01</t>
  </si>
  <si>
    <t>401 Taylor Ave</t>
  </si>
  <si>
    <t>New Beginnings Full Gospel Min</t>
  </si>
  <si>
    <t>0849EMP01</t>
  </si>
  <si>
    <t>215 Fourth St</t>
  </si>
  <si>
    <t>West End Ministries - Pantry</t>
  </si>
  <si>
    <t>0915EMP01</t>
  </si>
  <si>
    <t>903 English Rd.</t>
  </si>
  <si>
    <t>HTH-West End Min.-HPU Pro Bono</t>
  </si>
  <si>
    <t>0915EMP02</t>
  </si>
  <si>
    <t>1030 Mall Loop Rd</t>
  </si>
  <si>
    <t>West End Ministri - Leslie's H</t>
  </si>
  <si>
    <t>0915EMS01</t>
  </si>
  <si>
    <t>851 English Rd</t>
  </si>
  <si>
    <t>West End Ministries - Soup Kit</t>
  </si>
  <si>
    <t>0915SPK01</t>
  </si>
  <si>
    <t>Hope Outreach Center</t>
  </si>
  <si>
    <t>0922EMP01</t>
  </si>
  <si>
    <t>2800 Westchester Dr.</t>
  </si>
  <si>
    <t>A Gift of Giving</t>
  </si>
  <si>
    <t>0928EMP01</t>
  </si>
  <si>
    <t>1309 Leonard Ave</t>
  </si>
  <si>
    <t>Kingdom Building Church Int'l</t>
  </si>
  <si>
    <t>0984EMP01</t>
  </si>
  <si>
    <t>203 Lindsay St.</t>
  </si>
  <si>
    <t>BPK - Sedgefield Presbyterian</t>
  </si>
  <si>
    <t>1010BPK01</t>
  </si>
  <si>
    <t>4216 Wayne Rd</t>
  </si>
  <si>
    <t>Sedgefield Presb-Sedgefield El</t>
  </si>
  <si>
    <t>1010CSF01</t>
  </si>
  <si>
    <t>4216 Wayne Road</t>
  </si>
  <si>
    <t>High Point Christian Center</t>
  </si>
  <si>
    <t>1019EMP01</t>
  </si>
  <si>
    <t>234 Dorothy St</t>
  </si>
  <si>
    <t>Room at the Inn, Inc.</t>
  </si>
  <si>
    <t>1023EMS01</t>
  </si>
  <si>
    <t>736 Park Ave</t>
  </si>
  <si>
    <t>1023EMS02</t>
  </si>
  <si>
    <t>734 Park Ave</t>
  </si>
  <si>
    <t>Macedonia Family Resource Ctr</t>
  </si>
  <si>
    <t>1027EMP01</t>
  </si>
  <si>
    <t>401 Lake Avenue</t>
  </si>
  <si>
    <t>United Youth Care Foundation</t>
  </si>
  <si>
    <t>1028EMP01</t>
  </si>
  <si>
    <t>1207 Fourth Street</t>
  </si>
  <si>
    <t>2740-6622</t>
  </si>
  <si>
    <t>Alamance Presbyterian Church</t>
  </si>
  <si>
    <t>1034EMP01</t>
  </si>
  <si>
    <t>4000 Presbyterian Rd</t>
  </si>
  <si>
    <t>Ward Street Community Resource</t>
  </si>
  <si>
    <t>1053EMP01</t>
  </si>
  <si>
    <t>1619 W Ward Avenue</t>
  </si>
  <si>
    <t>Helping Hands</t>
  </si>
  <si>
    <t>1059EMP01</t>
  </si>
  <si>
    <t>2301 S Main St</t>
  </si>
  <si>
    <t>SCH - Out of the Garden Proj</t>
  </si>
  <si>
    <t>1067EMP01</t>
  </si>
  <si>
    <t>300 NC Hwy 68S</t>
  </si>
  <si>
    <t>MBL-Out of the Garden Proj</t>
  </si>
  <si>
    <t>1067EMP02</t>
  </si>
  <si>
    <t>1067EMP03</t>
  </si>
  <si>
    <t>300 NC Hwy 68 S</t>
  </si>
  <si>
    <t>Out of the Garden Project</t>
  </si>
  <si>
    <t>1067EMP04</t>
  </si>
  <si>
    <t>3910 Clifton Road</t>
  </si>
  <si>
    <t>Fairfield UMC</t>
  </si>
  <si>
    <t>1083EMP01</t>
  </si>
  <si>
    <t>1505 NC 62 W</t>
  </si>
  <si>
    <t>Christ United Methodist Church</t>
  </si>
  <si>
    <t>1090EMP01</t>
  </si>
  <si>
    <t>Renaissance Road Church</t>
  </si>
  <si>
    <t>1097EMP01</t>
  </si>
  <si>
    <t>5114 Harvey Rd.</t>
  </si>
  <si>
    <t>Jamestown</t>
  </si>
  <si>
    <t>1097SPK01</t>
  </si>
  <si>
    <t>Vandalia Presbyterian Church</t>
  </si>
  <si>
    <t>1099EMP01</t>
  </si>
  <si>
    <t>101 W Vandalia Road</t>
  </si>
  <si>
    <t>BPK-BackPack Beg-Wiley</t>
  </si>
  <si>
    <t>1117BPK01</t>
  </si>
  <si>
    <t>3707-D Alliance Dr</t>
  </si>
  <si>
    <t>BPK-BackPack Beg-Irving</t>
  </si>
  <si>
    <t>1117BPK02</t>
  </si>
  <si>
    <t>BPK-BackPack Beg-Hampton</t>
  </si>
  <si>
    <t>1117BPK03</t>
  </si>
  <si>
    <t>BPK-BackPack Beg-Rankin</t>
  </si>
  <si>
    <t>1117BPK04</t>
  </si>
  <si>
    <t>BPK-BackPack Beg-D Jones</t>
  </si>
  <si>
    <t>1117BPK05</t>
  </si>
  <si>
    <t>BPK-BackPack Beg-Gillespie</t>
  </si>
  <si>
    <t>1117BPK07</t>
  </si>
  <si>
    <t>BPK-BackPack Beg-Montlieu</t>
  </si>
  <si>
    <t>1117BPK08</t>
  </si>
  <si>
    <t>BPK-BackPack Beg-Parkview</t>
  </si>
  <si>
    <t>1117BPK09</t>
  </si>
  <si>
    <t>BPK-BackPack Beg-Union Hill</t>
  </si>
  <si>
    <t>1117BPK10</t>
  </si>
  <si>
    <t>BPK-BackPack Beg-Johnson</t>
  </si>
  <si>
    <t>1117BPK11</t>
  </si>
  <si>
    <t>BPK-BackPack Beg-Northwood</t>
  </si>
  <si>
    <t>1117BPK12</t>
  </si>
  <si>
    <t>BPK-BackPack Beg-Macedonia</t>
  </si>
  <si>
    <t>1117BPK13</t>
  </si>
  <si>
    <t>BPK-BackPack Beg-Oak Hill</t>
  </si>
  <si>
    <t>1117BPK14</t>
  </si>
  <si>
    <t>BPK-BackPack Beg-McElveen</t>
  </si>
  <si>
    <t>1117BPK15</t>
  </si>
  <si>
    <t>BPK-BackPack Beg-Cone</t>
  </si>
  <si>
    <t>1117BPK18</t>
  </si>
  <si>
    <t>BPK-BackPack Beg-Ray Warren</t>
  </si>
  <si>
    <t>1117BPK19</t>
  </si>
  <si>
    <t>BPK-BackPack Beg - Peck</t>
  </si>
  <si>
    <t>1117BPK20</t>
  </si>
  <si>
    <t>BPK-BackPack Beg - Poplar Grov</t>
  </si>
  <si>
    <t>1117BPK21</t>
  </si>
  <si>
    <t>BPK-BackPackBeginnings-Staley</t>
  </si>
  <si>
    <t>1117BPK22</t>
  </si>
  <si>
    <t>BPK-BackPackBeginnings-Elm St</t>
  </si>
  <si>
    <t>1117BPK23</t>
  </si>
  <si>
    <t>SCH-BackPack Beg-Fern,Welb, Gr</t>
  </si>
  <si>
    <t>1117EMP01</t>
  </si>
  <si>
    <t>Julian United Methodist Church</t>
  </si>
  <si>
    <t>1140EMP01</t>
  </si>
  <si>
    <t>2105 NC Hwy 62 E</t>
  </si>
  <si>
    <t>Julian</t>
  </si>
  <si>
    <t>Celia Phelps Memorial UMC</t>
  </si>
  <si>
    <t>1141EMP01</t>
  </si>
  <si>
    <t>3709 Groometown Road</t>
  </si>
  <si>
    <t>SFSP - New Prosperity</t>
  </si>
  <si>
    <t>1142YTH01</t>
  </si>
  <si>
    <t>205 S Swing Rd</t>
  </si>
  <si>
    <t>SFSP-Operation Xcel</t>
  </si>
  <si>
    <t>1150YTH01</t>
  </si>
  <si>
    <t>9070 US Hwy 158</t>
  </si>
  <si>
    <t>One Step Further</t>
  </si>
  <si>
    <t>1153EMP01</t>
  </si>
  <si>
    <t>1900 W Market Street</t>
  </si>
  <si>
    <t>1153EMP02</t>
  </si>
  <si>
    <t>1012 Leonard St</t>
  </si>
  <si>
    <t>HTH - One Step Further - Cone</t>
  </si>
  <si>
    <t>1153EMP03</t>
  </si>
  <si>
    <t>Genesis Bapt. Ch. Food Pantry</t>
  </si>
  <si>
    <t>1167EMP01</t>
  </si>
  <si>
    <t>2812 E. Bessemer Ave</t>
  </si>
  <si>
    <t>Cappadocia Intergrowth Enrich</t>
  </si>
  <si>
    <t>1172EMP01</t>
  </si>
  <si>
    <t>600 W. Minneola Street</t>
  </si>
  <si>
    <t>Gibsonsville</t>
  </si>
  <si>
    <t>New Zion Miss. Bapt. Ch.</t>
  </si>
  <si>
    <t>1174EMP01</t>
  </si>
  <si>
    <t>408 Martin Luther King Jr. Dr.</t>
  </si>
  <si>
    <t>5 Loaves 2 Fish Food Pantry</t>
  </si>
  <si>
    <t>1190EMP01</t>
  </si>
  <si>
    <t>2066 Deep River Rd</t>
  </si>
  <si>
    <t>Free Indeed Outreach Min.</t>
  </si>
  <si>
    <t>1191EMP01</t>
  </si>
  <si>
    <t>4615-A Hill Top Road</t>
  </si>
  <si>
    <t>1191SPK01</t>
  </si>
  <si>
    <t>Lebanon Bapt. Ch. Pantry</t>
  </si>
  <si>
    <t>1192EMP01</t>
  </si>
  <si>
    <t>4635 Hicone Rd</t>
  </si>
  <si>
    <t>Divine Intervention-Care Link</t>
  </si>
  <si>
    <t>1195EMP01</t>
  </si>
  <si>
    <t>1214 Grove Street</t>
  </si>
  <si>
    <t>1195SPK01</t>
  </si>
  <si>
    <t>SCH - Aggie Source Food Pantry</t>
  </si>
  <si>
    <t>1197EMP01</t>
  </si>
  <si>
    <t>205 Nocho Street</t>
  </si>
  <si>
    <t>Locust Grove</t>
  </si>
  <si>
    <t>1199EMP01</t>
  </si>
  <si>
    <t>4707 NC Hwy 150</t>
  </si>
  <si>
    <t>Browns Summit</t>
  </si>
  <si>
    <t>Wells Memorial-We Care Pantry</t>
  </si>
  <si>
    <t>1200EMP01</t>
  </si>
  <si>
    <t>1001 E Washington Street</t>
  </si>
  <si>
    <t>1201SPK01</t>
  </si>
  <si>
    <t>410 N. Holden Rd</t>
  </si>
  <si>
    <t>Lutheran Church of Our Father</t>
  </si>
  <si>
    <t>1204EMP01</t>
  </si>
  <si>
    <t>3304 Groometown Rd</t>
  </si>
  <si>
    <t>Emerywood Baptist Church</t>
  </si>
  <si>
    <t>1206EMP01</t>
  </si>
  <si>
    <t>1300 Country Club Dr</t>
  </si>
  <si>
    <t>The Salv Army - Statesville</t>
  </si>
  <si>
    <t>0370EMP01</t>
  </si>
  <si>
    <t>1361 Caldwell St</t>
  </si>
  <si>
    <t>Statesville</t>
  </si>
  <si>
    <t>IRD</t>
  </si>
  <si>
    <t>Diakonos- Fifth Street Shelter</t>
  </si>
  <si>
    <t>0411SPK01</t>
  </si>
  <si>
    <t>1421 Fifth St</t>
  </si>
  <si>
    <t>Yokefellow Ministry of Statesv</t>
  </si>
  <si>
    <t>0578EMP01</t>
  </si>
  <si>
    <t>1380 Shelton Ave</t>
  </si>
  <si>
    <t>Cornerstone Church</t>
  </si>
  <si>
    <t>0607EMP01</t>
  </si>
  <si>
    <t>650 Glover St</t>
  </si>
  <si>
    <t>Landmark Relief</t>
  </si>
  <si>
    <t>0686EMP01</t>
  </si>
  <si>
    <t>2200 E Broad St</t>
  </si>
  <si>
    <t>First Church of Nazarene-State</t>
  </si>
  <si>
    <t>0779EMP01</t>
  </si>
  <si>
    <t>506 Medlin St</t>
  </si>
  <si>
    <t>Iredell Christian Ministries</t>
  </si>
  <si>
    <t>0903EMP01</t>
  </si>
  <si>
    <t>752 Old Salisbury Road</t>
  </si>
  <si>
    <t>Matthew 25 Ministries</t>
  </si>
  <si>
    <t>0991EMP01</t>
  </si>
  <si>
    <t>3223 Harmony Hwy</t>
  </si>
  <si>
    <t>Harmony</t>
  </si>
  <si>
    <t>Northview Church of Christ</t>
  </si>
  <si>
    <t>1012EMP01</t>
  </si>
  <si>
    <t>2615 Amity Hill Road</t>
  </si>
  <si>
    <t>BPK-Bethleh UMC-Celeste Hinkel</t>
  </si>
  <si>
    <t>1086BPK01</t>
  </si>
  <si>
    <t>607 Bethlehem Rd</t>
  </si>
  <si>
    <t>Union Grove UMC</t>
  </si>
  <si>
    <t>1186EMP01</t>
  </si>
  <si>
    <t>1331 Sloans Mill Rd</t>
  </si>
  <si>
    <t>Christ Boulevard UMC</t>
  </si>
  <si>
    <t>1205EMP01</t>
  </si>
  <si>
    <t>1947 East Broad St</t>
  </si>
  <si>
    <t>Christians United Outreach Ctr</t>
  </si>
  <si>
    <t>0017EMP01</t>
  </si>
  <si>
    <t>930 S. Fayetteville St.</t>
  </si>
  <si>
    <t>Asheboro</t>
  </si>
  <si>
    <t>RAN</t>
  </si>
  <si>
    <t>The Salv Army - Asheboro</t>
  </si>
  <si>
    <t>0086EMP01</t>
  </si>
  <si>
    <t>345 N Church St</t>
  </si>
  <si>
    <t>First Assembly - Caring Place</t>
  </si>
  <si>
    <t>0168EMP01</t>
  </si>
  <si>
    <t>909 Meadowbrook Rd</t>
  </si>
  <si>
    <t>Midway United Missionary Churc</t>
  </si>
  <si>
    <t>0448EMP01</t>
  </si>
  <si>
    <t>307 S Stout St</t>
  </si>
  <si>
    <t>Randleman</t>
  </si>
  <si>
    <t>BPK - CIS of Randolph</t>
  </si>
  <si>
    <t>0988BPK01</t>
  </si>
  <si>
    <t>1011 Sunset Avenue</t>
  </si>
  <si>
    <t>Hope Baptist Church of NC</t>
  </si>
  <si>
    <t>1073EMP01</t>
  </si>
  <si>
    <t>4872 Old Edgar Rd</t>
  </si>
  <si>
    <t>Sophia</t>
  </si>
  <si>
    <t>MBL- Hope Baptist Church</t>
  </si>
  <si>
    <t>1073SPK01</t>
  </si>
  <si>
    <t>1081EMP01</t>
  </si>
  <si>
    <t>7239 NC Hwy 22-42</t>
  </si>
  <si>
    <t>Bennett(Asheboro)</t>
  </si>
  <si>
    <t>Liberty Assoc. of Churches</t>
  </si>
  <si>
    <t>1165EMP01</t>
  </si>
  <si>
    <t>329 B West Bowman Avenue</t>
  </si>
  <si>
    <t>Liberty</t>
  </si>
  <si>
    <t>Asheboro Shelter of Hope</t>
  </si>
  <si>
    <t>1187EMS01</t>
  </si>
  <si>
    <t>133 W. Wainman Ave</t>
  </si>
  <si>
    <t>The Salv Army - Reidsville</t>
  </si>
  <si>
    <t>0192EMP01</t>
  </si>
  <si>
    <t>704 Barnes Street</t>
  </si>
  <si>
    <t>Reidsville</t>
  </si>
  <si>
    <t>RCK</t>
  </si>
  <si>
    <t>The Salv Army - Eden</t>
  </si>
  <si>
    <t>0192EMP02</t>
  </si>
  <si>
    <t>314 Morgan Rd.</t>
  </si>
  <si>
    <t>Eden</t>
  </si>
  <si>
    <t>0192SPK01</t>
  </si>
  <si>
    <t>314 Morgan Rd</t>
  </si>
  <si>
    <t>Men In Christ, Inc.</t>
  </si>
  <si>
    <t>0641EMP01</t>
  </si>
  <si>
    <t>200 S Main Street</t>
  </si>
  <si>
    <t>Calvary Baptist Church</t>
  </si>
  <si>
    <t>0769EMP01</t>
  </si>
  <si>
    <t>7860 NC Highway 87N</t>
  </si>
  <si>
    <t>Redisville</t>
  </si>
  <si>
    <t>Osborne Baptist Ch.-Reidsvi</t>
  </si>
  <si>
    <t>0789EMP02</t>
  </si>
  <si>
    <t>3692 NC 14</t>
  </si>
  <si>
    <t>MB-Osborne Bap-Rockingham Hope</t>
  </si>
  <si>
    <t>0789EMP03</t>
  </si>
  <si>
    <t>3692 NC HWY 14</t>
  </si>
  <si>
    <t>BPK  - Reidsville Outreach</t>
  </si>
  <si>
    <t>0819BPK01</t>
  </si>
  <si>
    <t>PO Box 773</t>
  </si>
  <si>
    <t>Reidsville Outreach Center</t>
  </si>
  <si>
    <t>0819EMP01</t>
  </si>
  <si>
    <t>435 SW Market St</t>
  </si>
  <si>
    <t>In His Name Christian Services</t>
  </si>
  <si>
    <t>0878EMP01</t>
  </si>
  <si>
    <t>1863 S Park Dr</t>
  </si>
  <si>
    <t>BPK - St Thomas Episcopal</t>
  </si>
  <si>
    <t>0989BPK01</t>
  </si>
  <si>
    <t>315 Lindsey St</t>
  </si>
  <si>
    <t>IDW-Madison Pres-Dillard Elem</t>
  </si>
  <si>
    <t>1120EMP01</t>
  </si>
  <si>
    <t>204 W. Decatur Street</t>
  </si>
  <si>
    <t>Madison</t>
  </si>
  <si>
    <t>BPK - Palestine UMC</t>
  </si>
  <si>
    <t>1124BPK01</t>
  </si>
  <si>
    <t>2745 Gideon Grove Church Road</t>
  </si>
  <si>
    <t>BPK-Palestine UMC-McMichael</t>
  </si>
  <si>
    <t>1124BPK02</t>
  </si>
  <si>
    <t>2954 Ellisboro Rd</t>
  </si>
  <si>
    <t>BPK-Palestine UMC-Western Rock</t>
  </si>
  <si>
    <t>1124BPK03</t>
  </si>
  <si>
    <t>LOT 2540, Inc.</t>
  </si>
  <si>
    <t>1156EMP01</t>
  </si>
  <si>
    <t>411 S. 2nd Avenue</t>
  </si>
  <si>
    <t>Mayodan</t>
  </si>
  <si>
    <t>MBL-Rockingham United Inc.</t>
  </si>
  <si>
    <t>1156EMP02</t>
  </si>
  <si>
    <t>1156SPK01</t>
  </si>
  <si>
    <t>411 S. 2nd Street</t>
  </si>
  <si>
    <t>God's Helping Hands Pantry</t>
  </si>
  <si>
    <t>1196EMP01</t>
  </si>
  <si>
    <t>4933 NC Highway 770</t>
  </si>
  <si>
    <t>Stoneville</t>
  </si>
  <si>
    <t>Draper PHC - Hope Outreach Ctr</t>
  </si>
  <si>
    <t>1208EMP01</t>
  </si>
  <si>
    <t>204 S Bethel St</t>
  </si>
  <si>
    <t>BPK - King Outreach Ministry</t>
  </si>
  <si>
    <t>0299BPK01</t>
  </si>
  <si>
    <t>221 Ingram Dr.</t>
  </si>
  <si>
    <t>King</t>
  </si>
  <si>
    <t>STO</t>
  </si>
  <si>
    <t>BPK - King Outreach -King Elem</t>
  </si>
  <si>
    <t>0299BPK02</t>
  </si>
  <si>
    <t>221 Ingram Dr</t>
  </si>
  <si>
    <t>King Outreach Ministry</t>
  </si>
  <si>
    <t>0299EMP01</t>
  </si>
  <si>
    <t>East Stokes Outreach Ministry</t>
  </si>
  <si>
    <t>0484EMP01</t>
  </si>
  <si>
    <t>301 West Third St</t>
  </si>
  <si>
    <t>Walnut Cove</t>
  </si>
  <si>
    <t>The Rock Church</t>
  </si>
  <si>
    <t>0884EMP01</t>
  </si>
  <si>
    <t>416 W King Street</t>
  </si>
  <si>
    <t>BPK-Francisco PC-Nancy Reynold</t>
  </si>
  <si>
    <t>1137BPK02</t>
  </si>
  <si>
    <t>7257 NC Hwy 89W</t>
  </si>
  <si>
    <t>Westfield</t>
  </si>
  <si>
    <t>Francisco Presbyterian Church</t>
  </si>
  <si>
    <t>1137EMP01</t>
  </si>
  <si>
    <t>7257 NC Hwy 89 W</t>
  </si>
  <si>
    <t>BPK-First Christian Ch-Poplar</t>
  </si>
  <si>
    <t>1149BPK01</t>
  </si>
  <si>
    <t>625 Meadowbrook Drive</t>
  </si>
  <si>
    <t>BPK-First Christian-Piney Grov</t>
  </si>
  <si>
    <t>1149BPK02</t>
  </si>
  <si>
    <t>Yokefellow Ministry of Mt Airy</t>
  </si>
  <si>
    <t>0291EMP01</t>
  </si>
  <si>
    <t>215 Jones School Rd</t>
  </si>
  <si>
    <t>Mt Airy</t>
  </si>
  <si>
    <t>SUR</t>
  </si>
  <si>
    <t>Trinity Episcopal Church</t>
  </si>
  <si>
    <t>0303EMP01</t>
  </si>
  <si>
    <t>427 N Main St</t>
  </si>
  <si>
    <t>Mt. Airy</t>
  </si>
  <si>
    <t>Tri-County Christian Crisis Mi</t>
  </si>
  <si>
    <t>0341EMP01</t>
  </si>
  <si>
    <t>290 N Bridge St.</t>
  </si>
  <si>
    <t>Elkin</t>
  </si>
  <si>
    <t>MBL-Tri-County Chris-W. Yadkin</t>
  </si>
  <si>
    <t>0341EMP02</t>
  </si>
  <si>
    <t>The Salv Army - Mt Airy</t>
  </si>
  <si>
    <t>0405EMP01</t>
  </si>
  <si>
    <t>651 S South Street</t>
  </si>
  <si>
    <t>Foothills Food Pantry</t>
  </si>
  <si>
    <t>0426EMP01</t>
  </si>
  <si>
    <t>233 Cooper St</t>
  </si>
  <si>
    <t>Dobson</t>
  </si>
  <si>
    <t>ECHO Ministry-The Ark Homeless</t>
  </si>
  <si>
    <t>0647EMS01</t>
  </si>
  <si>
    <t>130 Hill Street</t>
  </si>
  <si>
    <t>BPK - S.E.A.M.S. - Pinnacle</t>
  </si>
  <si>
    <t>0775BPK02</t>
  </si>
  <si>
    <t>321 E Hwy 52 Bypass</t>
  </si>
  <si>
    <t>Pilot Mountain</t>
  </si>
  <si>
    <t>SEAMS-Pilot Mountain Outreach</t>
  </si>
  <si>
    <t>0775EMP01</t>
  </si>
  <si>
    <t>407 Old US 52 Bypass</t>
  </si>
  <si>
    <t>BPK-Helping Hands Foundation</t>
  </si>
  <si>
    <t>1194BPK01</t>
  </si>
  <si>
    <t>114 West Lebanon Street</t>
  </si>
  <si>
    <t>Mount Airy</t>
  </si>
  <si>
    <t>Helping Hands Foundation Surry</t>
  </si>
  <si>
    <t>1194EMP01</t>
  </si>
  <si>
    <t>114 W Lebanon St</t>
  </si>
  <si>
    <t>The Shepherd's House</t>
  </si>
  <si>
    <t>1209EMS01</t>
  </si>
  <si>
    <t>227 Rockford St</t>
  </si>
  <si>
    <t>BPK - The Hunger &amp; Health Coal</t>
  </si>
  <si>
    <t>0131BPK01</t>
  </si>
  <si>
    <t>141 Health Center Dr</t>
  </si>
  <si>
    <t>Boone</t>
  </si>
  <si>
    <t>WAT</t>
  </si>
  <si>
    <t>BPK-Hunger &amp; Health-Bethel</t>
  </si>
  <si>
    <t>0131BPK02</t>
  </si>
  <si>
    <t>141 Health Center Drive</t>
  </si>
  <si>
    <t>BPK-Hunger &amp; Health-Cove Crk</t>
  </si>
  <si>
    <t>0131BPK03</t>
  </si>
  <si>
    <t>BPK-Hunger &amp; Health-Mabel El</t>
  </si>
  <si>
    <t>0131BPK04</t>
  </si>
  <si>
    <t>BPK-Hunger &amp; Health-Green Vall</t>
  </si>
  <si>
    <t>0131BPK06</t>
  </si>
  <si>
    <t>BPK-Hunger&amp; Health-Western</t>
  </si>
  <si>
    <t>0131BPK07</t>
  </si>
  <si>
    <t>BPK-Hunger &amp; Health-Parkway</t>
  </si>
  <si>
    <t>0131BPK08</t>
  </si>
  <si>
    <t>BPK-Hunger &amp; Health-Hardin Pk</t>
  </si>
  <si>
    <t>0131BPK09</t>
  </si>
  <si>
    <t>BPK-Hunger &amp; Health-Valle Cruc</t>
  </si>
  <si>
    <t>0131BPK10</t>
  </si>
  <si>
    <t>BPK-Hunger &amp; Health-Blowing Rk</t>
  </si>
  <si>
    <t>0131BPK11</t>
  </si>
  <si>
    <t>The Hunger &amp; Health Coalition</t>
  </si>
  <si>
    <t>0131EMP01</t>
  </si>
  <si>
    <t>Hunger&amp;HealthCoalition-Western</t>
  </si>
  <si>
    <t>0131EMP02</t>
  </si>
  <si>
    <t>1081 Old US Highway 421</t>
  </si>
  <si>
    <t>Sugar Grove</t>
  </si>
  <si>
    <t>HTH-Hunger &amp; Health Coalition</t>
  </si>
  <si>
    <t>0131EMP03</t>
  </si>
  <si>
    <t>336 Deerfield Drive</t>
  </si>
  <si>
    <t>Hospitality House</t>
  </si>
  <si>
    <t>0286EMP01</t>
  </si>
  <si>
    <t>338 Brook Hollow Road</t>
  </si>
  <si>
    <t>0286SPK01</t>
  </si>
  <si>
    <t>First Baptist Church-Boone</t>
  </si>
  <si>
    <t>0938EMP01</t>
  </si>
  <si>
    <t>375 W King St</t>
  </si>
  <si>
    <t>Greenway Baptist Church</t>
  </si>
  <si>
    <t>1076EMP01</t>
  </si>
  <si>
    <t>880 Greenway Rd</t>
  </si>
  <si>
    <t>Casting Bread Food Pantry</t>
  </si>
  <si>
    <t>1160EMP01</t>
  </si>
  <si>
    <t>194 Aho Rd.</t>
  </si>
  <si>
    <t>Blowing Rock</t>
  </si>
  <si>
    <t>1160SPK01</t>
  </si>
  <si>
    <t>BROC: Wilkes Community Action</t>
  </si>
  <si>
    <t>0080EMP01</t>
  </si>
  <si>
    <t>710 Veterans Drive</t>
  </si>
  <si>
    <t>North Wilkesboro</t>
  </si>
  <si>
    <t>WIL</t>
  </si>
  <si>
    <t>Brushy Mtn- Wilkes Min of Hope</t>
  </si>
  <si>
    <t>0767EMP01</t>
  </si>
  <si>
    <t>514 Elkin Highway</t>
  </si>
  <si>
    <t>Brushy Mtn Baptist - Boomer FP</t>
  </si>
  <si>
    <t>0767EMP02</t>
  </si>
  <si>
    <t>149 Boomer Church Road</t>
  </si>
  <si>
    <t>Boomer</t>
  </si>
  <si>
    <t>SCH-Brushy Mtn Bap-WCC Pantry</t>
  </si>
  <si>
    <t>0767EMP03</t>
  </si>
  <si>
    <t>1328 S collegiate Dr Thompson</t>
  </si>
  <si>
    <t xml:space="preserve"> Wilkesboro</t>
  </si>
  <si>
    <t>Antioch Baptist Church</t>
  </si>
  <si>
    <t>0952EMP01</t>
  </si>
  <si>
    <t>1298 Antioch Church Rd</t>
  </si>
  <si>
    <t>Wilkesboro</t>
  </si>
  <si>
    <t>Pilgrim Baptist - Outreach Ctr</t>
  </si>
  <si>
    <t>0967EMP01</t>
  </si>
  <si>
    <t>493 Pilgrim Baptist Church Rd</t>
  </si>
  <si>
    <t>1008EMP01</t>
  </si>
  <si>
    <t>15733 Elkin Hwy</t>
  </si>
  <si>
    <t>Ronda</t>
  </si>
  <si>
    <t>BPK - Roaring River UMC</t>
  </si>
  <si>
    <t>1031BPK01</t>
  </si>
  <si>
    <t>131 W.O. Blackburn Road</t>
  </si>
  <si>
    <t>Roaring River</t>
  </si>
  <si>
    <t>Samaritan Kitchen of Wilkes</t>
  </si>
  <si>
    <t>1050EMP01</t>
  </si>
  <si>
    <t>4187 US Highway 421</t>
  </si>
  <si>
    <t>IDW-Samaritan Kitchen of Wilke</t>
  </si>
  <si>
    <t>1050EMP02</t>
  </si>
  <si>
    <t>4187 W. US Hwy 421</t>
  </si>
  <si>
    <t>New Damascus Baptist Church</t>
  </si>
  <si>
    <t>1207EMP01</t>
  </si>
  <si>
    <t>161 Damascus Church Rd</t>
  </si>
  <si>
    <t>Yadkin Christian Ministries</t>
  </si>
  <si>
    <t>0480EMP01</t>
  </si>
  <si>
    <t>117 Woodlyn Dr</t>
  </si>
  <si>
    <t>Yadkinville</t>
  </si>
  <si>
    <t>YAD</t>
  </si>
  <si>
    <t>Yadkin Christian Ministries Ea</t>
  </si>
  <si>
    <t>0480EMP02</t>
  </si>
  <si>
    <t>118 Hwy 67</t>
  </si>
  <si>
    <t>East Bend</t>
  </si>
  <si>
    <t>Divine Redeemer Catholic Ch</t>
  </si>
  <si>
    <t>0844EMP01</t>
  </si>
  <si>
    <t>209 Lon Ave</t>
  </si>
  <si>
    <t>Boonville</t>
  </si>
  <si>
    <t>BPK -Longtown United Methodist</t>
  </si>
  <si>
    <t>0990BPK01</t>
  </si>
  <si>
    <t>1416 Longtown Rd</t>
  </si>
  <si>
    <t>Hamptonville</t>
  </si>
  <si>
    <t>BPK - Center UMC - Yville Elem</t>
  </si>
  <si>
    <t>1002BPK01</t>
  </si>
  <si>
    <t>1400 Center Road</t>
  </si>
  <si>
    <t>BPK -Deep Creek Baptist Church</t>
  </si>
  <si>
    <t>1024BPK01</t>
  </si>
  <si>
    <t>2400 Old Stage Rd</t>
  </si>
  <si>
    <t>SFSP-Deep Creek Baptist Ch</t>
  </si>
  <si>
    <t>1024YTH01</t>
  </si>
  <si>
    <t>2529 Courtney-Huntersville Rd</t>
  </si>
  <si>
    <t>BPK-Boonville UMC-Boonv Elem</t>
  </si>
  <si>
    <t>1069BPK01</t>
  </si>
  <si>
    <t>116 N Carolina Ave</t>
  </si>
  <si>
    <t>TOTAL  LBS ON OWN SR</t>
  </si>
  <si>
    <t>Total_20</t>
  </si>
  <si>
    <t>Total_19</t>
  </si>
  <si>
    <t>2715 Darrow Rd</t>
  </si>
  <si>
    <t>1300 N College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</si>
</sst>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8"/>
  <sheetViews>
    <sheetView tabSelected="1" zoomScale="216" zoomScaleNormal="216" workbookViewId="0">
      <pane ySplit="1" topLeftCell="A2" activePane="bottomLeft" state="frozen"/>
      <selection pane="bottomLeft" activeCell="C4" sqref="C4"/>
    </sheetView>
  </sheetViews>
  <sheetFormatPr baseColWidth="10" defaultColWidth="8.83203125" defaultRowHeight="15" x14ac:dyDescent="0.2"/>
  <cols>
    <col min="1" max="1" width="32.1640625" bestFit="1" customWidth="1"/>
    <col min="2" max="2" width="11.1640625" bestFit="1" customWidth="1"/>
    <col min="3" max="3" width="28.5" bestFit="1" customWidth="1"/>
    <col min="4" max="4" width="19.1640625" bestFit="1" customWidth="1"/>
    <col min="5" max="5" width="10.1640625" bestFit="1" customWidth="1"/>
    <col min="6" max="6" width="6.83203125" bestFit="1" customWidth="1"/>
    <col min="7" max="7" width="9.1640625" bestFit="1" customWidth="1"/>
    <col min="8" max="8" width="10.6640625" style="3" bestFit="1" customWidth="1"/>
    <col min="9" max="10" width="15.33203125" style="3" bestFit="1" customWidth="1"/>
    <col min="11" max="11" width="12.6640625" style="4" customWidth="1"/>
    <col min="12" max="12" width="9.6640625" style="3" bestFit="1" customWidth="1"/>
    <col min="13" max="14" width="15.33203125" style="3" bestFit="1" customWidth="1"/>
  </cols>
  <sheetData>
    <row r="1" spans="1:14" ht="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1211</v>
      </c>
      <c r="H1" s="3" t="s">
        <v>6</v>
      </c>
      <c r="I1" s="3" t="s">
        <v>1209</v>
      </c>
      <c r="J1" s="3" t="s">
        <v>7</v>
      </c>
      <c r="K1" s="4" t="s">
        <v>1210</v>
      </c>
      <c r="L1" s="3" t="s">
        <v>6</v>
      </c>
      <c r="M1" s="3" t="s">
        <v>1209</v>
      </c>
      <c r="N1" s="3" t="s">
        <v>7</v>
      </c>
    </row>
    <row r="2" spans="1:14" x14ac:dyDescent="0.2">
      <c r="A2" t="s">
        <v>528</v>
      </c>
      <c r="B2" t="s">
        <v>529</v>
      </c>
      <c r="C2" s="1" t="s">
        <v>1212</v>
      </c>
      <c r="D2" t="s">
        <v>530</v>
      </c>
      <c r="E2">
        <v>27051</v>
      </c>
      <c r="F2" t="s">
        <v>349</v>
      </c>
      <c r="G2" s="2">
        <f>SUM(H2:J2)</f>
        <v>13941</v>
      </c>
      <c r="H2" s="3">
        <v>12009</v>
      </c>
      <c r="I2" s="3">
        <v>0</v>
      </c>
      <c r="J2" s="3">
        <v>1932</v>
      </c>
      <c r="K2" s="4">
        <f>SUM(L2:N2)</f>
        <v>6637</v>
      </c>
      <c r="L2" s="3">
        <v>4782</v>
      </c>
      <c r="M2" s="3">
        <v>0</v>
      </c>
      <c r="N2" s="3">
        <v>1855</v>
      </c>
    </row>
    <row r="3" spans="1:14" x14ac:dyDescent="0.2">
      <c r="A3" t="s">
        <v>771</v>
      </c>
      <c r="B3" t="s">
        <v>772</v>
      </c>
      <c r="C3" s="1" t="s">
        <v>1213</v>
      </c>
      <c r="D3" t="s">
        <v>276</v>
      </c>
      <c r="E3">
        <v>27260</v>
      </c>
      <c r="F3" t="s">
        <v>628</v>
      </c>
      <c r="G3" s="2">
        <f>SUM(H3:J3)</f>
        <v>67225</v>
      </c>
      <c r="H3" s="3">
        <v>50009</v>
      </c>
      <c r="I3" s="3">
        <v>8388</v>
      </c>
      <c r="J3" s="3">
        <v>8828</v>
      </c>
      <c r="K3" s="4">
        <f>SUM(L3:N3)</f>
        <v>39968.5</v>
      </c>
      <c r="L3" s="3">
        <v>29165.5</v>
      </c>
      <c r="M3" s="3">
        <v>6021</v>
      </c>
      <c r="N3" s="3">
        <v>4782</v>
      </c>
    </row>
    <row r="4" spans="1:14" x14ac:dyDescent="0.2">
      <c r="A4" t="s">
        <v>262</v>
      </c>
      <c r="B4" t="s">
        <v>263</v>
      </c>
      <c r="C4" t="s">
        <v>264</v>
      </c>
      <c r="D4" t="s">
        <v>265</v>
      </c>
      <c r="E4">
        <v>27360</v>
      </c>
      <c r="F4" t="s">
        <v>254</v>
      </c>
      <c r="G4" s="2">
        <f>SUM(H4:J4)</f>
        <v>431323</v>
      </c>
      <c r="H4" s="3">
        <v>286044</v>
      </c>
      <c r="I4" s="3">
        <v>51778</v>
      </c>
      <c r="J4" s="3">
        <v>93501</v>
      </c>
      <c r="K4" s="4">
        <f>SUM(L4:N4)</f>
        <v>198608.5</v>
      </c>
      <c r="L4" s="3">
        <v>147380.5</v>
      </c>
      <c r="M4" s="3">
        <v>10930</v>
      </c>
      <c r="N4" s="3">
        <v>40298</v>
      </c>
    </row>
    <row r="5" spans="1:14" x14ac:dyDescent="0.2">
      <c r="A5" t="s">
        <v>875</v>
      </c>
      <c r="B5" t="s">
        <v>876</v>
      </c>
      <c r="C5" t="s">
        <v>877</v>
      </c>
      <c r="D5" t="s">
        <v>643</v>
      </c>
      <c r="E5">
        <v>27401</v>
      </c>
      <c r="F5" t="s">
        <v>628</v>
      </c>
      <c r="G5" s="2">
        <f>SUM(H5:J5)</f>
        <v>83658</v>
      </c>
      <c r="H5" s="3">
        <v>83658</v>
      </c>
      <c r="I5" s="3">
        <v>0</v>
      </c>
      <c r="J5" s="3">
        <v>0</v>
      </c>
      <c r="K5" s="4">
        <f>SUM(L5:N5)</f>
        <v>136373.5</v>
      </c>
      <c r="L5" s="3">
        <v>116719.5</v>
      </c>
      <c r="M5" s="3">
        <v>0</v>
      </c>
      <c r="N5" s="3">
        <f>10555+9099</f>
        <v>19654</v>
      </c>
    </row>
    <row r="6" spans="1:14" x14ac:dyDescent="0.2">
      <c r="A6" t="s">
        <v>778</v>
      </c>
      <c r="B6" t="s">
        <v>779</v>
      </c>
      <c r="C6" t="s">
        <v>780</v>
      </c>
      <c r="D6" t="s">
        <v>643</v>
      </c>
      <c r="E6">
        <v>27406</v>
      </c>
      <c r="F6" t="s">
        <v>628</v>
      </c>
      <c r="G6" s="2">
        <f>SUM(H6:J6)</f>
        <v>40060</v>
      </c>
      <c r="H6" s="3">
        <v>39403</v>
      </c>
      <c r="I6" s="3">
        <v>657</v>
      </c>
      <c r="J6" s="3">
        <v>0</v>
      </c>
      <c r="K6" s="4">
        <f>SUM(L6:N6)</f>
        <v>19641.099999999999</v>
      </c>
      <c r="L6" s="3">
        <v>19641.099999999999</v>
      </c>
      <c r="M6" s="3">
        <v>0</v>
      </c>
      <c r="N6" s="3">
        <v>0</v>
      </c>
    </row>
    <row r="7" spans="1:14" x14ac:dyDescent="0.2">
      <c r="A7" t="s">
        <v>940</v>
      </c>
      <c r="B7" t="s">
        <v>941</v>
      </c>
      <c r="C7" t="s">
        <v>942</v>
      </c>
      <c r="D7" t="s">
        <v>928</v>
      </c>
      <c r="E7">
        <v>27203</v>
      </c>
      <c r="F7" t="s">
        <v>929</v>
      </c>
      <c r="G7" s="2">
        <f>SUM(H7:J7)</f>
        <v>3712</v>
      </c>
      <c r="H7" s="3">
        <v>3712</v>
      </c>
      <c r="I7" s="3">
        <v>0</v>
      </c>
      <c r="J7" s="3">
        <v>0</v>
      </c>
      <c r="K7" s="4">
        <f>SUM(L7:N7)</f>
        <v>1044</v>
      </c>
      <c r="L7" s="3">
        <v>1044</v>
      </c>
      <c r="M7" s="3">
        <v>0</v>
      </c>
      <c r="N7" s="3">
        <v>0</v>
      </c>
    </row>
    <row r="8" spans="1:14" x14ac:dyDescent="0.2">
      <c r="A8" t="s">
        <v>837</v>
      </c>
      <c r="B8" t="s">
        <v>840</v>
      </c>
      <c r="C8" t="s">
        <v>841</v>
      </c>
      <c r="D8" t="s">
        <v>276</v>
      </c>
      <c r="E8">
        <v>27401</v>
      </c>
      <c r="F8" t="s">
        <v>628</v>
      </c>
      <c r="G8" s="2">
        <f>SUM(H8:J8)</f>
        <v>111254</v>
      </c>
      <c r="H8" s="3">
        <v>105149</v>
      </c>
      <c r="I8" s="3">
        <v>6105</v>
      </c>
      <c r="J8" s="3">
        <v>0</v>
      </c>
      <c r="K8" s="4">
        <f>SUM(L8:N8)</f>
        <v>69875</v>
      </c>
      <c r="L8" s="3">
        <v>65575</v>
      </c>
      <c r="M8" s="3">
        <v>4300</v>
      </c>
      <c r="N8" s="3">
        <v>0</v>
      </c>
    </row>
    <row r="9" spans="1:14" x14ac:dyDescent="0.2">
      <c r="A9" t="s">
        <v>662</v>
      </c>
      <c r="B9" t="s">
        <v>663</v>
      </c>
      <c r="C9" t="s">
        <v>664</v>
      </c>
      <c r="D9" t="s">
        <v>276</v>
      </c>
      <c r="E9">
        <v>27260</v>
      </c>
      <c r="F9" t="s">
        <v>628</v>
      </c>
      <c r="G9" s="2">
        <f>SUM(H9:J9)</f>
        <v>189507</v>
      </c>
      <c r="H9" s="3">
        <v>104704</v>
      </c>
      <c r="I9" s="3">
        <v>4825</v>
      </c>
      <c r="J9" s="3">
        <v>79978</v>
      </c>
      <c r="K9" s="4">
        <f>SUM(L9:N9)</f>
        <v>92998.5</v>
      </c>
      <c r="L9" s="3">
        <v>52317.5</v>
      </c>
      <c r="M9" s="3">
        <v>878</v>
      </c>
      <c r="N9" s="3">
        <v>39803</v>
      </c>
    </row>
    <row r="10" spans="1:14" x14ac:dyDescent="0.2">
      <c r="A10" t="s">
        <v>72</v>
      </c>
      <c r="B10" t="s">
        <v>73</v>
      </c>
      <c r="C10" t="s">
        <v>74</v>
      </c>
      <c r="D10" t="s">
        <v>11</v>
      </c>
      <c r="E10">
        <v>27217</v>
      </c>
      <c r="F10" t="s">
        <v>12</v>
      </c>
      <c r="G10" s="2">
        <f>SUM(H10:J10)</f>
        <v>2803</v>
      </c>
      <c r="H10" s="3">
        <v>2593</v>
      </c>
      <c r="I10" s="3">
        <v>210</v>
      </c>
      <c r="J10" s="3">
        <v>0</v>
      </c>
      <c r="K10" s="4">
        <f>SUM(L10:N10)</f>
        <v>14</v>
      </c>
      <c r="L10" s="3">
        <v>7</v>
      </c>
      <c r="M10" s="3">
        <v>7</v>
      </c>
      <c r="N10" s="3">
        <v>0</v>
      </c>
    </row>
    <row r="11" spans="1:14" x14ac:dyDescent="0.2">
      <c r="A11" t="s">
        <v>657</v>
      </c>
      <c r="B11" t="s">
        <v>658</v>
      </c>
      <c r="C11" t="s">
        <v>659</v>
      </c>
      <c r="D11" t="s">
        <v>276</v>
      </c>
      <c r="E11">
        <v>27260</v>
      </c>
      <c r="F11" t="s">
        <v>628</v>
      </c>
      <c r="G11" s="2">
        <f>SUM(H11:J11)</f>
        <v>12970</v>
      </c>
      <c r="H11" s="3">
        <v>12970</v>
      </c>
      <c r="I11" s="3">
        <v>0</v>
      </c>
      <c r="J11" s="3">
        <v>0</v>
      </c>
      <c r="K11" s="4">
        <f>SUM(L11:N11)</f>
        <v>2831</v>
      </c>
      <c r="L11" s="3">
        <v>2831</v>
      </c>
      <c r="M11" s="3">
        <v>0</v>
      </c>
      <c r="N11" s="3">
        <v>0</v>
      </c>
    </row>
    <row r="12" spans="1:14" x14ac:dyDescent="0.2">
      <c r="A12" t="s">
        <v>711</v>
      </c>
      <c r="B12" t="s">
        <v>712</v>
      </c>
      <c r="C12" t="s">
        <v>713</v>
      </c>
      <c r="D12" t="s">
        <v>276</v>
      </c>
      <c r="E12">
        <v>27262</v>
      </c>
      <c r="F12" t="s">
        <v>628</v>
      </c>
      <c r="G12" s="2">
        <f>SUM(H12:J12)</f>
        <v>1656</v>
      </c>
      <c r="H12" s="3">
        <v>828</v>
      </c>
      <c r="I12" s="3">
        <v>828</v>
      </c>
      <c r="J12" s="3">
        <v>0</v>
      </c>
      <c r="K12" s="4">
        <f>SUM(L12:N12)</f>
        <v>100</v>
      </c>
      <c r="L12" s="3">
        <v>50</v>
      </c>
      <c r="M12" s="3">
        <v>50</v>
      </c>
      <c r="N12" s="3">
        <v>0</v>
      </c>
    </row>
    <row r="13" spans="1:14" x14ac:dyDescent="0.2">
      <c r="A13" t="s">
        <v>163</v>
      </c>
      <c r="B13" t="s">
        <v>164</v>
      </c>
      <c r="C13" t="s">
        <v>150</v>
      </c>
      <c r="D13" t="s">
        <v>151</v>
      </c>
      <c r="E13">
        <v>27379</v>
      </c>
      <c r="F13" t="s">
        <v>152</v>
      </c>
      <c r="G13" s="2">
        <f>SUM(H13:J13)</f>
        <v>265055</v>
      </c>
      <c r="H13" s="3">
        <v>177593</v>
      </c>
      <c r="I13" s="3">
        <v>13274</v>
      </c>
      <c r="J13" s="3">
        <v>74188</v>
      </c>
      <c r="K13" s="4">
        <f>SUM(L13:N13)</f>
        <v>186450</v>
      </c>
      <c r="L13" s="3">
        <v>138580</v>
      </c>
      <c r="M13" s="3">
        <v>11713</v>
      </c>
      <c r="N13" s="3">
        <v>36157</v>
      </c>
    </row>
    <row r="14" spans="1:14" x14ac:dyDescent="0.2">
      <c r="A14" t="s">
        <v>157</v>
      </c>
      <c r="B14" t="s">
        <v>158</v>
      </c>
      <c r="C14" t="s">
        <v>150</v>
      </c>
      <c r="D14" t="s">
        <v>151</v>
      </c>
      <c r="E14">
        <v>27379</v>
      </c>
      <c r="F14" t="s">
        <v>152</v>
      </c>
      <c r="G14" s="2">
        <f>SUM(H14:J14)</f>
        <v>4350</v>
      </c>
      <c r="H14" s="3">
        <v>4350</v>
      </c>
      <c r="I14" s="3">
        <v>0</v>
      </c>
      <c r="J14" s="3">
        <v>0</v>
      </c>
      <c r="K14" s="4">
        <f>SUM(L14:N14)</f>
        <v>1450</v>
      </c>
      <c r="L14" s="3">
        <v>1450</v>
      </c>
      <c r="M14" s="3">
        <v>0</v>
      </c>
      <c r="N14" s="3">
        <v>0</v>
      </c>
    </row>
    <row r="15" spans="1:14" x14ac:dyDescent="0.2">
      <c r="A15" t="s">
        <v>159</v>
      </c>
      <c r="B15" t="s">
        <v>160</v>
      </c>
      <c r="C15" t="s">
        <v>150</v>
      </c>
      <c r="D15" t="s">
        <v>151</v>
      </c>
      <c r="E15">
        <v>27379</v>
      </c>
      <c r="F15" t="s">
        <v>152</v>
      </c>
      <c r="G15" s="2">
        <f>SUM(H15:J15)</f>
        <v>3567</v>
      </c>
      <c r="H15" s="3">
        <v>3567</v>
      </c>
      <c r="I15" s="3">
        <v>0</v>
      </c>
      <c r="J15" s="3">
        <v>0</v>
      </c>
      <c r="K15" s="4">
        <f>SUM(L15:N15)</f>
        <v>1305</v>
      </c>
      <c r="L15" s="3">
        <v>1305</v>
      </c>
      <c r="M15" s="3">
        <v>0</v>
      </c>
      <c r="N15" s="3">
        <v>0</v>
      </c>
    </row>
    <row r="16" spans="1:14" x14ac:dyDescent="0.2">
      <c r="A16" t="s">
        <v>148</v>
      </c>
      <c r="B16" t="s">
        <v>149</v>
      </c>
      <c r="C16" t="s">
        <v>150</v>
      </c>
      <c r="D16" t="s">
        <v>151</v>
      </c>
      <c r="E16">
        <v>27379</v>
      </c>
      <c r="F16" t="s">
        <v>152</v>
      </c>
      <c r="G16" s="2">
        <f>SUM(H16:J16)</f>
        <v>2726</v>
      </c>
      <c r="H16" s="3">
        <v>2726</v>
      </c>
      <c r="I16" s="3">
        <v>0</v>
      </c>
      <c r="J16" s="3">
        <v>0</v>
      </c>
      <c r="K16" s="4">
        <f>SUM(L16:N16)</f>
        <v>1305</v>
      </c>
      <c r="L16" s="3">
        <v>1305</v>
      </c>
      <c r="M16" s="3">
        <v>0</v>
      </c>
      <c r="N16" s="3">
        <v>0</v>
      </c>
    </row>
    <row r="17" spans="1:14" x14ac:dyDescent="0.2">
      <c r="A17" t="s">
        <v>161</v>
      </c>
      <c r="B17" t="s">
        <v>162</v>
      </c>
      <c r="C17" t="s">
        <v>150</v>
      </c>
      <c r="D17" t="s">
        <v>151</v>
      </c>
      <c r="E17">
        <v>27379</v>
      </c>
      <c r="F17" t="s">
        <v>152</v>
      </c>
      <c r="G17" s="2">
        <f>SUM(H17:J17)</f>
        <v>1856</v>
      </c>
      <c r="H17" s="3">
        <v>1856</v>
      </c>
      <c r="I17" s="3">
        <v>0</v>
      </c>
      <c r="J17" s="3">
        <v>0</v>
      </c>
      <c r="K17" s="4">
        <f>SUM(L17:N17)</f>
        <v>232</v>
      </c>
      <c r="L17" s="3">
        <v>232</v>
      </c>
      <c r="M17" s="3">
        <v>0</v>
      </c>
      <c r="N17" s="3">
        <v>0</v>
      </c>
    </row>
    <row r="18" spans="1:14" x14ac:dyDescent="0.2">
      <c r="A18" t="s">
        <v>155</v>
      </c>
      <c r="B18" t="s">
        <v>156</v>
      </c>
      <c r="C18" t="s">
        <v>150</v>
      </c>
      <c r="D18" t="s">
        <v>151</v>
      </c>
      <c r="E18">
        <v>27379</v>
      </c>
      <c r="F18" t="s">
        <v>152</v>
      </c>
      <c r="G18" s="2">
        <f>SUM(H18:J18)</f>
        <v>1653</v>
      </c>
      <c r="H18" s="3">
        <v>1653</v>
      </c>
      <c r="I18" s="3">
        <v>0</v>
      </c>
      <c r="J18" s="3">
        <v>0</v>
      </c>
      <c r="K18" s="4">
        <f>SUM(L18:N18)</f>
        <v>319</v>
      </c>
      <c r="L18" s="3">
        <v>319</v>
      </c>
      <c r="M18" s="3">
        <v>0</v>
      </c>
      <c r="N18" s="3">
        <v>0</v>
      </c>
    </row>
    <row r="19" spans="1:14" x14ac:dyDescent="0.2">
      <c r="A19" t="s">
        <v>153</v>
      </c>
      <c r="B19" t="s">
        <v>154</v>
      </c>
      <c r="C19" t="s">
        <v>150</v>
      </c>
      <c r="D19" t="s">
        <v>151</v>
      </c>
      <c r="E19">
        <v>27379</v>
      </c>
      <c r="F19" t="s">
        <v>152</v>
      </c>
      <c r="G19" s="2">
        <f>SUM(H19:J19)</f>
        <v>203</v>
      </c>
      <c r="H19" s="3">
        <v>203</v>
      </c>
      <c r="I19" s="3">
        <v>0</v>
      </c>
      <c r="J19" s="3">
        <v>0</v>
      </c>
      <c r="K19" s="4">
        <f>SUM(L19:N19)</f>
        <v>0</v>
      </c>
      <c r="L19" s="3">
        <v>0</v>
      </c>
      <c r="M19" s="3">
        <v>0</v>
      </c>
      <c r="N19" s="3">
        <v>0</v>
      </c>
    </row>
    <row r="20" spans="1:14" x14ac:dyDescent="0.2">
      <c r="A20" t="s">
        <v>1119</v>
      </c>
      <c r="B20" t="s">
        <v>1120</v>
      </c>
      <c r="C20" t="s">
        <v>1121</v>
      </c>
      <c r="D20" t="s">
        <v>1122</v>
      </c>
      <c r="E20">
        <v>28679</v>
      </c>
      <c r="F20" t="s">
        <v>1097</v>
      </c>
      <c r="G20" s="2">
        <f>SUM(H20:J20)</f>
        <v>11142</v>
      </c>
      <c r="H20" s="3">
        <v>9474</v>
      </c>
      <c r="I20" s="3">
        <v>1668</v>
      </c>
      <c r="J20" s="3">
        <v>0</v>
      </c>
      <c r="K20" s="4">
        <f>SUM(L20:N20)</f>
        <v>6247.5</v>
      </c>
      <c r="L20" s="3">
        <v>6092.5</v>
      </c>
      <c r="M20" s="3">
        <v>155</v>
      </c>
      <c r="N20" s="3">
        <v>0</v>
      </c>
    </row>
    <row r="21" spans="1:14" x14ac:dyDescent="0.2">
      <c r="A21" t="s">
        <v>221</v>
      </c>
      <c r="B21" t="s">
        <v>222</v>
      </c>
      <c r="C21" t="s">
        <v>223</v>
      </c>
      <c r="D21" t="s">
        <v>185</v>
      </c>
      <c r="E21">
        <v>28645</v>
      </c>
      <c r="F21" t="s">
        <v>181</v>
      </c>
      <c r="G21" s="2">
        <f>SUM(H21:J21)</f>
        <v>32828</v>
      </c>
      <c r="H21" s="3">
        <v>18618</v>
      </c>
      <c r="I21" s="3">
        <v>14210</v>
      </c>
      <c r="J21" s="3">
        <v>0</v>
      </c>
      <c r="K21" s="4">
        <f>SUM(L21:N21)</f>
        <v>8465.5</v>
      </c>
      <c r="L21" s="3">
        <v>5530.5</v>
      </c>
      <c r="M21" s="3">
        <v>2935</v>
      </c>
      <c r="N21" s="3">
        <v>0</v>
      </c>
    </row>
    <row r="22" spans="1:14" x14ac:dyDescent="0.2">
      <c r="A22" t="s">
        <v>315</v>
      </c>
      <c r="B22" t="s">
        <v>316</v>
      </c>
      <c r="C22" t="s">
        <v>317</v>
      </c>
      <c r="D22" t="s">
        <v>253</v>
      </c>
      <c r="E22">
        <v>27292</v>
      </c>
      <c r="F22" t="s">
        <v>254</v>
      </c>
      <c r="G22" s="2">
        <f>SUM(H22:J22)</f>
        <v>321461</v>
      </c>
      <c r="H22" s="3">
        <v>289904</v>
      </c>
      <c r="I22" s="3">
        <v>17306</v>
      </c>
      <c r="J22" s="3">
        <v>14251</v>
      </c>
      <c r="K22" s="4">
        <f>SUM(L22:N22)</f>
        <v>177867.5</v>
      </c>
      <c r="L22" s="3">
        <v>164008.5</v>
      </c>
      <c r="M22" s="3">
        <v>7360</v>
      </c>
      <c r="N22" s="3">
        <v>6499</v>
      </c>
    </row>
    <row r="23" spans="1:14" x14ac:dyDescent="0.2">
      <c r="A23" t="s">
        <v>189</v>
      </c>
      <c r="B23" t="s">
        <v>192</v>
      </c>
      <c r="C23" t="s">
        <v>193</v>
      </c>
      <c r="D23" t="s">
        <v>185</v>
      </c>
      <c r="E23">
        <v>28645</v>
      </c>
      <c r="F23" t="s">
        <v>181</v>
      </c>
      <c r="G23" s="2">
        <f>SUM(H23:J23)</f>
        <v>29273</v>
      </c>
      <c r="H23" s="3">
        <v>15913</v>
      </c>
      <c r="I23" s="3">
        <v>13360</v>
      </c>
      <c r="J23" s="3">
        <v>0</v>
      </c>
      <c r="K23" s="4">
        <f>SUM(L23:N23)</f>
        <v>8659</v>
      </c>
      <c r="L23" s="3">
        <v>5357</v>
      </c>
      <c r="M23" s="3">
        <v>3302</v>
      </c>
      <c r="N23" s="3">
        <v>0</v>
      </c>
    </row>
    <row r="24" spans="1:14" x14ac:dyDescent="0.2">
      <c r="A24" t="s">
        <v>1087</v>
      </c>
      <c r="B24" t="s">
        <v>1088</v>
      </c>
      <c r="C24" t="s">
        <v>1089</v>
      </c>
      <c r="D24" t="s">
        <v>1059</v>
      </c>
      <c r="E24">
        <v>27030</v>
      </c>
      <c r="F24" t="s">
        <v>1055</v>
      </c>
      <c r="G24" s="2">
        <f>SUM(H24:J24)</f>
        <v>36275</v>
      </c>
      <c r="H24" s="3">
        <v>19110</v>
      </c>
      <c r="I24" s="3">
        <v>17165</v>
      </c>
      <c r="J24" s="3">
        <v>0</v>
      </c>
      <c r="K24" s="4">
        <f>SUM(L24:N24)</f>
        <v>3781</v>
      </c>
      <c r="L24" s="3">
        <v>3581</v>
      </c>
      <c r="M24" s="3">
        <v>200</v>
      </c>
      <c r="N24" s="3">
        <v>0</v>
      </c>
    </row>
    <row r="25" spans="1:14" x14ac:dyDescent="0.2">
      <c r="A25" t="s">
        <v>1083</v>
      </c>
      <c r="B25" t="s">
        <v>1084</v>
      </c>
      <c r="C25" t="s">
        <v>1085</v>
      </c>
      <c r="D25" t="s">
        <v>1086</v>
      </c>
      <c r="E25">
        <v>27030</v>
      </c>
      <c r="F25" t="s">
        <v>1055</v>
      </c>
      <c r="G25" s="2">
        <f>SUM(H25:J25)</f>
        <v>3944</v>
      </c>
      <c r="H25" s="3">
        <v>3944</v>
      </c>
      <c r="I25" s="3">
        <v>0</v>
      </c>
      <c r="J25" s="3">
        <v>0</v>
      </c>
      <c r="K25" s="4">
        <f>SUM(L25:N25)</f>
        <v>18488</v>
      </c>
      <c r="L25" s="3">
        <v>18488</v>
      </c>
      <c r="M25" s="3">
        <v>0</v>
      </c>
      <c r="N25" s="3">
        <v>0</v>
      </c>
    </row>
    <row r="26" spans="1:14" x14ac:dyDescent="0.2">
      <c r="A26" t="s">
        <v>133</v>
      </c>
      <c r="B26" t="s">
        <v>134</v>
      </c>
      <c r="C26" t="s">
        <v>135</v>
      </c>
      <c r="D26" t="s">
        <v>132</v>
      </c>
      <c r="E26">
        <v>28640</v>
      </c>
      <c r="F26" t="s">
        <v>120</v>
      </c>
      <c r="G26" s="2">
        <f>SUM(H26:J26)</f>
        <v>541601</v>
      </c>
      <c r="H26" s="3">
        <v>460417</v>
      </c>
      <c r="I26" s="3">
        <v>81184</v>
      </c>
      <c r="J26" s="3">
        <v>0</v>
      </c>
      <c r="K26" s="4">
        <f>SUM(L26:N26)</f>
        <v>564106.69999999995</v>
      </c>
      <c r="L26" s="3">
        <v>435900.7</v>
      </c>
      <c r="M26" s="3">
        <v>128206</v>
      </c>
      <c r="N26" s="3">
        <v>0</v>
      </c>
    </row>
    <row r="27" spans="1:14" x14ac:dyDescent="0.2">
      <c r="A27" t="s">
        <v>141</v>
      </c>
      <c r="B27" t="s">
        <v>142</v>
      </c>
      <c r="C27" t="s">
        <v>135</v>
      </c>
      <c r="D27" t="s">
        <v>132</v>
      </c>
      <c r="E27">
        <v>28640</v>
      </c>
      <c r="F27" t="s">
        <v>120</v>
      </c>
      <c r="G27" s="2">
        <f>SUM(H27:J27)</f>
        <v>86965</v>
      </c>
      <c r="H27" s="3">
        <v>68665</v>
      </c>
      <c r="I27" s="3">
        <v>18300</v>
      </c>
      <c r="J27" s="3">
        <v>0</v>
      </c>
      <c r="K27" s="4">
        <f>SUM(L27:N27)</f>
        <v>109713.5</v>
      </c>
      <c r="L27" s="3">
        <v>66699.5</v>
      </c>
      <c r="M27" s="3">
        <v>43014</v>
      </c>
      <c r="N27" s="3">
        <v>0</v>
      </c>
    </row>
    <row r="28" spans="1:14" x14ac:dyDescent="0.2">
      <c r="A28" t="s">
        <v>136</v>
      </c>
      <c r="B28" t="s">
        <v>137</v>
      </c>
      <c r="C28" t="s">
        <v>135</v>
      </c>
      <c r="D28" t="s">
        <v>132</v>
      </c>
      <c r="E28">
        <v>28640</v>
      </c>
      <c r="F28" t="s">
        <v>120</v>
      </c>
      <c r="G28" s="2">
        <f>SUM(H28:J28)</f>
        <v>72093</v>
      </c>
      <c r="H28" s="3">
        <v>63815</v>
      </c>
      <c r="I28" s="3">
        <v>8278</v>
      </c>
      <c r="J28" s="3">
        <v>0</v>
      </c>
      <c r="K28" s="4">
        <f>SUM(L28:N28)</f>
        <v>101730.5</v>
      </c>
      <c r="L28" s="3">
        <v>68335.5</v>
      </c>
      <c r="M28" s="3">
        <v>33395</v>
      </c>
      <c r="N28" s="3">
        <v>0</v>
      </c>
    </row>
    <row r="29" spans="1:14" x14ac:dyDescent="0.2">
      <c r="A29" t="s">
        <v>146</v>
      </c>
      <c r="B29" t="s">
        <v>147</v>
      </c>
      <c r="C29" t="s">
        <v>135</v>
      </c>
      <c r="D29" t="s">
        <v>132</v>
      </c>
      <c r="E29">
        <v>28640</v>
      </c>
      <c r="F29" t="s">
        <v>120</v>
      </c>
      <c r="G29" s="2">
        <f>SUM(H29:J29)</f>
        <v>38288</v>
      </c>
      <c r="H29" s="3">
        <v>30588</v>
      </c>
      <c r="I29" s="3">
        <v>7700</v>
      </c>
      <c r="J29" s="3">
        <v>0</v>
      </c>
      <c r="K29" s="4">
        <f>SUM(L29:N29)</f>
        <v>79333.5</v>
      </c>
      <c r="L29" s="3">
        <v>54266.5</v>
      </c>
      <c r="M29" s="3">
        <v>25067</v>
      </c>
      <c r="N29" s="3">
        <v>0</v>
      </c>
    </row>
    <row r="30" spans="1:14" x14ac:dyDescent="0.2">
      <c r="A30" t="s">
        <v>129</v>
      </c>
      <c r="B30" t="s">
        <v>130</v>
      </c>
      <c r="C30" t="s">
        <v>131</v>
      </c>
      <c r="D30" t="s">
        <v>132</v>
      </c>
      <c r="E30">
        <v>28640</v>
      </c>
      <c r="F30" t="s">
        <v>120</v>
      </c>
      <c r="G30" s="2">
        <f>SUM(H30:J30)</f>
        <v>163342</v>
      </c>
      <c r="H30" s="3">
        <v>129709</v>
      </c>
      <c r="I30" s="3">
        <v>12045</v>
      </c>
      <c r="J30" s="3">
        <v>21588</v>
      </c>
      <c r="K30" s="4">
        <f>SUM(L30:N30)</f>
        <v>107448</v>
      </c>
      <c r="L30" s="3">
        <v>89932</v>
      </c>
      <c r="M30" s="3">
        <v>6811</v>
      </c>
      <c r="N30" s="3">
        <v>10705</v>
      </c>
    </row>
    <row r="31" spans="1:14" x14ac:dyDescent="0.2">
      <c r="A31" t="s">
        <v>1206</v>
      </c>
      <c r="B31" t="s">
        <v>1207</v>
      </c>
      <c r="C31" t="s">
        <v>1208</v>
      </c>
      <c r="D31" t="s">
        <v>1192</v>
      </c>
      <c r="E31">
        <v>27011</v>
      </c>
      <c r="F31" t="s">
        <v>1184</v>
      </c>
      <c r="G31" s="2">
        <f>SUM(H31:J31)</f>
        <v>3654</v>
      </c>
      <c r="H31" s="3">
        <v>3654</v>
      </c>
      <c r="I31" s="3">
        <v>0</v>
      </c>
      <c r="J31" s="3">
        <v>0</v>
      </c>
      <c r="K31" s="4">
        <f>SUM(L31:N31)</f>
        <v>1827</v>
      </c>
      <c r="L31" s="3">
        <v>1827</v>
      </c>
      <c r="M31" s="3">
        <v>0</v>
      </c>
      <c r="N31" s="3">
        <v>0</v>
      </c>
    </row>
    <row r="32" spans="1:14" x14ac:dyDescent="0.2">
      <c r="A32" t="s">
        <v>1180</v>
      </c>
      <c r="B32" t="s">
        <v>1181</v>
      </c>
      <c r="C32" t="s">
        <v>1182</v>
      </c>
      <c r="D32" t="s">
        <v>1183</v>
      </c>
      <c r="E32">
        <v>27055</v>
      </c>
      <c r="F32" t="s">
        <v>1184</v>
      </c>
      <c r="G32" s="2">
        <f>SUM(H32:J32)</f>
        <v>411055</v>
      </c>
      <c r="H32" s="3">
        <v>292296</v>
      </c>
      <c r="I32" s="3">
        <v>28110</v>
      </c>
      <c r="J32" s="3">
        <f>72114+18535</f>
        <v>90649</v>
      </c>
      <c r="K32" s="4">
        <f>SUM(L32:N32)</f>
        <v>218909</v>
      </c>
      <c r="L32" s="3">
        <v>165373</v>
      </c>
      <c r="M32" s="3">
        <v>9400</v>
      </c>
      <c r="N32" s="3">
        <f>38028+6108</f>
        <v>44136</v>
      </c>
    </row>
    <row r="33" spans="1:14" x14ac:dyDescent="0.2">
      <c r="A33" t="s">
        <v>121</v>
      </c>
      <c r="B33" t="s">
        <v>122</v>
      </c>
      <c r="C33" t="s">
        <v>123</v>
      </c>
      <c r="D33" t="s">
        <v>124</v>
      </c>
      <c r="E33">
        <v>28615</v>
      </c>
      <c r="F33" t="s">
        <v>120</v>
      </c>
      <c r="G33" s="2">
        <f>SUM(H33:J33)</f>
        <v>114391</v>
      </c>
      <c r="H33" s="3">
        <v>111383</v>
      </c>
      <c r="I33" s="3">
        <v>3008</v>
      </c>
      <c r="J33" s="3">
        <v>0</v>
      </c>
      <c r="K33" s="4">
        <f>SUM(L33:N33)</f>
        <v>72930.5</v>
      </c>
      <c r="L33" s="3">
        <v>69335.5</v>
      </c>
      <c r="M33" s="3">
        <v>3595</v>
      </c>
      <c r="N33" s="3">
        <v>0</v>
      </c>
    </row>
    <row r="34" spans="1:14" x14ac:dyDescent="0.2">
      <c r="A34" t="s">
        <v>125</v>
      </c>
      <c r="B34" t="s">
        <v>126</v>
      </c>
      <c r="C34" t="s">
        <v>123</v>
      </c>
      <c r="D34" t="s">
        <v>124</v>
      </c>
      <c r="E34">
        <v>28615</v>
      </c>
      <c r="F34" t="s">
        <v>120</v>
      </c>
      <c r="G34" s="2">
        <f>SUM(H34:J34)</f>
        <v>47505</v>
      </c>
      <c r="H34" s="3">
        <v>47315</v>
      </c>
      <c r="I34" s="3">
        <v>190</v>
      </c>
      <c r="J34" s="3">
        <v>0</v>
      </c>
      <c r="K34" s="4">
        <f>SUM(L34:N34)</f>
        <v>21505</v>
      </c>
      <c r="L34" s="3">
        <v>21425</v>
      </c>
      <c r="M34" s="3">
        <v>80</v>
      </c>
      <c r="N34" s="3">
        <v>0</v>
      </c>
    </row>
    <row r="35" spans="1:14" x14ac:dyDescent="0.2">
      <c r="A35" t="s">
        <v>127</v>
      </c>
      <c r="B35" t="s">
        <v>128</v>
      </c>
      <c r="C35" t="s">
        <v>123</v>
      </c>
      <c r="D35" t="s">
        <v>124</v>
      </c>
      <c r="E35">
        <v>28615</v>
      </c>
      <c r="F35" t="s">
        <v>120</v>
      </c>
      <c r="G35" s="2">
        <f>SUM(H35:J35)</f>
        <v>33779</v>
      </c>
      <c r="H35" s="3">
        <v>33149</v>
      </c>
      <c r="I35" s="3">
        <v>630</v>
      </c>
      <c r="J35" s="3">
        <v>0</v>
      </c>
      <c r="K35" s="4">
        <f>SUM(L35:N35)</f>
        <v>16148.5</v>
      </c>
      <c r="L35" s="3">
        <v>16058.5</v>
      </c>
      <c r="M35" s="3">
        <v>90</v>
      </c>
      <c r="N35" s="3">
        <v>0</v>
      </c>
    </row>
    <row r="36" spans="1:14" x14ac:dyDescent="0.2">
      <c r="A36" t="s">
        <v>1185</v>
      </c>
      <c r="B36" t="s">
        <v>1186</v>
      </c>
      <c r="C36" t="s">
        <v>1187</v>
      </c>
      <c r="D36" t="s">
        <v>1188</v>
      </c>
      <c r="E36">
        <v>27018</v>
      </c>
      <c r="F36" t="s">
        <v>1184</v>
      </c>
      <c r="G36" s="2">
        <f>SUM(H36:J36)</f>
        <v>207908</v>
      </c>
      <c r="H36" s="3">
        <v>143176</v>
      </c>
      <c r="I36" s="3">
        <v>13485</v>
      </c>
      <c r="J36" s="3">
        <v>51247</v>
      </c>
      <c r="K36" s="4">
        <f>SUM(L36:N36)</f>
        <v>109433.5</v>
      </c>
      <c r="L36" s="3">
        <v>77915.5</v>
      </c>
      <c r="M36" s="3">
        <v>5000</v>
      </c>
      <c r="N36" s="3">
        <v>26518</v>
      </c>
    </row>
    <row r="37" spans="1:14" x14ac:dyDescent="0.2">
      <c r="A37" t="s">
        <v>323</v>
      </c>
      <c r="B37" t="s">
        <v>324</v>
      </c>
      <c r="C37" t="s">
        <v>325</v>
      </c>
      <c r="D37" t="s">
        <v>265</v>
      </c>
      <c r="E37">
        <v>27360</v>
      </c>
      <c r="F37" t="s">
        <v>254</v>
      </c>
      <c r="G37" s="2">
        <f>SUM(H37:J37)</f>
        <v>927022</v>
      </c>
      <c r="H37" s="3">
        <v>503931</v>
      </c>
      <c r="I37" s="3">
        <v>423091</v>
      </c>
      <c r="J37" s="3">
        <v>0</v>
      </c>
      <c r="K37" s="4">
        <f>SUM(L37:N37)</f>
        <v>297072</v>
      </c>
      <c r="L37" s="3">
        <v>200021</v>
      </c>
      <c r="M37" s="3">
        <v>97051</v>
      </c>
      <c r="N37" s="3">
        <v>0</v>
      </c>
    </row>
    <row r="38" spans="1:14" x14ac:dyDescent="0.2">
      <c r="A38" t="s">
        <v>607</v>
      </c>
      <c r="B38" t="s">
        <v>608</v>
      </c>
      <c r="C38" t="s">
        <v>609</v>
      </c>
      <c r="D38" t="s">
        <v>299</v>
      </c>
      <c r="E38">
        <v>27101</v>
      </c>
      <c r="F38" t="s">
        <v>349</v>
      </c>
      <c r="G38" s="2">
        <f>SUM(H38:J38)</f>
        <v>1329</v>
      </c>
      <c r="H38" s="3">
        <v>1329</v>
      </c>
      <c r="I38" s="3">
        <v>0</v>
      </c>
      <c r="J38" s="3">
        <v>0</v>
      </c>
      <c r="K38" s="4">
        <f>SUM(L38:N38)</f>
        <v>7258</v>
      </c>
      <c r="L38" s="3">
        <v>7258</v>
      </c>
      <c r="M38" s="3">
        <v>0</v>
      </c>
      <c r="N38" s="3">
        <v>0</v>
      </c>
    </row>
    <row r="39" spans="1:14" x14ac:dyDescent="0.2">
      <c r="A39" t="s">
        <v>369</v>
      </c>
      <c r="B39" t="s">
        <v>370</v>
      </c>
      <c r="C39" t="s">
        <v>371</v>
      </c>
      <c r="D39" t="s">
        <v>299</v>
      </c>
      <c r="E39">
        <v>27101</v>
      </c>
      <c r="F39" t="s">
        <v>349</v>
      </c>
      <c r="G39" s="2">
        <f>SUM(H39:J39)</f>
        <v>285541</v>
      </c>
      <c r="H39" s="3">
        <v>167949</v>
      </c>
      <c r="I39" s="3">
        <v>46140</v>
      </c>
      <c r="J39" s="3">
        <f>58945+12507</f>
        <v>71452</v>
      </c>
      <c r="K39" s="4">
        <f>SUM(L39:N39)</f>
        <v>344576.5</v>
      </c>
      <c r="L39" s="3">
        <v>191865.5</v>
      </c>
      <c r="M39" s="3">
        <v>41153</v>
      </c>
      <c r="N39" s="3">
        <f>90052+13786+3906+2390+1424</f>
        <v>111558</v>
      </c>
    </row>
    <row r="40" spans="1:14" x14ac:dyDescent="0.2">
      <c r="A40" t="s">
        <v>194</v>
      </c>
      <c r="B40" t="s">
        <v>195</v>
      </c>
      <c r="C40" t="s">
        <v>196</v>
      </c>
      <c r="D40" t="s">
        <v>185</v>
      </c>
      <c r="E40">
        <v>28645</v>
      </c>
      <c r="F40" t="s">
        <v>181</v>
      </c>
      <c r="G40" s="2">
        <f>SUM(H40:J40)</f>
        <v>90870</v>
      </c>
      <c r="H40" s="3">
        <v>90870</v>
      </c>
      <c r="I40" s="3">
        <v>0</v>
      </c>
      <c r="J40" s="3">
        <v>0</v>
      </c>
      <c r="K40" s="4">
        <f>SUM(L40:N40)</f>
        <v>59791.5</v>
      </c>
      <c r="L40" s="3">
        <v>59791.5</v>
      </c>
      <c r="M40" s="3">
        <v>0</v>
      </c>
      <c r="N40" s="3">
        <v>0</v>
      </c>
    </row>
    <row r="41" spans="1:14" x14ac:dyDescent="0.2">
      <c r="A41" t="s">
        <v>745</v>
      </c>
      <c r="B41" t="s">
        <v>746</v>
      </c>
      <c r="C41" t="s">
        <v>747</v>
      </c>
      <c r="D41" t="s">
        <v>643</v>
      </c>
      <c r="E41" t="s">
        <v>748</v>
      </c>
      <c r="F41" t="s">
        <v>628</v>
      </c>
      <c r="G41" s="2">
        <f>SUM(H41:J41)</f>
        <v>117251</v>
      </c>
      <c r="H41" s="3">
        <v>93147</v>
      </c>
      <c r="I41" s="3">
        <v>0</v>
      </c>
      <c r="J41" s="3">
        <v>24104</v>
      </c>
      <c r="K41" s="4">
        <f>SUM(L41:N41)</f>
        <v>64324</v>
      </c>
      <c r="L41" s="3">
        <v>53091</v>
      </c>
      <c r="M41" s="3">
        <v>0</v>
      </c>
      <c r="N41" s="3">
        <v>11233</v>
      </c>
    </row>
    <row r="42" spans="1:14" x14ac:dyDescent="0.2">
      <c r="A42" t="s">
        <v>499</v>
      </c>
      <c r="B42" t="s">
        <v>500</v>
      </c>
      <c r="C42" t="s">
        <v>501</v>
      </c>
      <c r="D42" t="s">
        <v>299</v>
      </c>
      <c r="E42">
        <v>27104</v>
      </c>
      <c r="F42" t="s">
        <v>349</v>
      </c>
      <c r="G42" s="2">
        <f>SUM(H42:J42)</f>
        <v>32736</v>
      </c>
      <c r="H42" s="3">
        <v>30125</v>
      </c>
      <c r="I42" s="3">
        <v>2611</v>
      </c>
      <c r="J42" s="3">
        <v>0</v>
      </c>
      <c r="K42" s="4">
        <f>SUM(L42:N42)</f>
        <v>30856</v>
      </c>
      <c r="L42" s="3">
        <v>29147</v>
      </c>
      <c r="M42" s="3">
        <v>1709</v>
      </c>
      <c r="N42" s="3">
        <v>0</v>
      </c>
    </row>
    <row r="43" spans="1:14" x14ac:dyDescent="0.2">
      <c r="A43" t="s">
        <v>864</v>
      </c>
      <c r="B43" t="s">
        <v>867</v>
      </c>
      <c r="C43" t="s">
        <v>866</v>
      </c>
      <c r="D43" t="s">
        <v>643</v>
      </c>
      <c r="E43">
        <v>27402</v>
      </c>
      <c r="F43" t="s">
        <v>628</v>
      </c>
      <c r="G43" s="2">
        <f>SUM(H43:J43)</f>
        <v>1796</v>
      </c>
      <c r="H43" s="3">
        <v>1796</v>
      </c>
      <c r="I43" s="3">
        <v>0</v>
      </c>
      <c r="J43" s="3">
        <v>0</v>
      </c>
      <c r="K43" s="4">
        <f>SUM(L43:N43)</f>
        <v>3864</v>
      </c>
      <c r="L43" s="3">
        <v>3864</v>
      </c>
      <c r="M43" s="3">
        <v>0</v>
      </c>
      <c r="N43" s="3">
        <v>0</v>
      </c>
    </row>
    <row r="44" spans="1:14" x14ac:dyDescent="0.2">
      <c r="A44" t="s">
        <v>864</v>
      </c>
      <c r="B44" t="s">
        <v>865</v>
      </c>
      <c r="C44" t="s">
        <v>866</v>
      </c>
      <c r="D44" t="s">
        <v>643</v>
      </c>
      <c r="E44">
        <v>27402</v>
      </c>
      <c r="F44" t="s">
        <v>628</v>
      </c>
      <c r="G44" s="2">
        <f>SUM(H44:J44)</f>
        <v>1545</v>
      </c>
      <c r="H44" s="3">
        <v>1545</v>
      </c>
      <c r="I44" s="3">
        <v>0</v>
      </c>
      <c r="J44" s="3">
        <v>0</v>
      </c>
      <c r="K44" s="4">
        <f>SUM(L44:N44)</f>
        <v>2336</v>
      </c>
      <c r="L44" s="3">
        <v>2336</v>
      </c>
      <c r="M44" s="3">
        <v>0</v>
      </c>
      <c r="N44" s="3">
        <v>0</v>
      </c>
    </row>
    <row r="45" spans="1:14" x14ac:dyDescent="0.2">
      <c r="A45" t="s">
        <v>428</v>
      </c>
      <c r="B45" t="s">
        <v>429</v>
      </c>
      <c r="C45" t="s">
        <v>430</v>
      </c>
      <c r="D45" t="s">
        <v>299</v>
      </c>
      <c r="E45">
        <v>27101</v>
      </c>
      <c r="F45" t="s">
        <v>349</v>
      </c>
      <c r="G45" s="2">
        <f>SUM(H45:J45)</f>
        <v>270804</v>
      </c>
      <c r="H45" s="3">
        <v>220568</v>
      </c>
      <c r="I45" s="3">
        <v>1550</v>
      </c>
      <c r="J45" s="3">
        <f>45308+3378</f>
        <v>48686</v>
      </c>
      <c r="K45" s="4">
        <f>SUM(L45:N45)</f>
        <v>193846.5</v>
      </c>
      <c r="L45" s="3">
        <v>173750.5</v>
      </c>
      <c r="M45" s="3">
        <v>1330</v>
      </c>
      <c r="N45" s="3">
        <f>18104+662</f>
        <v>18766</v>
      </c>
    </row>
    <row r="46" spans="1:14" x14ac:dyDescent="0.2">
      <c r="A46" t="s">
        <v>419</v>
      </c>
      <c r="B46" t="s">
        <v>420</v>
      </c>
      <c r="C46" t="s">
        <v>421</v>
      </c>
      <c r="D46" t="s">
        <v>299</v>
      </c>
      <c r="E46">
        <v>27101</v>
      </c>
      <c r="F46" t="s">
        <v>349</v>
      </c>
      <c r="G46" s="2">
        <f>SUM(H46:J46)</f>
        <v>741507</v>
      </c>
      <c r="H46" s="3">
        <v>504890</v>
      </c>
      <c r="I46" s="3">
        <v>1416</v>
      </c>
      <c r="J46" s="3">
        <f>147950+42064+45187</f>
        <v>235201</v>
      </c>
      <c r="K46" s="4">
        <f>SUM(L46:N46)</f>
        <v>501138.5</v>
      </c>
      <c r="L46" s="3">
        <v>330519.5</v>
      </c>
      <c r="M46" s="3">
        <v>0</v>
      </c>
      <c r="N46" s="3">
        <f>109526+33569+27524</f>
        <v>170619</v>
      </c>
    </row>
    <row r="47" spans="1:14" x14ac:dyDescent="0.2">
      <c r="A47" t="s">
        <v>55</v>
      </c>
      <c r="B47" t="s">
        <v>56</v>
      </c>
      <c r="C47" t="s">
        <v>57</v>
      </c>
      <c r="D47" t="s">
        <v>42</v>
      </c>
      <c r="E47">
        <v>27253</v>
      </c>
      <c r="F47" t="s">
        <v>12</v>
      </c>
      <c r="G47" s="2">
        <f>SUM(H47:J47)</f>
        <v>497747</v>
      </c>
      <c r="H47" s="3">
        <v>330315</v>
      </c>
      <c r="I47" s="3">
        <v>120152</v>
      </c>
      <c r="J47" s="3">
        <f>46175+1105</f>
        <v>47280</v>
      </c>
      <c r="K47" s="4">
        <f>SUM(L47:N47)</f>
        <v>340382.5</v>
      </c>
      <c r="L47" s="3">
        <v>229427.5</v>
      </c>
      <c r="M47" s="3">
        <v>82405</v>
      </c>
      <c r="N47" s="3">
        <v>28550</v>
      </c>
    </row>
    <row r="48" spans="1:14" x14ac:dyDescent="0.2">
      <c r="A48" t="s">
        <v>369</v>
      </c>
      <c r="B48" t="s">
        <v>376</v>
      </c>
      <c r="C48" t="s">
        <v>377</v>
      </c>
      <c r="D48" t="s">
        <v>299</v>
      </c>
      <c r="E48">
        <v>27101</v>
      </c>
      <c r="F48" t="s">
        <v>349</v>
      </c>
      <c r="G48" s="2">
        <f>SUM(H48:J48)</f>
        <v>19093</v>
      </c>
      <c r="H48" s="3">
        <v>15383</v>
      </c>
      <c r="I48" s="3">
        <v>3710</v>
      </c>
      <c r="J48" s="3">
        <v>0</v>
      </c>
      <c r="K48" s="4">
        <f>SUM(L48:N48)</f>
        <v>920</v>
      </c>
      <c r="L48" s="3">
        <v>460</v>
      </c>
      <c r="M48" s="3">
        <v>460</v>
      </c>
      <c r="N48" s="3">
        <v>0</v>
      </c>
    </row>
    <row r="49" spans="1:14" x14ac:dyDescent="0.2">
      <c r="A49" t="s">
        <v>1157</v>
      </c>
      <c r="B49" t="s">
        <v>1158</v>
      </c>
      <c r="C49" t="s">
        <v>1159</v>
      </c>
      <c r="D49" t="s">
        <v>1160</v>
      </c>
      <c r="E49">
        <v>28697</v>
      </c>
      <c r="F49" t="s">
        <v>1145</v>
      </c>
      <c r="G49" s="2">
        <f>SUM(H49:J49)</f>
        <v>168768</v>
      </c>
      <c r="H49" s="3">
        <v>117779</v>
      </c>
      <c r="I49" s="3">
        <v>0</v>
      </c>
      <c r="J49" s="3">
        <v>50989</v>
      </c>
      <c r="K49" s="4">
        <f>SUM(L49:N49)</f>
        <v>103405.5</v>
      </c>
      <c r="L49" s="3">
        <v>70025.5</v>
      </c>
      <c r="M49" s="3">
        <v>0</v>
      </c>
      <c r="N49" s="3">
        <v>33380</v>
      </c>
    </row>
    <row r="50" spans="1:14" x14ac:dyDescent="0.2">
      <c r="A50" t="s">
        <v>372</v>
      </c>
      <c r="B50" t="s">
        <v>373</v>
      </c>
      <c r="C50" t="s">
        <v>374</v>
      </c>
      <c r="D50" t="s">
        <v>375</v>
      </c>
      <c r="E50">
        <v>27284</v>
      </c>
      <c r="F50" t="s">
        <v>349</v>
      </c>
      <c r="G50" s="2">
        <f>SUM(H50:J50)</f>
        <v>961383</v>
      </c>
      <c r="H50" s="3">
        <v>550934</v>
      </c>
      <c r="I50" s="3">
        <v>1774</v>
      </c>
      <c r="J50" s="3">
        <f>256354+35623+63165+15931+29867+7735</f>
        <v>408675</v>
      </c>
      <c r="K50" s="4">
        <f>SUM(L50:N50)</f>
        <v>493372.5</v>
      </c>
      <c r="L50" s="3">
        <v>295079.5</v>
      </c>
      <c r="M50" s="3">
        <v>356</v>
      </c>
      <c r="N50" s="3">
        <f>138573+20740+8110+30514</f>
        <v>197937</v>
      </c>
    </row>
    <row r="51" spans="1:14" x14ac:dyDescent="0.2">
      <c r="A51" t="s">
        <v>1073</v>
      </c>
      <c r="B51" t="s">
        <v>1074</v>
      </c>
      <c r="C51" t="s">
        <v>1075</v>
      </c>
      <c r="D51" t="s">
        <v>1063</v>
      </c>
      <c r="E51">
        <v>28621</v>
      </c>
      <c r="F51" t="s">
        <v>1055</v>
      </c>
      <c r="G51" s="2">
        <f>SUM(H51:J51)</f>
        <v>14492</v>
      </c>
      <c r="H51" s="3">
        <v>7246</v>
      </c>
      <c r="I51" s="3">
        <v>625</v>
      </c>
      <c r="J51" s="3">
        <v>6621</v>
      </c>
      <c r="K51" s="4">
        <f>SUM(L51:N51)</f>
        <v>7728</v>
      </c>
      <c r="L51" s="3">
        <v>3864</v>
      </c>
      <c r="M51" s="3">
        <v>207</v>
      </c>
      <c r="N51" s="3">
        <f>3252+405</f>
        <v>3657</v>
      </c>
    </row>
    <row r="52" spans="1:14" x14ac:dyDescent="0.2">
      <c r="A52" t="s">
        <v>883</v>
      </c>
      <c r="B52" t="s">
        <v>884</v>
      </c>
      <c r="C52" t="s">
        <v>885</v>
      </c>
      <c r="D52" t="s">
        <v>276</v>
      </c>
      <c r="E52">
        <v>27262</v>
      </c>
      <c r="F52" t="s">
        <v>628</v>
      </c>
      <c r="G52" s="2">
        <f>SUM(H52:J52)</f>
        <v>0</v>
      </c>
      <c r="H52" s="3">
        <v>0</v>
      </c>
      <c r="I52" s="3">
        <v>0</v>
      </c>
      <c r="J52" s="3">
        <v>0</v>
      </c>
      <c r="K52" s="4">
        <f>SUM(L52:N52)</f>
        <v>10884</v>
      </c>
      <c r="L52" s="3">
        <v>10476</v>
      </c>
      <c r="M52" s="3">
        <v>408</v>
      </c>
      <c r="N52" s="3">
        <v>0</v>
      </c>
    </row>
    <row r="53" spans="1:14" x14ac:dyDescent="0.2">
      <c r="A53" t="s">
        <v>691</v>
      </c>
      <c r="B53" t="s">
        <v>692</v>
      </c>
      <c r="C53" t="s">
        <v>693</v>
      </c>
      <c r="D53" t="s">
        <v>643</v>
      </c>
      <c r="E53">
        <v>27406</v>
      </c>
      <c r="F53" t="s">
        <v>628</v>
      </c>
      <c r="G53" s="2">
        <f>SUM(H53:J53)</f>
        <v>81884</v>
      </c>
      <c r="H53" s="3">
        <v>68421</v>
      </c>
      <c r="I53" s="3">
        <v>1004</v>
      </c>
      <c r="J53" s="3">
        <v>12459</v>
      </c>
      <c r="K53" s="4">
        <f>SUM(L53:N53)</f>
        <v>56999.5</v>
      </c>
      <c r="L53" s="3">
        <v>47746.5</v>
      </c>
      <c r="M53" s="3">
        <v>5157</v>
      </c>
      <c r="N53" s="3">
        <v>4096</v>
      </c>
    </row>
    <row r="54" spans="1:14" x14ac:dyDescent="0.2">
      <c r="A54" t="s">
        <v>694</v>
      </c>
      <c r="B54" t="s">
        <v>695</v>
      </c>
      <c r="C54" t="s">
        <v>693</v>
      </c>
      <c r="D54" t="s">
        <v>643</v>
      </c>
      <c r="E54">
        <v>27406</v>
      </c>
      <c r="F54" t="s">
        <v>628</v>
      </c>
      <c r="G54" s="2">
        <f>SUM(H54:J54)</f>
        <v>2912</v>
      </c>
      <c r="H54" s="3">
        <v>2405</v>
      </c>
      <c r="I54" s="3">
        <v>507</v>
      </c>
      <c r="J54" s="3">
        <v>0</v>
      </c>
      <c r="K54" s="4">
        <f>SUM(L54:N54)</f>
        <v>330</v>
      </c>
      <c r="L54" s="3">
        <v>165</v>
      </c>
      <c r="M54" s="3">
        <v>165</v>
      </c>
      <c r="N54" s="3">
        <v>0</v>
      </c>
    </row>
    <row r="55" spans="1:14" x14ac:dyDescent="0.2">
      <c r="A55" t="s">
        <v>722</v>
      </c>
      <c r="B55" t="s">
        <v>723</v>
      </c>
      <c r="C55" t="s">
        <v>724</v>
      </c>
      <c r="D55" t="s">
        <v>276</v>
      </c>
      <c r="E55">
        <v>27260</v>
      </c>
      <c r="F55" t="s">
        <v>628</v>
      </c>
      <c r="G55" s="2">
        <f>SUM(H55:J55)</f>
        <v>121828</v>
      </c>
      <c r="H55" s="3">
        <v>86228</v>
      </c>
      <c r="I55" s="3">
        <v>0</v>
      </c>
      <c r="J55" s="3">
        <f>34900+700</f>
        <v>35600</v>
      </c>
      <c r="K55" s="4">
        <f>SUM(L55:N55)</f>
        <v>55437.5</v>
      </c>
      <c r="L55" s="3">
        <v>38612.5</v>
      </c>
      <c r="M55" s="3">
        <v>0</v>
      </c>
      <c r="N55" s="3">
        <f>14935+1121+769</f>
        <v>16825</v>
      </c>
    </row>
    <row r="56" spans="1:14" x14ac:dyDescent="0.2">
      <c r="A56" t="s">
        <v>1167</v>
      </c>
      <c r="B56" t="s">
        <v>1168</v>
      </c>
      <c r="C56" t="s">
        <v>1169</v>
      </c>
      <c r="D56" t="s">
        <v>1170</v>
      </c>
      <c r="E56">
        <v>28669</v>
      </c>
      <c r="F56" t="s">
        <v>1145</v>
      </c>
      <c r="G56" s="2">
        <f>SUM(H56:J56)</f>
        <v>1450</v>
      </c>
      <c r="H56" s="3">
        <v>1450</v>
      </c>
      <c r="I56" s="3">
        <v>0</v>
      </c>
      <c r="J56" s="3">
        <v>0</v>
      </c>
      <c r="K56" s="4">
        <f>SUM(L56:N56)</f>
        <v>1102</v>
      </c>
      <c r="L56" s="3">
        <v>1102</v>
      </c>
      <c r="M56" s="3">
        <v>0</v>
      </c>
      <c r="N56" s="3">
        <v>0</v>
      </c>
    </row>
    <row r="57" spans="1:14" x14ac:dyDescent="0.2">
      <c r="A57" t="s">
        <v>677</v>
      </c>
      <c r="B57" t="s">
        <v>678</v>
      </c>
      <c r="C57" t="s">
        <v>679</v>
      </c>
      <c r="D57" t="s">
        <v>643</v>
      </c>
      <c r="E57">
        <v>27406</v>
      </c>
      <c r="F57" t="s">
        <v>628</v>
      </c>
      <c r="G57" s="2">
        <f>SUM(H57:J57)</f>
        <v>25223</v>
      </c>
      <c r="H57" s="3">
        <v>25223</v>
      </c>
      <c r="I57" s="3">
        <v>0</v>
      </c>
      <c r="J57" s="3">
        <v>0</v>
      </c>
      <c r="K57" s="4">
        <f>SUM(L57:N57)</f>
        <v>31064.5</v>
      </c>
      <c r="L57" s="3">
        <v>27879.5</v>
      </c>
      <c r="M57" s="3">
        <v>0</v>
      </c>
      <c r="N57" s="3">
        <v>3185</v>
      </c>
    </row>
    <row r="58" spans="1:14" x14ac:dyDescent="0.2">
      <c r="A58" t="s">
        <v>677</v>
      </c>
      <c r="B58" t="s">
        <v>680</v>
      </c>
      <c r="C58" t="s">
        <v>681</v>
      </c>
      <c r="D58" t="s">
        <v>643</v>
      </c>
      <c r="E58">
        <v>27406</v>
      </c>
      <c r="F58" t="s">
        <v>628</v>
      </c>
      <c r="G58" s="2">
        <f>SUM(H58:J58)</f>
        <v>303786</v>
      </c>
      <c r="H58" s="3">
        <v>159616</v>
      </c>
      <c r="I58" s="3">
        <v>7880</v>
      </c>
      <c r="J58" s="3">
        <v>136290</v>
      </c>
      <c r="K58" s="4">
        <f>SUM(L58:N58)</f>
        <v>92800.5</v>
      </c>
      <c r="L58" s="3">
        <v>52321.5</v>
      </c>
      <c r="M58" s="3">
        <v>1414</v>
      </c>
      <c r="N58" s="3">
        <v>39065</v>
      </c>
    </row>
    <row r="59" spans="1:14" x14ac:dyDescent="0.2">
      <c r="A59" t="s">
        <v>674</v>
      </c>
      <c r="B59" t="s">
        <v>675</v>
      </c>
      <c r="C59" t="s">
        <v>676</v>
      </c>
      <c r="D59" t="s">
        <v>643</v>
      </c>
      <c r="E59">
        <v>27403</v>
      </c>
      <c r="F59" t="s">
        <v>628</v>
      </c>
      <c r="G59" s="2">
        <f>SUM(H59:J59)</f>
        <v>354747</v>
      </c>
      <c r="H59" s="3">
        <v>183421</v>
      </c>
      <c r="I59" s="3">
        <v>10888</v>
      </c>
      <c r="J59" s="3">
        <f>155570+4868</f>
        <v>160438</v>
      </c>
      <c r="K59" s="4">
        <f>SUM(L59:N59)</f>
        <v>375935</v>
      </c>
      <c r="L59" s="3">
        <v>188341</v>
      </c>
      <c r="M59" s="3">
        <v>5793</v>
      </c>
      <c r="N59" s="3">
        <f>153473+21263+7065</f>
        <v>181801</v>
      </c>
    </row>
    <row r="60" spans="1:14" x14ac:dyDescent="0.2">
      <c r="A60" t="s">
        <v>1153</v>
      </c>
      <c r="B60" t="s">
        <v>1154</v>
      </c>
      <c r="C60" t="s">
        <v>1155</v>
      </c>
      <c r="D60" t="s">
        <v>1156</v>
      </c>
      <c r="E60">
        <v>28697</v>
      </c>
      <c r="F60" t="s">
        <v>1145</v>
      </c>
      <c r="G60" s="2">
        <f>SUM(H60:J60)</f>
        <v>14535</v>
      </c>
      <c r="H60" s="3">
        <v>14535</v>
      </c>
      <c r="I60" s="3">
        <v>0</v>
      </c>
      <c r="J60" s="3">
        <v>0</v>
      </c>
      <c r="K60" s="4">
        <f>SUM(L60:N60)</f>
        <v>8836</v>
      </c>
      <c r="L60" s="3">
        <v>8836</v>
      </c>
      <c r="M60" s="3">
        <v>0</v>
      </c>
      <c r="N60" s="3">
        <v>0</v>
      </c>
    </row>
    <row r="61" spans="1:14" x14ac:dyDescent="0.2">
      <c r="A61" t="s">
        <v>956</v>
      </c>
      <c r="B61" t="s">
        <v>957</v>
      </c>
      <c r="C61" t="s">
        <v>958</v>
      </c>
      <c r="D61" t="s">
        <v>928</v>
      </c>
      <c r="E61">
        <v>27203</v>
      </c>
      <c r="F61" t="s">
        <v>929</v>
      </c>
      <c r="G61" s="2">
        <f>SUM(H61:J61)</f>
        <v>132902</v>
      </c>
      <c r="H61" s="3">
        <v>66451</v>
      </c>
      <c r="I61" s="3">
        <v>30120</v>
      </c>
      <c r="J61" s="3">
        <f>27399+290+6342+2300</f>
        <v>36331</v>
      </c>
      <c r="K61" s="4">
        <f>SUM(L61:N61)</f>
        <v>84486</v>
      </c>
      <c r="L61" s="3">
        <v>42903</v>
      </c>
      <c r="M61" s="3">
        <v>18994</v>
      </c>
      <c r="N61" s="3">
        <f>13753+2000+3660+3176</f>
        <v>22589</v>
      </c>
    </row>
    <row r="62" spans="1:14" x14ac:dyDescent="0.2">
      <c r="A62" t="s">
        <v>919</v>
      </c>
      <c r="B62" t="s">
        <v>920</v>
      </c>
      <c r="C62" t="s">
        <v>921</v>
      </c>
      <c r="D62" t="s">
        <v>919</v>
      </c>
      <c r="E62">
        <v>28689</v>
      </c>
      <c r="F62" t="s">
        <v>890</v>
      </c>
      <c r="G62" s="2">
        <f>SUM(H62:J62)</f>
        <v>39818</v>
      </c>
      <c r="H62" s="3">
        <v>39284</v>
      </c>
      <c r="I62" s="3">
        <v>534</v>
      </c>
      <c r="J62" s="3">
        <v>0</v>
      </c>
      <c r="K62" s="4">
        <f>SUM(L62:N62)</f>
        <v>25146</v>
      </c>
      <c r="L62" s="3">
        <v>24923</v>
      </c>
      <c r="M62" s="3">
        <v>223</v>
      </c>
      <c r="N62" s="3">
        <v>0</v>
      </c>
    </row>
    <row r="63" spans="1:14" x14ac:dyDescent="0.2">
      <c r="A63" t="s">
        <v>456</v>
      </c>
      <c r="B63" t="s">
        <v>457</v>
      </c>
      <c r="C63" t="s">
        <v>458</v>
      </c>
      <c r="D63" t="s">
        <v>299</v>
      </c>
      <c r="E63">
        <v>27105</v>
      </c>
      <c r="F63" t="s">
        <v>349</v>
      </c>
      <c r="G63" s="2">
        <f>SUM(H63:J63)</f>
        <v>28618</v>
      </c>
      <c r="H63" s="3">
        <v>28618</v>
      </c>
      <c r="I63" s="3">
        <v>0</v>
      </c>
      <c r="J63" s="3">
        <v>0</v>
      </c>
      <c r="K63" s="4">
        <f>SUM(L63:N63)</f>
        <v>5484.5</v>
      </c>
      <c r="L63" s="3">
        <v>5484.5</v>
      </c>
      <c r="M63" s="3">
        <v>0</v>
      </c>
      <c r="N63" s="3">
        <v>0</v>
      </c>
    </row>
    <row r="64" spans="1:14" x14ac:dyDescent="0.2">
      <c r="A64" t="s">
        <v>886</v>
      </c>
      <c r="B64" t="s">
        <v>887</v>
      </c>
      <c r="C64" t="s">
        <v>888</v>
      </c>
      <c r="D64" t="s">
        <v>889</v>
      </c>
      <c r="E64">
        <v>28677</v>
      </c>
      <c r="F64" t="s">
        <v>890</v>
      </c>
      <c r="G64" s="2">
        <f>SUM(H64:J64)</f>
        <v>24356</v>
      </c>
      <c r="H64" s="3">
        <v>24098</v>
      </c>
      <c r="I64" s="3">
        <v>258</v>
      </c>
      <c r="J64" s="3">
        <v>0</v>
      </c>
      <c r="K64" s="4">
        <f>SUM(L64:N64)</f>
        <v>22167</v>
      </c>
      <c r="L64" s="3">
        <v>21920</v>
      </c>
      <c r="M64" s="3">
        <v>247</v>
      </c>
      <c r="N64" s="3">
        <v>0</v>
      </c>
    </row>
    <row r="65" spans="1:14" x14ac:dyDescent="0.2">
      <c r="A65" t="s">
        <v>212</v>
      </c>
      <c r="B65" t="s">
        <v>213</v>
      </c>
      <c r="C65" t="s">
        <v>214</v>
      </c>
      <c r="D65" t="s">
        <v>185</v>
      </c>
      <c r="E65">
        <v>28645</v>
      </c>
      <c r="F65" t="s">
        <v>181</v>
      </c>
      <c r="G65" s="2">
        <f>SUM(H65:J65)</f>
        <v>7337</v>
      </c>
      <c r="H65" s="3">
        <v>7337</v>
      </c>
      <c r="I65" s="3">
        <v>0</v>
      </c>
      <c r="J65" s="3">
        <v>0</v>
      </c>
      <c r="K65" s="4">
        <f>SUM(L65:N65)</f>
        <v>1827</v>
      </c>
      <c r="L65" s="3">
        <v>1827</v>
      </c>
      <c r="M65" s="3">
        <v>0</v>
      </c>
      <c r="N65" s="3">
        <v>0</v>
      </c>
    </row>
    <row r="66" spans="1:14" x14ac:dyDescent="0.2">
      <c r="A66" t="s">
        <v>894</v>
      </c>
      <c r="B66" t="s">
        <v>895</v>
      </c>
      <c r="C66" t="s">
        <v>896</v>
      </c>
      <c r="D66" t="s">
        <v>889</v>
      </c>
      <c r="E66">
        <v>28677</v>
      </c>
      <c r="F66" t="s">
        <v>890</v>
      </c>
      <c r="G66" s="2">
        <f>SUM(H66:J66)</f>
        <v>500190</v>
      </c>
      <c r="H66" s="3">
        <v>359297</v>
      </c>
      <c r="I66" s="3">
        <v>118654</v>
      </c>
      <c r="J66" s="3">
        <f>22238+1</f>
        <v>22239</v>
      </c>
      <c r="K66" s="4">
        <f>SUM(L66:N66)</f>
        <v>460157.5</v>
      </c>
      <c r="L66" s="3">
        <v>292923.5</v>
      </c>
      <c r="M66" s="3">
        <v>160021</v>
      </c>
      <c r="N66" s="3">
        <v>7213</v>
      </c>
    </row>
    <row r="67" spans="1:14" x14ac:dyDescent="0.2">
      <c r="A67" t="s">
        <v>312</v>
      </c>
      <c r="B67" t="s">
        <v>313</v>
      </c>
      <c r="C67" t="s">
        <v>314</v>
      </c>
      <c r="D67" t="s">
        <v>265</v>
      </c>
      <c r="E67">
        <v>27360</v>
      </c>
      <c r="F67" t="s">
        <v>254</v>
      </c>
      <c r="G67" s="2">
        <f>SUM(H67:J67)</f>
        <v>29854</v>
      </c>
      <c r="H67" s="3">
        <v>29854</v>
      </c>
      <c r="I67" s="3">
        <v>0</v>
      </c>
      <c r="J67" s="3">
        <v>0</v>
      </c>
      <c r="K67" s="4">
        <f>SUM(L67:N67)</f>
        <v>13984.5</v>
      </c>
      <c r="L67" s="3">
        <v>13984.5</v>
      </c>
      <c r="M67" s="3">
        <v>0</v>
      </c>
      <c r="N67" s="3">
        <v>0</v>
      </c>
    </row>
    <row r="68" spans="1:14" x14ac:dyDescent="0.2">
      <c r="A68" t="s">
        <v>1197</v>
      </c>
      <c r="B68" t="s">
        <v>1198</v>
      </c>
      <c r="C68" t="s">
        <v>1199</v>
      </c>
      <c r="D68" t="s">
        <v>1183</v>
      </c>
      <c r="E68">
        <v>27055</v>
      </c>
      <c r="F68" t="s">
        <v>1184</v>
      </c>
      <c r="G68" s="2">
        <f>SUM(H68:J68)</f>
        <v>7018</v>
      </c>
      <c r="H68" s="3">
        <v>7018</v>
      </c>
      <c r="I68" s="3">
        <v>0</v>
      </c>
      <c r="J68" s="3">
        <v>0</v>
      </c>
      <c r="K68" s="4">
        <f>SUM(L68:N68)</f>
        <v>2088</v>
      </c>
      <c r="L68" s="3">
        <v>2088</v>
      </c>
      <c r="M68" s="3">
        <v>0</v>
      </c>
      <c r="N68" s="3">
        <v>0</v>
      </c>
    </row>
    <row r="69" spans="1:14" x14ac:dyDescent="0.2">
      <c r="A69" t="s">
        <v>1117</v>
      </c>
      <c r="B69" t="s">
        <v>1118</v>
      </c>
      <c r="C69" t="s">
        <v>1095</v>
      </c>
      <c r="D69" t="s">
        <v>1096</v>
      </c>
      <c r="E69">
        <v>28607</v>
      </c>
      <c r="F69" t="s">
        <v>1097</v>
      </c>
      <c r="G69" s="2">
        <f>SUM(H69:J69)</f>
        <v>1210192</v>
      </c>
      <c r="H69" s="3">
        <v>754258</v>
      </c>
      <c r="I69" s="3">
        <v>205099</v>
      </c>
      <c r="J69" s="3">
        <f>110940+33124+21065+12041+73665</f>
        <v>250835</v>
      </c>
      <c r="K69" s="4">
        <f>SUM(L69:N69)</f>
        <v>700159.5</v>
      </c>
      <c r="L69" s="3">
        <v>464593.5</v>
      </c>
      <c r="M69" s="3">
        <v>91227</v>
      </c>
      <c r="N69" s="3">
        <f>57382+17494+13914+4427+51122</f>
        <v>144339</v>
      </c>
    </row>
    <row r="70" spans="1:14" x14ac:dyDescent="0.2">
      <c r="A70" t="s">
        <v>1093</v>
      </c>
      <c r="B70" t="s">
        <v>1094</v>
      </c>
      <c r="C70" t="s">
        <v>1095</v>
      </c>
      <c r="D70" t="s">
        <v>1096</v>
      </c>
      <c r="E70">
        <v>28607</v>
      </c>
      <c r="F70" t="s">
        <v>1097</v>
      </c>
      <c r="G70" s="2">
        <f>SUM(H70:J70)</f>
        <v>1450</v>
      </c>
      <c r="H70" s="3">
        <v>1450</v>
      </c>
      <c r="I70" s="3">
        <v>0</v>
      </c>
      <c r="J70" s="3">
        <v>0</v>
      </c>
      <c r="K70" s="4">
        <f>SUM(L70:N70)</f>
        <v>725</v>
      </c>
      <c r="L70" s="3">
        <v>725</v>
      </c>
      <c r="M70" s="3">
        <v>0</v>
      </c>
      <c r="N70" s="3">
        <v>0</v>
      </c>
    </row>
    <row r="71" spans="1:14" x14ac:dyDescent="0.2">
      <c r="A71" t="s">
        <v>1111</v>
      </c>
      <c r="B71" t="s">
        <v>1112</v>
      </c>
      <c r="C71" t="s">
        <v>1100</v>
      </c>
      <c r="D71" t="s">
        <v>1096</v>
      </c>
      <c r="E71">
        <v>28607</v>
      </c>
      <c r="F71" t="s">
        <v>1097</v>
      </c>
      <c r="G71" s="2">
        <f>SUM(H71:J71)</f>
        <v>5655</v>
      </c>
      <c r="H71" s="3">
        <v>5655</v>
      </c>
      <c r="I71" s="3">
        <v>0</v>
      </c>
      <c r="J71" s="3">
        <v>0</v>
      </c>
      <c r="K71" s="4">
        <f>SUM(L71:N71)</f>
        <v>725</v>
      </c>
      <c r="L71" s="3">
        <v>725</v>
      </c>
      <c r="M71" s="3">
        <v>0</v>
      </c>
      <c r="N71" s="3">
        <v>0</v>
      </c>
    </row>
    <row r="72" spans="1:14" x14ac:dyDescent="0.2">
      <c r="A72" t="s">
        <v>1109</v>
      </c>
      <c r="B72" t="s">
        <v>1110</v>
      </c>
      <c r="C72" t="s">
        <v>1100</v>
      </c>
      <c r="D72" t="s">
        <v>1096</v>
      </c>
      <c r="E72">
        <v>28607</v>
      </c>
      <c r="F72" t="s">
        <v>1097</v>
      </c>
      <c r="G72" s="2">
        <f>SUM(H72:J72)</f>
        <v>3915</v>
      </c>
      <c r="H72" s="3">
        <v>3915</v>
      </c>
      <c r="I72" s="3">
        <v>0</v>
      </c>
      <c r="J72" s="3">
        <v>0</v>
      </c>
      <c r="K72" s="4">
        <f>SUM(L72:N72)</f>
        <v>725</v>
      </c>
      <c r="L72" s="3">
        <v>725</v>
      </c>
      <c r="M72" s="3">
        <v>0</v>
      </c>
      <c r="N72" s="3">
        <v>0</v>
      </c>
    </row>
    <row r="73" spans="1:14" x14ac:dyDescent="0.2">
      <c r="A73" t="s">
        <v>1103</v>
      </c>
      <c r="B73" t="s">
        <v>1104</v>
      </c>
      <c r="C73" t="s">
        <v>1100</v>
      </c>
      <c r="D73" t="s">
        <v>1096</v>
      </c>
      <c r="E73">
        <v>28607</v>
      </c>
      <c r="F73" t="s">
        <v>1097</v>
      </c>
      <c r="G73" s="2">
        <f>SUM(H73:J73)</f>
        <v>3770</v>
      </c>
      <c r="H73" s="3">
        <v>3770</v>
      </c>
      <c r="I73" s="3">
        <v>0</v>
      </c>
      <c r="J73" s="3">
        <v>0</v>
      </c>
      <c r="K73" s="4">
        <f>SUM(L73:N73)</f>
        <v>725</v>
      </c>
      <c r="L73" s="3">
        <v>725</v>
      </c>
      <c r="M73" s="3">
        <v>0</v>
      </c>
      <c r="N73" s="3">
        <v>0</v>
      </c>
    </row>
    <row r="74" spans="1:14" x14ac:dyDescent="0.2">
      <c r="A74" t="s">
        <v>1105</v>
      </c>
      <c r="B74" t="s">
        <v>1106</v>
      </c>
      <c r="C74" t="s">
        <v>1100</v>
      </c>
      <c r="D74" t="s">
        <v>1096</v>
      </c>
      <c r="E74">
        <v>28607</v>
      </c>
      <c r="F74" t="s">
        <v>1097</v>
      </c>
      <c r="G74" s="2">
        <f>SUM(H74:J74)</f>
        <v>3335</v>
      </c>
      <c r="H74" s="3">
        <v>3335</v>
      </c>
      <c r="I74" s="3">
        <v>0</v>
      </c>
      <c r="J74" s="3">
        <v>0</v>
      </c>
      <c r="K74" s="4">
        <f>SUM(L74:N74)</f>
        <v>725</v>
      </c>
      <c r="L74" s="3">
        <v>725</v>
      </c>
      <c r="M74" s="3">
        <v>0</v>
      </c>
      <c r="N74" s="3">
        <v>0</v>
      </c>
    </row>
    <row r="75" spans="1:14" x14ac:dyDescent="0.2">
      <c r="A75" t="s">
        <v>1098</v>
      </c>
      <c r="B75" t="s">
        <v>1099</v>
      </c>
      <c r="C75" t="s">
        <v>1100</v>
      </c>
      <c r="D75" t="s">
        <v>1096</v>
      </c>
      <c r="E75">
        <v>28607</v>
      </c>
      <c r="F75" t="s">
        <v>1097</v>
      </c>
      <c r="G75" s="2">
        <f>SUM(H75:J75)</f>
        <v>3045</v>
      </c>
      <c r="H75" s="3">
        <v>3045</v>
      </c>
      <c r="I75" s="3">
        <v>0</v>
      </c>
      <c r="J75" s="3">
        <v>0</v>
      </c>
      <c r="K75" s="4">
        <f>SUM(L75:N75)</f>
        <v>725</v>
      </c>
      <c r="L75" s="3">
        <v>725</v>
      </c>
      <c r="M75" s="3">
        <v>0</v>
      </c>
      <c r="N75" s="3">
        <v>0</v>
      </c>
    </row>
    <row r="76" spans="1:14" x14ac:dyDescent="0.2">
      <c r="A76" t="s">
        <v>1101</v>
      </c>
      <c r="B76" t="s">
        <v>1102</v>
      </c>
      <c r="C76" t="s">
        <v>1100</v>
      </c>
      <c r="D76" t="s">
        <v>1096</v>
      </c>
      <c r="E76">
        <v>28607</v>
      </c>
      <c r="F76" t="s">
        <v>1097</v>
      </c>
      <c r="G76" s="2">
        <f>SUM(H76:J76)</f>
        <v>3045</v>
      </c>
      <c r="H76" s="3">
        <v>3045</v>
      </c>
      <c r="I76" s="3">
        <v>0</v>
      </c>
      <c r="J76" s="3">
        <v>0</v>
      </c>
      <c r="K76" s="4">
        <f>SUM(L76:N76)</f>
        <v>725</v>
      </c>
      <c r="L76" s="3">
        <v>725</v>
      </c>
      <c r="M76" s="3">
        <v>0</v>
      </c>
      <c r="N76" s="3">
        <v>0</v>
      </c>
    </row>
    <row r="77" spans="1:14" x14ac:dyDescent="0.2">
      <c r="A77" t="s">
        <v>1113</v>
      </c>
      <c r="B77" t="s">
        <v>1114</v>
      </c>
      <c r="C77" t="s">
        <v>1100</v>
      </c>
      <c r="D77" t="s">
        <v>1096</v>
      </c>
      <c r="E77">
        <v>28607</v>
      </c>
      <c r="F77" t="s">
        <v>1097</v>
      </c>
      <c r="G77" s="2">
        <f>SUM(H77:J77)</f>
        <v>2320</v>
      </c>
      <c r="H77" s="3">
        <v>2320</v>
      </c>
      <c r="I77" s="3">
        <v>0</v>
      </c>
      <c r="J77" s="3">
        <v>0</v>
      </c>
      <c r="K77" s="4">
        <f>SUM(L77:N77)</f>
        <v>725</v>
      </c>
      <c r="L77" s="3">
        <v>725</v>
      </c>
      <c r="M77" s="3">
        <v>0</v>
      </c>
      <c r="N77" s="3">
        <v>0</v>
      </c>
    </row>
    <row r="78" spans="1:14" x14ac:dyDescent="0.2">
      <c r="A78" t="s">
        <v>1115</v>
      </c>
      <c r="B78" t="s">
        <v>1116</v>
      </c>
      <c r="C78" t="s">
        <v>1100</v>
      </c>
      <c r="D78" t="s">
        <v>1096</v>
      </c>
      <c r="E78">
        <v>28607</v>
      </c>
      <c r="F78" t="s">
        <v>1097</v>
      </c>
      <c r="G78" s="2">
        <f>SUM(H78:J78)</f>
        <v>2175</v>
      </c>
      <c r="H78" s="3">
        <v>2175</v>
      </c>
      <c r="I78" s="3">
        <v>0</v>
      </c>
      <c r="J78" s="3">
        <v>0</v>
      </c>
      <c r="K78" s="4">
        <f>SUM(L78:N78)</f>
        <v>725</v>
      </c>
      <c r="L78" s="3">
        <v>725</v>
      </c>
      <c r="M78" s="3">
        <v>0</v>
      </c>
      <c r="N78" s="3">
        <v>0</v>
      </c>
    </row>
    <row r="79" spans="1:14" x14ac:dyDescent="0.2">
      <c r="A79" t="s">
        <v>1107</v>
      </c>
      <c r="B79" t="s">
        <v>1108</v>
      </c>
      <c r="C79" t="s">
        <v>1100</v>
      </c>
      <c r="D79" t="s">
        <v>1096</v>
      </c>
      <c r="E79">
        <v>28607</v>
      </c>
      <c r="F79" t="s">
        <v>1097</v>
      </c>
      <c r="G79" s="2">
        <f>SUM(H79:J79)</f>
        <v>725</v>
      </c>
      <c r="H79" s="3">
        <v>725</v>
      </c>
      <c r="I79" s="3">
        <v>0</v>
      </c>
      <c r="J79" s="3">
        <v>0</v>
      </c>
      <c r="K79" s="4">
        <f>SUM(L79:N79)</f>
        <v>725</v>
      </c>
      <c r="L79" s="3">
        <v>725</v>
      </c>
      <c r="M79" s="3">
        <v>0</v>
      </c>
      <c r="N79" s="3">
        <v>0</v>
      </c>
    </row>
    <row r="80" spans="1:14" x14ac:dyDescent="0.2">
      <c r="A80" t="s">
        <v>1193</v>
      </c>
      <c r="B80" t="s">
        <v>1194</v>
      </c>
      <c r="C80" t="s">
        <v>1195</v>
      </c>
      <c r="D80" t="s">
        <v>1196</v>
      </c>
      <c r="E80">
        <v>27020</v>
      </c>
      <c r="F80" t="s">
        <v>1184</v>
      </c>
      <c r="G80" s="2">
        <f>SUM(H80:J80)</f>
        <v>3103</v>
      </c>
      <c r="H80" s="3">
        <v>3103</v>
      </c>
      <c r="I80" s="3">
        <v>0</v>
      </c>
      <c r="J80" s="3">
        <v>0</v>
      </c>
      <c r="K80" s="4">
        <f>SUM(L80:N80)</f>
        <v>0</v>
      </c>
      <c r="L80" s="3">
        <v>0</v>
      </c>
      <c r="M80" s="3">
        <v>0</v>
      </c>
      <c r="N80" s="3">
        <v>0</v>
      </c>
    </row>
    <row r="81" spans="1:14" x14ac:dyDescent="0.2">
      <c r="A81" t="s">
        <v>891</v>
      </c>
      <c r="B81" t="s">
        <v>892</v>
      </c>
      <c r="C81" t="s">
        <v>893</v>
      </c>
      <c r="D81" t="s">
        <v>889</v>
      </c>
      <c r="E81">
        <v>28677</v>
      </c>
      <c r="F81" t="s">
        <v>890</v>
      </c>
      <c r="G81" s="2">
        <f>SUM(H81:J81)</f>
        <v>354595</v>
      </c>
      <c r="H81" s="3">
        <v>180388</v>
      </c>
      <c r="I81" s="3">
        <v>26400</v>
      </c>
      <c r="J81" s="3">
        <v>147807</v>
      </c>
      <c r="K81" s="4">
        <f>SUM(L81:N81)</f>
        <v>244552.5</v>
      </c>
      <c r="L81" s="3">
        <v>124779.5</v>
      </c>
      <c r="M81" s="3">
        <v>15100</v>
      </c>
      <c r="N81" s="3">
        <v>104673</v>
      </c>
    </row>
    <row r="82" spans="1:14" x14ac:dyDescent="0.2">
      <c r="A82" t="s">
        <v>1149</v>
      </c>
      <c r="B82" t="s">
        <v>1150</v>
      </c>
      <c r="C82" t="s">
        <v>1151</v>
      </c>
      <c r="D82" t="s">
        <v>1152</v>
      </c>
      <c r="E82">
        <v>28606</v>
      </c>
      <c r="F82" t="s">
        <v>1145</v>
      </c>
      <c r="G82" s="2">
        <f>SUM(H82:J82)</f>
        <v>52749</v>
      </c>
      <c r="H82" s="3">
        <v>47749</v>
      </c>
      <c r="I82" s="3">
        <v>5000</v>
      </c>
      <c r="J82" s="3">
        <v>0</v>
      </c>
      <c r="K82" s="4">
        <f>SUM(L82:N82)</f>
        <v>32437.5</v>
      </c>
      <c r="L82" s="3">
        <v>29050.5</v>
      </c>
      <c r="M82" s="3">
        <v>3387</v>
      </c>
      <c r="N82" s="3">
        <v>0</v>
      </c>
    </row>
    <row r="83" spans="1:14" x14ac:dyDescent="0.2">
      <c r="A83" t="s">
        <v>390</v>
      </c>
      <c r="B83" t="s">
        <v>393</v>
      </c>
      <c r="C83" t="s">
        <v>392</v>
      </c>
      <c r="D83" t="s">
        <v>299</v>
      </c>
      <c r="E83">
        <v>27105</v>
      </c>
      <c r="F83" t="s">
        <v>349</v>
      </c>
      <c r="G83" s="2">
        <f>SUM(H83:J83)</f>
        <v>8641</v>
      </c>
      <c r="H83" s="3">
        <v>8531</v>
      </c>
      <c r="I83" s="3">
        <v>110</v>
      </c>
      <c r="J83" s="3">
        <v>0</v>
      </c>
      <c r="K83" s="4">
        <f>SUM(L83:N83)</f>
        <v>2040</v>
      </c>
      <c r="L83" s="3">
        <v>1980</v>
      </c>
      <c r="M83" s="3">
        <v>60</v>
      </c>
      <c r="N83" s="3">
        <v>0</v>
      </c>
    </row>
    <row r="84" spans="1:14" x14ac:dyDescent="0.2">
      <c r="A84" t="s">
        <v>390</v>
      </c>
      <c r="B84" t="s">
        <v>391</v>
      </c>
      <c r="C84" t="s">
        <v>392</v>
      </c>
      <c r="D84" t="s">
        <v>299</v>
      </c>
      <c r="E84">
        <v>27105</v>
      </c>
      <c r="F84" t="s">
        <v>349</v>
      </c>
      <c r="G84" s="2">
        <f>SUM(H84:J84)</f>
        <v>6395</v>
      </c>
      <c r="H84" s="3">
        <v>6345</v>
      </c>
      <c r="I84" s="3">
        <v>50</v>
      </c>
      <c r="J84" s="3">
        <v>0</v>
      </c>
      <c r="K84" s="4">
        <f>SUM(L84:N84)</f>
        <v>3228.2</v>
      </c>
      <c r="L84" s="3">
        <v>3198.2</v>
      </c>
      <c r="M84" s="3">
        <v>30</v>
      </c>
      <c r="N84" s="3">
        <v>0</v>
      </c>
    </row>
    <row r="85" spans="1:14" x14ac:dyDescent="0.2">
      <c r="A85" t="s">
        <v>768</v>
      </c>
      <c r="B85" t="s">
        <v>769</v>
      </c>
      <c r="C85" t="s">
        <v>770</v>
      </c>
      <c r="D85" t="s">
        <v>276</v>
      </c>
      <c r="E85">
        <v>27263</v>
      </c>
      <c r="F85" t="s">
        <v>628</v>
      </c>
      <c r="G85" s="2">
        <f>SUM(H85:J85)</f>
        <v>18337</v>
      </c>
      <c r="H85" s="3">
        <v>13665</v>
      </c>
      <c r="I85" s="3">
        <v>3539</v>
      </c>
      <c r="J85" s="3">
        <v>1133</v>
      </c>
      <c r="K85" s="4">
        <f>SUM(L85:N85)</f>
        <v>9931.5</v>
      </c>
      <c r="L85" s="3">
        <v>8001.5</v>
      </c>
      <c r="M85" s="3">
        <v>1930</v>
      </c>
      <c r="N85" s="3">
        <v>0</v>
      </c>
    </row>
    <row r="86" spans="1:14" x14ac:dyDescent="0.2">
      <c r="A86" t="s">
        <v>13</v>
      </c>
      <c r="B86" t="s">
        <v>14</v>
      </c>
      <c r="C86" t="s">
        <v>15</v>
      </c>
      <c r="D86" t="s">
        <v>11</v>
      </c>
      <c r="E86">
        <v>27217</v>
      </c>
      <c r="F86" t="s">
        <v>12</v>
      </c>
      <c r="G86" s="2">
        <f>SUM(H86:J86)</f>
        <v>427116</v>
      </c>
      <c r="H86" s="3">
        <v>259154</v>
      </c>
      <c r="I86" s="3">
        <v>0</v>
      </c>
      <c r="J86" s="3">
        <f>146342+21620</f>
        <v>167962</v>
      </c>
      <c r="K86" s="4">
        <f>SUM(L86:N86)</f>
        <v>203635.8</v>
      </c>
      <c r="L86" s="3">
        <v>122246.8</v>
      </c>
      <c r="M86" s="3">
        <v>0</v>
      </c>
      <c r="N86" s="3">
        <f>68573+12816</f>
        <v>81389</v>
      </c>
    </row>
    <row r="87" spans="1:14" x14ac:dyDescent="0.2">
      <c r="A87" t="s">
        <v>197</v>
      </c>
      <c r="B87" t="s">
        <v>198</v>
      </c>
      <c r="C87" t="s">
        <v>199</v>
      </c>
      <c r="D87" t="s">
        <v>185</v>
      </c>
      <c r="E87">
        <v>28645</v>
      </c>
      <c r="F87" t="s">
        <v>181</v>
      </c>
      <c r="G87" s="2">
        <f>SUM(H87:J87)</f>
        <v>19960</v>
      </c>
      <c r="H87" s="3">
        <v>15069</v>
      </c>
      <c r="I87" s="3">
        <v>96</v>
      </c>
      <c r="J87" s="3">
        <v>4795</v>
      </c>
      <c r="K87" s="4">
        <f>SUM(L87:N87)</f>
        <v>19635.599999999999</v>
      </c>
      <c r="L87" s="3">
        <v>14648.6</v>
      </c>
      <c r="M87" s="3">
        <v>96</v>
      </c>
      <c r="N87" s="3">
        <v>4891</v>
      </c>
    </row>
    <row r="88" spans="1:14" x14ac:dyDescent="0.2">
      <c r="A88" t="s">
        <v>431</v>
      </c>
      <c r="B88" t="s">
        <v>1164</v>
      </c>
      <c r="C88" t="s">
        <v>1165</v>
      </c>
      <c r="D88" t="s">
        <v>1166</v>
      </c>
      <c r="E88">
        <v>28670</v>
      </c>
      <c r="F88" t="s">
        <v>1145</v>
      </c>
      <c r="G88" s="2">
        <f>SUM(H88:J88)</f>
        <v>39649</v>
      </c>
      <c r="H88" s="3">
        <v>38102</v>
      </c>
      <c r="I88" s="3">
        <v>1547</v>
      </c>
      <c r="J88" s="3">
        <v>0</v>
      </c>
      <c r="K88" s="4">
        <f>SUM(L88:N88)</f>
        <v>24718.5</v>
      </c>
      <c r="L88" s="3">
        <v>23975.5</v>
      </c>
      <c r="M88" s="3">
        <v>743</v>
      </c>
      <c r="N88" s="3">
        <v>0</v>
      </c>
    </row>
    <row r="89" spans="1:14" x14ac:dyDescent="0.2">
      <c r="A89" t="s">
        <v>288</v>
      </c>
      <c r="B89" t="s">
        <v>289</v>
      </c>
      <c r="C89" t="s">
        <v>290</v>
      </c>
      <c r="D89" t="s">
        <v>265</v>
      </c>
      <c r="E89">
        <v>27360</v>
      </c>
      <c r="F89" t="s">
        <v>254</v>
      </c>
      <c r="G89" s="2">
        <f>SUM(H89:J89)</f>
        <v>648128</v>
      </c>
      <c r="H89" s="3">
        <v>445402</v>
      </c>
      <c r="I89" s="3">
        <v>86971</v>
      </c>
      <c r="J89" s="3">
        <f>108095+7660</f>
        <v>115755</v>
      </c>
      <c r="K89" s="4">
        <f>SUM(L89:N89)</f>
        <v>267669.5</v>
      </c>
      <c r="L89" s="3">
        <v>187222.5</v>
      </c>
      <c r="M89" s="3">
        <v>35262</v>
      </c>
      <c r="N89" s="3">
        <f>43194+1991</f>
        <v>45185</v>
      </c>
    </row>
    <row r="90" spans="1:14" x14ac:dyDescent="0.2">
      <c r="A90" t="s">
        <v>291</v>
      </c>
      <c r="B90" t="s">
        <v>292</v>
      </c>
      <c r="C90" t="s">
        <v>290</v>
      </c>
      <c r="D90" t="s">
        <v>265</v>
      </c>
      <c r="E90">
        <v>27360</v>
      </c>
      <c r="F90" t="s">
        <v>254</v>
      </c>
      <c r="G90" s="2">
        <f>SUM(H90:J90)</f>
        <v>73187</v>
      </c>
      <c r="H90" s="3">
        <v>52090</v>
      </c>
      <c r="I90" s="3">
        <v>21097</v>
      </c>
      <c r="J90" s="3">
        <v>0</v>
      </c>
      <c r="K90" s="4">
        <f>SUM(L90:N90)</f>
        <v>15501.5</v>
      </c>
      <c r="L90" s="3">
        <v>15501.5</v>
      </c>
      <c r="M90" s="3">
        <v>0</v>
      </c>
      <c r="N90" s="3">
        <v>0</v>
      </c>
    </row>
    <row r="91" spans="1:14" x14ac:dyDescent="0.2">
      <c r="A91" t="s">
        <v>189</v>
      </c>
      <c r="B91" t="s">
        <v>190</v>
      </c>
      <c r="C91" t="s">
        <v>191</v>
      </c>
      <c r="D91" t="s">
        <v>185</v>
      </c>
      <c r="E91">
        <v>28645</v>
      </c>
      <c r="F91" t="s">
        <v>181</v>
      </c>
      <c r="G91" s="2">
        <f>SUM(H91:J91)</f>
        <v>515349</v>
      </c>
      <c r="H91" s="3">
        <v>334532</v>
      </c>
      <c r="I91" s="3">
        <v>117517</v>
      </c>
      <c r="J91" s="3">
        <v>63300</v>
      </c>
      <c r="K91" s="4">
        <f>SUM(L91:N91)</f>
        <v>132319.5</v>
      </c>
      <c r="L91" s="3">
        <v>83864.5</v>
      </c>
      <c r="M91" s="3">
        <v>19734</v>
      </c>
      <c r="N91" s="3">
        <v>28721</v>
      </c>
    </row>
    <row r="92" spans="1:14" x14ac:dyDescent="0.2">
      <c r="A92" t="s">
        <v>232</v>
      </c>
      <c r="B92" t="s">
        <v>233</v>
      </c>
      <c r="C92" t="s">
        <v>234</v>
      </c>
      <c r="D92" t="s">
        <v>230</v>
      </c>
      <c r="E92">
        <v>27028</v>
      </c>
      <c r="F92" t="s">
        <v>231</v>
      </c>
      <c r="G92" s="2">
        <f>SUM(H92:J92)</f>
        <v>17748</v>
      </c>
      <c r="H92" s="3">
        <v>17748</v>
      </c>
      <c r="I92" s="3">
        <v>0</v>
      </c>
      <c r="J92" s="3">
        <v>0</v>
      </c>
      <c r="K92" s="4">
        <f>SUM(L92:N92)</f>
        <v>17748</v>
      </c>
      <c r="L92" s="3">
        <v>17748</v>
      </c>
      <c r="M92" s="3">
        <v>0</v>
      </c>
      <c r="N92" s="3">
        <v>0</v>
      </c>
    </row>
    <row r="93" spans="1:14" x14ac:dyDescent="0.2">
      <c r="A93" t="s">
        <v>1177</v>
      </c>
      <c r="B93" t="s">
        <v>1178</v>
      </c>
      <c r="C93" t="s">
        <v>1179</v>
      </c>
      <c r="D93" t="s">
        <v>1160</v>
      </c>
      <c r="E93">
        <v>28697</v>
      </c>
      <c r="F93" t="s">
        <v>1145</v>
      </c>
      <c r="G93" s="2">
        <f>SUM(H93:J93)</f>
        <v>0</v>
      </c>
      <c r="H93" s="3">
        <v>0</v>
      </c>
      <c r="I93" s="3">
        <v>0</v>
      </c>
      <c r="J93" s="3">
        <v>0</v>
      </c>
      <c r="K93" s="4">
        <f>SUM(L93:N93)</f>
        <v>12807.8</v>
      </c>
      <c r="L93" s="3">
        <v>12807.8</v>
      </c>
      <c r="M93" s="3">
        <v>0</v>
      </c>
      <c r="N93" s="3">
        <v>0</v>
      </c>
    </row>
    <row r="94" spans="1:14" x14ac:dyDescent="0.2">
      <c r="A94" t="s">
        <v>387</v>
      </c>
      <c r="B94" t="s">
        <v>388</v>
      </c>
      <c r="C94" t="s">
        <v>389</v>
      </c>
      <c r="D94" t="s">
        <v>299</v>
      </c>
      <c r="E94">
        <v>27120</v>
      </c>
      <c r="F94" t="s">
        <v>349</v>
      </c>
      <c r="G94" s="2">
        <f>SUM(H94:J94)</f>
        <v>369688</v>
      </c>
      <c r="H94" s="3">
        <v>306672</v>
      </c>
      <c r="I94" s="3">
        <v>55404</v>
      </c>
      <c r="J94" s="3">
        <f>3496+4116</f>
        <v>7612</v>
      </c>
      <c r="K94" s="4">
        <f>SUM(L94:N94)</f>
        <v>164898.5</v>
      </c>
      <c r="L94" s="3">
        <v>148156.5</v>
      </c>
      <c r="M94" s="3">
        <v>11321</v>
      </c>
      <c r="N94" s="3">
        <f>3600+1821</f>
        <v>5421</v>
      </c>
    </row>
    <row r="95" spans="1:14" x14ac:dyDescent="0.2">
      <c r="A95" t="s">
        <v>752</v>
      </c>
      <c r="B95" t="s">
        <v>753</v>
      </c>
      <c r="C95" t="s">
        <v>754</v>
      </c>
      <c r="D95" t="s">
        <v>276</v>
      </c>
      <c r="E95">
        <v>27260</v>
      </c>
      <c r="F95" t="s">
        <v>628</v>
      </c>
      <c r="G95" s="2">
        <f>SUM(H95:J95)</f>
        <v>153733</v>
      </c>
      <c r="H95" s="3">
        <v>110309</v>
      </c>
      <c r="I95" s="3">
        <v>12856</v>
      </c>
      <c r="J95" s="3">
        <v>30568</v>
      </c>
      <c r="K95" s="4">
        <f>SUM(L95:N95)</f>
        <v>75198.5</v>
      </c>
      <c r="L95" s="3">
        <v>57493.5</v>
      </c>
      <c r="M95" s="3">
        <v>5513</v>
      </c>
      <c r="N95" s="3">
        <v>12192</v>
      </c>
    </row>
    <row r="96" spans="1:14" x14ac:dyDescent="0.2">
      <c r="A96" t="s">
        <v>182</v>
      </c>
      <c r="B96" t="s">
        <v>183</v>
      </c>
      <c r="C96" t="s">
        <v>184</v>
      </c>
      <c r="D96" t="s">
        <v>185</v>
      </c>
      <c r="E96">
        <v>28645</v>
      </c>
      <c r="F96" t="s">
        <v>181</v>
      </c>
      <c r="G96" s="2">
        <f>SUM(H96:J96)</f>
        <v>21280</v>
      </c>
      <c r="H96" s="3">
        <v>10640</v>
      </c>
      <c r="I96" s="3">
        <v>0</v>
      </c>
      <c r="J96" s="3">
        <v>10640</v>
      </c>
      <c r="K96" s="4">
        <f>SUM(L96:N96)</f>
        <v>12672</v>
      </c>
      <c r="L96" s="3">
        <v>6336</v>
      </c>
      <c r="M96" s="3">
        <v>0</v>
      </c>
      <c r="N96" s="3">
        <v>6336</v>
      </c>
    </row>
    <row r="97" spans="1:14" x14ac:dyDescent="0.2">
      <c r="A97" t="s">
        <v>601</v>
      </c>
      <c r="B97" t="s">
        <v>602</v>
      </c>
      <c r="C97" t="s">
        <v>603</v>
      </c>
      <c r="D97" t="s">
        <v>365</v>
      </c>
      <c r="E97">
        <v>27012</v>
      </c>
      <c r="F97" t="s">
        <v>349</v>
      </c>
      <c r="G97" s="2">
        <f>SUM(H97:J97)</f>
        <v>15859</v>
      </c>
      <c r="H97" s="3">
        <v>12346</v>
      </c>
      <c r="I97" s="3">
        <v>3513</v>
      </c>
      <c r="J97" s="3">
        <v>0</v>
      </c>
      <c r="K97" s="4">
        <f>SUM(L97:N97)</f>
        <v>5702</v>
      </c>
      <c r="L97" s="3">
        <v>3359</v>
      </c>
      <c r="M97" s="3">
        <v>2343</v>
      </c>
      <c r="N97" s="3">
        <v>0</v>
      </c>
    </row>
    <row r="98" spans="1:14" x14ac:dyDescent="0.2">
      <c r="A98" t="s">
        <v>20</v>
      </c>
      <c r="B98" t="s">
        <v>21</v>
      </c>
      <c r="C98" t="s">
        <v>22</v>
      </c>
      <c r="D98" t="s">
        <v>11</v>
      </c>
      <c r="E98">
        <v>27217</v>
      </c>
      <c r="F98" t="s">
        <v>12</v>
      </c>
      <c r="G98" s="2">
        <f>SUM(H98:J98)</f>
        <v>95867</v>
      </c>
      <c r="H98" s="3">
        <v>69978</v>
      </c>
      <c r="I98" s="3">
        <v>0</v>
      </c>
      <c r="J98" s="3">
        <v>25889</v>
      </c>
      <c r="K98" s="4">
        <f>SUM(L98:N98)</f>
        <v>59139.5</v>
      </c>
      <c r="L98" s="3">
        <v>38652.5</v>
      </c>
      <c r="M98" s="3">
        <v>160</v>
      </c>
      <c r="N98" s="3">
        <v>20327</v>
      </c>
    </row>
    <row r="99" spans="1:14" x14ac:dyDescent="0.2">
      <c r="A99" t="s">
        <v>318</v>
      </c>
      <c r="B99" t="s">
        <v>319</v>
      </c>
      <c r="C99" t="s">
        <v>320</v>
      </c>
      <c r="D99" t="s">
        <v>253</v>
      </c>
      <c r="E99">
        <v>27292</v>
      </c>
      <c r="F99" t="s">
        <v>254</v>
      </c>
      <c r="G99" s="2">
        <f>SUM(H99:J99)</f>
        <v>116551</v>
      </c>
      <c r="H99" s="3">
        <v>81358</v>
      </c>
      <c r="I99" s="3">
        <v>5092</v>
      </c>
      <c r="J99" s="3">
        <v>30101</v>
      </c>
      <c r="K99" s="4">
        <f>SUM(L99:N99)</f>
        <v>61276.5</v>
      </c>
      <c r="L99" s="3">
        <v>44319.5</v>
      </c>
      <c r="M99" s="3">
        <v>1520</v>
      </c>
      <c r="N99" s="3">
        <v>15437</v>
      </c>
    </row>
    <row r="100" spans="1:14" x14ac:dyDescent="0.2">
      <c r="A100" t="s">
        <v>321</v>
      </c>
      <c r="B100" t="s">
        <v>322</v>
      </c>
      <c r="C100" t="s">
        <v>320</v>
      </c>
      <c r="D100" t="s">
        <v>253</v>
      </c>
      <c r="E100">
        <v>27292</v>
      </c>
      <c r="F100" t="s">
        <v>254</v>
      </c>
      <c r="G100" s="2">
        <f>SUM(H100:J100)</f>
        <v>2427</v>
      </c>
      <c r="H100" s="3">
        <v>2427</v>
      </c>
      <c r="I100" s="3">
        <v>0</v>
      </c>
      <c r="J100" s="3">
        <v>0</v>
      </c>
      <c r="K100" s="4">
        <f>SUM(L100:N100)</f>
        <v>1871.5</v>
      </c>
      <c r="L100" s="3">
        <v>1871.5</v>
      </c>
      <c r="M100" s="3">
        <v>0</v>
      </c>
      <c r="N100" s="3">
        <v>0</v>
      </c>
    </row>
    <row r="101" spans="1:14" x14ac:dyDescent="0.2">
      <c r="A101" t="s">
        <v>519</v>
      </c>
      <c r="B101" t="s">
        <v>520</v>
      </c>
      <c r="C101" t="s">
        <v>521</v>
      </c>
      <c r="D101" t="s">
        <v>299</v>
      </c>
      <c r="E101">
        <v>27106</v>
      </c>
      <c r="F101" t="s">
        <v>349</v>
      </c>
      <c r="G101" s="2">
        <f>SUM(H101:J101)</f>
        <v>7933</v>
      </c>
      <c r="H101" s="3">
        <v>5375</v>
      </c>
      <c r="I101" s="3">
        <v>2558</v>
      </c>
      <c r="J101" s="3">
        <v>0</v>
      </c>
      <c r="K101" s="4">
        <f>SUM(L101:N101)</f>
        <v>5954</v>
      </c>
      <c r="L101" s="3">
        <v>5954</v>
      </c>
      <c r="M101" s="3">
        <v>0</v>
      </c>
      <c r="N101" s="3">
        <v>0</v>
      </c>
    </row>
    <row r="102" spans="1:14" x14ac:dyDescent="0.2">
      <c r="A102" t="s">
        <v>514</v>
      </c>
      <c r="B102" t="s">
        <v>515</v>
      </c>
      <c r="C102" t="s">
        <v>516</v>
      </c>
      <c r="D102" t="s">
        <v>299</v>
      </c>
      <c r="E102">
        <v>27106</v>
      </c>
      <c r="F102" t="s">
        <v>349</v>
      </c>
      <c r="G102" s="2">
        <f>SUM(H102:J102)</f>
        <v>7301</v>
      </c>
      <c r="H102" s="3">
        <v>7301</v>
      </c>
      <c r="I102" s="3">
        <v>0</v>
      </c>
      <c r="J102" s="3">
        <v>0</v>
      </c>
      <c r="K102" s="4">
        <f>SUM(L102:N102)</f>
        <v>3966</v>
      </c>
      <c r="L102" s="3">
        <v>3516</v>
      </c>
      <c r="M102" s="3">
        <v>450</v>
      </c>
      <c r="N102" s="3">
        <v>0</v>
      </c>
    </row>
    <row r="103" spans="1:14" x14ac:dyDescent="0.2">
      <c r="A103" t="s">
        <v>517</v>
      </c>
      <c r="B103" t="s">
        <v>518</v>
      </c>
      <c r="C103" t="s">
        <v>516</v>
      </c>
      <c r="D103" t="s">
        <v>299</v>
      </c>
      <c r="E103">
        <v>27106</v>
      </c>
      <c r="F103" t="s">
        <v>349</v>
      </c>
      <c r="G103" s="2">
        <f>SUM(H103:J103)</f>
        <v>3387</v>
      </c>
      <c r="H103" s="3">
        <v>3387</v>
      </c>
      <c r="I103" s="3">
        <v>0</v>
      </c>
      <c r="J103" s="3">
        <v>0</v>
      </c>
      <c r="K103" s="4">
        <f>SUM(L103:N103)</f>
        <v>6954</v>
      </c>
      <c r="L103" s="3">
        <v>5954</v>
      </c>
      <c r="M103" s="3">
        <v>1000</v>
      </c>
      <c r="N103" s="3">
        <v>0</v>
      </c>
    </row>
    <row r="104" spans="1:14" x14ac:dyDescent="0.2">
      <c r="A104" t="s">
        <v>165</v>
      </c>
      <c r="B104" t="s">
        <v>166</v>
      </c>
      <c r="C104" t="s">
        <v>167</v>
      </c>
      <c r="D104" t="s">
        <v>168</v>
      </c>
      <c r="E104">
        <v>27315</v>
      </c>
      <c r="F104" t="s">
        <v>152</v>
      </c>
      <c r="G104" s="2">
        <f>SUM(H104:J104)</f>
        <v>54487</v>
      </c>
      <c r="H104" s="3">
        <v>45888</v>
      </c>
      <c r="I104" s="3">
        <v>1062</v>
      </c>
      <c r="J104" s="3">
        <v>7537</v>
      </c>
      <c r="K104" s="4">
        <f>SUM(L104:N104)</f>
        <v>21906.5</v>
      </c>
      <c r="L104" s="3">
        <v>17525.5</v>
      </c>
      <c r="M104" s="3">
        <v>791</v>
      </c>
      <c r="N104" s="3">
        <v>3590</v>
      </c>
    </row>
    <row r="105" spans="1:14" x14ac:dyDescent="0.2">
      <c r="A105" t="s">
        <v>296</v>
      </c>
      <c r="B105" t="s">
        <v>297</v>
      </c>
      <c r="C105" t="s">
        <v>298</v>
      </c>
      <c r="D105" t="s">
        <v>299</v>
      </c>
      <c r="E105">
        <v>27107</v>
      </c>
      <c r="F105" t="s">
        <v>254</v>
      </c>
      <c r="G105" s="2">
        <f>SUM(H105:J105)</f>
        <v>260617</v>
      </c>
      <c r="H105" s="3">
        <v>238560</v>
      </c>
      <c r="I105" s="3">
        <v>22057</v>
      </c>
      <c r="J105" s="3">
        <v>0</v>
      </c>
      <c r="K105" s="4">
        <f>SUM(L105:N105)</f>
        <v>104604.5</v>
      </c>
      <c r="L105" s="3">
        <v>104604.5</v>
      </c>
      <c r="M105" s="3">
        <v>0</v>
      </c>
      <c r="N105" s="3">
        <v>0</v>
      </c>
    </row>
    <row r="106" spans="1:14" x14ac:dyDescent="0.2">
      <c r="A106" t="s">
        <v>26</v>
      </c>
      <c r="B106" t="s">
        <v>27</v>
      </c>
      <c r="C106" t="s">
        <v>28</v>
      </c>
      <c r="D106" t="s">
        <v>29</v>
      </c>
      <c r="E106">
        <v>27302</v>
      </c>
      <c r="F106" t="s">
        <v>12</v>
      </c>
      <c r="G106" s="2">
        <f>SUM(H106:J106)</f>
        <v>146030</v>
      </c>
      <c r="H106" s="3">
        <v>95000</v>
      </c>
      <c r="I106" s="3">
        <v>1140</v>
      </c>
      <c r="J106" s="3">
        <f>45400+2505+1985</f>
        <v>49890</v>
      </c>
      <c r="K106" s="4">
        <f>SUM(L106:N106)</f>
        <v>73725.5</v>
      </c>
      <c r="L106" s="3">
        <v>50549.5</v>
      </c>
      <c r="M106" s="3">
        <v>665</v>
      </c>
      <c r="N106" s="3">
        <f>21412+1099</f>
        <v>22511</v>
      </c>
    </row>
    <row r="107" spans="1:14" x14ac:dyDescent="0.2">
      <c r="A107" t="s">
        <v>243</v>
      </c>
      <c r="B107" t="s">
        <v>244</v>
      </c>
      <c r="C107" t="s">
        <v>245</v>
      </c>
      <c r="D107" t="s">
        <v>230</v>
      </c>
      <c r="E107">
        <v>27028</v>
      </c>
      <c r="F107" t="s">
        <v>231</v>
      </c>
      <c r="G107" s="2">
        <f>SUM(H107:J107)</f>
        <v>15550</v>
      </c>
      <c r="H107" s="3">
        <v>12150</v>
      </c>
      <c r="I107" s="3">
        <v>1030</v>
      </c>
      <c r="J107" s="3">
        <v>2370</v>
      </c>
      <c r="K107" s="4">
        <f>SUM(L107:N107)</f>
        <v>10375</v>
      </c>
      <c r="L107" s="3">
        <v>8335</v>
      </c>
      <c r="M107" s="3">
        <v>2040</v>
      </c>
      <c r="N107" s="3">
        <v>0</v>
      </c>
    </row>
    <row r="108" spans="1:14" x14ac:dyDescent="0.2">
      <c r="A108" t="s">
        <v>699</v>
      </c>
      <c r="B108" t="s">
        <v>700</v>
      </c>
      <c r="C108" t="s">
        <v>701</v>
      </c>
      <c r="D108" t="s">
        <v>643</v>
      </c>
      <c r="E108">
        <v>27406</v>
      </c>
      <c r="F108" t="s">
        <v>628</v>
      </c>
      <c r="G108" s="2">
        <f>SUM(H108:J108)</f>
        <v>140773</v>
      </c>
      <c r="H108" s="3">
        <v>137548</v>
      </c>
      <c r="I108" s="3">
        <v>0</v>
      </c>
      <c r="J108" s="3">
        <v>3225</v>
      </c>
      <c r="K108" s="4">
        <f>SUM(L108:N108)</f>
        <v>98193.5</v>
      </c>
      <c r="L108" s="3">
        <v>97553.5</v>
      </c>
      <c r="M108" s="3">
        <v>0</v>
      </c>
      <c r="N108" s="3">
        <v>640</v>
      </c>
    </row>
    <row r="109" spans="1:14" x14ac:dyDescent="0.2">
      <c r="A109" t="s">
        <v>235</v>
      </c>
      <c r="B109" t="s">
        <v>236</v>
      </c>
      <c r="C109" t="s">
        <v>237</v>
      </c>
      <c r="D109" t="s">
        <v>238</v>
      </c>
      <c r="E109">
        <v>27006</v>
      </c>
      <c r="F109" t="s">
        <v>231</v>
      </c>
      <c r="G109" s="2">
        <f>SUM(H109:J109)</f>
        <v>254989</v>
      </c>
      <c r="H109" s="3">
        <v>192186</v>
      </c>
      <c r="I109" s="3">
        <v>4468</v>
      </c>
      <c r="J109" s="3">
        <f>36890+21445</f>
        <v>58335</v>
      </c>
      <c r="K109" s="4">
        <f>SUM(L109:N109)</f>
        <v>141601</v>
      </c>
      <c r="L109" s="3">
        <v>107209</v>
      </c>
      <c r="M109" s="3">
        <v>3381</v>
      </c>
      <c r="N109" s="3">
        <f>17761+13250</f>
        <v>31011</v>
      </c>
    </row>
    <row r="110" spans="1:14" x14ac:dyDescent="0.2">
      <c r="A110" t="s">
        <v>241</v>
      </c>
      <c r="B110" t="s">
        <v>242</v>
      </c>
      <c r="C110" t="s">
        <v>237</v>
      </c>
      <c r="D110" t="s">
        <v>238</v>
      </c>
      <c r="E110">
        <v>27006</v>
      </c>
      <c r="F110" t="s">
        <v>231</v>
      </c>
      <c r="G110" s="2">
        <f>SUM(H110:J110)</f>
        <v>10233</v>
      </c>
      <c r="H110" s="3">
        <v>10233</v>
      </c>
      <c r="I110" s="3">
        <v>0</v>
      </c>
      <c r="J110" s="3">
        <v>0</v>
      </c>
      <c r="K110" s="4">
        <f>SUM(L110:N110)</f>
        <v>2861.5</v>
      </c>
      <c r="L110" s="3">
        <v>2861.5</v>
      </c>
      <c r="M110" s="3">
        <v>0</v>
      </c>
      <c r="N110" s="3">
        <v>0</v>
      </c>
    </row>
    <row r="111" spans="1:14" x14ac:dyDescent="0.2">
      <c r="A111" t="s">
        <v>239</v>
      </c>
      <c r="B111" t="s">
        <v>240</v>
      </c>
      <c r="C111" t="s">
        <v>237</v>
      </c>
      <c r="D111" t="s">
        <v>238</v>
      </c>
      <c r="E111">
        <v>27006</v>
      </c>
      <c r="F111" t="s">
        <v>231</v>
      </c>
      <c r="G111" s="2">
        <f>SUM(H111:J111)</f>
        <v>1073</v>
      </c>
      <c r="H111" s="3">
        <v>1073</v>
      </c>
      <c r="I111" s="3">
        <v>0</v>
      </c>
      <c r="J111" s="3">
        <v>0</v>
      </c>
      <c r="K111" s="4">
        <f>SUM(L111:N111)</f>
        <v>0</v>
      </c>
      <c r="L111" s="3">
        <v>0</v>
      </c>
      <c r="M111" s="3">
        <v>0</v>
      </c>
      <c r="N111" s="3">
        <v>0</v>
      </c>
    </row>
    <row r="112" spans="1:14" x14ac:dyDescent="0.2">
      <c r="A112" t="s">
        <v>989</v>
      </c>
      <c r="B112" t="s">
        <v>990</v>
      </c>
      <c r="C112" t="s">
        <v>991</v>
      </c>
      <c r="D112" t="s">
        <v>962</v>
      </c>
      <c r="E112">
        <v>27320</v>
      </c>
      <c r="F112" t="s">
        <v>963</v>
      </c>
      <c r="G112" s="2">
        <f>SUM(H112:J112)</f>
        <v>93596</v>
      </c>
      <c r="H112" s="3">
        <v>85086</v>
      </c>
      <c r="I112" s="3">
        <v>100</v>
      </c>
      <c r="J112" s="3">
        <f>8140+270</f>
        <v>8410</v>
      </c>
      <c r="K112" s="4">
        <f>SUM(L112:N112)</f>
        <v>40141.1</v>
      </c>
      <c r="L112" s="3">
        <v>39842.1</v>
      </c>
      <c r="M112" s="3">
        <v>0</v>
      </c>
      <c r="N112" s="3">
        <v>299</v>
      </c>
    </row>
    <row r="113" spans="1:14" x14ac:dyDescent="0.2">
      <c r="A113" t="s">
        <v>837</v>
      </c>
      <c r="B113" t="s">
        <v>838</v>
      </c>
      <c r="C113" t="s">
        <v>839</v>
      </c>
      <c r="D113" t="s">
        <v>643</v>
      </c>
      <c r="E113">
        <v>27401</v>
      </c>
      <c r="F113" t="s">
        <v>628</v>
      </c>
      <c r="G113" s="2">
        <f>SUM(H113:J113)</f>
        <v>392796</v>
      </c>
      <c r="H113" s="3">
        <v>278797</v>
      </c>
      <c r="I113" s="3">
        <v>55642</v>
      </c>
      <c r="J113" s="3">
        <f>57919+438</f>
        <v>58357</v>
      </c>
      <c r="K113" s="4">
        <f>SUM(L113:N113)</f>
        <v>298205</v>
      </c>
      <c r="L113" s="3">
        <v>222609</v>
      </c>
      <c r="M113" s="3">
        <v>33055</v>
      </c>
      <c r="N113" s="3">
        <f>41600+941</f>
        <v>42541</v>
      </c>
    </row>
    <row r="114" spans="1:14" x14ac:dyDescent="0.2">
      <c r="A114" t="s">
        <v>842</v>
      </c>
      <c r="B114" t="s">
        <v>843</v>
      </c>
      <c r="C114" t="s">
        <v>839</v>
      </c>
      <c r="D114" t="s">
        <v>643</v>
      </c>
      <c r="E114">
        <v>27401</v>
      </c>
      <c r="F114" t="s">
        <v>628</v>
      </c>
      <c r="G114" s="2">
        <f>SUM(H114:J114)</f>
        <v>8380</v>
      </c>
      <c r="H114" s="3">
        <v>5387</v>
      </c>
      <c r="I114" s="3">
        <v>2993</v>
      </c>
      <c r="J114" s="3">
        <v>0</v>
      </c>
      <c r="K114" s="4">
        <f>SUM(L114:N114)</f>
        <v>18970</v>
      </c>
      <c r="L114" s="3">
        <v>11081</v>
      </c>
      <c r="M114" s="3">
        <v>7889</v>
      </c>
      <c r="N114" s="3">
        <v>0</v>
      </c>
    </row>
    <row r="115" spans="1:14" x14ac:dyDescent="0.2">
      <c r="A115" t="s">
        <v>1136</v>
      </c>
      <c r="B115" t="s">
        <v>1137</v>
      </c>
      <c r="C115" t="s">
        <v>1138</v>
      </c>
      <c r="D115" t="s">
        <v>1139</v>
      </c>
      <c r="E115">
        <v>28605</v>
      </c>
      <c r="F115" t="s">
        <v>1097</v>
      </c>
      <c r="G115" s="2">
        <f>SUM(H115:J115)</f>
        <v>263361</v>
      </c>
      <c r="H115" s="3">
        <v>189127</v>
      </c>
      <c r="I115" s="3">
        <v>8466</v>
      </c>
      <c r="J115" s="3">
        <v>65768</v>
      </c>
      <c r="K115" s="4">
        <f>SUM(L115:N115)</f>
        <v>186622.3</v>
      </c>
      <c r="L115" s="3">
        <v>146710.29999999999</v>
      </c>
      <c r="M115" s="3">
        <v>7118</v>
      </c>
      <c r="N115" s="3">
        <v>32794</v>
      </c>
    </row>
    <row r="116" spans="1:14" x14ac:dyDescent="0.2">
      <c r="A116" t="s">
        <v>1136</v>
      </c>
      <c r="B116" t="s">
        <v>1140</v>
      </c>
      <c r="C116" t="s">
        <v>1138</v>
      </c>
      <c r="D116" t="s">
        <v>1139</v>
      </c>
      <c r="E116">
        <v>28605</v>
      </c>
      <c r="F116" t="s">
        <v>1097</v>
      </c>
      <c r="G116" s="2">
        <f>SUM(H116:J116)</f>
        <v>984</v>
      </c>
      <c r="H116" s="3">
        <v>984</v>
      </c>
      <c r="I116" s="3">
        <v>0</v>
      </c>
      <c r="J116" s="3">
        <v>0</v>
      </c>
      <c r="K116" s="4">
        <f>SUM(L116:N116)</f>
        <v>627.5</v>
      </c>
      <c r="L116" s="3">
        <v>627.5</v>
      </c>
      <c r="M116" s="3">
        <v>0</v>
      </c>
      <c r="N116" s="3">
        <v>0</v>
      </c>
    </row>
    <row r="117" spans="1:14" x14ac:dyDescent="0.2">
      <c r="A117" t="s">
        <v>922</v>
      </c>
      <c r="B117" t="s">
        <v>923</v>
      </c>
      <c r="C117" t="s">
        <v>924</v>
      </c>
      <c r="D117" t="s">
        <v>889</v>
      </c>
      <c r="E117">
        <v>28625</v>
      </c>
      <c r="F117" t="s">
        <v>890</v>
      </c>
      <c r="G117" s="2">
        <f>SUM(H117:J117)</f>
        <v>10163</v>
      </c>
      <c r="H117" s="3">
        <v>6011</v>
      </c>
      <c r="I117" s="3">
        <v>4152</v>
      </c>
      <c r="J117" s="3">
        <v>0</v>
      </c>
      <c r="K117" s="4">
        <f>SUM(L117:N117)</f>
        <v>11643.6</v>
      </c>
      <c r="L117" s="3">
        <v>7557.6</v>
      </c>
      <c r="M117" s="3">
        <v>4086</v>
      </c>
      <c r="N117" s="3">
        <v>0</v>
      </c>
    </row>
    <row r="118" spans="1:14" x14ac:dyDescent="0.2">
      <c r="A118" t="s">
        <v>46</v>
      </c>
      <c r="B118" t="s">
        <v>47</v>
      </c>
      <c r="C118" t="s">
        <v>48</v>
      </c>
      <c r="D118" t="s">
        <v>29</v>
      </c>
      <c r="E118">
        <v>27302</v>
      </c>
      <c r="F118" t="s">
        <v>12</v>
      </c>
      <c r="G118" s="2">
        <f>SUM(H118:J118)</f>
        <v>12480</v>
      </c>
      <c r="H118" s="3">
        <v>6692</v>
      </c>
      <c r="I118" s="3">
        <v>5788</v>
      </c>
      <c r="J118" s="3">
        <v>0</v>
      </c>
      <c r="K118" s="4">
        <f>SUM(L118:N118)</f>
        <v>9466.5</v>
      </c>
      <c r="L118" s="3">
        <v>5146.5</v>
      </c>
      <c r="M118" s="3">
        <v>4320</v>
      </c>
      <c r="N118" s="3">
        <v>0</v>
      </c>
    </row>
    <row r="119" spans="1:14" x14ac:dyDescent="0.2">
      <c r="A119" t="s">
        <v>39</v>
      </c>
      <c r="B119" t="s">
        <v>40</v>
      </c>
      <c r="C119" t="s">
        <v>41</v>
      </c>
      <c r="D119" t="s">
        <v>42</v>
      </c>
      <c r="E119">
        <v>27253</v>
      </c>
      <c r="F119" t="s">
        <v>12</v>
      </c>
      <c r="G119" s="2">
        <f>SUM(H119:J119)</f>
        <v>127348</v>
      </c>
      <c r="H119" s="3">
        <v>127348</v>
      </c>
      <c r="I119" s="3">
        <v>0</v>
      </c>
      <c r="J119" s="3">
        <v>0</v>
      </c>
      <c r="K119" s="4">
        <f>SUM(L119:N119)</f>
        <v>69387.5</v>
      </c>
      <c r="L119" s="3">
        <v>69387.5</v>
      </c>
      <c r="M119" s="3">
        <v>0</v>
      </c>
      <c r="N119" s="3">
        <v>0</v>
      </c>
    </row>
    <row r="120" spans="1:14" x14ac:dyDescent="0.2">
      <c r="A120" t="s">
        <v>351</v>
      </c>
      <c r="B120" t="s">
        <v>352</v>
      </c>
      <c r="C120" t="s">
        <v>353</v>
      </c>
      <c r="D120" t="s">
        <v>299</v>
      </c>
      <c r="E120">
        <v>27101</v>
      </c>
      <c r="F120" t="s">
        <v>349</v>
      </c>
      <c r="G120" s="2">
        <f>SUM(H120:J120)</f>
        <v>569259</v>
      </c>
      <c r="H120" s="3">
        <v>285970</v>
      </c>
      <c r="I120" s="3">
        <v>118542</v>
      </c>
      <c r="J120" s="3">
        <f>59192+98312+3572+3671</f>
        <v>164747</v>
      </c>
      <c r="K120" s="4">
        <f>SUM(L120:N120)</f>
        <v>415166</v>
      </c>
      <c r="L120" s="3">
        <v>208032</v>
      </c>
      <c r="M120" s="3">
        <v>134321</v>
      </c>
      <c r="N120" s="3">
        <f>26311+39793+3216+3493</f>
        <v>72813</v>
      </c>
    </row>
    <row r="121" spans="1:14" x14ac:dyDescent="0.2">
      <c r="A121" t="s">
        <v>143</v>
      </c>
      <c r="B121" t="s">
        <v>144</v>
      </c>
      <c r="C121" t="s">
        <v>145</v>
      </c>
      <c r="D121" t="s">
        <v>132</v>
      </c>
      <c r="E121">
        <v>28640</v>
      </c>
      <c r="F121" t="s">
        <v>120</v>
      </c>
      <c r="G121" s="2">
        <f>SUM(H121:J121)</f>
        <v>18113</v>
      </c>
      <c r="H121" s="3">
        <v>16890</v>
      </c>
      <c r="I121" s="3">
        <v>1223</v>
      </c>
      <c r="J121" s="3">
        <v>0</v>
      </c>
      <c r="K121" s="4">
        <f>SUM(L121:N121)</f>
        <v>22760</v>
      </c>
      <c r="L121" s="3">
        <v>15561</v>
      </c>
      <c r="M121" s="3">
        <v>7199</v>
      </c>
      <c r="N121" s="3">
        <v>0</v>
      </c>
    </row>
    <row r="122" spans="1:14" x14ac:dyDescent="0.2">
      <c r="A122" t="s">
        <v>970</v>
      </c>
      <c r="B122" t="s">
        <v>971</v>
      </c>
      <c r="C122" t="s">
        <v>972</v>
      </c>
      <c r="D122" t="s">
        <v>962</v>
      </c>
      <c r="E122">
        <v>27320</v>
      </c>
      <c r="F122" t="s">
        <v>963</v>
      </c>
      <c r="G122" s="2">
        <f>SUM(H122:J122)</f>
        <v>90796</v>
      </c>
      <c r="H122" s="3">
        <v>85404</v>
      </c>
      <c r="I122" s="3">
        <v>0</v>
      </c>
      <c r="J122" s="3">
        <v>5392</v>
      </c>
      <c r="K122" s="4">
        <f>SUM(L122:N122)</f>
        <v>54241.5</v>
      </c>
      <c r="L122" s="3">
        <v>50652.5</v>
      </c>
      <c r="M122" s="3">
        <v>0</v>
      </c>
      <c r="N122" s="3">
        <v>3589</v>
      </c>
    </row>
    <row r="123" spans="1:14" x14ac:dyDescent="0.2">
      <c r="A123" t="s">
        <v>259</v>
      </c>
      <c r="B123" t="s">
        <v>260</v>
      </c>
      <c r="C123" t="s">
        <v>261</v>
      </c>
      <c r="D123" t="s">
        <v>253</v>
      </c>
      <c r="E123">
        <v>27295</v>
      </c>
      <c r="F123" t="s">
        <v>254</v>
      </c>
      <c r="G123" s="2">
        <f>SUM(H123:J123)</f>
        <v>590494</v>
      </c>
      <c r="H123" s="3">
        <v>389718</v>
      </c>
      <c r="I123" s="3">
        <v>530</v>
      </c>
      <c r="J123" s="3">
        <v>200246</v>
      </c>
      <c r="K123" s="4">
        <f>SUM(L123:N123)</f>
        <v>260557.5</v>
      </c>
      <c r="L123" s="3">
        <v>190561.5</v>
      </c>
      <c r="M123" s="3">
        <v>0</v>
      </c>
      <c r="N123" s="3">
        <v>69996</v>
      </c>
    </row>
    <row r="124" spans="1:14" x14ac:dyDescent="0.2">
      <c r="A124" t="s">
        <v>725</v>
      </c>
      <c r="B124" t="s">
        <v>726</v>
      </c>
      <c r="C124" t="s">
        <v>727</v>
      </c>
      <c r="D124" t="s">
        <v>276</v>
      </c>
      <c r="E124">
        <v>27262</v>
      </c>
      <c r="F124" t="s">
        <v>628</v>
      </c>
      <c r="G124" s="2">
        <f>SUM(H124:J124)</f>
        <v>78669</v>
      </c>
      <c r="H124" s="3">
        <v>66030</v>
      </c>
      <c r="I124" s="3">
        <v>659</v>
      </c>
      <c r="J124" s="3">
        <f>7548+4432</f>
        <v>11980</v>
      </c>
      <c r="K124" s="4">
        <f>SUM(L124:N124)</f>
        <v>49067.5</v>
      </c>
      <c r="L124" s="3">
        <v>43643.5</v>
      </c>
      <c r="M124" s="3">
        <v>0</v>
      </c>
      <c r="N124" s="3">
        <v>5424</v>
      </c>
    </row>
    <row r="125" spans="1:14" x14ac:dyDescent="0.2">
      <c r="A125" t="s">
        <v>116</v>
      </c>
      <c r="B125" t="s">
        <v>117</v>
      </c>
      <c r="C125" t="s">
        <v>118</v>
      </c>
      <c r="D125" t="s">
        <v>119</v>
      </c>
      <c r="E125">
        <v>28694</v>
      </c>
      <c r="F125" t="s">
        <v>120</v>
      </c>
      <c r="G125" s="2">
        <f>SUM(H125:J125)</f>
        <v>224310</v>
      </c>
      <c r="H125" s="3">
        <v>139982</v>
      </c>
      <c r="I125" s="3">
        <v>15111</v>
      </c>
      <c r="J125" s="3">
        <v>69217</v>
      </c>
      <c r="K125" s="4">
        <f>SUM(L125:N125)</f>
        <v>128976.5</v>
      </c>
      <c r="L125" s="3">
        <v>81316.5</v>
      </c>
      <c r="M125" s="3">
        <v>10631</v>
      </c>
      <c r="N125" s="3">
        <v>37029</v>
      </c>
    </row>
    <row r="126" spans="1:14" x14ac:dyDescent="0.2">
      <c r="A126" t="s">
        <v>246</v>
      </c>
      <c r="B126" t="s">
        <v>247</v>
      </c>
      <c r="C126" t="s">
        <v>248</v>
      </c>
      <c r="D126" t="s">
        <v>249</v>
      </c>
      <c r="E126">
        <v>27014</v>
      </c>
      <c r="F126" t="s">
        <v>231</v>
      </c>
      <c r="G126" s="2">
        <f>SUM(H126:J126)</f>
        <v>37650</v>
      </c>
      <c r="H126" s="3">
        <v>36327</v>
      </c>
      <c r="I126" s="3">
        <v>1323</v>
      </c>
      <c r="J126" s="3">
        <v>0</v>
      </c>
      <c r="K126" s="4">
        <f>SUM(L126:N126)</f>
        <v>24822</v>
      </c>
      <c r="L126" s="3">
        <v>23511</v>
      </c>
      <c r="M126" s="3">
        <v>1311</v>
      </c>
      <c r="N126" s="3">
        <v>0</v>
      </c>
    </row>
    <row r="127" spans="1:14" x14ac:dyDescent="0.2">
      <c r="A127" t="s">
        <v>1019</v>
      </c>
      <c r="B127" t="s">
        <v>1020</v>
      </c>
      <c r="C127" t="s">
        <v>1021</v>
      </c>
      <c r="D127" t="s">
        <v>967</v>
      </c>
      <c r="E127">
        <v>27288</v>
      </c>
      <c r="F127" t="s">
        <v>963</v>
      </c>
      <c r="G127" s="2">
        <f>SUM(H127:J127)</f>
        <v>0</v>
      </c>
      <c r="H127" s="3">
        <v>0</v>
      </c>
      <c r="I127" s="3">
        <v>0</v>
      </c>
      <c r="J127" s="3">
        <v>0</v>
      </c>
      <c r="K127" s="4">
        <f>SUM(L127:N127)</f>
        <v>16390</v>
      </c>
      <c r="L127" s="3">
        <v>15231</v>
      </c>
      <c r="M127" s="3">
        <v>1159</v>
      </c>
      <c r="N127" s="3">
        <v>0</v>
      </c>
    </row>
    <row r="128" spans="1:14" x14ac:dyDescent="0.2">
      <c r="A128" t="s">
        <v>995</v>
      </c>
      <c r="B128" t="s">
        <v>996</v>
      </c>
      <c r="C128" t="s">
        <v>997</v>
      </c>
      <c r="D128" t="s">
        <v>998</v>
      </c>
      <c r="E128">
        <v>27025</v>
      </c>
      <c r="F128" t="s">
        <v>963</v>
      </c>
      <c r="G128" s="2">
        <f>SUM(H128:J128)</f>
        <v>2088</v>
      </c>
      <c r="H128" s="3">
        <v>2088</v>
      </c>
      <c r="I128" s="3">
        <v>0</v>
      </c>
      <c r="J128" s="3">
        <v>0</v>
      </c>
      <c r="K128" s="4">
        <f>SUM(L128:N128)</f>
        <v>2378</v>
      </c>
      <c r="L128" s="3">
        <v>2378</v>
      </c>
      <c r="M128" s="3">
        <v>0</v>
      </c>
      <c r="N128" s="3">
        <v>0</v>
      </c>
    </row>
    <row r="129" spans="1:14" x14ac:dyDescent="0.2">
      <c r="A129" t="s">
        <v>868</v>
      </c>
      <c r="B129" t="s">
        <v>869</v>
      </c>
      <c r="C129" t="s">
        <v>870</v>
      </c>
      <c r="D129" t="s">
        <v>643</v>
      </c>
      <c r="E129">
        <v>27411</v>
      </c>
      <c r="F129" t="s">
        <v>628</v>
      </c>
      <c r="G129" s="2">
        <f>SUM(H129:J129)</f>
        <v>21918</v>
      </c>
      <c r="H129" s="3">
        <v>14558</v>
      </c>
      <c r="I129" s="3">
        <v>7360</v>
      </c>
      <c r="J129" s="3">
        <v>0</v>
      </c>
      <c r="K129" s="4">
        <f>SUM(L129:N129)</f>
        <v>14506.8</v>
      </c>
      <c r="L129" s="3">
        <v>10013.799999999999</v>
      </c>
      <c r="M129" s="3">
        <v>4493</v>
      </c>
      <c r="N129" s="3">
        <v>0</v>
      </c>
    </row>
    <row r="130" spans="1:14" x14ac:dyDescent="0.2">
      <c r="A130" t="s">
        <v>831</v>
      </c>
      <c r="B130" t="s">
        <v>832</v>
      </c>
      <c r="C130" t="s">
        <v>833</v>
      </c>
      <c r="D130" t="s">
        <v>643</v>
      </c>
      <c r="E130">
        <v>27409</v>
      </c>
      <c r="F130" t="s">
        <v>628</v>
      </c>
      <c r="G130" s="2">
        <f>SUM(H130:J130)</f>
        <v>0</v>
      </c>
      <c r="H130" s="3">
        <v>0</v>
      </c>
      <c r="I130" s="3">
        <v>0</v>
      </c>
      <c r="J130" s="3">
        <v>0</v>
      </c>
      <c r="K130" s="4">
        <f>SUM(L130:N130)</f>
        <v>0</v>
      </c>
      <c r="L130" s="3">
        <v>0</v>
      </c>
      <c r="M130" s="3">
        <v>0</v>
      </c>
      <c r="N130" s="3">
        <v>0</v>
      </c>
    </row>
    <row r="131" spans="1:14" x14ac:dyDescent="0.2">
      <c r="A131" t="s">
        <v>502</v>
      </c>
      <c r="B131" t="s">
        <v>503</v>
      </c>
      <c r="C131" t="s">
        <v>504</v>
      </c>
      <c r="D131" t="s">
        <v>299</v>
      </c>
      <c r="E131">
        <v>27106</v>
      </c>
      <c r="F131" t="s">
        <v>349</v>
      </c>
      <c r="G131" s="2">
        <f>SUM(H131:J131)</f>
        <v>5278</v>
      </c>
      <c r="H131" s="3">
        <v>5278</v>
      </c>
      <c r="I131" s="3">
        <v>0</v>
      </c>
      <c r="J131" s="3">
        <v>0</v>
      </c>
      <c r="K131" s="4">
        <f>SUM(L131:N131)</f>
        <v>3622</v>
      </c>
      <c r="L131" s="3">
        <v>3622</v>
      </c>
      <c r="M131" s="3">
        <v>0</v>
      </c>
      <c r="N131" s="3">
        <v>0</v>
      </c>
    </row>
    <row r="132" spans="1:14" x14ac:dyDescent="0.2">
      <c r="A132" t="s">
        <v>224</v>
      </c>
      <c r="B132" t="s">
        <v>225</v>
      </c>
      <c r="C132" t="s">
        <v>226</v>
      </c>
      <c r="D132" t="s">
        <v>185</v>
      </c>
      <c r="E132">
        <v>28645</v>
      </c>
      <c r="F132" t="s">
        <v>181</v>
      </c>
      <c r="G132" s="2">
        <f>SUM(H132:J132)</f>
        <v>347486</v>
      </c>
      <c r="H132" s="3">
        <v>270189</v>
      </c>
      <c r="I132" s="3">
        <v>9420</v>
      </c>
      <c r="J132" s="3">
        <v>67877</v>
      </c>
      <c r="K132" s="4">
        <f>SUM(L132:N132)</f>
        <v>168092.5</v>
      </c>
      <c r="L132" s="3">
        <v>133216.5</v>
      </c>
      <c r="M132" s="3">
        <v>3136</v>
      </c>
      <c r="N132" s="3">
        <v>31740</v>
      </c>
    </row>
    <row r="133" spans="1:14" x14ac:dyDescent="0.2">
      <c r="A133" t="s">
        <v>61</v>
      </c>
      <c r="B133" t="s">
        <v>62</v>
      </c>
      <c r="C133" t="s">
        <v>60</v>
      </c>
      <c r="D133" t="s">
        <v>11</v>
      </c>
      <c r="E133">
        <v>27217</v>
      </c>
      <c r="F133" t="s">
        <v>12</v>
      </c>
      <c r="G133" s="2">
        <f>SUM(H133:J133)</f>
        <v>14030</v>
      </c>
      <c r="H133" s="3">
        <v>7998</v>
      </c>
      <c r="I133" s="3">
        <v>2800</v>
      </c>
      <c r="J133" s="3">
        <f>398+1994+840</f>
        <v>3232</v>
      </c>
      <c r="K133" s="4">
        <f>SUM(L133:N133)</f>
        <v>9912</v>
      </c>
      <c r="L133" s="3">
        <v>4956</v>
      </c>
      <c r="M133" s="3">
        <v>0</v>
      </c>
      <c r="N133" s="3">
        <v>4956</v>
      </c>
    </row>
    <row r="134" spans="1:14" x14ac:dyDescent="0.2">
      <c r="A134" t="s">
        <v>58</v>
      </c>
      <c r="B134" t="s">
        <v>59</v>
      </c>
      <c r="C134" t="s">
        <v>60</v>
      </c>
      <c r="D134" t="s">
        <v>11</v>
      </c>
      <c r="E134">
        <v>27217</v>
      </c>
      <c r="F134" t="s">
        <v>12</v>
      </c>
      <c r="G134" s="2">
        <f>SUM(H134:J134)</f>
        <v>9922</v>
      </c>
      <c r="H134" s="3">
        <v>5935</v>
      </c>
      <c r="I134" s="3">
        <v>1050</v>
      </c>
      <c r="J134" s="3">
        <f>317+1795+825</f>
        <v>2937</v>
      </c>
      <c r="K134" s="4">
        <f>SUM(L134:N134)</f>
        <v>7254</v>
      </c>
      <c r="L134" s="3">
        <v>3627</v>
      </c>
      <c r="M134" s="3">
        <v>0</v>
      </c>
      <c r="N134" s="3">
        <v>3627</v>
      </c>
    </row>
    <row r="135" spans="1:14" x14ac:dyDescent="0.2">
      <c r="A135" t="s">
        <v>854</v>
      </c>
      <c r="B135" t="s">
        <v>855</v>
      </c>
      <c r="C135" t="s">
        <v>856</v>
      </c>
      <c r="D135" t="s">
        <v>276</v>
      </c>
      <c r="E135">
        <v>27265</v>
      </c>
      <c r="F135" t="s">
        <v>628</v>
      </c>
      <c r="G135" s="2">
        <f>SUM(H135:J135)</f>
        <v>46708</v>
      </c>
      <c r="H135" s="3">
        <v>32711</v>
      </c>
      <c r="I135" s="3">
        <v>13997</v>
      </c>
      <c r="J135" s="3">
        <v>0</v>
      </c>
      <c r="K135" s="4">
        <f>SUM(L135:N135)</f>
        <v>36950.5</v>
      </c>
      <c r="L135" s="3">
        <v>26304.5</v>
      </c>
      <c r="M135" s="3">
        <v>10646</v>
      </c>
      <c r="N135" s="3">
        <v>0</v>
      </c>
    </row>
    <row r="136" spans="1:14" x14ac:dyDescent="0.2">
      <c r="A136" t="s">
        <v>1189</v>
      </c>
      <c r="B136" t="s">
        <v>1190</v>
      </c>
      <c r="C136" t="s">
        <v>1191</v>
      </c>
      <c r="D136" t="s">
        <v>1192</v>
      </c>
      <c r="E136">
        <v>27011</v>
      </c>
      <c r="F136" t="s">
        <v>1184</v>
      </c>
      <c r="G136" s="2">
        <f>SUM(H136:J136)</f>
        <v>101665</v>
      </c>
      <c r="H136" s="3">
        <v>66835</v>
      </c>
      <c r="I136" s="3">
        <v>1750</v>
      </c>
      <c r="J136" s="3">
        <v>33080</v>
      </c>
      <c r="K136" s="4">
        <f>SUM(L136:N136)</f>
        <v>54943.5</v>
      </c>
      <c r="L136" s="3">
        <v>38831.5</v>
      </c>
      <c r="M136" s="3">
        <v>780</v>
      </c>
      <c r="N136" s="3">
        <v>15332</v>
      </c>
    </row>
    <row r="137" spans="1:14" x14ac:dyDescent="0.2">
      <c r="A137" t="s">
        <v>434</v>
      </c>
      <c r="B137" t="s">
        <v>435</v>
      </c>
      <c r="C137" t="s">
        <v>436</v>
      </c>
      <c r="D137" t="s">
        <v>299</v>
      </c>
      <c r="E137">
        <v>27106</v>
      </c>
      <c r="F137" t="s">
        <v>349</v>
      </c>
      <c r="G137" s="2">
        <f>SUM(H137:J137)</f>
        <v>110161</v>
      </c>
      <c r="H137" s="3">
        <v>83828</v>
      </c>
      <c r="I137" s="3">
        <v>0</v>
      </c>
      <c r="J137" s="3">
        <f>17879+8454</f>
        <v>26333</v>
      </c>
      <c r="K137" s="4">
        <f>SUM(L137:N137)</f>
        <v>85467.5</v>
      </c>
      <c r="L137" s="3">
        <v>59763.5</v>
      </c>
      <c r="M137" s="3">
        <v>0</v>
      </c>
      <c r="N137" s="3">
        <f>14574+10532+598</f>
        <v>25704</v>
      </c>
    </row>
    <row r="138" spans="1:14" x14ac:dyDescent="0.2">
      <c r="A138" t="s">
        <v>824</v>
      </c>
      <c r="B138" t="s">
        <v>825</v>
      </c>
      <c r="C138" t="s">
        <v>826</v>
      </c>
      <c r="D138" t="s">
        <v>827</v>
      </c>
      <c r="E138">
        <v>27283</v>
      </c>
      <c r="F138" t="s">
        <v>628</v>
      </c>
      <c r="G138" s="2">
        <f>SUM(H138:J138)</f>
        <v>38752</v>
      </c>
      <c r="H138" s="3">
        <v>35727</v>
      </c>
      <c r="I138" s="3">
        <v>980</v>
      </c>
      <c r="J138" s="3">
        <v>2045</v>
      </c>
      <c r="K138" s="4">
        <f>SUM(L138:N138)</f>
        <v>29509</v>
      </c>
      <c r="L138" s="3">
        <v>27821</v>
      </c>
      <c r="M138" s="3">
        <v>558</v>
      </c>
      <c r="N138" s="3">
        <v>1130</v>
      </c>
    </row>
    <row r="139" spans="1:14" x14ac:dyDescent="0.2">
      <c r="A139" t="s">
        <v>16</v>
      </c>
      <c r="B139" t="s">
        <v>17</v>
      </c>
      <c r="C139" t="s">
        <v>18</v>
      </c>
      <c r="D139" t="s">
        <v>19</v>
      </c>
      <c r="E139">
        <v>27258</v>
      </c>
      <c r="F139" t="s">
        <v>12</v>
      </c>
      <c r="G139" s="2">
        <f>SUM(H139:J139)</f>
        <v>377848</v>
      </c>
      <c r="H139" s="3">
        <v>295846</v>
      </c>
      <c r="I139" s="3">
        <v>206</v>
      </c>
      <c r="J139" s="3">
        <f>81158+638</f>
        <v>81796</v>
      </c>
      <c r="K139" s="4">
        <f>SUM(L139:N139)</f>
        <v>227456.5</v>
      </c>
      <c r="L139" s="3">
        <v>180730.5</v>
      </c>
      <c r="M139" s="3">
        <v>5138</v>
      </c>
      <c r="N139" s="3">
        <v>41588</v>
      </c>
    </row>
    <row r="140" spans="1:14" x14ac:dyDescent="0.2">
      <c r="A140" t="s">
        <v>103</v>
      </c>
      <c r="B140" t="s">
        <v>104</v>
      </c>
      <c r="C140" t="s">
        <v>105</v>
      </c>
      <c r="D140" t="s">
        <v>93</v>
      </c>
      <c r="E140">
        <v>28681</v>
      </c>
      <c r="F140" t="s">
        <v>94</v>
      </c>
      <c r="G140" s="2">
        <f>SUM(H140:J140)</f>
        <v>483876</v>
      </c>
      <c r="H140" s="3">
        <v>391102</v>
      </c>
      <c r="I140" s="3">
        <v>49299</v>
      </c>
      <c r="J140" s="3">
        <v>43475</v>
      </c>
      <c r="K140" s="4">
        <f>SUM(L140:N140)</f>
        <v>222117.9</v>
      </c>
      <c r="L140" s="3">
        <v>198058.9</v>
      </c>
      <c r="M140" s="3">
        <v>5368</v>
      </c>
      <c r="N140" s="3">
        <v>18691</v>
      </c>
    </row>
    <row r="141" spans="1:14" x14ac:dyDescent="0.2">
      <c r="A141" t="s">
        <v>705</v>
      </c>
      <c r="B141" t="s">
        <v>706</v>
      </c>
      <c r="C141" t="s">
        <v>707</v>
      </c>
      <c r="D141" t="s">
        <v>276</v>
      </c>
      <c r="E141">
        <v>27260</v>
      </c>
      <c r="F141" t="s">
        <v>628</v>
      </c>
      <c r="G141" s="2">
        <f>SUM(H141:J141)</f>
        <v>421991</v>
      </c>
      <c r="H141" s="3">
        <v>248436</v>
      </c>
      <c r="I141" s="3">
        <v>91361</v>
      </c>
      <c r="J141" s="3">
        <v>82194</v>
      </c>
      <c r="K141" s="4">
        <f>SUM(L141:N141)</f>
        <v>176022</v>
      </c>
      <c r="L141" s="3">
        <v>117155</v>
      </c>
      <c r="M141" s="3">
        <v>30078</v>
      </c>
      <c r="N141" s="3">
        <v>28789</v>
      </c>
    </row>
    <row r="142" spans="1:14" x14ac:dyDescent="0.2">
      <c r="A142" t="s">
        <v>1051</v>
      </c>
      <c r="B142" t="s">
        <v>1052</v>
      </c>
      <c r="C142" t="s">
        <v>1053</v>
      </c>
      <c r="D142" t="s">
        <v>1054</v>
      </c>
      <c r="E142">
        <v>27030</v>
      </c>
      <c r="F142" t="s">
        <v>1055</v>
      </c>
      <c r="G142" s="2">
        <f>SUM(H142:J142)</f>
        <v>684767</v>
      </c>
      <c r="H142" s="3">
        <v>470060</v>
      </c>
      <c r="I142" s="3">
        <v>69518</v>
      </c>
      <c r="J142" s="3">
        <f>134477+10712</f>
        <v>145189</v>
      </c>
      <c r="K142" s="4">
        <f>SUM(L142:N142)</f>
        <v>345773.5</v>
      </c>
      <c r="L142" s="3">
        <v>252631.5</v>
      </c>
      <c r="M142" s="3">
        <v>25255</v>
      </c>
      <c r="N142" s="3">
        <f>63026+4861</f>
        <v>67887</v>
      </c>
    </row>
    <row r="143" spans="1:14" x14ac:dyDescent="0.2">
      <c r="A143" t="s">
        <v>584</v>
      </c>
      <c r="B143" t="s">
        <v>585</v>
      </c>
      <c r="C143" t="s">
        <v>586</v>
      </c>
      <c r="D143" t="s">
        <v>299</v>
      </c>
      <c r="E143">
        <v>27127</v>
      </c>
      <c r="F143" t="s">
        <v>349</v>
      </c>
      <c r="G143" s="2">
        <f>SUM(H143:J143)</f>
        <v>4147</v>
      </c>
      <c r="H143" s="3">
        <v>4147</v>
      </c>
      <c r="I143" s="3">
        <v>0</v>
      </c>
      <c r="J143" s="3">
        <v>0</v>
      </c>
      <c r="K143" s="4">
        <f>SUM(L143:N143)</f>
        <v>1827</v>
      </c>
      <c r="L143" s="3">
        <v>1827</v>
      </c>
      <c r="M143" s="3">
        <v>0</v>
      </c>
      <c r="N143" s="3">
        <v>0</v>
      </c>
    </row>
    <row r="144" spans="1:14" x14ac:dyDescent="0.2">
      <c r="A144" t="s">
        <v>309</v>
      </c>
      <c r="B144" t="s">
        <v>310</v>
      </c>
      <c r="C144" t="s">
        <v>311</v>
      </c>
      <c r="D144" t="s">
        <v>253</v>
      </c>
      <c r="E144">
        <v>27292</v>
      </c>
      <c r="F144" t="s">
        <v>254</v>
      </c>
      <c r="G144" s="2">
        <f>SUM(H144:J144)</f>
        <v>0</v>
      </c>
      <c r="H144" s="3">
        <v>0</v>
      </c>
      <c r="I144" s="3">
        <v>0</v>
      </c>
      <c r="J144" s="3">
        <v>0</v>
      </c>
      <c r="K144" s="4">
        <f>SUM(L144:N144)</f>
        <v>0</v>
      </c>
      <c r="L144" s="3">
        <v>0</v>
      </c>
      <c r="M144" s="3">
        <v>0</v>
      </c>
      <c r="N144" s="3">
        <v>0</v>
      </c>
    </row>
    <row r="145" spans="1:14" x14ac:dyDescent="0.2">
      <c r="A145" t="s">
        <v>300</v>
      </c>
      <c r="B145" t="s">
        <v>301</v>
      </c>
      <c r="C145" t="s">
        <v>302</v>
      </c>
      <c r="D145" t="s">
        <v>253</v>
      </c>
      <c r="E145">
        <v>27292</v>
      </c>
      <c r="F145" t="s">
        <v>254</v>
      </c>
      <c r="G145" s="2">
        <f>SUM(H145:J145)</f>
        <v>812</v>
      </c>
      <c r="H145" s="3">
        <v>812</v>
      </c>
      <c r="I145" s="3">
        <v>0</v>
      </c>
      <c r="J145" s="3">
        <v>0</v>
      </c>
      <c r="K145" s="4">
        <f>SUM(L145:N145)</f>
        <v>0</v>
      </c>
      <c r="L145" s="3">
        <v>0</v>
      </c>
      <c r="M145" s="3">
        <v>0</v>
      </c>
      <c r="N145" s="3">
        <v>0</v>
      </c>
    </row>
    <row r="146" spans="1:14" x14ac:dyDescent="0.2">
      <c r="A146" t="s">
        <v>306</v>
      </c>
      <c r="B146" t="s">
        <v>307</v>
      </c>
      <c r="C146" t="s">
        <v>308</v>
      </c>
      <c r="D146" t="s">
        <v>253</v>
      </c>
      <c r="E146">
        <v>27292</v>
      </c>
      <c r="F146" t="s">
        <v>254</v>
      </c>
      <c r="G146" s="2">
        <f>SUM(H146:J146)</f>
        <v>58</v>
      </c>
      <c r="H146" s="3">
        <v>58</v>
      </c>
      <c r="I146" s="3">
        <v>0</v>
      </c>
      <c r="J146" s="3">
        <v>0</v>
      </c>
      <c r="K146" s="4">
        <f>SUM(L146:N146)</f>
        <v>0</v>
      </c>
      <c r="L146" s="3">
        <v>0</v>
      </c>
      <c r="M146" s="3">
        <v>0</v>
      </c>
      <c r="N146" s="3">
        <v>0</v>
      </c>
    </row>
    <row r="147" spans="1:14" x14ac:dyDescent="0.2">
      <c r="A147" t="s">
        <v>900</v>
      </c>
      <c r="B147" t="s">
        <v>901</v>
      </c>
      <c r="C147" t="s">
        <v>902</v>
      </c>
      <c r="D147" t="s">
        <v>889</v>
      </c>
      <c r="E147">
        <v>28625</v>
      </c>
      <c r="F147" t="s">
        <v>890</v>
      </c>
      <c r="G147" s="2">
        <f>SUM(H147:J147)</f>
        <v>345365</v>
      </c>
      <c r="H147" s="3">
        <v>243666</v>
      </c>
      <c r="I147" s="3">
        <v>51427</v>
      </c>
      <c r="J147" s="3">
        <v>50272</v>
      </c>
      <c r="K147" s="4">
        <f>SUM(L147:N147)</f>
        <v>173088.5</v>
      </c>
      <c r="L147" s="3">
        <v>120668.5</v>
      </c>
      <c r="M147" s="3">
        <v>26143</v>
      </c>
      <c r="N147" s="3">
        <v>26277</v>
      </c>
    </row>
    <row r="148" spans="1:14" x14ac:dyDescent="0.2">
      <c r="A148" t="s">
        <v>1030</v>
      </c>
      <c r="B148" t="s">
        <v>1031</v>
      </c>
      <c r="C148" t="s">
        <v>1029</v>
      </c>
      <c r="D148" t="s">
        <v>1025</v>
      </c>
      <c r="E148">
        <v>27021</v>
      </c>
      <c r="F148" t="s">
        <v>1026</v>
      </c>
      <c r="G148" s="2">
        <f>SUM(H148:J148)</f>
        <v>672915</v>
      </c>
      <c r="H148" s="3">
        <v>371002</v>
      </c>
      <c r="I148" s="3">
        <v>40967</v>
      </c>
      <c r="J148" s="3">
        <f>188382+69719+2845</f>
        <v>260946</v>
      </c>
      <c r="K148" s="4">
        <f>SUM(L148:N148)</f>
        <v>349536</v>
      </c>
      <c r="L148" s="3">
        <v>196511</v>
      </c>
      <c r="M148" s="3">
        <v>10102</v>
      </c>
      <c r="N148" s="3">
        <f>97484+41666+3773</f>
        <v>142923</v>
      </c>
    </row>
    <row r="149" spans="1:14" x14ac:dyDescent="0.2">
      <c r="A149" t="s">
        <v>1027</v>
      </c>
      <c r="B149" t="s">
        <v>1028</v>
      </c>
      <c r="C149" t="s">
        <v>1029</v>
      </c>
      <c r="D149" t="s">
        <v>1025</v>
      </c>
      <c r="E149">
        <v>27021</v>
      </c>
      <c r="F149" t="s">
        <v>1026</v>
      </c>
      <c r="G149" s="2">
        <f>SUM(H149:J149)</f>
        <v>4060</v>
      </c>
      <c r="H149" s="3">
        <v>4060</v>
      </c>
      <c r="I149" s="3">
        <v>0</v>
      </c>
      <c r="J149" s="3">
        <v>0</v>
      </c>
      <c r="K149" s="4">
        <f>SUM(L149:N149)</f>
        <v>2320</v>
      </c>
      <c r="L149" s="3">
        <v>2320</v>
      </c>
      <c r="M149" s="3">
        <v>0</v>
      </c>
      <c r="N149" s="3">
        <v>0</v>
      </c>
    </row>
    <row r="150" spans="1:14" x14ac:dyDescent="0.2">
      <c r="A150" t="s">
        <v>1022</v>
      </c>
      <c r="B150" t="s">
        <v>1023</v>
      </c>
      <c r="C150" t="s">
        <v>1024</v>
      </c>
      <c r="D150" t="s">
        <v>1025</v>
      </c>
      <c r="E150">
        <v>27021</v>
      </c>
      <c r="F150" t="s">
        <v>1026</v>
      </c>
      <c r="G150" s="2">
        <f>SUM(H150:J150)</f>
        <v>2030</v>
      </c>
      <c r="H150" s="3">
        <v>2030</v>
      </c>
      <c r="I150" s="3">
        <v>0</v>
      </c>
      <c r="J150" s="3">
        <v>0</v>
      </c>
      <c r="K150" s="4">
        <f>SUM(L150:N150)</f>
        <v>1305</v>
      </c>
      <c r="L150" s="3">
        <v>1305</v>
      </c>
      <c r="M150" s="3">
        <v>0</v>
      </c>
      <c r="N150" s="3">
        <v>0</v>
      </c>
    </row>
    <row r="151" spans="1:14" x14ac:dyDescent="0.2">
      <c r="A151" t="s">
        <v>49</v>
      </c>
      <c r="B151" t="s">
        <v>50</v>
      </c>
      <c r="C151" t="s">
        <v>51</v>
      </c>
      <c r="D151" t="s">
        <v>11</v>
      </c>
      <c r="E151">
        <v>27217</v>
      </c>
      <c r="F151" t="s">
        <v>12</v>
      </c>
      <c r="G151" s="2">
        <f>SUM(H151:J151)</f>
        <v>740</v>
      </c>
      <c r="H151" s="3">
        <v>740</v>
      </c>
      <c r="I151" s="3">
        <v>0</v>
      </c>
      <c r="J151" s="3">
        <v>0</v>
      </c>
      <c r="K151" s="4">
        <f>SUM(L151:N151)</f>
        <v>7398.5</v>
      </c>
      <c r="L151" s="3">
        <v>7398.5</v>
      </c>
      <c r="M151" s="3">
        <v>0</v>
      </c>
      <c r="N151" s="3">
        <v>0</v>
      </c>
    </row>
    <row r="152" spans="1:14" x14ac:dyDescent="0.2">
      <c r="A152" t="s">
        <v>106</v>
      </c>
      <c r="B152" t="s">
        <v>107</v>
      </c>
      <c r="C152" t="s">
        <v>108</v>
      </c>
      <c r="D152" t="s">
        <v>93</v>
      </c>
      <c r="E152">
        <v>28681</v>
      </c>
      <c r="F152" t="s">
        <v>94</v>
      </c>
      <c r="G152" s="2">
        <f>SUM(H152:J152)</f>
        <v>4903</v>
      </c>
      <c r="H152" s="3">
        <v>3468</v>
      </c>
      <c r="I152" s="3">
        <v>1435</v>
      </c>
      <c r="J152" s="3">
        <v>0</v>
      </c>
      <c r="K152" s="4">
        <f>SUM(L152:N152)</f>
        <v>2369</v>
      </c>
      <c r="L152" s="3">
        <v>2369</v>
      </c>
      <c r="M152" s="3">
        <v>0</v>
      </c>
      <c r="N152" s="3">
        <v>0</v>
      </c>
    </row>
    <row r="153" spans="1:14" x14ac:dyDescent="0.2">
      <c r="A153" t="s">
        <v>173</v>
      </c>
      <c r="B153" t="s">
        <v>174</v>
      </c>
      <c r="C153" t="s">
        <v>175</v>
      </c>
      <c r="D153" t="s">
        <v>151</v>
      </c>
      <c r="E153">
        <v>27379</v>
      </c>
      <c r="F153" t="s">
        <v>152</v>
      </c>
      <c r="G153" s="2">
        <f>SUM(H153:J153)</f>
        <v>85471</v>
      </c>
      <c r="H153" s="3">
        <v>63696</v>
      </c>
      <c r="I153" s="3">
        <v>21775</v>
      </c>
      <c r="J153" s="3">
        <v>0</v>
      </c>
      <c r="K153" s="4">
        <f>SUM(L153:N153)</f>
        <v>30932.400000000001</v>
      </c>
      <c r="L153" s="3">
        <v>27887.4</v>
      </c>
      <c r="M153" s="3">
        <v>2880</v>
      </c>
      <c r="N153" s="3">
        <v>165</v>
      </c>
    </row>
    <row r="154" spans="1:14" x14ac:dyDescent="0.2">
      <c r="A154" t="s">
        <v>173</v>
      </c>
      <c r="B154" t="s">
        <v>176</v>
      </c>
      <c r="C154" t="s">
        <v>175</v>
      </c>
      <c r="D154" t="s">
        <v>151</v>
      </c>
      <c r="E154">
        <v>27379</v>
      </c>
      <c r="F154" t="s">
        <v>152</v>
      </c>
      <c r="G154" s="2">
        <f>SUM(H154:J154)</f>
        <v>47858</v>
      </c>
      <c r="H154" s="3">
        <v>24202</v>
      </c>
      <c r="I154" s="3">
        <v>21762</v>
      </c>
      <c r="J154" s="3">
        <v>1894</v>
      </c>
      <c r="K154" s="4">
        <f>SUM(L154:N154)</f>
        <v>4747</v>
      </c>
      <c r="L154" s="3">
        <v>3197</v>
      </c>
      <c r="M154" s="3">
        <v>1325</v>
      </c>
      <c r="N154" s="3">
        <v>225</v>
      </c>
    </row>
    <row r="155" spans="1:14" x14ac:dyDescent="0.2">
      <c r="A155" t="s">
        <v>474</v>
      </c>
      <c r="B155" t="s">
        <v>475</v>
      </c>
      <c r="C155" t="s">
        <v>476</v>
      </c>
      <c r="D155" t="s">
        <v>299</v>
      </c>
      <c r="E155">
        <v>27103</v>
      </c>
      <c r="F155" t="s">
        <v>349</v>
      </c>
      <c r="G155" s="2">
        <f>SUM(H155:J155)</f>
        <v>91026</v>
      </c>
      <c r="H155" s="3">
        <v>87751</v>
      </c>
      <c r="I155" s="3">
        <v>3275</v>
      </c>
      <c r="J155" s="3">
        <v>0</v>
      </c>
      <c r="K155" s="4">
        <f>SUM(L155:N155)</f>
        <v>48024.5</v>
      </c>
      <c r="L155" s="3">
        <v>46124.5</v>
      </c>
      <c r="M155" s="3">
        <v>1900</v>
      </c>
      <c r="N155" s="3">
        <v>0</v>
      </c>
    </row>
    <row r="156" spans="1:14" x14ac:dyDescent="0.2">
      <c r="A156" t="s">
        <v>90</v>
      </c>
      <c r="B156" t="s">
        <v>91</v>
      </c>
      <c r="C156" t="s">
        <v>92</v>
      </c>
      <c r="D156" t="s">
        <v>93</v>
      </c>
      <c r="E156">
        <v>28681</v>
      </c>
      <c r="F156" t="s">
        <v>94</v>
      </c>
      <c r="G156" s="2">
        <f>SUM(H156:J156)</f>
        <v>0</v>
      </c>
      <c r="H156" s="3">
        <v>0</v>
      </c>
      <c r="I156" s="3">
        <v>0</v>
      </c>
      <c r="J156" s="3">
        <v>0</v>
      </c>
      <c r="K156" s="4">
        <f>SUM(L156:N156)</f>
        <v>2309</v>
      </c>
      <c r="L156" s="3">
        <v>2309</v>
      </c>
      <c r="M156" s="3">
        <v>0</v>
      </c>
      <c r="N156" s="3">
        <v>0</v>
      </c>
    </row>
    <row r="157" spans="1:14" x14ac:dyDescent="0.2">
      <c r="A157" t="s">
        <v>1090</v>
      </c>
      <c r="B157" t="s">
        <v>1091</v>
      </c>
      <c r="C157" t="s">
        <v>1092</v>
      </c>
      <c r="D157" t="s">
        <v>1086</v>
      </c>
      <c r="E157">
        <v>27030</v>
      </c>
      <c r="F157" t="s">
        <v>1055</v>
      </c>
      <c r="G157" s="2">
        <f>SUM(H157:J157)</f>
        <v>0</v>
      </c>
      <c r="H157" s="3">
        <v>0</v>
      </c>
      <c r="I157" s="3">
        <v>0</v>
      </c>
      <c r="J157" s="3">
        <v>0</v>
      </c>
      <c r="K157" s="4">
        <f>SUM(L157:N157)</f>
        <v>0</v>
      </c>
      <c r="L157" s="3">
        <v>0</v>
      </c>
      <c r="M157" s="3">
        <v>0</v>
      </c>
      <c r="N157" s="3">
        <v>0</v>
      </c>
    </row>
    <row r="158" spans="1:14" x14ac:dyDescent="0.2">
      <c r="A158" t="s">
        <v>755</v>
      </c>
      <c r="B158" t="s">
        <v>756</v>
      </c>
      <c r="C158" t="s">
        <v>757</v>
      </c>
      <c r="D158" t="s">
        <v>276</v>
      </c>
      <c r="E158">
        <v>27263</v>
      </c>
      <c r="F158" t="s">
        <v>628</v>
      </c>
      <c r="G158" s="2">
        <f>SUM(H158:J158)</f>
        <v>789497</v>
      </c>
      <c r="H158" s="3">
        <v>522202</v>
      </c>
      <c r="I158" s="3">
        <v>29850</v>
      </c>
      <c r="J158" s="3">
        <f>207245+29580+620</f>
        <v>237445</v>
      </c>
      <c r="K158" s="4">
        <f>SUM(L158:N158)</f>
        <v>385449.5</v>
      </c>
      <c r="L158" s="3">
        <v>282776.5</v>
      </c>
      <c r="M158" s="3">
        <v>7400</v>
      </c>
      <c r="N158" s="3">
        <f>85423+9040+810</f>
        <v>95273</v>
      </c>
    </row>
    <row r="159" spans="1:14" x14ac:dyDescent="0.2">
      <c r="A159" t="s">
        <v>462</v>
      </c>
      <c r="B159" t="s">
        <v>463</v>
      </c>
      <c r="C159" t="s">
        <v>464</v>
      </c>
      <c r="D159" t="s">
        <v>299</v>
      </c>
      <c r="E159">
        <v>27107</v>
      </c>
      <c r="F159" t="s">
        <v>349</v>
      </c>
      <c r="G159" s="2">
        <f>SUM(H159:J159)</f>
        <v>64135</v>
      </c>
      <c r="H159" s="3">
        <v>56295</v>
      </c>
      <c r="I159" s="3">
        <v>0</v>
      </c>
      <c r="J159" s="3">
        <v>7840</v>
      </c>
      <c r="K159" s="4">
        <f>SUM(L159:N159)</f>
        <v>29118.5</v>
      </c>
      <c r="L159" s="3">
        <v>27665.5</v>
      </c>
      <c r="M159" s="3">
        <v>0</v>
      </c>
      <c r="N159" s="3">
        <v>1453</v>
      </c>
    </row>
    <row r="160" spans="1:14" x14ac:dyDescent="0.2">
      <c r="A160" t="s">
        <v>547</v>
      </c>
      <c r="B160" t="s">
        <v>548</v>
      </c>
      <c r="C160" t="s">
        <v>549</v>
      </c>
      <c r="D160" t="s">
        <v>299</v>
      </c>
      <c r="E160">
        <v>27104</v>
      </c>
      <c r="F160" t="s">
        <v>349</v>
      </c>
      <c r="G160" s="2">
        <f>SUM(H160:J160)</f>
        <v>5394</v>
      </c>
      <c r="H160" s="3">
        <v>5394</v>
      </c>
      <c r="I160" s="3">
        <v>0</v>
      </c>
      <c r="J160" s="3">
        <v>0</v>
      </c>
      <c r="K160" s="4">
        <f>SUM(L160:N160)</f>
        <v>5220</v>
      </c>
      <c r="L160" s="3">
        <v>5220</v>
      </c>
      <c r="M160" s="3">
        <v>0</v>
      </c>
      <c r="N160" s="3">
        <v>0</v>
      </c>
    </row>
    <row r="161" spans="1:14" x14ac:dyDescent="0.2">
      <c r="A161" t="s">
        <v>1069</v>
      </c>
      <c r="B161" t="s">
        <v>1070</v>
      </c>
      <c r="C161" t="s">
        <v>1071</v>
      </c>
      <c r="D161" t="s">
        <v>1072</v>
      </c>
      <c r="E161">
        <v>27017</v>
      </c>
      <c r="F161" t="s">
        <v>1055</v>
      </c>
      <c r="G161" s="2">
        <f>SUM(H161:J161)</f>
        <v>603254</v>
      </c>
      <c r="H161" s="3">
        <v>380474</v>
      </c>
      <c r="I161" s="3">
        <v>57250</v>
      </c>
      <c r="J161" s="3">
        <v>165530</v>
      </c>
      <c r="K161" s="4">
        <f>SUM(L161:N161)</f>
        <v>308043.5</v>
      </c>
      <c r="L161" s="3">
        <v>204079.5</v>
      </c>
      <c r="M161" s="3">
        <v>27549</v>
      </c>
      <c r="N161" s="3">
        <v>76415</v>
      </c>
    </row>
    <row r="162" spans="1:14" x14ac:dyDescent="0.2">
      <c r="A162" t="s">
        <v>734</v>
      </c>
      <c r="B162" t="s">
        <v>735</v>
      </c>
      <c r="C162" t="s">
        <v>736</v>
      </c>
      <c r="D162" t="s">
        <v>276</v>
      </c>
      <c r="E162">
        <v>27262</v>
      </c>
      <c r="F162" t="s">
        <v>628</v>
      </c>
      <c r="G162" s="2">
        <f>SUM(H162:J162)</f>
        <v>35044</v>
      </c>
      <c r="H162" s="3">
        <v>35044</v>
      </c>
      <c r="I162" s="3">
        <v>0</v>
      </c>
      <c r="J162" s="3">
        <v>0</v>
      </c>
      <c r="K162" s="4">
        <f>SUM(L162:N162)</f>
        <v>20895</v>
      </c>
      <c r="L162" s="3">
        <v>20895</v>
      </c>
      <c r="M162" s="3">
        <v>0</v>
      </c>
      <c r="N162" s="3">
        <v>0</v>
      </c>
    </row>
    <row r="163" spans="1:14" x14ac:dyDescent="0.2">
      <c r="A163" t="s">
        <v>483</v>
      </c>
      <c r="B163" t="s">
        <v>484</v>
      </c>
      <c r="C163" t="s">
        <v>485</v>
      </c>
      <c r="D163" t="s">
        <v>299</v>
      </c>
      <c r="E163">
        <v>27101</v>
      </c>
      <c r="F163" t="s">
        <v>349</v>
      </c>
      <c r="G163" s="2">
        <f>SUM(H163:J163)</f>
        <v>8642</v>
      </c>
      <c r="H163" s="3">
        <v>8642</v>
      </c>
      <c r="I163" s="3">
        <v>0</v>
      </c>
      <c r="J163" s="3">
        <v>0</v>
      </c>
      <c r="K163" s="4">
        <f>SUM(L163:N163)</f>
        <v>5655</v>
      </c>
      <c r="L163" s="3">
        <v>5655</v>
      </c>
      <c r="M163" s="3">
        <v>0</v>
      </c>
      <c r="N163" s="3">
        <v>0</v>
      </c>
    </row>
    <row r="164" spans="1:14" x14ac:dyDescent="0.2">
      <c r="A164" t="s">
        <v>8</v>
      </c>
      <c r="B164" t="s">
        <v>9</v>
      </c>
      <c r="C164" t="s">
        <v>10</v>
      </c>
      <c r="D164" t="s">
        <v>11</v>
      </c>
      <c r="E164">
        <v>27217</v>
      </c>
      <c r="F164" t="s">
        <v>12</v>
      </c>
      <c r="G164" s="2">
        <f>SUM(H164:J164)</f>
        <v>4056</v>
      </c>
      <c r="H164" s="3">
        <v>3736</v>
      </c>
      <c r="I164" s="3">
        <v>0</v>
      </c>
      <c r="J164" s="3">
        <v>320</v>
      </c>
      <c r="K164" s="4">
        <f>SUM(L164:N164)</f>
        <v>516</v>
      </c>
      <c r="L164" s="3">
        <v>516</v>
      </c>
      <c r="M164" s="3">
        <v>0</v>
      </c>
      <c r="N164" s="3">
        <v>0</v>
      </c>
    </row>
    <row r="165" spans="1:14" x14ac:dyDescent="0.2">
      <c r="A165" t="s">
        <v>550</v>
      </c>
      <c r="B165" t="s">
        <v>551</v>
      </c>
      <c r="C165" t="s">
        <v>552</v>
      </c>
      <c r="D165" t="s">
        <v>299</v>
      </c>
      <c r="E165">
        <v>27103</v>
      </c>
      <c r="F165" t="s">
        <v>349</v>
      </c>
      <c r="G165" s="2">
        <f>SUM(H165:J165)</f>
        <v>53492</v>
      </c>
      <c r="H165" s="3">
        <v>34574</v>
      </c>
      <c r="I165" s="3">
        <v>2016</v>
      </c>
      <c r="J165" s="3">
        <f>9578+7324</f>
        <v>16902</v>
      </c>
      <c r="K165" s="4">
        <f>SUM(L165:N165)</f>
        <v>28289.3</v>
      </c>
      <c r="L165" s="3">
        <v>18882.3</v>
      </c>
      <c r="M165" s="3">
        <v>2062</v>
      </c>
      <c r="N165" s="3">
        <f>3483+3862</f>
        <v>7345</v>
      </c>
    </row>
    <row r="166" spans="1:14" x14ac:dyDescent="0.2">
      <c r="A166" t="s">
        <v>403</v>
      </c>
      <c r="B166" t="s">
        <v>404</v>
      </c>
      <c r="C166" t="s">
        <v>405</v>
      </c>
      <c r="D166" t="s">
        <v>299</v>
      </c>
      <c r="E166">
        <v>27105</v>
      </c>
      <c r="F166" t="s">
        <v>349</v>
      </c>
      <c r="G166" s="2">
        <f>SUM(H166:J166)</f>
        <v>131811</v>
      </c>
      <c r="H166" s="3">
        <v>112880</v>
      </c>
      <c r="I166" s="3">
        <v>0</v>
      </c>
      <c r="J166" s="3">
        <v>18931</v>
      </c>
      <c r="K166" s="4">
        <f>SUM(L166:N166)</f>
        <v>52480</v>
      </c>
      <c r="L166" s="3">
        <v>46609</v>
      </c>
      <c r="M166" s="3">
        <v>0</v>
      </c>
      <c r="N166" s="3">
        <v>5871</v>
      </c>
    </row>
    <row r="167" spans="1:14" x14ac:dyDescent="0.2">
      <c r="A167" t="s">
        <v>1200</v>
      </c>
      <c r="B167" t="s">
        <v>1201</v>
      </c>
      <c r="C167" t="s">
        <v>1202</v>
      </c>
      <c r="D167" t="s">
        <v>1183</v>
      </c>
      <c r="E167">
        <v>27055</v>
      </c>
      <c r="F167" t="s">
        <v>1184</v>
      </c>
      <c r="G167" s="2">
        <f>SUM(H167:J167)</f>
        <v>3915</v>
      </c>
      <c r="H167" s="3">
        <v>3915</v>
      </c>
      <c r="I167" s="3">
        <v>0</v>
      </c>
      <c r="J167" s="3">
        <v>0</v>
      </c>
      <c r="K167" s="4">
        <f>SUM(L167:N167)</f>
        <v>1740</v>
      </c>
      <c r="L167" s="3">
        <v>1740</v>
      </c>
      <c r="M167" s="3">
        <v>0</v>
      </c>
      <c r="N167" s="3">
        <v>0</v>
      </c>
    </row>
    <row r="168" spans="1:14" x14ac:dyDescent="0.2">
      <c r="A168" t="s">
        <v>200</v>
      </c>
      <c r="B168" t="s">
        <v>201</v>
      </c>
      <c r="C168" t="s">
        <v>202</v>
      </c>
      <c r="D168" t="s">
        <v>180</v>
      </c>
      <c r="E168">
        <v>28630</v>
      </c>
      <c r="F168" t="s">
        <v>181</v>
      </c>
      <c r="G168" s="2">
        <f>SUM(H168:J168)</f>
        <v>251805</v>
      </c>
      <c r="H168" s="3">
        <v>230092</v>
      </c>
      <c r="I168" s="3">
        <v>21713</v>
      </c>
      <c r="J168" s="3">
        <v>0</v>
      </c>
      <c r="K168" s="4">
        <f>SUM(L168:N168)</f>
        <v>150419.5</v>
      </c>
      <c r="L168" s="3">
        <v>149290.5</v>
      </c>
      <c r="M168" s="3">
        <v>1129</v>
      </c>
      <c r="N168" s="3">
        <v>0</v>
      </c>
    </row>
    <row r="169" spans="1:14" x14ac:dyDescent="0.2">
      <c r="A169" t="s">
        <v>1203</v>
      </c>
      <c r="B169" t="s">
        <v>1204</v>
      </c>
      <c r="C169" t="s">
        <v>1205</v>
      </c>
      <c r="D169" t="s">
        <v>1183</v>
      </c>
      <c r="E169">
        <v>27055</v>
      </c>
      <c r="F169" t="s">
        <v>1184</v>
      </c>
      <c r="G169" s="2">
        <f>SUM(H169:J169)</f>
        <v>0</v>
      </c>
      <c r="H169" s="3">
        <v>0</v>
      </c>
      <c r="I169" s="3">
        <v>0</v>
      </c>
      <c r="J169" s="3">
        <v>0</v>
      </c>
      <c r="K169" s="4">
        <f>SUM(L169:N169)</f>
        <v>0</v>
      </c>
      <c r="L169" s="3">
        <v>0</v>
      </c>
      <c r="M169" s="3">
        <v>0</v>
      </c>
      <c r="N169" s="3">
        <v>0</v>
      </c>
    </row>
    <row r="170" spans="1:14" x14ac:dyDescent="0.2">
      <c r="A170" t="s">
        <v>431</v>
      </c>
      <c r="B170" t="s">
        <v>432</v>
      </c>
      <c r="C170" t="s">
        <v>433</v>
      </c>
      <c r="D170" t="s">
        <v>299</v>
      </c>
      <c r="E170">
        <v>27106</v>
      </c>
      <c r="F170" t="s">
        <v>349</v>
      </c>
      <c r="G170" s="2">
        <f>SUM(H170:J170)</f>
        <v>217501</v>
      </c>
      <c r="H170" s="3">
        <v>200886</v>
      </c>
      <c r="I170" s="3">
        <v>16290</v>
      </c>
      <c r="J170" s="3">
        <v>325</v>
      </c>
      <c r="K170" s="4">
        <f>SUM(L170:N170)</f>
        <v>111599.5</v>
      </c>
      <c r="L170" s="3">
        <v>108949.5</v>
      </c>
      <c r="M170" s="3">
        <v>2650</v>
      </c>
      <c r="N170" s="3">
        <v>0</v>
      </c>
    </row>
    <row r="171" spans="1:14" x14ac:dyDescent="0.2">
      <c r="A171" t="s">
        <v>525</v>
      </c>
      <c r="B171" t="s">
        <v>526</v>
      </c>
      <c r="C171" t="s">
        <v>527</v>
      </c>
      <c r="D171" t="s">
        <v>365</v>
      </c>
      <c r="E171">
        <v>27012</v>
      </c>
      <c r="F171" t="s">
        <v>349</v>
      </c>
      <c r="G171" s="2">
        <f>SUM(H171:J171)</f>
        <v>757019</v>
      </c>
      <c r="H171" s="3">
        <v>522722</v>
      </c>
      <c r="I171" s="3">
        <v>87789</v>
      </c>
      <c r="J171" s="3">
        <f>104699+11134+28151+2524</f>
        <v>146508</v>
      </c>
      <c r="K171" s="4">
        <f>SUM(L171:N171)</f>
        <v>399696.5</v>
      </c>
      <c r="L171" s="3">
        <v>281024.5</v>
      </c>
      <c r="M171" s="3">
        <v>43708</v>
      </c>
      <c r="N171" s="3">
        <f>52016+5305+17643</f>
        <v>74964</v>
      </c>
    </row>
    <row r="172" spans="1:14" x14ac:dyDescent="0.2">
      <c r="A172" t="s">
        <v>913</v>
      </c>
      <c r="B172" t="s">
        <v>914</v>
      </c>
      <c r="C172" t="s">
        <v>915</v>
      </c>
      <c r="D172" t="s">
        <v>889</v>
      </c>
      <c r="E172">
        <v>28677</v>
      </c>
      <c r="F172" t="s">
        <v>890</v>
      </c>
      <c r="G172" s="2">
        <f>SUM(H172:J172)</f>
        <v>115948</v>
      </c>
      <c r="H172" s="3">
        <v>83676</v>
      </c>
      <c r="I172" s="3">
        <v>0</v>
      </c>
      <c r="J172" s="3">
        <v>32272</v>
      </c>
      <c r="K172" s="4">
        <f>SUM(L172:N172)</f>
        <v>53748</v>
      </c>
      <c r="L172" s="3">
        <v>39736</v>
      </c>
      <c r="M172" s="3">
        <v>0</v>
      </c>
      <c r="N172" s="3">
        <v>14012</v>
      </c>
    </row>
    <row r="173" spans="1:14" x14ac:dyDescent="0.2">
      <c r="A173" t="s">
        <v>531</v>
      </c>
      <c r="B173" t="s">
        <v>532</v>
      </c>
      <c r="C173" t="s">
        <v>533</v>
      </c>
      <c r="D173" t="s">
        <v>530</v>
      </c>
      <c r="E173">
        <v>27051</v>
      </c>
      <c r="F173" t="s">
        <v>349</v>
      </c>
      <c r="G173" s="2">
        <f>SUM(H173:J173)</f>
        <v>80501</v>
      </c>
      <c r="H173" s="3">
        <v>66458</v>
      </c>
      <c r="I173" s="3">
        <v>5403</v>
      </c>
      <c r="J173" s="3">
        <v>8640</v>
      </c>
      <c r="K173" s="4">
        <f>SUM(L173:N173)</f>
        <v>56667.5</v>
      </c>
      <c r="L173" s="3">
        <v>41439.5</v>
      </c>
      <c r="M173" s="3">
        <v>9266</v>
      </c>
      <c r="N173" s="3">
        <v>5962</v>
      </c>
    </row>
    <row r="174" spans="1:14" x14ac:dyDescent="0.2">
      <c r="A174" t="s">
        <v>999</v>
      </c>
      <c r="B174" t="s">
        <v>1000</v>
      </c>
      <c r="C174" t="s">
        <v>1001</v>
      </c>
      <c r="D174" t="s">
        <v>671</v>
      </c>
      <c r="E174">
        <v>27357</v>
      </c>
      <c r="F174" t="s">
        <v>963</v>
      </c>
      <c r="G174" s="2">
        <f>SUM(H174:J174)</f>
        <v>3480</v>
      </c>
      <c r="H174" s="3">
        <v>3480</v>
      </c>
      <c r="I174" s="3">
        <v>0</v>
      </c>
      <c r="J174" s="3">
        <v>0</v>
      </c>
      <c r="K174" s="4">
        <f>SUM(L174:N174)</f>
        <v>1334</v>
      </c>
      <c r="L174" s="3">
        <v>1334</v>
      </c>
      <c r="M174" s="3">
        <v>0</v>
      </c>
      <c r="N174" s="3">
        <v>0</v>
      </c>
    </row>
    <row r="175" spans="1:14" x14ac:dyDescent="0.2">
      <c r="A175" t="s">
        <v>682</v>
      </c>
      <c r="B175" t="s">
        <v>683</v>
      </c>
      <c r="C175" t="s">
        <v>684</v>
      </c>
      <c r="D175" t="s">
        <v>276</v>
      </c>
      <c r="E175">
        <v>27262</v>
      </c>
      <c r="F175" t="s">
        <v>628</v>
      </c>
      <c r="G175" s="2">
        <f>SUM(H175:J175)</f>
        <v>937606</v>
      </c>
      <c r="H175" s="3">
        <v>687147</v>
      </c>
      <c r="I175" s="3">
        <v>138149</v>
      </c>
      <c r="J175" s="3">
        <f>92839+19471</f>
        <v>112310</v>
      </c>
      <c r="K175" s="4">
        <f>SUM(L175:N175)</f>
        <v>447580.5</v>
      </c>
      <c r="L175" s="3">
        <v>355947.5</v>
      </c>
      <c r="M175" s="3">
        <v>35240</v>
      </c>
      <c r="N175" s="3">
        <f>49289+7104</f>
        <v>56393</v>
      </c>
    </row>
    <row r="176" spans="1:14" x14ac:dyDescent="0.2">
      <c r="A176" t="s">
        <v>400</v>
      </c>
      <c r="B176" t="s">
        <v>401</v>
      </c>
      <c r="C176" t="s">
        <v>402</v>
      </c>
      <c r="D176" t="s">
        <v>299</v>
      </c>
      <c r="E176">
        <v>27107</v>
      </c>
      <c r="F176" t="s">
        <v>349</v>
      </c>
      <c r="G176" s="2">
        <f>SUM(H176:J176)</f>
        <v>225489</v>
      </c>
      <c r="H176" s="3">
        <v>225489</v>
      </c>
      <c r="I176" s="3">
        <v>0</v>
      </c>
      <c r="J176" s="3">
        <v>0</v>
      </c>
      <c r="K176" s="4">
        <f>SUM(L176:N176)</f>
        <v>83250.5</v>
      </c>
      <c r="L176" s="3">
        <v>83250.5</v>
      </c>
      <c r="M176" s="3">
        <v>0</v>
      </c>
      <c r="N176" s="3">
        <v>0</v>
      </c>
    </row>
    <row r="177" spans="1:14" x14ac:dyDescent="0.2">
      <c r="A177" t="s">
        <v>719</v>
      </c>
      <c r="B177" t="s">
        <v>720</v>
      </c>
      <c r="C177" t="s">
        <v>721</v>
      </c>
      <c r="D177" t="s">
        <v>276</v>
      </c>
      <c r="E177">
        <v>27262</v>
      </c>
      <c r="F177" t="s">
        <v>628</v>
      </c>
      <c r="G177" s="2">
        <f>SUM(H177:J177)</f>
        <v>92078</v>
      </c>
      <c r="H177" s="3">
        <v>92068</v>
      </c>
      <c r="I177" s="3">
        <v>0</v>
      </c>
      <c r="J177" s="3">
        <v>10</v>
      </c>
      <c r="K177" s="4">
        <f>SUM(L177:N177)</f>
        <v>74681.5</v>
      </c>
      <c r="L177" s="3">
        <v>74681.5</v>
      </c>
      <c r="M177" s="3">
        <v>0</v>
      </c>
      <c r="N177" s="3">
        <v>0</v>
      </c>
    </row>
    <row r="178" spans="1:14" x14ac:dyDescent="0.2">
      <c r="A178" t="s">
        <v>169</v>
      </c>
      <c r="B178" t="s">
        <v>170</v>
      </c>
      <c r="C178" t="s">
        <v>171</v>
      </c>
      <c r="D178" t="s">
        <v>172</v>
      </c>
      <c r="E178">
        <v>27320</v>
      </c>
      <c r="F178" t="s">
        <v>152</v>
      </c>
      <c r="G178" s="2">
        <f>SUM(H178:J178)</f>
        <v>40467</v>
      </c>
      <c r="H178" s="3">
        <v>40226</v>
      </c>
      <c r="I178" s="3">
        <v>241</v>
      </c>
      <c r="J178" s="3">
        <v>0</v>
      </c>
      <c r="K178" s="4">
        <f>SUM(L178:N178)</f>
        <v>21702</v>
      </c>
      <c r="L178" s="3">
        <v>21702</v>
      </c>
      <c r="M178" s="3">
        <v>0</v>
      </c>
      <c r="N178" s="3">
        <v>0</v>
      </c>
    </row>
    <row r="179" spans="1:14" x14ac:dyDescent="0.2">
      <c r="A179" t="s">
        <v>844</v>
      </c>
      <c r="B179" t="s">
        <v>845</v>
      </c>
      <c r="C179" t="s">
        <v>846</v>
      </c>
      <c r="D179" t="s">
        <v>643</v>
      </c>
      <c r="E179">
        <v>27405</v>
      </c>
      <c r="F179" t="s">
        <v>628</v>
      </c>
      <c r="G179" s="2">
        <f>SUM(H179:J179)</f>
        <v>173024</v>
      </c>
      <c r="H179" s="3">
        <v>173024</v>
      </c>
      <c r="I179" s="3">
        <v>0</v>
      </c>
      <c r="J179" s="3">
        <v>0</v>
      </c>
      <c r="K179" s="4">
        <f>SUM(L179:N179)</f>
        <v>95807</v>
      </c>
      <c r="L179" s="3">
        <v>94998</v>
      </c>
      <c r="M179" s="3">
        <v>809</v>
      </c>
      <c r="N179" s="3">
        <v>0</v>
      </c>
    </row>
    <row r="180" spans="1:14" x14ac:dyDescent="0.2">
      <c r="A180" t="s">
        <v>273</v>
      </c>
      <c r="B180" t="s">
        <v>274</v>
      </c>
      <c r="C180" t="s">
        <v>275</v>
      </c>
      <c r="D180" t="s">
        <v>276</v>
      </c>
      <c r="E180">
        <v>27265</v>
      </c>
      <c r="F180" t="s">
        <v>254</v>
      </c>
      <c r="G180" s="2">
        <f>SUM(H180:J180)</f>
        <v>23281</v>
      </c>
      <c r="H180" s="3">
        <v>23281</v>
      </c>
      <c r="I180" s="3">
        <v>0</v>
      </c>
      <c r="J180" s="3">
        <v>0</v>
      </c>
      <c r="K180" s="4">
        <f>SUM(L180:N180)</f>
        <v>15885.5</v>
      </c>
      <c r="L180" s="3">
        <v>15885.5</v>
      </c>
      <c r="M180" s="3">
        <v>0</v>
      </c>
      <c r="N180" s="3">
        <v>0</v>
      </c>
    </row>
    <row r="181" spans="1:14" x14ac:dyDescent="0.2">
      <c r="A181" t="s">
        <v>277</v>
      </c>
      <c r="B181" t="s">
        <v>278</v>
      </c>
      <c r="C181" t="s">
        <v>275</v>
      </c>
      <c r="D181" t="s">
        <v>276</v>
      </c>
      <c r="E181">
        <v>27265</v>
      </c>
      <c r="F181" t="s">
        <v>254</v>
      </c>
      <c r="G181" s="2">
        <f>SUM(H181:J181)</f>
        <v>10047</v>
      </c>
      <c r="H181" s="3">
        <v>10047</v>
      </c>
      <c r="I181" s="3">
        <v>0</v>
      </c>
      <c r="J181" s="3">
        <v>0</v>
      </c>
      <c r="K181" s="4">
        <f>SUM(L181:N181)</f>
        <v>5496</v>
      </c>
      <c r="L181" s="3">
        <v>5496</v>
      </c>
      <c r="M181" s="3">
        <v>0</v>
      </c>
      <c r="N181" s="3">
        <v>0</v>
      </c>
    </row>
    <row r="182" spans="1:14" x14ac:dyDescent="0.2">
      <c r="A182" t="s">
        <v>359</v>
      </c>
      <c r="B182" t="s">
        <v>360</v>
      </c>
      <c r="C182" t="s">
        <v>361</v>
      </c>
      <c r="D182" t="s">
        <v>299</v>
      </c>
      <c r="E182">
        <v>27105</v>
      </c>
      <c r="F182" t="s">
        <v>349</v>
      </c>
      <c r="G182" s="2">
        <f>SUM(H182:J182)</f>
        <v>37611</v>
      </c>
      <c r="H182" s="3">
        <v>28554</v>
      </c>
      <c r="I182" s="3">
        <v>4900</v>
      </c>
      <c r="J182" s="3">
        <v>4157</v>
      </c>
      <c r="K182" s="4">
        <f>SUM(L182:N182)</f>
        <v>38522.5</v>
      </c>
      <c r="L182" s="3">
        <v>32619.5</v>
      </c>
      <c r="M182" s="3">
        <v>2800</v>
      </c>
      <c r="N182" s="3">
        <v>3103</v>
      </c>
    </row>
    <row r="183" spans="1:14" x14ac:dyDescent="0.2">
      <c r="A183" t="s">
        <v>206</v>
      </c>
      <c r="B183" t="s">
        <v>207</v>
      </c>
      <c r="C183" t="s">
        <v>208</v>
      </c>
      <c r="D183" t="s">
        <v>185</v>
      </c>
      <c r="E183">
        <v>28645</v>
      </c>
      <c r="F183" t="s">
        <v>181</v>
      </c>
      <c r="G183" s="2">
        <f>SUM(H183:J183)</f>
        <v>6351</v>
      </c>
      <c r="H183" s="3">
        <v>6351</v>
      </c>
      <c r="I183" s="3">
        <v>0</v>
      </c>
      <c r="J183" s="3">
        <v>0</v>
      </c>
      <c r="K183" s="4">
        <f>SUM(L183:N183)</f>
        <v>1827</v>
      </c>
      <c r="L183" s="3">
        <v>1827</v>
      </c>
      <c r="M183" s="3">
        <v>0</v>
      </c>
      <c r="N183" s="3">
        <v>0</v>
      </c>
    </row>
    <row r="184" spans="1:14" x14ac:dyDescent="0.2">
      <c r="A184" t="s">
        <v>1060</v>
      </c>
      <c r="B184" t="s">
        <v>1061</v>
      </c>
      <c r="C184" t="s">
        <v>1062</v>
      </c>
      <c r="D184" t="s">
        <v>1063</v>
      </c>
      <c r="E184">
        <v>28642</v>
      </c>
      <c r="F184" t="s">
        <v>1055</v>
      </c>
      <c r="G184" s="2">
        <f>SUM(H184:J184)</f>
        <v>271409</v>
      </c>
      <c r="H184" s="3">
        <v>145517</v>
      </c>
      <c r="I184" s="3">
        <v>69546</v>
      </c>
      <c r="J184" s="3">
        <f>55891+455</f>
        <v>56346</v>
      </c>
      <c r="K184" s="4">
        <f>SUM(L184:N184)</f>
        <v>79114.5</v>
      </c>
      <c r="L184" s="3">
        <v>41793.5</v>
      </c>
      <c r="M184" s="3">
        <v>15528</v>
      </c>
      <c r="N184" s="3">
        <f>20901+892</f>
        <v>21793</v>
      </c>
    </row>
    <row r="185" spans="1:14" x14ac:dyDescent="0.2">
      <c r="A185" t="s">
        <v>1064</v>
      </c>
      <c r="B185" t="s">
        <v>1065</v>
      </c>
      <c r="C185" t="s">
        <v>1062</v>
      </c>
      <c r="D185" t="s">
        <v>1063</v>
      </c>
      <c r="E185">
        <v>28621</v>
      </c>
      <c r="F185" t="s">
        <v>1055</v>
      </c>
      <c r="G185" s="2">
        <f>SUM(H185:J185)</f>
        <v>2314</v>
      </c>
      <c r="H185" s="3">
        <v>1157</v>
      </c>
      <c r="I185" s="3">
        <v>1157</v>
      </c>
      <c r="J185" s="3">
        <v>0</v>
      </c>
      <c r="K185" s="4">
        <f>SUM(L185:N185)</f>
        <v>978</v>
      </c>
      <c r="L185" s="3">
        <v>489</v>
      </c>
      <c r="M185" s="3">
        <v>489</v>
      </c>
      <c r="N185" s="3">
        <v>0</v>
      </c>
    </row>
    <row r="186" spans="1:14" x14ac:dyDescent="0.2">
      <c r="A186" t="s">
        <v>269</v>
      </c>
      <c r="B186" t="s">
        <v>270</v>
      </c>
      <c r="C186" t="s">
        <v>271</v>
      </c>
      <c r="D186" t="s">
        <v>272</v>
      </c>
      <c r="E186">
        <v>27239</v>
      </c>
      <c r="F186" t="s">
        <v>254</v>
      </c>
      <c r="G186" s="2">
        <f>SUM(H186:J186)</f>
        <v>244787</v>
      </c>
      <c r="H186" s="3">
        <v>140114</v>
      </c>
      <c r="I186" s="3">
        <v>57933</v>
      </c>
      <c r="J186" s="3">
        <f>41387+5353</f>
        <v>46740</v>
      </c>
      <c r="K186" s="4">
        <f>SUM(L186:N186)</f>
        <v>98961</v>
      </c>
      <c r="L186" s="3">
        <v>63671</v>
      </c>
      <c r="M186" s="3">
        <v>18323</v>
      </c>
      <c r="N186" s="3">
        <f>15169+1798</f>
        <v>16967</v>
      </c>
    </row>
    <row r="187" spans="1:14" x14ac:dyDescent="0.2">
      <c r="A187" t="s">
        <v>537</v>
      </c>
      <c r="B187" t="s">
        <v>538</v>
      </c>
      <c r="C187" t="s">
        <v>539</v>
      </c>
      <c r="D187" t="s">
        <v>299</v>
      </c>
      <c r="E187">
        <v>27107</v>
      </c>
      <c r="F187" t="s">
        <v>349</v>
      </c>
      <c r="G187" s="2">
        <f>SUM(H187:J187)</f>
        <v>25107</v>
      </c>
      <c r="H187" s="3">
        <v>17887</v>
      </c>
      <c r="I187" s="3">
        <v>7220</v>
      </c>
      <c r="J187" s="3">
        <v>0</v>
      </c>
      <c r="K187" s="4">
        <f>SUM(L187:N187)</f>
        <v>10767.1</v>
      </c>
      <c r="L187" s="3">
        <v>9617.1</v>
      </c>
      <c r="M187" s="3">
        <v>1150</v>
      </c>
      <c r="N187" s="3">
        <v>0</v>
      </c>
    </row>
    <row r="188" spans="1:14" x14ac:dyDescent="0.2">
      <c r="A188" t="s">
        <v>1002</v>
      </c>
      <c r="B188" t="s">
        <v>1003</v>
      </c>
      <c r="C188" t="s">
        <v>1004</v>
      </c>
      <c r="D188" t="s">
        <v>671</v>
      </c>
      <c r="E188">
        <v>27357</v>
      </c>
      <c r="F188" t="s">
        <v>963</v>
      </c>
      <c r="G188" s="2">
        <f>SUM(H188:J188)</f>
        <v>3480</v>
      </c>
      <c r="H188" s="3">
        <v>3480</v>
      </c>
      <c r="I188" s="3">
        <v>0</v>
      </c>
      <c r="J188" s="3">
        <v>0</v>
      </c>
      <c r="K188" s="4">
        <f>SUM(L188:N188)</f>
        <v>1334</v>
      </c>
      <c r="L188" s="3">
        <v>1334</v>
      </c>
      <c r="M188" s="3">
        <v>0</v>
      </c>
      <c r="N188" s="3">
        <v>0</v>
      </c>
    </row>
    <row r="189" spans="1:14" x14ac:dyDescent="0.2">
      <c r="A189" t="s">
        <v>1005</v>
      </c>
      <c r="B189" t="s">
        <v>1006</v>
      </c>
      <c r="C189" t="s">
        <v>1004</v>
      </c>
      <c r="D189" t="s">
        <v>671</v>
      </c>
      <c r="E189">
        <v>27357</v>
      </c>
      <c r="F189" t="s">
        <v>963</v>
      </c>
      <c r="G189" s="2">
        <f>SUM(H189:J189)</f>
        <v>3480</v>
      </c>
      <c r="H189" s="3">
        <v>3480</v>
      </c>
      <c r="I189" s="3">
        <v>0</v>
      </c>
      <c r="J189" s="3">
        <v>0</v>
      </c>
      <c r="K189" s="4">
        <f>SUM(L189:N189)</f>
        <v>1334</v>
      </c>
      <c r="L189" s="3">
        <v>1334</v>
      </c>
      <c r="M189" s="3">
        <v>0</v>
      </c>
      <c r="N189" s="3">
        <v>0</v>
      </c>
    </row>
    <row r="190" spans="1:14" x14ac:dyDescent="0.2">
      <c r="A190" t="s">
        <v>761</v>
      </c>
      <c r="B190" t="s">
        <v>763</v>
      </c>
      <c r="C190" t="s">
        <v>764</v>
      </c>
      <c r="D190" t="s">
        <v>643</v>
      </c>
      <c r="E190">
        <v>27409</v>
      </c>
      <c r="F190" t="s">
        <v>628</v>
      </c>
      <c r="G190" s="2">
        <f>SUM(H190:J190)</f>
        <v>1403005</v>
      </c>
      <c r="H190" s="3">
        <v>799386</v>
      </c>
      <c r="I190" s="3">
        <v>494473</v>
      </c>
      <c r="J190" s="3">
        <f>18024+30103+58787+2232</f>
        <v>109146</v>
      </c>
      <c r="K190" s="4">
        <f>SUM(L190:N190)</f>
        <v>444173</v>
      </c>
      <c r="L190" s="3">
        <v>280372</v>
      </c>
      <c r="M190" s="3">
        <v>102349</v>
      </c>
      <c r="N190" s="3">
        <f>8480+26438+26534</f>
        <v>61452</v>
      </c>
    </row>
    <row r="191" spans="1:14" x14ac:dyDescent="0.2">
      <c r="A191" t="s">
        <v>761</v>
      </c>
      <c r="B191" t="s">
        <v>762</v>
      </c>
      <c r="C191" t="s">
        <v>760</v>
      </c>
      <c r="D191" t="s">
        <v>643</v>
      </c>
      <c r="E191">
        <v>27409</v>
      </c>
      <c r="F191" t="s">
        <v>628</v>
      </c>
      <c r="G191" s="2">
        <f>SUM(H191:J191)</f>
        <v>1047368</v>
      </c>
      <c r="H191" s="3">
        <v>774046</v>
      </c>
      <c r="I191" s="3">
        <v>189450</v>
      </c>
      <c r="J191" s="3">
        <f>71147+0+9718+3007</f>
        <v>83872</v>
      </c>
      <c r="K191" s="4">
        <f>SUM(L191:N191)</f>
        <v>288525</v>
      </c>
      <c r="L191" s="3">
        <v>221738</v>
      </c>
      <c r="M191" s="3">
        <v>27829</v>
      </c>
      <c r="N191" s="3">
        <f>35592+3366</f>
        <v>38958</v>
      </c>
    </row>
    <row r="192" spans="1:14" x14ac:dyDescent="0.2">
      <c r="A192" t="s">
        <v>758</v>
      </c>
      <c r="B192" t="s">
        <v>759</v>
      </c>
      <c r="C192" t="s">
        <v>760</v>
      </c>
      <c r="D192" t="s">
        <v>643</v>
      </c>
      <c r="E192">
        <v>27409</v>
      </c>
      <c r="F192" t="s">
        <v>628</v>
      </c>
      <c r="G192" s="2">
        <f>SUM(H192:J192)</f>
        <v>10513</v>
      </c>
      <c r="H192" s="3">
        <v>10513</v>
      </c>
      <c r="I192" s="3">
        <v>0</v>
      </c>
      <c r="J192" s="3">
        <v>0</v>
      </c>
      <c r="K192" s="4">
        <f>SUM(L192:N192)</f>
        <v>79788</v>
      </c>
      <c r="L192" s="3">
        <v>42054</v>
      </c>
      <c r="M192" s="3">
        <v>37734</v>
      </c>
      <c r="N192" s="3">
        <v>0</v>
      </c>
    </row>
    <row r="193" spans="1:14" x14ac:dyDescent="0.2">
      <c r="A193" t="s">
        <v>632</v>
      </c>
      <c r="B193" t="s">
        <v>633</v>
      </c>
      <c r="C193" t="s">
        <v>634</v>
      </c>
      <c r="D193" t="s">
        <v>276</v>
      </c>
      <c r="E193">
        <v>27260</v>
      </c>
      <c r="F193" t="s">
        <v>628</v>
      </c>
      <c r="G193" s="2">
        <f>SUM(H193:J193)</f>
        <v>52801</v>
      </c>
      <c r="H193" s="3">
        <v>51976</v>
      </c>
      <c r="I193" s="3">
        <v>825</v>
      </c>
      <c r="J193" s="3">
        <v>0</v>
      </c>
      <c r="K193" s="4">
        <f>SUM(L193:N193)</f>
        <v>38905.5</v>
      </c>
      <c r="L193" s="3">
        <v>37705.5</v>
      </c>
      <c r="M193" s="3">
        <v>1200</v>
      </c>
      <c r="N193" s="3">
        <v>0</v>
      </c>
    </row>
    <row r="194" spans="1:14" x14ac:dyDescent="0.2">
      <c r="A194" t="s">
        <v>638</v>
      </c>
      <c r="B194" t="s">
        <v>639</v>
      </c>
      <c r="C194" t="s">
        <v>634</v>
      </c>
      <c r="D194" t="s">
        <v>276</v>
      </c>
      <c r="E194">
        <v>27260</v>
      </c>
      <c r="F194" t="s">
        <v>628</v>
      </c>
      <c r="G194" s="2">
        <f>SUM(H194:J194)</f>
        <v>50804</v>
      </c>
      <c r="H194" s="3">
        <v>25402</v>
      </c>
      <c r="I194" s="3">
        <v>0</v>
      </c>
      <c r="J194" s="3">
        <v>25402</v>
      </c>
      <c r="K194" s="4">
        <f>SUM(L194:N194)</f>
        <v>18696</v>
      </c>
      <c r="L194" s="3">
        <v>9348</v>
      </c>
      <c r="M194" s="3">
        <v>0</v>
      </c>
      <c r="N194" s="3">
        <f>4412+4936</f>
        <v>9348</v>
      </c>
    </row>
    <row r="195" spans="1:14" x14ac:dyDescent="0.2">
      <c r="A195" t="s">
        <v>635</v>
      </c>
      <c r="B195" t="s">
        <v>636</v>
      </c>
      <c r="C195" t="s">
        <v>637</v>
      </c>
      <c r="D195" t="s">
        <v>276</v>
      </c>
      <c r="E195">
        <v>27261</v>
      </c>
      <c r="F195" t="s">
        <v>628</v>
      </c>
      <c r="G195" s="2">
        <f>SUM(H195:J195)</f>
        <v>136123</v>
      </c>
      <c r="H195" s="3">
        <v>135848</v>
      </c>
      <c r="I195" s="3">
        <v>275</v>
      </c>
      <c r="J195" s="3">
        <v>0</v>
      </c>
      <c r="K195" s="4">
        <f>SUM(L195:N195)</f>
        <v>71878.5</v>
      </c>
      <c r="L195" s="3">
        <v>71228.5</v>
      </c>
      <c r="M195" s="3">
        <v>650</v>
      </c>
      <c r="N195" s="3">
        <v>0</v>
      </c>
    </row>
    <row r="196" spans="1:14" x14ac:dyDescent="0.2">
      <c r="A196" t="s">
        <v>1032</v>
      </c>
      <c r="B196" t="s">
        <v>1033</v>
      </c>
      <c r="C196" t="s">
        <v>1034</v>
      </c>
      <c r="D196" t="s">
        <v>1035</v>
      </c>
      <c r="E196">
        <v>27052</v>
      </c>
      <c r="F196" t="s">
        <v>1026</v>
      </c>
      <c r="G196" s="2">
        <f>SUM(H196:J196)</f>
        <v>340623</v>
      </c>
      <c r="H196" s="3">
        <v>261191</v>
      </c>
      <c r="I196" s="3">
        <v>19234</v>
      </c>
      <c r="J196" s="3">
        <v>60198</v>
      </c>
      <c r="K196" s="4">
        <f>SUM(L196:N196)</f>
        <v>134933.5</v>
      </c>
      <c r="L196" s="3">
        <v>106450.5</v>
      </c>
      <c r="M196" s="3">
        <v>6320</v>
      </c>
      <c r="N196" s="3">
        <v>22163</v>
      </c>
    </row>
    <row r="197" spans="1:14" x14ac:dyDescent="0.2">
      <c r="A197" t="s">
        <v>648</v>
      </c>
      <c r="B197" t="s">
        <v>649</v>
      </c>
      <c r="C197" t="s">
        <v>650</v>
      </c>
      <c r="D197" t="s">
        <v>643</v>
      </c>
      <c r="E197">
        <v>27406</v>
      </c>
      <c r="F197" t="s">
        <v>628</v>
      </c>
      <c r="G197" s="2">
        <f>SUM(H197:J197)</f>
        <v>2837863</v>
      </c>
      <c r="H197" s="3">
        <v>1434103</v>
      </c>
      <c r="I197" s="3">
        <v>594864</v>
      </c>
      <c r="J197" s="3">
        <f>241438+131918+192079+7536+766+171399+11571+52189</f>
        <v>808896</v>
      </c>
      <c r="K197" s="4">
        <f>SUM(L197:N197)</f>
        <v>1409283</v>
      </c>
      <c r="L197" s="3">
        <v>713206</v>
      </c>
      <c r="M197" s="3">
        <v>215214</v>
      </c>
      <c r="N197" s="3">
        <f>99600+70072+114035+3062+81684+38391+74019</f>
        <v>480863</v>
      </c>
    </row>
    <row r="198" spans="1:14" x14ac:dyDescent="0.2">
      <c r="A198" t="s">
        <v>648</v>
      </c>
      <c r="B198" t="s">
        <v>651</v>
      </c>
      <c r="C198" t="s">
        <v>650</v>
      </c>
      <c r="D198" t="s">
        <v>643</v>
      </c>
      <c r="E198">
        <v>27406</v>
      </c>
      <c r="F198" t="s">
        <v>628</v>
      </c>
      <c r="G198" s="2">
        <f>SUM(H198:J198)</f>
        <v>184562</v>
      </c>
      <c r="H198" s="3">
        <v>92281</v>
      </c>
      <c r="I198" s="3">
        <v>92281</v>
      </c>
      <c r="J198" s="3">
        <v>0</v>
      </c>
      <c r="K198" s="4">
        <f>SUM(L198:N198)</f>
        <v>0</v>
      </c>
      <c r="L198" s="3">
        <v>0</v>
      </c>
      <c r="M198" s="3">
        <v>0</v>
      </c>
      <c r="N198" s="3">
        <v>0</v>
      </c>
    </row>
    <row r="199" spans="1:14" x14ac:dyDescent="0.2">
      <c r="A199" t="s">
        <v>282</v>
      </c>
      <c r="B199" t="s">
        <v>283</v>
      </c>
      <c r="C199" t="s">
        <v>284</v>
      </c>
      <c r="D199" t="s">
        <v>253</v>
      </c>
      <c r="E199">
        <v>27292</v>
      </c>
      <c r="F199" t="s">
        <v>254</v>
      </c>
      <c r="G199" s="2">
        <f>SUM(H199:J199)</f>
        <v>529351</v>
      </c>
      <c r="H199" s="3">
        <v>356473</v>
      </c>
      <c r="I199" s="3">
        <v>95293</v>
      </c>
      <c r="J199" s="3">
        <v>77585</v>
      </c>
      <c r="K199" s="4">
        <f>SUM(L199:N199)</f>
        <v>233950.5</v>
      </c>
      <c r="L199" s="3">
        <v>171572.5</v>
      </c>
      <c r="M199" s="3">
        <v>22698</v>
      </c>
      <c r="N199" s="3">
        <v>39680</v>
      </c>
    </row>
    <row r="200" spans="1:14" x14ac:dyDescent="0.2">
      <c r="A200" t="s">
        <v>936</v>
      </c>
      <c r="B200" t="s">
        <v>937</v>
      </c>
      <c r="C200" t="s">
        <v>938</v>
      </c>
      <c r="D200" t="s">
        <v>939</v>
      </c>
      <c r="E200">
        <v>27317</v>
      </c>
      <c r="F200" t="s">
        <v>929</v>
      </c>
      <c r="G200" s="2">
        <f>SUM(H200:J200)</f>
        <v>34532</v>
      </c>
      <c r="H200" s="3">
        <v>17266</v>
      </c>
      <c r="I200" s="3">
        <v>3413</v>
      </c>
      <c r="J200" s="3">
        <f>12350+846+657</f>
        <v>13853</v>
      </c>
      <c r="K200" s="4">
        <f>SUM(L200:N200)</f>
        <v>18692</v>
      </c>
      <c r="L200" s="3">
        <v>9346</v>
      </c>
      <c r="M200" s="3">
        <v>215</v>
      </c>
      <c r="N200" s="3">
        <f>7884+1247</f>
        <v>9131</v>
      </c>
    </row>
    <row r="201" spans="1:14" x14ac:dyDescent="0.2">
      <c r="A201" t="s">
        <v>964</v>
      </c>
      <c r="B201" t="s">
        <v>968</v>
      </c>
      <c r="C201" t="s">
        <v>969</v>
      </c>
      <c r="D201" t="s">
        <v>967</v>
      </c>
      <c r="E201">
        <v>27288</v>
      </c>
      <c r="F201" t="s">
        <v>963</v>
      </c>
      <c r="G201" s="2">
        <f>SUM(H201:J201)</f>
        <v>78288</v>
      </c>
      <c r="H201" s="3">
        <v>42650</v>
      </c>
      <c r="I201" s="3">
        <v>700</v>
      </c>
      <c r="J201" s="3">
        <f>32992+1946</f>
        <v>34938</v>
      </c>
      <c r="K201" s="4">
        <f>SUM(L201:N201)</f>
        <v>50985</v>
      </c>
      <c r="L201" s="3">
        <v>27616</v>
      </c>
      <c r="M201" s="3">
        <v>365</v>
      </c>
      <c r="N201" s="3">
        <f>21196+1808</f>
        <v>23004</v>
      </c>
    </row>
    <row r="202" spans="1:14" x14ac:dyDescent="0.2">
      <c r="A202" t="s">
        <v>964</v>
      </c>
      <c r="B202" t="s">
        <v>965</v>
      </c>
      <c r="C202" t="s">
        <v>966</v>
      </c>
      <c r="D202" t="s">
        <v>967</v>
      </c>
      <c r="E202">
        <v>27360</v>
      </c>
      <c r="F202" t="s">
        <v>963</v>
      </c>
      <c r="G202" s="2">
        <f>SUM(H202:J202)</f>
        <v>44649</v>
      </c>
      <c r="H202" s="3">
        <v>43554</v>
      </c>
      <c r="I202" s="3">
        <v>1095</v>
      </c>
      <c r="J202" s="3">
        <v>0</v>
      </c>
      <c r="K202" s="4">
        <f>SUM(L202:N202)</f>
        <v>32152.5</v>
      </c>
      <c r="L202" s="3">
        <v>31702.5</v>
      </c>
      <c r="M202" s="3">
        <v>450</v>
      </c>
      <c r="N202" s="3">
        <v>0</v>
      </c>
    </row>
    <row r="203" spans="1:14" x14ac:dyDescent="0.2">
      <c r="A203" t="s">
        <v>255</v>
      </c>
      <c r="B203" t="s">
        <v>256</v>
      </c>
      <c r="C203" t="s">
        <v>257</v>
      </c>
      <c r="D203" t="s">
        <v>253</v>
      </c>
      <c r="E203">
        <v>27292</v>
      </c>
      <c r="F203" t="s">
        <v>254</v>
      </c>
      <c r="G203" s="2">
        <f>SUM(H203:J203)</f>
        <v>208670</v>
      </c>
      <c r="H203" s="3">
        <v>121304</v>
      </c>
      <c r="I203" s="3">
        <v>2000</v>
      </c>
      <c r="J203" s="3">
        <f>74653+10713</f>
        <v>85366</v>
      </c>
      <c r="K203" s="4">
        <f>SUM(L203:N203)</f>
        <v>103159.5</v>
      </c>
      <c r="L203" s="3">
        <v>65416.5</v>
      </c>
      <c r="M203" s="3">
        <v>1525</v>
      </c>
      <c r="N203" s="3">
        <f>31390+4828</f>
        <v>36218</v>
      </c>
    </row>
    <row r="204" spans="1:14" x14ac:dyDescent="0.2">
      <c r="A204" t="s">
        <v>255</v>
      </c>
      <c r="B204" t="s">
        <v>258</v>
      </c>
      <c r="C204" t="s">
        <v>257</v>
      </c>
      <c r="D204" t="s">
        <v>253</v>
      </c>
      <c r="E204">
        <v>27292</v>
      </c>
      <c r="F204" t="s">
        <v>254</v>
      </c>
      <c r="G204" s="2">
        <f>SUM(H204:J204)</f>
        <v>39718</v>
      </c>
      <c r="H204" s="3">
        <v>24354</v>
      </c>
      <c r="I204" s="3">
        <v>15364</v>
      </c>
      <c r="J204" s="3">
        <v>0</v>
      </c>
      <c r="K204" s="4">
        <f>SUM(L204:N204)</f>
        <v>8323</v>
      </c>
      <c r="L204" s="3">
        <v>7234</v>
      </c>
      <c r="M204" s="3">
        <v>1089</v>
      </c>
      <c r="N204" s="3">
        <v>0</v>
      </c>
    </row>
    <row r="205" spans="1:14" x14ac:dyDescent="0.2">
      <c r="A205" t="s">
        <v>992</v>
      </c>
      <c r="B205" t="s">
        <v>993</v>
      </c>
      <c r="C205" t="s">
        <v>994</v>
      </c>
      <c r="D205" t="s">
        <v>962</v>
      </c>
      <c r="E205">
        <v>27320</v>
      </c>
      <c r="F205" t="s">
        <v>963</v>
      </c>
      <c r="G205" s="2">
        <f>SUM(H205:J205)</f>
        <v>3480</v>
      </c>
      <c r="H205" s="3">
        <v>3480</v>
      </c>
      <c r="I205" s="3">
        <v>0</v>
      </c>
      <c r="J205" s="3">
        <v>0</v>
      </c>
      <c r="K205" s="4">
        <f>SUM(L205:N205)</f>
        <v>0</v>
      </c>
      <c r="L205" s="3">
        <v>0</v>
      </c>
      <c r="M205" s="3">
        <v>0</v>
      </c>
      <c r="N205" s="3">
        <v>0</v>
      </c>
    </row>
    <row r="206" spans="1:14" x14ac:dyDescent="0.2">
      <c r="A206" t="s">
        <v>468</v>
      </c>
      <c r="B206" t="s">
        <v>469</v>
      </c>
      <c r="C206" t="s">
        <v>470</v>
      </c>
      <c r="D206" t="s">
        <v>299</v>
      </c>
      <c r="E206">
        <v>27106</v>
      </c>
      <c r="F206" t="s">
        <v>349</v>
      </c>
      <c r="G206" s="2">
        <f>SUM(H206:J206)</f>
        <v>35973</v>
      </c>
      <c r="H206" s="3">
        <v>34570</v>
      </c>
      <c r="I206" s="3">
        <v>798</v>
      </c>
      <c r="J206" s="3">
        <v>605</v>
      </c>
      <c r="K206" s="4">
        <f>SUM(L206:N206)</f>
        <v>0</v>
      </c>
      <c r="L206" s="3">
        <v>0</v>
      </c>
      <c r="M206" s="3">
        <v>0</v>
      </c>
      <c r="N206" s="3">
        <v>0</v>
      </c>
    </row>
    <row r="207" spans="1:14" x14ac:dyDescent="0.2">
      <c r="A207" t="s">
        <v>480</v>
      </c>
      <c r="B207" t="s">
        <v>481</v>
      </c>
      <c r="C207" t="s">
        <v>482</v>
      </c>
      <c r="D207" t="s">
        <v>299</v>
      </c>
      <c r="E207">
        <v>27106</v>
      </c>
      <c r="F207" t="s">
        <v>349</v>
      </c>
      <c r="G207" s="2">
        <f>SUM(H207:J207)</f>
        <v>81031</v>
      </c>
      <c r="H207" s="3">
        <v>61069</v>
      </c>
      <c r="I207" s="3">
        <v>10073</v>
      </c>
      <c r="J207" s="3">
        <f>7774+2115</f>
        <v>9889</v>
      </c>
      <c r="K207" s="4">
        <f>SUM(L207:N207)</f>
        <v>46125.5</v>
      </c>
      <c r="L207" s="3">
        <v>36363.5</v>
      </c>
      <c r="M207" s="3">
        <v>5475</v>
      </c>
      <c r="N207" s="3">
        <f>2618+1669</f>
        <v>4287</v>
      </c>
    </row>
    <row r="208" spans="1:14" x14ac:dyDescent="0.2">
      <c r="A208" t="s">
        <v>52</v>
      </c>
      <c r="B208" t="s">
        <v>53</v>
      </c>
      <c r="C208" t="s">
        <v>54</v>
      </c>
      <c r="D208" t="s">
        <v>11</v>
      </c>
      <c r="E208">
        <v>27215</v>
      </c>
      <c r="F208" t="s">
        <v>12</v>
      </c>
      <c r="G208" s="2">
        <f>SUM(H208:J208)</f>
        <v>124197</v>
      </c>
      <c r="H208" s="3">
        <v>76233</v>
      </c>
      <c r="I208" s="3">
        <v>725</v>
      </c>
      <c r="J208" s="3">
        <f>3625+43614</f>
        <v>47239</v>
      </c>
      <c r="K208" s="4">
        <f>SUM(L208:N208)</f>
        <v>29436</v>
      </c>
      <c r="L208" s="3">
        <v>22581</v>
      </c>
      <c r="M208" s="3">
        <v>325</v>
      </c>
      <c r="N208" s="3">
        <v>6530</v>
      </c>
    </row>
    <row r="209" spans="1:14" x14ac:dyDescent="0.2">
      <c r="A209" t="s">
        <v>477</v>
      </c>
      <c r="B209" t="s">
        <v>478</v>
      </c>
      <c r="C209" t="s">
        <v>479</v>
      </c>
      <c r="D209" t="s">
        <v>375</v>
      </c>
      <c r="E209">
        <v>27284</v>
      </c>
      <c r="F209" t="s">
        <v>349</v>
      </c>
      <c r="G209" s="2">
        <f>SUM(H209:J209)</f>
        <v>237702</v>
      </c>
      <c r="H209" s="3">
        <v>211938</v>
      </c>
      <c r="I209" s="3">
        <v>4705</v>
      </c>
      <c r="J209" s="3">
        <f>20099+900+60</f>
        <v>21059</v>
      </c>
      <c r="K209" s="4">
        <f>SUM(L209:N209)</f>
        <v>163064.5</v>
      </c>
      <c r="L209" s="3">
        <v>151530.5</v>
      </c>
      <c r="M209" s="3">
        <v>3450</v>
      </c>
      <c r="N209" s="3">
        <v>8084</v>
      </c>
    </row>
    <row r="210" spans="1:14" x14ac:dyDescent="0.2">
      <c r="A210" t="s">
        <v>354</v>
      </c>
      <c r="B210" t="s">
        <v>355</v>
      </c>
      <c r="C210" t="s">
        <v>356</v>
      </c>
      <c r="D210" t="s">
        <v>299</v>
      </c>
      <c r="E210">
        <v>27127</v>
      </c>
      <c r="F210" t="s">
        <v>349</v>
      </c>
      <c r="G210" s="2">
        <f>SUM(H210:J210)</f>
        <v>645188</v>
      </c>
      <c r="H210" s="3">
        <v>424775</v>
      </c>
      <c r="I210" s="3">
        <v>158460</v>
      </c>
      <c r="J210" s="3">
        <v>61953</v>
      </c>
      <c r="K210" s="4">
        <f>SUM(L210:N210)</f>
        <v>312531.5</v>
      </c>
      <c r="L210" s="3">
        <v>227016.5</v>
      </c>
      <c r="M210" s="3">
        <v>60452</v>
      </c>
      <c r="N210" s="3">
        <v>25063</v>
      </c>
    </row>
    <row r="211" spans="1:14" x14ac:dyDescent="0.2">
      <c r="A211" t="s">
        <v>33</v>
      </c>
      <c r="B211" t="s">
        <v>34</v>
      </c>
      <c r="C211" t="s">
        <v>35</v>
      </c>
      <c r="D211" t="s">
        <v>11</v>
      </c>
      <c r="E211">
        <v>27215</v>
      </c>
      <c r="F211" t="s">
        <v>12</v>
      </c>
      <c r="G211" s="2">
        <f>SUM(H211:J211)</f>
        <v>7772</v>
      </c>
      <c r="H211" s="3">
        <v>7772</v>
      </c>
      <c r="I211" s="3">
        <v>0</v>
      </c>
      <c r="J211" s="3">
        <v>0</v>
      </c>
      <c r="K211" s="4">
        <f>SUM(L211:N211)</f>
        <v>3625</v>
      </c>
      <c r="L211" s="3">
        <v>3625</v>
      </c>
      <c r="M211" s="3">
        <v>0</v>
      </c>
      <c r="N211" s="3">
        <v>0</v>
      </c>
    </row>
    <row r="212" spans="1:14" x14ac:dyDescent="0.2">
      <c r="A212" t="s">
        <v>69</v>
      </c>
      <c r="B212" t="s">
        <v>70</v>
      </c>
      <c r="C212" t="s">
        <v>71</v>
      </c>
      <c r="D212" t="s">
        <v>42</v>
      </c>
      <c r="E212">
        <v>27253</v>
      </c>
      <c r="F212" t="s">
        <v>12</v>
      </c>
      <c r="G212" s="2">
        <f>SUM(H212:J212)</f>
        <v>5635</v>
      </c>
      <c r="H212" s="3">
        <v>5635</v>
      </c>
      <c r="I212" s="3">
        <v>0</v>
      </c>
      <c r="J212" s="3">
        <v>0</v>
      </c>
      <c r="K212" s="4">
        <f>SUM(L212:N212)</f>
        <v>1588</v>
      </c>
      <c r="L212" s="3">
        <v>1588</v>
      </c>
      <c r="M212" s="3">
        <v>0</v>
      </c>
      <c r="N212" s="3">
        <v>0</v>
      </c>
    </row>
    <row r="213" spans="1:14" x14ac:dyDescent="0.2">
      <c r="A213" t="s">
        <v>619</v>
      </c>
      <c r="B213" t="s">
        <v>620</v>
      </c>
      <c r="C213" t="s">
        <v>621</v>
      </c>
      <c r="D213" t="s">
        <v>299</v>
      </c>
      <c r="E213">
        <v>27127</v>
      </c>
      <c r="F213" t="s">
        <v>349</v>
      </c>
      <c r="G213" s="2">
        <f>SUM(H213:J213)</f>
        <v>46351</v>
      </c>
      <c r="H213" s="3">
        <v>45187</v>
      </c>
      <c r="I213" s="3">
        <v>1164</v>
      </c>
      <c r="J213" s="3">
        <v>0</v>
      </c>
      <c r="K213" s="4">
        <f>SUM(L213:N213)</f>
        <v>55308</v>
      </c>
      <c r="L213" s="3">
        <v>42702</v>
      </c>
      <c r="M213" s="3">
        <v>12606</v>
      </c>
      <c r="N213" s="3">
        <v>0</v>
      </c>
    </row>
    <row r="214" spans="1:14" x14ac:dyDescent="0.2">
      <c r="A214" t="s">
        <v>1076</v>
      </c>
      <c r="B214" t="s">
        <v>1077</v>
      </c>
      <c r="C214" t="s">
        <v>1078</v>
      </c>
      <c r="D214" t="s">
        <v>1079</v>
      </c>
      <c r="E214">
        <v>27041</v>
      </c>
      <c r="F214" t="s">
        <v>1055</v>
      </c>
      <c r="G214" s="2">
        <f>SUM(H214:J214)</f>
        <v>870</v>
      </c>
      <c r="H214" s="3">
        <v>870</v>
      </c>
      <c r="I214" s="3">
        <v>0</v>
      </c>
      <c r="J214" s="3">
        <v>0</v>
      </c>
      <c r="K214" s="4">
        <f>SUM(L214:N214)</f>
        <v>435</v>
      </c>
      <c r="L214" s="3">
        <v>435</v>
      </c>
      <c r="M214" s="3">
        <v>0</v>
      </c>
      <c r="N214" s="3">
        <v>0</v>
      </c>
    </row>
    <row r="215" spans="1:14" x14ac:dyDescent="0.2">
      <c r="A215" t="s">
        <v>362</v>
      </c>
      <c r="B215" t="s">
        <v>363</v>
      </c>
      <c r="C215" t="s">
        <v>364</v>
      </c>
      <c r="D215" t="s">
        <v>365</v>
      </c>
      <c r="E215">
        <v>27012</v>
      </c>
      <c r="F215" t="s">
        <v>349</v>
      </c>
      <c r="G215" s="2">
        <f>SUM(H215:J215)</f>
        <v>6380</v>
      </c>
      <c r="H215" s="3">
        <v>6380</v>
      </c>
      <c r="I215" s="3">
        <v>0</v>
      </c>
      <c r="J215" s="3">
        <v>0</v>
      </c>
      <c r="K215" s="4">
        <f>SUM(L215:N215)</f>
        <v>1160</v>
      </c>
      <c r="L215" s="3">
        <v>1160</v>
      </c>
      <c r="M215" s="3">
        <v>0</v>
      </c>
      <c r="N215" s="3">
        <v>0</v>
      </c>
    </row>
    <row r="216" spans="1:14" x14ac:dyDescent="0.2">
      <c r="A216" t="s">
        <v>909</v>
      </c>
      <c r="B216" t="s">
        <v>910</v>
      </c>
      <c r="C216" t="s">
        <v>911</v>
      </c>
      <c r="D216" t="s">
        <v>912</v>
      </c>
      <c r="E216">
        <v>28634</v>
      </c>
      <c r="F216" t="s">
        <v>890</v>
      </c>
      <c r="G216" s="2">
        <f>SUM(H216:J216)</f>
        <v>221101</v>
      </c>
      <c r="H216" s="3">
        <v>176003</v>
      </c>
      <c r="I216" s="3">
        <v>35369</v>
      </c>
      <c r="J216" s="3">
        <v>9729</v>
      </c>
      <c r="K216" s="4">
        <f>SUM(L216:N216)</f>
        <v>104530.5</v>
      </c>
      <c r="L216" s="3">
        <v>93955.5</v>
      </c>
      <c r="M216" s="3">
        <v>7400</v>
      </c>
      <c r="N216" s="3">
        <v>3175</v>
      </c>
    </row>
    <row r="217" spans="1:14" x14ac:dyDescent="0.2">
      <c r="A217" t="s">
        <v>622</v>
      </c>
      <c r="B217" t="s">
        <v>623</v>
      </c>
      <c r="C217" t="s">
        <v>624</v>
      </c>
      <c r="D217" t="s">
        <v>299</v>
      </c>
      <c r="E217">
        <v>27107</v>
      </c>
      <c r="F217" t="s">
        <v>349</v>
      </c>
      <c r="G217" s="2">
        <f>SUM(H217:J217)</f>
        <v>33893</v>
      </c>
      <c r="H217" s="3">
        <v>33203</v>
      </c>
      <c r="I217" s="3">
        <v>690</v>
      </c>
      <c r="J217" s="3">
        <v>0</v>
      </c>
      <c r="K217" s="4">
        <f>SUM(L217:N217)</f>
        <v>6664</v>
      </c>
      <c r="L217" s="3">
        <v>6464</v>
      </c>
      <c r="M217" s="3">
        <v>200</v>
      </c>
      <c r="N217" s="3">
        <v>0</v>
      </c>
    </row>
    <row r="218" spans="1:14" x14ac:dyDescent="0.2">
      <c r="A218" t="s">
        <v>66</v>
      </c>
      <c r="B218" t="s">
        <v>67</v>
      </c>
      <c r="C218" t="s">
        <v>68</v>
      </c>
      <c r="D218" t="s">
        <v>11</v>
      </c>
      <c r="E218">
        <v>27215</v>
      </c>
      <c r="F218" t="s">
        <v>12</v>
      </c>
      <c r="G218" s="2">
        <f>SUM(H218:J218)</f>
        <v>160253</v>
      </c>
      <c r="H218" s="3">
        <v>113034</v>
      </c>
      <c r="I218" s="3">
        <v>47219</v>
      </c>
      <c r="J218" s="3">
        <v>0</v>
      </c>
      <c r="K218" s="4">
        <f>SUM(L218:N218)</f>
        <v>146471.29999999999</v>
      </c>
      <c r="L218" s="3">
        <v>114315.3</v>
      </c>
      <c r="M218" s="3">
        <v>32156</v>
      </c>
      <c r="N218" s="3">
        <v>0</v>
      </c>
    </row>
    <row r="219" spans="1:14" x14ac:dyDescent="0.2">
      <c r="A219" t="s">
        <v>218</v>
      </c>
      <c r="B219" t="s">
        <v>219</v>
      </c>
      <c r="C219" t="s">
        <v>220</v>
      </c>
      <c r="D219" t="s">
        <v>185</v>
      </c>
      <c r="E219">
        <v>28645</v>
      </c>
      <c r="F219" t="s">
        <v>181</v>
      </c>
      <c r="G219" s="2">
        <f>SUM(H219:J219)</f>
        <v>35033</v>
      </c>
      <c r="H219" s="3">
        <v>32558</v>
      </c>
      <c r="I219" s="3">
        <v>50</v>
      </c>
      <c r="J219" s="3">
        <v>2425</v>
      </c>
      <c r="K219" s="4">
        <f>SUM(L219:N219)</f>
        <v>7717</v>
      </c>
      <c r="L219" s="3">
        <v>6456</v>
      </c>
      <c r="M219" s="3">
        <v>0</v>
      </c>
      <c r="N219" s="3">
        <v>1261</v>
      </c>
    </row>
    <row r="220" spans="1:14" x14ac:dyDescent="0.2">
      <c r="A220" t="s">
        <v>952</v>
      </c>
      <c r="B220" t="s">
        <v>953</v>
      </c>
      <c r="C220" t="s">
        <v>954</v>
      </c>
      <c r="D220" t="s">
        <v>955</v>
      </c>
      <c r="E220">
        <v>27298</v>
      </c>
      <c r="F220" t="s">
        <v>929</v>
      </c>
      <c r="G220" s="2">
        <f>SUM(H220:J220)</f>
        <v>87430</v>
      </c>
      <c r="H220" s="3">
        <v>49620</v>
      </c>
      <c r="I220" s="3">
        <v>15389</v>
      </c>
      <c r="J220" s="3">
        <f>19811+1607+1003</f>
        <v>22421</v>
      </c>
      <c r="K220" s="4">
        <f>SUM(L220:N220)</f>
        <v>39081</v>
      </c>
      <c r="L220" s="3">
        <v>26378</v>
      </c>
      <c r="M220" s="3">
        <v>5796</v>
      </c>
      <c r="N220" s="3">
        <v>6907</v>
      </c>
    </row>
    <row r="221" spans="1:14" x14ac:dyDescent="0.2">
      <c r="A221" t="s">
        <v>880</v>
      </c>
      <c r="B221" t="s">
        <v>881</v>
      </c>
      <c r="C221" t="s">
        <v>882</v>
      </c>
      <c r="D221" t="s">
        <v>643</v>
      </c>
      <c r="E221">
        <v>27407</v>
      </c>
      <c r="F221" t="s">
        <v>628</v>
      </c>
      <c r="G221" s="2">
        <f>SUM(H221:J221)</f>
        <v>11327</v>
      </c>
      <c r="H221" s="3">
        <v>10829</v>
      </c>
      <c r="I221" s="3">
        <v>498</v>
      </c>
      <c r="J221" s="3">
        <v>0</v>
      </c>
      <c r="K221" s="4">
        <f>SUM(L221:N221)</f>
        <v>53988</v>
      </c>
      <c r="L221" s="3">
        <v>52285</v>
      </c>
      <c r="M221" s="3">
        <v>1703</v>
      </c>
      <c r="N221" s="3">
        <v>0</v>
      </c>
    </row>
    <row r="222" spans="1:14" x14ac:dyDescent="0.2">
      <c r="A222" t="s">
        <v>1123</v>
      </c>
      <c r="B222" t="s">
        <v>1124</v>
      </c>
      <c r="C222" t="s">
        <v>1125</v>
      </c>
      <c r="D222" t="s">
        <v>1096</v>
      </c>
      <c r="E222">
        <v>28607</v>
      </c>
      <c r="F222" t="s">
        <v>1097</v>
      </c>
      <c r="G222" s="2">
        <f>SUM(H222:J222)</f>
        <v>3192</v>
      </c>
      <c r="H222" s="3">
        <v>3192</v>
      </c>
      <c r="I222" s="3">
        <v>0</v>
      </c>
      <c r="J222" s="3">
        <v>0</v>
      </c>
      <c r="K222" s="4">
        <f>SUM(L222:N222)</f>
        <v>1596</v>
      </c>
      <c r="L222" s="3">
        <v>1596</v>
      </c>
      <c r="M222" s="3">
        <v>0</v>
      </c>
      <c r="N222" s="3">
        <v>0</v>
      </c>
    </row>
    <row r="223" spans="1:14" x14ac:dyDescent="0.2">
      <c r="A223" t="s">
        <v>1126</v>
      </c>
      <c r="B223" t="s">
        <v>1127</v>
      </c>
      <c r="C223" t="s">
        <v>1128</v>
      </c>
      <c r="D223" t="s">
        <v>1096</v>
      </c>
      <c r="E223">
        <v>28607</v>
      </c>
      <c r="F223" t="s">
        <v>1097</v>
      </c>
      <c r="G223" s="2">
        <f>SUM(H223:J223)</f>
        <v>172578</v>
      </c>
      <c r="H223" s="3">
        <v>118828</v>
      </c>
      <c r="I223" s="3">
        <v>27368</v>
      </c>
      <c r="J223" s="3">
        <v>26382</v>
      </c>
      <c r="K223" s="4">
        <f>SUM(L223:N223)</f>
        <v>167171</v>
      </c>
      <c r="L223" s="3">
        <v>111423</v>
      </c>
      <c r="M223" s="3">
        <v>14661</v>
      </c>
      <c r="N223" s="3">
        <v>41087</v>
      </c>
    </row>
    <row r="224" spans="1:14" x14ac:dyDescent="0.2">
      <c r="A224" t="s">
        <v>1126</v>
      </c>
      <c r="B224" t="s">
        <v>1129</v>
      </c>
      <c r="C224" t="s">
        <v>1128</v>
      </c>
      <c r="D224" t="s">
        <v>1096</v>
      </c>
      <c r="E224">
        <v>28607</v>
      </c>
      <c r="F224" t="s">
        <v>1097</v>
      </c>
      <c r="G224" s="2">
        <f>SUM(H224:J224)</f>
        <v>109560</v>
      </c>
      <c r="H224" s="3">
        <v>66426</v>
      </c>
      <c r="I224" s="3">
        <v>18327</v>
      </c>
      <c r="J224" s="3">
        <v>24807</v>
      </c>
      <c r="K224" s="4">
        <f>SUM(L224:N224)</f>
        <v>46412.5</v>
      </c>
      <c r="L224" s="3">
        <v>35568.5</v>
      </c>
      <c r="M224" s="3">
        <v>10844</v>
      </c>
      <c r="N224" s="3">
        <v>0</v>
      </c>
    </row>
    <row r="225" spans="1:14" x14ac:dyDescent="0.2">
      <c r="A225" t="s">
        <v>587</v>
      </c>
      <c r="B225" t="s">
        <v>588</v>
      </c>
      <c r="C225" t="s">
        <v>589</v>
      </c>
      <c r="D225" t="s">
        <v>299</v>
      </c>
      <c r="E225">
        <v>27127</v>
      </c>
      <c r="F225" t="s">
        <v>349</v>
      </c>
      <c r="G225" s="2">
        <f>SUM(H225:J225)</f>
        <v>6612</v>
      </c>
      <c r="H225" s="3">
        <v>6612</v>
      </c>
      <c r="I225" s="3">
        <v>0</v>
      </c>
      <c r="J225" s="3">
        <v>0</v>
      </c>
      <c r="K225" s="4">
        <f>SUM(L225:N225)</f>
        <v>0</v>
      </c>
      <c r="L225" s="3">
        <v>0</v>
      </c>
      <c r="M225" s="3">
        <v>0</v>
      </c>
      <c r="N225" s="3">
        <v>0</v>
      </c>
    </row>
    <row r="226" spans="1:14" x14ac:dyDescent="0.2">
      <c r="A226" t="s">
        <v>447</v>
      </c>
      <c r="B226" t="s">
        <v>448</v>
      </c>
      <c r="C226" t="s">
        <v>449</v>
      </c>
      <c r="D226" t="s">
        <v>299</v>
      </c>
      <c r="E226">
        <v>27105</v>
      </c>
      <c r="F226" t="s">
        <v>349</v>
      </c>
      <c r="G226" s="2">
        <f>SUM(H226:J226)</f>
        <v>8990</v>
      </c>
      <c r="H226" s="3">
        <v>8990</v>
      </c>
      <c r="I226" s="3">
        <v>0</v>
      </c>
      <c r="J226" s="3">
        <v>0</v>
      </c>
      <c r="K226" s="4">
        <f>SUM(L226:N226)</f>
        <v>3625</v>
      </c>
      <c r="L226" s="3">
        <v>3625</v>
      </c>
      <c r="M226" s="3">
        <v>0</v>
      </c>
      <c r="N226" s="3">
        <v>0</v>
      </c>
    </row>
    <row r="227" spans="1:14" x14ac:dyDescent="0.2">
      <c r="A227" t="s">
        <v>930</v>
      </c>
      <c r="B227" t="s">
        <v>931</v>
      </c>
      <c r="C227" t="s">
        <v>932</v>
      </c>
      <c r="D227" t="s">
        <v>928</v>
      </c>
      <c r="E227">
        <v>27203</v>
      </c>
      <c r="F227" t="s">
        <v>929</v>
      </c>
      <c r="G227" s="2">
        <f>SUM(H227:J227)</f>
        <v>248228</v>
      </c>
      <c r="H227" s="3">
        <v>141527</v>
      </c>
      <c r="I227" s="3">
        <v>12214</v>
      </c>
      <c r="J227" s="3">
        <f>89829+4658</f>
        <v>94487</v>
      </c>
      <c r="K227" s="4">
        <f>SUM(L227:N227)</f>
        <v>122713.3</v>
      </c>
      <c r="L227" s="3">
        <v>68365.3</v>
      </c>
      <c r="M227" s="3">
        <v>9972</v>
      </c>
      <c r="N227" s="3">
        <f>44242+134</f>
        <v>44376</v>
      </c>
    </row>
    <row r="228" spans="1:14" x14ac:dyDescent="0.2">
      <c r="A228" t="s">
        <v>394</v>
      </c>
      <c r="B228" t="s">
        <v>395</v>
      </c>
      <c r="C228" t="s">
        <v>396</v>
      </c>
      <c r="D228" t="s">
        <v>299</v>
      </c>
      <c r="E228">
        <v>27105</v>
      </c>
      <c r="F228" t="s">
        <v>349</v>
      </c>
      <c r="G228" s="2">
        <f>SUM(H228:J228)</f>
        <v>49431</v>
      </c>
      <c r="H228" s="3">
        <v>49431</v>
      </c>
      <c r="I228" s="3">
        <v>0</v>
      </c>
      <c r="J228" s="3">
        <v>0</v>
      </c>
      <c r="K228" s="4">
        <f>SUM(L228:N228)</f>
        <v>27794.5</v>
      </c>
      <c r="L228" s="3">
        <v>27794.5</v>
      </c>
      <c r="M228" s="3">
        <v>0</v>
      </c>
      <c r="N228" s="3">
        <v>0</v>
      </c>
    </row>
    <row r="229" spans="1:14" x14ac:dyDescent="0.2">
      <c r="A229" t="s">
        <v>590</v>
      </c>
      <c r="B229" t="s">
        <v>591</v>
      </c>
      <c r="C229" t="s">
        <v>592</v>
      </c>
      <c r="D229" t="s">
        <v>299</v>
      </c>
      <c r="E229">
        <v>27105</v>
      </c>
      <c r="F229" t="s">
        <v>349</v>
      </c>
      <c r="G229" s="2">
        <f>SUM(H229:J229)</f>
        <v>130419</v>
      </c>
      <c r="H229" s="3">
        <v>107159</v>
      </c>
      <c r="I229" s="3">
        <v>20453</v>
      </c>
      <c r="J229" s="3">
        <v>2807</v>
      </c>
      <c r="K229" s="4">
        <f>SUM(L229:N229)</f>
        <v>98466</v>
      </c>
      <c r="L229" s="3">
        <v>88843</v>
      </c>
      <c r="M229" s="3">
        <v>7910</v>
      </c>
      <c r="N229" s="3">
        <v>1713</v>
      </c>
    </row>
    <row r="230" spans="1:14" x14ac:dyDescent="0.2">
      <c r="A230" t="s">
        <v>613</v>
      </c>
      <c r="B230" t="s">
        <v>614</v>
      </c>
      <c r="C230" t="s">
        <v>615</v>
      </c>
      <c r="D230" t="s">
        <v>375</v>
      </c>
      <c r="E230">
        <v>27284</v>
      </c>
      <c r="F230" t="s">
        <v>349</v>
      </c>
      <c r="G230" s="2">
        <f>SUM(H230:J230)</f>
        <v>7830</v>
      </c>
      <c r="H230" s="3">
        <v>7830</v>
      </c>
      <c r="I230" s="3">
        <v>0</v>
      </c>
      <c r="J230" s="3">
        <v>0</v>
      </c>
      <c r="K230" s="4">
        <f>SUM(L230:N230)</f>
        <v>2104</v>
      </c>
      <c r="L230" s="3">
        <v>2104</v>
      </c>
      <c r="M230" s="3">
        <v>0</v>
      </c>
      <c r="N230" s="3">
        <v>0</v>
      </c>
    </row>
    <row r="231" spans="1:14" x14ac:dyDescent="0.2">
      <c r="A231" t="s">
        <v>138</v>
      </c>
      <c r="B231" t="s">
        <v>139</v>
      </c>
      <c r="C231" t="s">
        <v>140</v>
      </c>
      <c r="D231" t="s">
        <v>132</v>
      </c>
      <c r="E231">
        <v>28640</v>
      </c>
      <c r="F231" t="s">
        <v>120</v>
      </c>
      <c r="G231" s="2">
        <f>SUM(H231:J231)</f>
        <v>18588</v>
      </c>
      <c r="H231" s="3">
        <v>16288</v>
      </c>
      <c r="I231" s="3">
        <v>2300</v>
      </c>
      <c r="J231" s="3">
        <v>0</v>
      </c>
      <c r="K231" s="4">
        <f>SUM(L231:N231)</f>
        <v>24717</v>
      </c>
      <c r="L231" s="3">
        <v>16488</v>
      </c>
      <c r="M231" s="3">
        <v>8229</v>
      </c>
      <c r="N231" s="3">
        <v>0</v>
      </c>
    </row>
    <row r="232" spans="1:14" x14ac:dyDescent="0.2">
      <c r="A232" t="s">
        <v>459</v>
      </c>
      <c r="B232" t="s">
        <v>460</v>
      </c>
      <c r="C232" t="s">
        <v>461</v>
      </c>
      <c r="D232" t="s">
        <v>299</v>
      </c>
      <c r="E232">
        <v>27105</v>
      </c>
      <c r="F232" t="s">
        <v>349</v>
      </c>
      <c r="G232" s="2">
        <f>SUM(H232:J232)</f>
        <v>630602</v>
      </c>
      <c r="H232" s="3">
        <v>546400</v>
      </c>
      <c r="I232" s="3">
        <v>62705</v>
      </c>
      <c r="J232" s="3">
        <f>11478+5379+4640</f>
        <v>21497</v>
      </c>
      <c r="K232" s="4">
        <f>SUM(L232:N232)</f>
        <v>332855.09999999998</v>
      </c>
      <c r="L232" s="3">
        <v>283794.09999999998</v>
      </c>
      <c r="M232" s="3">
        <v>37610</v>
      </c>
      <c r="N232" s="3">
        <f>5853+2960+2638</f>
        <v>11451</v>
      </c>
    </row>
    <row r="233" spans="1:14" x14ac:dyDescent="0.2">
      <c r="A233" t="s">
        <v>381</v>
      </c>
      <c r="B233" t="s">
        <v>382</v>
      </c>
      <c r="C233" t="s">
        <v>383</v>
      </c>
      <c r="D233" t="s">
        <v>299</v>
      </c>
      <c r="E233">
        <v>27107</v>
      </c>
      <c r="F233" t="s">
        <v>349</v>
      </c>
      <c r="G233" s="2">
        <f>SUM(H233:J233)</f>
        <v>86098</v>
      </c>
      <c r="H233" s="3">
        <v>67273</v>
      </c>
      <c r="I233" s="3">
        <v>1475</v>
      </c>
      <c r="J233" s="3">
        <v>17350</v>
      </c>
      <c r="K233" s="4">
        <f>SUM(L233:N233)</f>
        <v>91575.9</v>
      </c>
      <c r="L233" s="3">
        <v>68207.899999999994</v>
      </c>
      <c r="M233" s="3">
        <v>4726</v>
      </c>
      <c r="N233" s="3">
        <v>18642</v>
      </c>
    </row>
    <row r="234" spans="1:14" x14ac:dyDescent="0.2">
      <c r="A234" t="s">
        <v>977</v>
      </c>
      <c r="B234" t="s">
        <v>978</v>
      </c>
      <c r="C234" t="s">
        <v>979</v>
      </c>
      <c r="D234" t="s">
        <v>962</v>
      </c>
      <c r="F234" t="s">
        <v>963</v>
      </c>
      <c r="G234" s="2">
        <f>SUM(H234:J234)</f>
        <v>420358</v>
      </c>
      <c r="H234" s="3">
        <v>311233</v>
      </c>
      <c r="I234" s="3">
        <v>57696</v>
      </c>
      <c r="J234" s="3">
        <f>51336+93</f>
        <v>51429</v>
      </c>
      <c r="K234" s="4">
        <f>SUM(L234:N234)</f>
        <v>229005</v>
      </c>
      <c r="L234" s="3">
        <v>180507</v>
      </c>
      <c r="M234" s="3">
        <v>17812</v>
      </c>
      <c r="N234" s="3">
        <v>30686</v>
      </c>
    </row>
    <row r="235" spans="1:14" x14ac:dyDescent="0.2">
      <c r="A235" t="s">
        <v>980</v>
      </c>
      <c r="B235" t="s">
        <v>981</v>
      </c>
      <c r="C235" t="s">
        <v>982</v>
      </c>
      <c r="D235" t="s">
        <v>962</v>
      </c>
      <c r="E235">
        <v>27320</v>
      </c>
      <c r="F235" t="s">
        <v>963</v>
      </c>
      <c r="G235" s="2">
        <f>SUM(H235:J235)</f>
        <v>0</v>
      </c>
      <c r="H235" s="3">
        <v>0</v>
      </c>
      <c r="I235" s="3">
        <v>0</v>
      </c>
      <c r="J235" s="3">
        <v>0</v>
      </c>
      <c r="K235" s="4">
        <f>SUM(L235:N235)</f>
        <v>10600</v>
      </c>
      <c r="L235" s="3">
        <v>10600</v>
      </c>
      <c r="M235" s="3">
        <v>0</v>
      </c>
      <c r="N235" s="3">
        <v>0</v>
      </c>
    </row>
    <row r="236" spans="1:14" x14ac:dyDescent="0.2">
      <c r="A236" t="s">
        <v>822</v>
      </c>
      <c r="B236" t="s">
        <v>823</v>
      </c>
      <c r="C236" t="s">
        <v>783</v>
      </c>
      <c r="D236" t="s">
        <v>643</v>
      </c>
      <c r="E236">
        <v>27407</v>
      </c>
      <c r="F236" t="s">
        <v>628</v>
      </c>
      <c r="G236" s="2">
        <f>SUM(H236:J236)</f>
        <v>100248</v>
      </c>
      <c r="H236" s="3">
        <v>97933</v>
      </c>
      <c r="I236" s="3">
        <v>2315</v>
      </c>
      <c r="J236" s="3">
        <v>0</v>
      </c>
      <c r="K236" s="4">
        <f>SUM(L236:N236)</f>
        <v>31821.200000000001</v>
      </c>
      <c r="L236" s="3">
        <v>30712.2</v>
      </c>
      <c r="M236" s="3">
        <v>1109</v>
      </c>
      <c r="N236" s="3">
        <v>0</v>
      </c>
    </row>
    <row r="237" spans="1:14" x14ac:dyDescent="0.2">
      <c r="A237" t="s">
        <v>788</v>
      </c>
      <c r="B237" t="s">
        <v>789</v>
      </c>
      <c r="C237" t="s">
        <v>783</v>
      </c>
      <c r="D237" t="s">
        <v>643</v>
      </c>
      <c r="E237">
        <v>27407</v>
      </c>
      <c r="F237" t="s">
        <v>628</v>
      </c>
      <c r="G237" s="2">
        <f>SUM(H237:J237)</f>
        <v>11368</v>
      </c>
      <c r="H237" s="3">
        <v>11368</v>
      </c>
      <c r="I237" s="3">
        <v>0</v>
      </c>
      <c r="J237" s="3">
        <v>0</v>
      </c>
      <c r="K237" s="4">
        <f>SUM(L237:N237)</f>
        <v>3219</v>
      </c>
      <c r="L237" s="3">
        <v>3219</v>
      </c>
      <c r="M237" s="3">
        <v>0</v>
      </c>
      <c r="N237" s="3">
        <v>0</v>
      </c>
    </row>
    <row r="238" spans="1:14" x14ac:dyDescent="0.2">
      <c r="A238" t="s">
        <v>802</v>
      </c>
      <c r="B238" t="s">
        <v>803</v>
      </c>
      <c r="C238" t="s">
        <v>783</v>
      </c>
      <c r="D238" t="s">
        <v>643</v>
      </c>
      <c r="E238">
        <v>27407</v>
      </c>
      <c r="F238" t="s">
        <v>628</v>
      </c>
      <c r="G238" s="2">
        <f>SUM(H238:J238)</f>
        <v>9338</v>
      </c>
      <c r="H238" s="3">
        <v>9338</v>
      </c>
      <c r="I238" s="3">
        <v>0</v>
      </c>
      <c r="J238" s="3">
        <v>0</v>
      </c>
      <c r="K238" s="4">
        <f>SUM(L238:N238)</f>
        <v>2059</v>
      </c>
      <c r="L238" s="3">
        <v>2059</v>
      </c>
      <c r="M238" s="3">
        <v>0</v>
      </c>
      <c r="N238" s="3">
        <v>0</v>
      </c>
    </row>
    <row r="239" spans="1:14" x14ac:dyDescent="0.2">
      <c r="A239" t="s">
        <v>818</v>
      </c>
      <c r="B239" t="s">
        <v>819</v>
      </c>
      <c r="C239" t="s">
        <v>783</v>
      </c>
      <c r="D239" t="s">
        <v>643</v>
      </c>
      <c r="E239">
        <v>27407</v>
      </c>
      <c r="F239" t="s">
        <v>628</v>
      </c>
      <c r="G239" s="2">
        <f>SUM(H239:J239)</f>
        <v>8758</v>
      </c>
      <c r="H239" s="3">
        <v>8758</v>
      </c>
      <c r="I239" s="3">
        <v>0</v>
      </c>
      <c r="J239" s="3">
        <v>0</v>
      </c>
      <c r="K239" s="4">
        <f>SUM(L239:N239)</f>
        <v>1247</v>
      </c>
      <c r="L239" s="3">
        <v>1247</v>
      </c>
      <c r="M239" s="3">
        <v>0</v>
      </c>
      <c r="N239" s="3">
        <v>0</v>
      </c>
    </row>
    <row r="240" spans="1:14" x14ac:dyDescent="0.2">
      <c r="A240" t="s">
        <v>814</v>
      </c>
      <c r="B240" t="s">
        <v>815</v>
      </c>
      <c r="C240" t="s">
        <v>783</v>
      </c>
      <c r="D240" t="s">
        <v>643</v>
      </c>
      <c r="E240">
        <v>27407</v>
      </c>
      <c r="F240" t="s">
        <v>628</v>
      </c>
      <c r="G240" s="2">
        <f>SUM(H240:J240)</f>
        <v>8410</v>
      </c>
      <c r="H240" s="3">
        <v>8410</v>
      </c>
      <c r="I240" s="3">
        <v>0</v>
      </c>
      <c r="J240" s="3">
        <v>0</v>
      </c>
      <c r="K240" s="4">
        <f>SUM(L240:N240)</f>
        <v>3625</v>
      </c>
      <c r="L240" s="3">
        <v>3625</v>
      </c>
      <c r="M240" s="3">
        <v>0</v>
      </c>
      <c r="N240" s="3">
        <v>0</v>
      </c>
    </row>
    <row r="241" spans="1:14" x14ac:dyDescent="0.2">
      <c r="A241" t="s">
        <v>806</v>
      </c>
      <c r="B241" t="s">
        <v>807</v>
      </c>
      <c r="C241" t="s">
        <v>783</v>
      </c>
      <c r="D241" t="s">
        <v>643</v>
      </c>
      <c r="E241">
        <v>27407</v>
      </c>
      <c r="F241" t="s">
        <v>628</v>
      </c>
      <c r="G241" s="2">
        <f>SUM(H241:J241)</f>
        <v>8410</v>
      </c>
      <c r="H241" s="3">
        <v>8410</v>
      </c>
      <c r="I241" s="3">
        <v>0</v>
      </c>
      <c r="J241" s="3">
        <v>0</v>
      </c>
      <c r="K241" s="4">
        <f>SUM(L241:N241)</f>
        <v>3190</v>
      </c>
      <c r="L241" s="3">
        <v>3190</v>
      </c>
      <c r="M241" s="3">
        <v>0</v>
      </c>
      <c r="N241" s="3">
        <v>0</v>
      </c>
    </row>
    <row r="242" spans="1:14" x14ac:dyDescent="0.2">
      <c r="A242" t="s">
        <v>786</v>
      </c>
      <c r="B242" t="s">
        <v>787</v>
      </c>
      <c r="C242" t="s">
        <v>783</v>
      </c>
      <c r="D242" t="s">
        <v>643</v>
      </c>
      <c r="E242">
        <v>27407</v>
      </c>
      <c r="F242" t="s">
        <v>628</v>
      </c>
      <c r="G242" s="2">
        <f>SUM(H242:J242)</f>
        <v>8004</v>
      </c>
      <c r="H242" s="3">
        <v>8004</v>
      </c>
      <c r="I242" s="3">
        <v>0</v>
      </c>
      <c r="J242" s="3">
        <v>0</v>
      </c>
      <c r="K242" s="4">
        <f>SUM(L242:N242)</f>
        <v>3103</v>
      </c>
      <c r="L242" s="3">
        <v>3103</v>
      </c>
      <c r="M242" s="3">
        <v>0</v>
      </c>
      <c r="N242" s="3">
        <v>0</v>
      </c>
    </row>
    <row r="243" spans="1:14" x14ac:dyDescent="0.2">
      <c r="A243" t="s">
        <v>798</v>
      </c>
      <c r="B243" t="s">
        <v>799</v>
      </c>
      <c r="C243" t="s">
        <v>783</v>
      </c>
      <c r="D243" t="s">
        <v>643</v>
      </c>
      <c r="E243">
        <v>27407</v>
      </c>
      <c r="F243" t="s">
        <v>628</v>
      </c>
      <c r="G243" s="2">
        <f>SUM(H243:J243)</f>
        <v>7685</v>
      </c>
      <c r="H243" s="3">
        <v>7685</v>
      </c>
      <c r="I243" s="3">
        <v>0</v>
      </c>
      <c r="J243" s="3">
        <v>0</v>
      </c>
      <c r="K243" s="4">
        <f>SUM(L243:N243)</f>
        <v>1392</v>
      </c>
      <c r="L243" s="3">
        <v>1392</v>
      </c>
      <c r="M243" s="3">
        <v>0</v>
      </c>
      <c r="N243" s="3">
        <v>0</v>
      </c>
    </row>
    <row r="244" spans="1:14" x14ac:dyDescent="0.2">
      <c r="A244" t="s">
        <v>794</v>
      </c>
      <c r="B244" t="s">
        <v>795</v>
      </c>
      <c r="C244" t="s">
        <v>783</v>
      </c>
      <c r="D244" t="s">
        <v>643</v>
      </c>
      <c r="E244">
        <v>27407</v>
      </c>
      <c r="F244" t="s">
        <v>628</v>
      </c>
      <c r="G244" s="2">
        <f>SUM(H244:J244)</f>
        <v>7569</v>
      </c>
      <c r="H244" s="3">
        <v>7569</v>
      </c>
      <c r="I244" s="3">
        <v>0</v>
      </c>
      <c r="J244" s="3">
        <v>0</v>
      </c>
      <c r="K244" s="4">
        <f>SUM(L244:N244)</f>
        <v>2320</v>
      </c>
      <c r="L244" s="3">
        <v>2320</v>
      </c>
      <c r="M244" s="3">
        <v>0</v>
      </c>
      <c r="N244" s="3">
        <v>0</v>
      </c>
    </row>
    <row r="245" spans="1:14" x14ac:dyDescent="0.2">
      <c r="A245" t="s">
        <v>804</v>
      </c>
      <c r="B245" t="s">
        <v>805</v>
      </c>
      <c r="C245" t="s">
        <v>783</v>
      </c>
      <c r="D245" t="s">
        <v>643</v>
      </c>
      <c r="E245">
        <v>27407</v>
      </c>
      <c r="F245" t="s">
        <v>628</v>
      </c>
      <c r="G245" s="2">
        <f>SUM(H245:J245)</f>
        <v>7221</v>
      </c>
      <c r="H245" s="3">
        <v>7221</v>
      </c>
      <c r="I245" s="3">
        <v>0</v>
      </c>
      <c r="J245" s="3">
        <v>0</v>
      </c>
      <c r="K245" s="4">
        <f>SUM(L245:N245)</f>
        <v>1798</v>
      </c>
      <c r="L245" s="3">
        <v>1798</v>
      </c>
      <c r="M245" s="3">
        <v>0</v>
      </c>
      <c r="N245" s="3">
        <v>0</v>
      </c>
    </row>
    <row r="246" spans="1:14" x14ac:dyDescent="0.2">
      <c r="A246" t="s">
        <v>792</v>
      </c>
      <c r="B246" t="s">
        <v>793</v>
      </c>
      <c r="C246" t="s">
        <v>783</v>
      </c>
      <c r="D246" t="s">
        <v>643</v>
      </c>
      <c r="E246">
        <v>27407</v>
      </c>
      <c r="F246" t="s">
        <v>628</v>
      </c>
      <c r="G246" s="2">
        <f>SUM(H246:J246)</f>
        <v>7192</v>
      </c>
      <c r="H246" s="3">
        <v>7192</v>
      </c>
      <c r="I246" s="3">
        <v>0</v>
      </c>
      <c r="J246" s="3">
        <v>0</v>
      </c>
      <c r="K246" s="4">
        <f>SUM(L246:N246)</f>
        <v>2436</v>
      </c>
      <c r="L246" s="3">
        <v>2436</v>
      </c>
      <c r="M246" s="3">
        <v>0</v>
      </c>
      <c r="N246" s="3">
        <v>0</v>
      </c>
    </row>
    <row r="247" spans="1:14" x14ac:dyDescent="0.2">
      <c r="A247" t="s">
        <v>810</v>
      </c>
      <c r="B247" t="s">
        <v>811</v>
      </c>
      <c r="C247" t="s">
        <v>783</v>
      </c>
      <c r="D247" t="s">
        <v>643</v>
      </c>
      <c r="E247">
        <v>27407</v>
      </c>
      <c r="F247" t="s">
        <v>628</v>
      </c>
      <c r="G247" s="2">
        <f>SUM(H247:J247)</f>
        <v>7134</v>
      </c>
      <c r="H247" s="3">
        <v>7134</v>
      </c>
      <c r="I247" s="3">
        <v>0</v>
      </c>
      <c r="J247" s="3">
        <v>0</v>
      </c>
      <c r="K247" s="4">
        <f>SUM(L247:N247)</f>
        <v>2697</v>
      </c>
      <c r="L247" s="3">
        <v>2697</v>
      </c>
      <c r="M247" s="3">
        <v>0</v>
      </c>
      <c r="N247" s="3">
        <v>0</v>
      </c>
    </row>
    <row r="248" spans="1:14" x14ac:dyDescent="0.2">
      <c r="A248" t="s">
        <v>796</v>
      </c>
      <c r="B248" t="s">
        <v>797</v>
      </c>
      <c r="C248" t="s">
        <v>783</v>
      </c>
      <c r="D248" t="s">
        <v>643</v>
      </c>
      <c r="E248">
        <v>27407</v>
      </c>
      <c r="F248" t="s">
        <v>628</v>
      </c>
      <c r="G248" s="2">
        <f>SUM(H248:J248)</f>
        <v>6786</v>
      </c>
      <c r="H248" s="3">
        <v>6786</v>
      </c>
      <c r="I248" s="3">
        <v>0</v>
      </c>
      <c r="J248" s="3">
        <v>0</v>
      </c>
      <c r="K248" s="4">
        <f>SUM(L248:N248)</f>
        <v>2030</v>
      </c>
      <c r="L248" s="3">
        <v>2030</v>
      </c>
      <c r="M248" s="3">
        <v>0</v>
      </c>
      <c r="N248" s="3">
        <v>0</v>
      </c>
    </row>
    <row r="249" spans="1:14" x14ac:dyDescent="0.2">
      <c r="A249" t="s">
        <v>800</v>
      </c>
      <c r="B249" t="s">
        <v>801</v>
      </c>
      <c r="C249" t="s">
        <v>783</v>
      </c>
      <c r="D249" t="s">
        <v>643</v>
      </c>
      <c r="E249">
        <v>27407</v>
      </c>
      <c r="F249" t="s">
        <v>628</v>
      </c>
      <c r="G249" s="2">
        <f>SUM(H249:J249)</f>
        <v>6322</v>
      </c>
      <c r="H249" s="3">
        <v>6322</v>
      </c>
      <c r="I249" s="3">
        <v>0</v>
      </c>
      <c r="J249" s="3">
        <v>0</v>
      </c>
      <c r="K249" s="4">
        <f>SUM(L249:N249)</f>
        <v>1537</v>
      </c>
      <c r="L249" s="3">
        <v>1537</v>
      </c>
      <c r="M249" s="3">
        <v>0</v>
      </c>
      <c r="N249" s="3">
        <v>0</v>
      </c>
    </row>
    <row r="250" spans="1:14" x14ac:dyDescent="0.2">
      <c r="A250" t="s">
        <v>781</v>
      </c>
      <c r="B250" t="s">
        <v>782</v>
      </c>
      <c r="C250" t="s">
        <v>783</v>
      </c>
      <c r="D250" t="s">
        <v>643</v>
      </c>
      <c r="E250">
        <v>27407</v>
      </c>
      <c r="F250" t="s">
        <v>628</v>
      </c>
      <c r="G250" s="2">
        <f>SUM(H250:J250)</f>
        <v>6061</v>
      </c>
      <c r="H250" s="3">
        <v>6061</v>
      </c>
      <c r="I250" s="3">
        <v>0</v>
      </c>
      <c r="J250" s="3">
        <v>0</v>
      </c>
      <c r="K250" s="4">
        <f>SUM(L250:N250)</f>
        <v>2465</v>
      </c>
      <c r="L250" s="3">
        <v>2465</v>
      </c>
      <c r="M250" s="3">
        <v>0</v>
      </c>
      <c r="N250" s="3">
        <v>0</v>
      </c>
    </row>
    <row r="251" spans="1:14" x14ac:dyDescent="0.2">
      <c r="A251" t="s">
        <v>808</v>
      </c>
      <c r="B251" t="s">
        <v>809</v>
      </c>
      <c r="C251" t="s">
        <v>783</v>
      </c>
      <c r="D251" t="s">
        <v>643</v>
      </c>
      <c r="E251">
        <v>27407</v>
      </c>
      <c r="F251" t="s">
        <v>628</v>
      </c>
      <c r="G251" s="2">
        <f>SUM(H251:J251)</f>
        <v>5916</v>
      </c>
      <c r="H251" s="3">
        <v>5916</v>
      </c>
      <c r="I251" s="3">
        <v>0</v>
      </c>
      <c r="J251" s="3">
        <v>0</v>
      </c>
      <c r="K251" s="4">
        <f>SUM(L251:N251)</f>
        <v>1711</v>
      </c>
      <c r="L251" s="3">
        <v>1711</v>
      </c>
      <c r="M251" s="3">
        <v>0</v>
      </c>
      <c r="N251" s="3">
        <v>0</v>
      </c>
    </row>
    <row r="252" spans="1:14" x14ac:dyDescent="0.2">
      <c r="A252" t="s">
        <v>816</v>
      </c>
      <c r="B252" t="s">
        <v>817</v>
      </c>
      <c r="C252" t="s">
        <v>783</v>
      </c>
      <c r="D252" t="s">
        <v>643</v>
      </c>
      <c r="E252">
        <v>27407</v>
      </c>
      <c r="F252" t="s">
        <v>628</v>
      </c>
      <c r="G252" s="2">
        <f>SUM(H252:J252)</f>
        <v>5278</v>
      </c>
      <c r="H252" s="3">
        <v>5278</v>
      </c>
      <c r="I252" s="3">
        <v>0</v>
      </c>
      <c r="J252" s="3">
        <v>0</v>
      </c>
      <c r="K252" s="4">
        <f>SUM(L252:N252)</f>
        <v>2378</v>
      </c>
      <c r="L252" s="3">
        <v>2378</v>
      </c>
      <c r="M252" s="3">
        <v>0</v>
      </c>
      <c r="N252" s="3">
        <v>0</v>
      </c>
    </row>
    <row r="253" spans="1:14" x14ac:dyDescent="0.2">
      <c r="A253" t="s">
        <v>784</v>
      </c>
      <c r="B253" t="s">
        <v>785</v>
      </c>
      <c r="C253" t="s">
        <v>783</v>
      </c>
      <c r="D253" t="s">
        <v>643</v>
      </c>
      <c r="E253">
        <v>27407</v>
      </c>
      <c r="F253" t="s">
        <v>628</v>
      </c>
      <c r="G253" s="2">
        <f>SUM(H253:J253)</f>
        <v>4611</v>
      </c>
      <c r="H253" s="3">
        <v>4611</v>
      </c>
      <c r="I253" s="3">
        <v>0</v>
      </c>
      <c r="J253" s="3">
        <v>0</v>
      </c>
      <c r="K253" s="4">
        <f>SUM(L253:N253)</f>
        <v>2291</v>
      </c>
      <c r="L253" s="3">
        <v>2291</v>
      </c>
      <c r="M253" s="3">
        <v>0</v>
      </c>
      <c r="N253" s="3">
        <v>0</v>
      </c>
    </row>
    <row r="254" spans="1:14" x14ac:dyDescent="0.2">
      <c r="A254" t="s">
        <v>812</v>
      </c>
      <c r="B254" t="s">
        <v>813</v>
      </c>
      <c r="C254" t="s">
        <v>783</v>
      </c>
      <c r="D254" t="s">
        <v>643</v>
      </c>
      <c r="E254">
        <v>27407</v>
      </c>
      <c r="F254" t="s">
        <v>628</v>
      </c>
      <c r="G254" s="2">
        <f>SUM(H254:J254)</f>
        <v>3364</v>
      </c>
      <c r="H254" s="3">
        <v>3364</v>
      </c>
      <c r="I254" s="3">
        <v>0</v>
      </c>
      <c r="J254" s="3">
        <v>0</v>
      </c>
      <c r="K254" s="4">
        <f>SUM(L254:N254)</f>
        <v>1392</v>
      </c>
      <c r="L254" s="3">
        <v>1392</v>
      </c>
      <c r="M254" s="3">
        <v>0</v>
      </c>
      <c r="N254" s="3">
        <v>0</v>
      </c>
    </row>
    <row r="255" spans="1:14" x14ac:dyDescent="0.2">
      <c r="A255" t="s">
        <v>820</v>
      </c>
      <c r="B255" t="s">
        <v>821</v>
      </c>
      <c r="C255" t="s">
        <v>783</v>
      </c>
      <c r="D255" t="s">
        <v>643</v>
      </c>
      <c r="E255">
        <v>27407</v>
      </c>
      <c r="F255" t="s">
        <v>628</v>
      </c>
      <c r="G255" s="2">
        <f>SUM(H255:J255)</f>
        <v>3161</v>
      </c>
      <c r="H255" s="3">
        <v>3161</v>
      </c>
      <c r="I255" s="3">
        <v>0</v>
      </c>
      <c r="J255" s="3">
        <v>0</v>
      </c>
      <c r="K255" s="4">
        <f>SUM(L255:N255)</f>
        <v>2001</v>
      </c>
      <c r="L255" s="3">
        <v>2001</v>
      </c>
      <c r="M255" s="3">
        <v>0</v>
      </c>
      <c r="N255" s="3">
        <v>0</v>
      </c>
    </row>
    <row r="256" spans="1:14" x14ac:dyDescent="0.2">
      <c r="A256" t="s">
        <v>790</v>
      </c>
      <c r="B256" t="s">
        <v>791</v>
      </c>
      <c r="C256" t="s">
        <v>783</v>
      </c>
      <c r="D256" t="s">
        <v>643</v>
      </c>
      <c r="E256">
        <v>27407</v>
      </c>
      <c r="F256" t="s">
        <v>628</v>
      </c>
      <c r="G256" s="2">
        <f>SUM(H256:J256)</f>
        <v>3132</v>
      </c>
      <c r="H256" s="3">
        <v>3132</v>
      </c>
      <c r="I256" s="3">
        <v>0</v>
      </c>
      <c r="J256" s="3">
        <v>0</v>
      </c>
      <c r="K256" s="4">
        <f>SUM(L256:N256)</f>
        <v>2001</v>
      </c>
      <c r="L256" s="3">
        <v>2001</v>
      </c>
      <c r="M256" s="3">
        <v>0</v>
      </c>
      <c r="N256" s="3">
        <v>0</v>
      </c>
    </row>
    <row r="257" spans="1:14" x14ac:dyDescent="0.2">
      <c r="A257" t="s">
        <v>828</v>
      </c>
      <c r="B257" t="s">
        <v>829</v>
      </c>
      <c r="C257" t="s">
        <v>830</v>
      </c>
      <c r="D257" t="s">
        <v>643</v>
      </c>
      <c r="E257">
        <v>27407</v>
      </c>
      <c r="F257" t="s">
        <v>628</v>
      </c>
      <c r="G257" s="2">
        <f>SUM(H257:J257)</f>
        <v>69762</v>
      </c>
      <c r="H257" s="3">
        <v>63315</v>
      </c>
      <c r="I257" s="3">
        <v>2155</v>
      </c>
      <c r="J257" s="3">
        <v>4292</v>
      </c>
      <c r="K257" s="4">
        <f>SUM(L257:N257)</f>
        <v>34692</v>
      </c>
      <c r="L257" s="3">
        <v>32803</v>
      </c>
      <c r="M257" s="3">
        <v>700</v>
      </c>
      <c r="N257" s="3">
        <v>1189</v>
      </c>
    </row>
    <row r="258" spans="1:14" x14ac:dyDescent="0.2">
      <c r="A258" t="s">
        <v>696</v>
      </c>
      <c r="B258" t="s">
        <v>697</v>
      </c>
      <c r="C258" t="s">
        <v>698</v>
      </c>
      <c r="D258" t="s">
        <v>643</v>
      </c>
      <c r="E258">
        <v>27407</v>
      </c>
      <c r="F258" t="s">
        <v>628</v>
      </c>
      <c r="G258" s="2">
        <f>SUM(H258:J258)</f>
        <v>113373</v>
      </c>
      <c r="H258" s="3">
        <v>110588</v>
      </c>
      <c r="I258" s="3">
        <v>1275</v>
      </c>
      <c r="J258" s="3">
        <f>1020+490</f>
        <v>1510</v>
      </c>
      <c r="K258" s="4">
        <f>SUM(L258:N258)</f>
        <v>74380.5</v>
      </c>
      <c r="L258" s="3">
        <v>71060.5</v>
      </c>
      <c r="M258" s="3">
        <v>2540</v>
      </c>
      <c r="N258" s="3">
        <v>780</v>
      </c>
    </row>
    <row r="259" spans="1:14" x14ac:dyDescent="0.2">
      <c r="A259" t="s">
        <v>23</v>
      </c>
      <c r="B259" t="s">
        <v>24</v>
      </c>
      <c r="C259" t="s">
        <v>25</v>
      </c>
      <c r="D259" t="s">
        <v>11</v>
      </c>
      <c r="E259">
        <v>27215</v>
      </c>
      <c r="F259" t="s">
        <v>12</v>
      </c>
      <c r="G259" s="2">
        <f>SUM(H259:J259)</f>
        <v>254779</v>
      </c>
      <c r="H259" s="3">
        <v>185542</v>
      </c>
      <c r="I259" s="3">
        <v>4645</v>
      </c>
      <c r="J259" s="3">
        <f>62139+2453</f>
        <v>64592</v>
      </c>
      <c r="K259" s="4">
        <f>SUM(L259:N259)</f>
        <v>157028.5</v>
      </c>
      <c r="L259" s="3">
        <v>114362.5</v>
      </c>
      <c r="M259" s="3">
        <v>10043</v>
      </c>
      <c r="N259" s="3">
        <v>32623</v>
      </c>
    </row>
    <row r="260" spans="1:14" x14ac:dyDescent="0.2">
      <c r="A260" t="s">
        <v>1130</v>
      </c>
      <c r="B260" t="s">
        <v>1131</v>
      </c>
      <c r="C260" t="s">
        <v>1132</v>
      </c>
      <c r="D260" t="s">
        <v>1096</v>
      </c>
      <c r="F260" t="s">
        <v>1097</v>
      </c>
      <c r="G260" s="2">
        <f>SUM(H260:J260)</f>
        <v>368214</v>
      </c>
      <c r="H260" s="3">
        <v>272822</v>
      </c>
      <c r="I260" s="3">
        <v>35704</v>
      </c>
      <c r="J260" s="3">
        <v>59688</v>
      </c>
      <c r="K260" s="4">
        <f>SUM(L260:N260)</f>
        <v>109092.5</v>
      </c>
      <c r="L260" s="3">
        <v>78187.5</v>
      </c>
      <c r="M260" s="3">
        <v>16961</v>
      </c>
      <c r="N260" s="3">
        <v>13944</v>
      </c>
    </row>
    <row r="261" spans="1:14" x14ac:dyDescent="0.2">
      <c r="A261" t="s">
        <v>604</v>
      </c>
      <c r="B261" t="s">
        <v>605</v>
      </c>
      <c r="C261" t="s">
        <v>606</v>
      </c>
      <c r="D261" t="s">
        <v>299</v>
      </c>
      <c r="E261">
        <v>27127</v>
      </c>
      <c r="F261" t="s">
        <v>349</v>
      </c>
      <c r="G261" s="2">
        <f>SUM(H261:J261)</f>
        <v>6965</v>
      </c>
      <c r="H261" s="3">
        <v>6182</v>
      </c>
      <c r="I261" s="3">
        <v>783</v>
      </c>
      <c r="J261" s="3">
        <v>0</v>
      </c>
      <c r="K261" s="4">
        <f>SUM(L261:N261)</f>
        <v>3045.2</v>
      </c>
      <c r="L261" s="3">
        <v>3045.2</v>
      </c>
      <c r="M261" s="3">
        <v>0</v>
      </c>
      <c r="N261" s="3">
        <v>0</v>
      </c>
    </row>
    <row r="262" spans="1:14" x14ac:dyDescent="0.2">
      <c r="A262" t="s">
        <v>576</v>
      </c>
      <c r="B262" t="s">
        <v>577</v>
      </c>
      <c r="C262" t="s">
        <v>578</v>
      </c>
      <c r="D262" t="s">
        <v>546</v>
      </c>
      <c r="E262">
        <v>27103</v>
      </c>
      <c r="F262" t="s">
        <v>349</v>
      </c>
      <c r="G262" s="2">
        <f>SUM(H262:J262)</f>
        <v>99988</v>
      </c>
      <c r="H262" s="3">
        <v>99023</v>
      </c>
      <c r="I262" s="3">
        <v>965</v>
      </c>
      <c r="J262" s="3">
        <v>0</v>
      </c>
      <c r="K262" s="4">
        <f>SUM(L262:N262)</f>
        <v>45867</v>
      </c>
      <c r="L262" s="3">
        <v>45867</v>
      </c>
      <c r="M262" s="3">
        <v>0</v>
      </c>
      <c r="N262" s="3">
        <v>0</v>
      </c>
    </row>
    <row r="263" spans="1:14" x14ac:dyDescent="0.2">
      <c r="A263" t="s">
        <v>559</v>
      </c>
      <c r="B263" t="s">
        <v>560</v>
      </c>
      <c r="C263" t="s">
        <v>555</v>
      </c>
      <c r="D263" t="s">
        <v>299</v>
      </c>
      <c r="E263">
        <v>27103</v>
      </c>
      <c r="F263" t="s">
        <v>349</v>
      </c>
      <c r="G263" s="2">
        <f>SUM(H263:J263)</f>
        <v>12760</v>
      </c>
      <c r="H263" s="3">
        <v>12760</v>
      </c>
      <c r="I263" s="3">
        <v>0</v>
      </c>
      <c r="J263" s="3">
        <v>0</v>
      </c>
      <c r="K263" s="4">
        <f>SUM(L263:N263)</f>
        <v>2900</v>
      </c>
      <c r="L263" s="3">
        <v>2900</v>
      </c>
      <c r="M263" s="3">
        <v>0</v>
      </c>
      <c r="N263" s="3">
        <v>0</v>
      </c>
    </row>
    <row r="264" spans="1:14" x14ac:dyDescent="0.2">
      <c r="A264" t="s">
        <v>563</v>
      </c>
      <c r="B264" t="s">
        <v>564</v>
      </c>
      <c r="C264" t="s">
        <v>555</v>
      </c>
      <c r="D264" t="s">
        <v>299</v>
      </c>
      <c r="E264">
        <v>27103</v>
      </c>
      <c r="F264" t="s">
        <v>349</v>
      </c>
      <c r="G264" s="2">
        <f>SUM(H264:J264)</f>
        <v>4698</v>
      </c>
      <c r="H264" s="3">
        <v>4698</v>
      </c>
      <c r="I264" s="3">
        <v>0</v>
      </c>
      <c r="J264" s="3">
        <v>0</v>
      </c>
      <c r="K264" s="4">
        <f>SUM(L264:N264)</f>
        <v>5568</v>
      </c>
      <c r="L264" s="3">
        <v>5568</v>
      </c>
      <c r="M264" s="3">
        <v>0</v>
      </c>
      <c r="N264" s="3">
        <v>0</v>
      </c>
    </row>
    <row r="265" spans="1:14" x14ac:dyDescent="0.2">
      <c r="A265" t="s">
        <v>561</v>
      </c>
      <c r="B265" t="s">
        <v>562</v>
      </c>
      <c r="C265" t="s">
        <v>555</v>
      </c>
      <c r="D265" t="s">
        <v>299</v>
      </c>
      <c r="E265">
        <v>27103</v>
      </c>
      <c r="F265" t="s">
        <v>349</v>
      </c>
      <c r="G265" s="2">
        <f>SUM(H265:J265)</f>
        <v>3683</v>
      </c>
      <c r="H265" s="3">
        <v>3683</v>
      </c>
      <c r="I265" s="3">
        <v>0</v>
      </c>
      <c r="J265" s="3">
        <v>0</v>
      </c>
      <c r="K265" s="4">
        <f>SUM(L265:N265)</f>
        <v>5742</v>
      </c>
      <c r="L265" s="3">
        <v>5742</v>
      </c>
      <c r="M265" s="3">
        <v>0</v>
      </c>
      <c r="N265" s="3">
        <v>0</v>
      </c>
    </row>
    <row r="266" spans="1:14" x14ac:dyDescent="0.2">
      <c r="A266" t="s">
        <v>567</v>
      </c>
      <c r="B266" t="s">
        <v>568</v>
      </c>
      <c r="C266" t="s">
        <v>555</v>
      </c>
      <c r="D266" t="s">
        <v>299</v>
      </c>
      <c r="E266">
        <v>27103</v>
      </c>
      <c r="F266" t="s">
        <v>349</v>
      </c>
      <c r="G266" s="2">
        <f>SUM(H266:J266)</f>
        <v>3132</v>
      </c>
      <c r="H266" s="3">
        <v>3132</v>
      </c>
      <c r="I266" s="3">
        <v>0</v>
      </c>
      <c r="J266" s="3">
        <v>0</v>
      </c>
      <c r="K266" s="4">
        <f>SUM(L266:N266)</f>
        <v>2088</v>
      </c>
      <c r="L266" s="3">
        <v>2088</v>
      </c>
      <c r="M266" s="3">
        <v>0</v>
      </c>
      <c r="N266" s="3">
        <v>0</v>
      </c>
    </row>
    <row r="267" spans="1:14" x14ac:dyDescent="0.2">
      <c r="A267" t="s">
        <v>553</v>
      </c>
      <c r="B267" t="s">
        <v>554</v>
      </c>
      <c r="C267" t="s">
        <v>555</v>
      </c>
      <c r="D267" t="s">
        <v>299</v>
      </c>
      <c r="E267">
        <v>27103</v>
      </c>
      <c r="F267" t="s">
        <v>349</v>
      </c>
      <c r="G267" s="2">
        <f>SUM(H267:J267)</f>
        <v>2465</v>
      </c>
      <c r="H267" s="3">
        <v>2465</v>
      </c>
      <c r="I267" s="3">
        <v>0</v>
      </c>
      <c r="J267" s="3">
        <v>0</v>
      </c>
      <c r="K267" s="4">
        <f>SUM(L267:N267)</f>
        <v>9512</v>
      </c>
      <c r="L267" s="3">
        <v>9512</v>
      </c>
      <c r="M267" s="3">
        <v>0</v>
      </c>
      <c r="N267" s="3">
        <v>0</v>
      </c>
    </row>
    <row r="268" spans="1:14" x14ac:dyDescent="0.2">
      <c r="A268" t="s">
        <v>556</v>
      </c>
      <c r="B268" t="s">
        <v>557</v>
      </c>
      <c r="C268" t="s">
        <v>558</v>
      </c>
      <c r="D268" t="s">
        <v>489</v>
      </c>
      <c r="E268">
        <v>27103</v>
      </c>
      <c r="F268" t="s">
        <v>349</v>
      </c>
      <c r="G268" s="2">
        <f>SUM(H268:J268)</f>
        <v>2088</v>
      </c>
      <c r="H268" s="3">
        <v>2088</v>
      </c>
      <c r="I268" s="3">
        <v>0</v>
      </c>
      <c r="J268" s="3">
        <v>0</v>
      </c>
      <c r="K268" s="4">
        <f>SUM(L268:N268)</f>
        <v>4901</v>
      </c>
      <c r="L268" s="3">
        <v>4901</v>
      </c>
      <c r="M268" s="3">
        <v>0</v>
      </c>
      <c r="N268" s="3">
        <v>0</v>
      </c>
    </row>
    <row r="269" spans="1:14" x14ac:dyDescent="0.2">
      <c r="A269" t="s">
        <v>565</v>
      </c>
      <c r="B269" t="s">
        <v>566</v>
      </c>
      <c r="C269" t="s">
        <v>555</v>
      </c>
      <c r="D269" t="s">
        <v>299</v>
      </c>
      <c r="E269">
        <v>27103</v>
      </c>
      <c r="F269" t="s">
        <v>349</v>
      </c>
      <c r="G269" s="2">
        <f>SUM(H269:J269)</f>
        <v>1914</v>
      </c>
      <c r="H269" s="3">
        <v>1914</v>
      </c>
      <c r="I269" s="3">
        <v>0</v>
      </c>
      <c r="J269" s="3">
        <v>0</v>
      </c>
      <c r="K269" s="4">
        <f>SUM(L269:N269)</f>
        <v>870</v>
      </c>
      <c r="L269" s="3">
        <v>870</v>
      </c>
      <c r="M269" s="3">
        <v>0</v>
      </c>
      <c r="N269" s="3">
        <v>0</v>
      </c>
    </row>
    <row r="270" spans="1:14" x14ac:dyDescent="0.2">
      <c r="A270" t="s">
        <v>569</v>
      </c>
      <c r="B270" t="s">
        <v>570</v>
      </c>
      <c r="C270" t="s">
        <v>555</v>
      </c>
      <c r="D270" t="s">
        <v>299</v>
      </c>
      <c r="E270">
        <v>27103</v>
      </c>
      <c r="F270" t="s">
        <v>349</v>
      </c>
      <c r="G270" s="2">
        <f>SUM(H270:J270)</f>
        <v>870</v>
      </c>
      <c r="H270" s="3">
        <v>870</v>
      </c>
      <c r="I270" s="3">
        <v>0</v>
      </c>
      <c r="J270" s="3">
        <v>0</v>
      </c>
      <c r="K270" s="4">
        <f>SUM(L270:N270)</f>
        <v>1015</v>
      </c>
      <c r="L270" s="3">
        <v>1015</v>
      </c>
      <c r="M270" s="3">
        <v>0</v>
      </c>
      <c r="N270" s="3">
        <v>0</v>
      </c>
    </row>
    <row r="271" spans="1:14" x14ac:dyDescent="0.2">
      <c r="A271" t="s">
        <v>579</v>
      </c>
      <c r="B271" t="s">
        <v>580</v>
      </c>
      <c r="C271" t="s">
        <v>555</v>
      </c>
      <c r="D271" t="s">
        <v>299</v>
      </c>
      <c r="E271">
        <v>27103</v>
      </c>
      <c r="F271" t="s">
        <v>349</v>
      </c>
      <c r="G271" s="2">
        <f>SUM(H271:J271)</f>
        <v>533</v>
      </c>
      <c r="H271" s="3">
        <v>533</v>
      </c>
      <c r="I271" s="3">
        <v>0</v>
      </c>
      <c r="J271" s="3">
        <v>0</v>
      </c>
      <c r="K271" s="4">
        <f>SUM(L271:N271)</f>
        <v>295</v>
      </c>
      <c r="L271" s="3">
        <v>295</v>
      </c>
      <c r="M271" s="3">
        <v>0</v>
      </c>
      <c r="N271" s="3">
        <v>0</v>
      </c>
    </row>
    <row r="272" spans="1:14" x14ac:dyDescent="0.2">
      <c r="A272" t="s">
        <v>571</v>
      </c>
      <c r="B272" t="s">
        <v>572</v>
      </c>
      <c r="C272" t="s">
        <v>555</v>
      </c>
      <c r="D272" t="s">
        <v>299</v>
      </c>
      <c r="E272">
        <v>27103</v>
      </c>
      <c r="F272" t="s">
        <v>349</v>
      </c>
      <c r="G272" s="2">
        <f>SUM(H272:J272)</f>
        <v>0</v>
      </c>
      <c r="H272" s="3">
        <v>0</v>
      </c>
      <c r="I272" s="3">
        <v>0</v>
      </c>
      <c r="J272" s="3">
        <v>0</v>
      </c>
      <c r="K272" s="4">
        <f>SUM(L272:N272)</f>
        <v>0</v>
      </c>
      <c r="L272" s="3">
        <v>0</v>
      </c>
      <c r="M272" s="3">
        <v>0</v>
      </c>
      <c r="N272" s="3">
        <v>0</v>
      </c>
    </row>
    <row r="273" spans="1:14" x14ac:dyDescent="0.2">
      <c r="A273" t="s">
        <v>573</v>
      </c>
      <c r="B273" t="s">
        <v>574</v>
      </c>
      <c r="C273" t="s">
        <v>575</v>
      </c>
      <c r="D273" t="s">
        <v>299</v>
      </c>
      <c r="E273">
        <v>27103</v>
      </c>
      <c r="F273" t="s">
        <v>349</v>
      </c>
      <c r="G273" s="2">
        <f>SUM(H273:J273)</f>
        <v>6380</v>
      </c>
      <c r="H273" s="3">
        <v>6380</v>
      </c>
      <c r="I273" s="3">
        <v>0</v>
      </c>
      <c r="J273" s="3">
        <v>0</v>
      </c>
      <c r="K273" s="4">
        <f>SUM(L273:N273)</f>
        <v>22301</v>
      </c>
      <c r="L273" s="3">
        <v>22301</v>
      </c>
      <c r="M273" s="3">
        <v>0</v>
      </c>
      <c r="N273" s="3">
        <v>0</v>
      </c>
    </row>
    <row r="274" spans="1:14" x14ac:dyDescent="0.2">
      <c r="A274" t="s">
        <v>250</v>
      </c>
      <c r="B274" t="s">
        <v>251</v>
      </c>
      <c r="C274" t="s">
        <v>252</v>
      </c>
      <c r="D274" t="s">
        <v>253</v>
      </c>
      <c r="E274">
        <v>27295</v>
      </c>
      <c r="F274" t="s">
        <v>254</v>
      </c>
      <c r="G274" s="2">
        <f>SUM(H274:J274)</f>
        <v>48949</v>
      </c>
      <c r="H274" s="3">
        <v>48949</v>
      </c>
      <c r="I274" s="3">
        <v>0</v>
      </c>
      <c r="J274" s="3">
        <v>0</v>
      </c>
      <c r="K274" s="4">
        <f>SUM(L274:N274)</f>
        <v>22141.5</v>
      </c>
      <c r="L274" s="3">
        <v>22141.5</v>
      </c>
      <c r="M274" s="3">
        <v>0</v>
      </c>
      <c r="N274" s="3">
        <v>0</v>
      </c>
    </row>
    <row r="275" spans="1:14" x14ac:dyDescent="0.2">
      <c r="A275" t="s">
        <v>522</v>
      </c>
      <c r="B275" t="s">
        <v>523</v>
      </c>
      <c r="C275" t="s">
        <v>524</v>
      </c>
      <c r="D275" t="s">
        <v>299</v>
      </c>
      <c r="E275">
        <v>27105</v>
      </c>
      <c r="F275" t="s">
        <v>349</v>
      </c>
      <c r="G275" s="2">
        <f>SUM(H275:J275)</f>
        <v>502729</v>
      </c>
      <c r="H275" s="3">
        <v>345706</v>
      </c>
      <c r="I275" s="3">
        <v>0</v>
      </c>
      <c r="J275" s="3">
        <f>85131+9916+49751+12225</f>
        <v>157023</v>
      </c>
      <c r="K275" s="4">
        <f>SUM(L275:N275)</f>
        <v>229583.5</v>
      </c>
      <c r="L275" s="3">
        <v>187595.5</v>
      </c>
      <c r="M275" s="3">
        <v>0</v>
      </c>
      <c r="N275" s="3">
        <f>10528+26079+5381</f>
        <v>41988</v>
      </c>
    </row>
    <row r="276" spans="1:14" x14ac:dyDescent="0.2">
      <c r="A276" t="s">
        <v>765</v>
      </c>
      <c r="B276" t="s">
        <v>766</v>
      </c>
      <c r="C276" t="s">
        <v>767</v>
      </c>
      <c r="D276" t="s">
        <v>643</v>
      </c>
      <c r="E276">
        <v>27407</v>
      </c>
      <c r="F276" t="s">
        <v>628</v>
      </c>
      <c r="G276" s="2">
        <f>SUM(H276:J276)</f>
        <v>572401</v>
      </c>
      <c r="H276" s="3">
        <v>313087</v>
      </c>
      <c r="I276" s="3">
        <v>259314</v>
      </c>
      <c r="J276" s="3">
        <v>0</v>
      </c>
      <c r="K276" s="4">
        <f>SUM(L276:N276)</f>
        <v>103368</v>
      </c>
      <c r="L276" s="3">
        <v>70615</v>
      </c>
      <c r="M276" s="3">
        <v>32753</v>
      </c>
      <c r="N276" s="3">
        <v>0</v>
      </c>
    </row>
    <row r="277" spans="1:14" x14ac:dyDescent="0.2">
      <c r="A277" t="s">
        <v>425</v>
      </c>
      <c r="B277" t="s">
        <v>426</v>
      </c>
      <c r="C277" t="s">
        <v>427</v>
      </c>
      <c r="D277" t="s">
        <v>299</v>
      </c>
      <c r="E277">
        <v>27107</v>
      </c>
      <c r="F277" t="s">
        <v>349</v>
      </c>
      <c r="G277" s="2">
        <f>SUM(H277:J277)</f>
        <v>92677</v>
      </c>
      <c r="H277" s="3">
        <v>69987</v>
      </c>
      <c r="I277" s="3">
        <v>0</v>
      </c>
      <c r="J277" s="3">
        <f>19435+3255</f>
        <v>22690</v>
      </c>
      <c r="K277" s="4">
        <f>SUM(L277:N277)</f>
        <v>60452.7</v>
      </c>
      <c r="L277" s="3">
        <v>50367.7</v>
      </c>
      <c r="M277" s="3">
        <v>0</v>
      </c>
      <c r="N277" s="3">
        <f>8620+1465</f>
        <v>10085</v>
      </c>
    </row>
    <row r="278" spans="1:14" x14ac:dyDescent="0.2">
      <c r="A278" t="s">
        <v>422</v>
      </c>
      <c r="B278" t="s">
        <v>423</v>
      </c>
      <c r="C278" t="s">
        <v>424</v>
      </c>
      <c r="D278" t="s">
        <v>299</v>
      </c>
      <c r="E278">
        <v>27105</v>
      </c>
      <c r="F278" t="s">
        <v>349</v>
      </c>
      <c r="G278" s="2">
        <f>SUM(H278:J278)</f>
        <v>427131</v>
      </c>
      <c r="H278" s="3">
        <v>326377</v>
      </c>
      <c r="I278" s="3">
        <v>0</v>
      </c>
      <c r="J278" s="3">
        <f>61082+36966+2706</f>
        <v>100754</v>
      </c>
      <c r="K278" s="4">
        <f>SUM(L278:N278)</f>
        <v>233144.5</v>
      </c>
      <c r="L278" s="3">
        <v>181277.5</v>
      </c>
      <c r="M278" s="3">
        <v>0</v>
      </c>
      <c r="N278" s="3">
        <f>30999+18586+1455+827</f>
        <v>51867</v>
      </c>
    </row>
    <row r="279" spans="1:14" x14ac:dyDescent="0.2">
      <c r="A279" t="s">
        <v>652</v>
      </c>
      <c r="B279" t="s">
        <v>653</v>
      </c>
      <c r="C279" t="s">
        <v>654</v>
      </c>
      <c r="D279" t="s">
        <v>276</v>
      </c>
      <c r="E279">
        <v>27260</v>
      </c>
      <c r="F279" t="s">
        <v>628</v>
      </c>
      <c r="G279" s="2">
        <f>SUM(H279:J279)</f>
        <v>212333</v>
      </c>
      <c r="H279" s="3">
        <v>152333</v>
      </c>
      <c r="I279" s="3">
        <v>60000</v>
      </c>
      <c r="J279" s="3">
        <v>0</v>
      </c>
      <c r="K279" s="4">
        <f>SUM(L279:N279)</f>
        <v>124032.5</v>
      </c>
      <c r="L279" s="3">
        <v>84032.5</v>
      </c>
      <c r="M279" s="3">
        <v>40000</v>
      </c>
      <c r="N279" s="3">
        <v>0</v>
      </c>
    </row>
    <row r="280" spans="1:14" x14ac:dyDescent="0.2">
      <c r="A280" t="s">
        <v>660</v>
      </c>
      <c r="B280" t="s">
        <v>661</v>
      </c>
      <c r="C280" t="s">
        <v>654</v>
      </c>
      <c r="D280" t="s">
        <v>276</v>
      </c>
      <c r="E280">
        <v>27260</v>
      </c>
      <c r="F280" t="s">
        <v>628</v>
      </c>
      <c r="G280" s="2">
        <f>SUM(H280:J280)</f>
        <v>135119</v>
      </c>
      <c r="H280" s="3">
        <v>67876</v>
      </c>
      <c r="I280" s="3">
        <v>16100</v>
      </c>
      <c r="J280" s="3">
        <f>46847+2651+1645</f>
        <v>51143</v>
      </c>
      <c r="K280" s="4">
        <f>SUM(L280:N280)</f>
        <v>38634</v>
      </c>
      <c r="L280" s="3">
        <v>19317</v>
      </c>
      <c r="M280" s="3">
        <v>7700</v>
      </c>
      <c r="N280" s="3">
        <f>9604+518+1495</f>
        <v>11617</v>
      </c>
    </row>
    <row r="281" spans="1:14" x14ac:dyDescent="0.2">
      <c r="A281" t="s">
        <v>655</v>
      </c>
      <c r="B281" t="s">
        <v>656</v>
      </c>
      <c r="C281" t="s">
        <v>654</v>
      </c>
      <c r="D281" t="s">
        <v>276</v>
      </c>
      <c r="E281">
        <v>27260</v>
      </c>
      <c r="F281" t="s">
        <v>628</v>
      </c>
      <c r="G281" s="2">
        <f>SUM(H281:J281)</f>
        <v>114296</v>
      </c>
      <c r="H281" s="3">
        <v>57148</v>
      </c>
      <c r="I281" s="3">
        <v>0</v>
      </c>
      <c r="J281" s="3">
        <v>57148</v>
      </c>
      <c r="K281" s="4">
        <f>SUM(L281:N281)</f>
        <v>23370</v>
      </c>
      <c r="L281" s="3">
        <v>11685</v>
      </c>
      <c r="M281" s="3">
        <v>0</v>
      </c>
      <c r="N281" s="3">
        <v>11685</v>
      </c>
    </row>
    <row r="282" spans="1:14" x14ac:dyDescent="0.2">
      <c r="A282" t="s">
        <v>749</v>
      </c>
      <c r="B282" t="s">
        <v>750</v>
      </c>
      <c r="C282" t="s">
        <v>751</v>
      </c>
      <c r="D282" t="s">
        <v>643</v>
      </c>
      <c r="E282">
        <v>27406</v>
      </c>
      <c r="F282" t="s">
        <v>628</v>
      </c>
      <c r="G282" s="2">
        <f>SUM(H282:J282)</f>
        <v>126303</v>
      </c>
      <c r="H282" s="3">
        <v>97244</v>
      </c>
      <c r="I282" s="3">
        <v>10388</v>
      </c>
      <c r="J282" s="3">
        <v>18671</v>
      </c>
      <c r="K282" s="4">
        <f>SUM(L282:N282)</f>
        <v>69156.5</v>
      </c>
      <c r="L282" s="3">
        <v>56437.5</v>
      </c>
      <c r="M282" s="3">
        <v>3156</v>
      </c>
      <c r="N282" s="3">
        <v>9563</v>
      </c>
    </row>
    <row r="283" spans="1:14" x14ac:dyDescent="0.2">
      <c r="A283" t="s">
        <v>742</v>
      </c>
      <c r="B283" t="s">
        <v>743</v>
      </c>
      <c r="C283" t="s">
        <v>744</v>
      </c>
      <c r="D283" t="s">
        <v>276</v>
      </c>
      <c r="E283">
        <v>27260</v>
      </c>
      <c r="F283" t="s">
        <v>628</v>
      </c>
      <c r="G283" s="2">
        <f>SUM(H283:J283)</f>
        <v>6444</v>
      </c>
      <c r="H283" s="3">
        <v>3849</v>
      </c>
      <c r="I283" s="3">
        <v>2595</v>
      </c>
      <c r="J283" s="3">
        <v>0</v>
      </c>
      <c r="K283" s="4">
        <f>SUM(L283:N283)</f>
        <v>3008.5</v>
      </c>
      <c r="L283" s="3">
        <v>2118.5</v>
      </c>
      <c r="M283" s="3">
        <v>890</v>
      </c>
      <c r="N283" s="3">
        <v>0</v>
      </c>
    </row>
    <row r="284" spans="1:14" x14ac:dyDescent="0.2">
      <c r="A284" t="s">
        <v>326</v>
      </c>
      <c r="B284" t="s">
        <v>327</v>
      </c>
      <c r="C284" t="s">
        <v>328</v>
      </c>
      <c r="D284" t="s">
        <v>265</v>
      </c>
      <c r="E284">
        <v>1100</v>
      </c>
      <c r="F284" t="s">
        <v>254</v>
      </c>
      <c r="G284" s="2">
        <f>SUM(H284:J284)</f>
        <v>23803</v>
      </c>
      <c r="H284" s="3">
        <v>23602</v>
      </c>
      <c r="I284" s="3">
        <v>201</v>
      </c>
      <c r="J284" s="3">
        <v>0</v>
      </c>
      <c r="K284" s="4">
        <f>SUM(L284:N284)</f>
        <v>18826.5</v>
      </c>
      <c r="L284" s="3">
        <v>18601.5</v>
      </c>
      <c r="M284" s="3">
        <v>225</v>
      </c>
      <c r="N284" s="3">
        <v>0</v>
      </c>
    </row>
    <row r="285" spans="1:14" x14ac:dyDescent="0.2">
      <c r="A285" t="s">
        <v>534</v>
      </c>
      <c r="B285" t="s">
        <v>535</v>
      </c>
      <c r="C285" t="s">
        <v>536</v>
      </c>
      <c r="D285" t="s">
        <v>375</v>
      </c>
      <c r="E285">
        <v>27284</v>
      </c>
      <c r="F285" t="s">
        <v>349</v>
      </c>
      <c r="G285" s="2">
        <f>SUM(H285:J285)</f>
        <v>7569</v>
      </c>
      <c r="H285" s="3">
        <v>7569</v>
      </c>
      <c r="I285" s="3">
        <v>0</v>
      </c>
      <c r="J285" s="3">
        <v>0</v>
      </c>
      <c r="K285" s="4">
        <f>SUM(L285:N285)</f>
        <v>2523</v>
      </c>
      <c r="L285" s="3">
        <v>2523</v>
      </c>
      <c r="M285" s="3">
        <v>0</v>
      </c>
      <c r="N285" s="3">
        <v>0</v>
      </c>
    </row>
    <row r="286" spans="1:14" x14ac:dyDescent="0.2">
      <c r="A286" t="s">
        <v>702</v>
      </c>
      <c r="B286" t="s">
        <v>703</v>
      </c>
      <c r="C286" t="s">
        <v>704</v>
      </c>
      <c r="D286" t="s">
        <v>276</v>
      </c>
      <c r="E286">
        <v>27260</v>
      </c>
      <c r="F286" t="s">
        <v>628</v>
      </c>
      <c r="G286" s="2">
        <f>SUM(H286:J286)</f>
        <v>62012</v>
      </c>
      <c r="H286" s="3">
        <v>61531</v>
      </c>
      <c r="I286" s="3">
        <v>481</v>
      </c>
      <c r="J286" s="3">
        <v>0</v>
      </c>
      <c r="K286" s="4">
        <f>SUM(L286:N286)</f>
        <v>16320.5</v>
      </c>
      <c r="L286" s="3">
        <v>16320.5</v>
      </c>
      <c r="M286" s="3">
        <v>0</v>
      </c>
      <c r="N286" s="3">
        <v>0</v>
      </c>
    </row>
    <row r="287" spans="1:14" x14ac:dyDescent="0.2">
      <c r="A287" t="s">
        <v>279</v>
      </c>
      <c r="B287" t="s">
        <v>280</v>
      </c>
      <c r="C287" t="s">
        <v>281</v>
      </c>
      <c r="D287" t="s">
        <v>265</v>
      </c>
      <c r="E287">
        <v>27360</v>
      </c>
      <c r="F287" t="s">
        <v>254</v>
      </c>
      <c r="G287" s="2">
        <f>SUM(H287:J287)</f>
        <v>167704</v>
      </c>
      <c r="H287" s="3">
        <v>166406</v>
      </c>
      <c r="I287" s="3">
        <v>0</v>
      </c>
      <c r="J287" s="3">
        <v>1298</v>
      </c>
      <c r="K287" s="4">
        <f>SUM(L287:N287)</f>
        <v>104979.5</v>
      </c>
      <c r="L287" s="3">
        <v>104979.5</v>
      </c>
      <c r="M287" s="3">
        <v>0</v>
      </c>
      <c r="N287" s="3">
        <v>0</v>
      </c>
    </row>
    <row r="288" spans="1:14" x14ac:dyDescent="0.2">
      <c r="A288" t="s">
        <v>384</v>
      </c>
      <c r="B288" t="s">
        <v>385</v>
      </c>
      <c r="C288" t="s">
        <v>386</v>
      </c>
      <c r="D288" t="s">
        <v>299</v>
      </c>
      <c r="E288">
        <v>27105</v>
      </c>
      <c r="F288" t="s">
        <v>349</v>
      </c>
      <c r="G288" s="2">
        <f>SUM(H288:J288)</f>
        <v>163452</v>
      </c>
      <c r="H288" s="3">
        <v>146545</v>
      </c>
      <c r="I288" s="3">
        <v>13160</v>
      </c>
      <c r="J288" s="3">
        <f>586+795+2366</f>
        <v>3747</v>
      </c>
      <c r="K288" s="4">
        <f>SUM(L288:N288)</f>
        <v>154537.5</v>
      </c>
      <c r="L288" s="3">
        <v>137693.5</v>
      </c>
      <c r="M288" s="3">
        <v>15181</v>
      </c>
      <c r="N288" s="3">
        <f>428+1235</f>
        <v>1663</v>
      </c>
    </row>
    <row r="289" spans="1:14" x14ac:dyDescent="0.2">
      <c r="A289" t="s">
        <v>1080</v>
      </c>
      <c r="B289" t="s">
        <v>1081</v>
      </c>
      <c r="C289" t="s">
        <v>1082</v>
      </c>
      <c r="D289" t="s">
        <v>1079</v>
      </c>
      <c r="E289">
        <v>27041</v>
      </c>
      <c r="F289" t="s">
        <v>1055</v>
      </c>
      <c r="G289" s="2">
        <f>SUM(H289:J289)</f>
        <v>563278</v>
      </c>
      <c r="H289" s="3">
        <v>328878</v>
      </c>
      <c r="I289" s="3">
        <v>56443</v>
      </c>
      <c r="J289" s="3">
        <v>177957</v>
      </c>
      <c r="K289" s="4">
        <f>SUM(L289:N289)</f>
        <v>325622</v>
      </c>
      <c r="L289" s="3">
        <v>194080</v>
      </c>
      <c r="M289" s="3">
        <v>67453</v>
      </c>
      <c r="N289" s="3">
        <v>64089</v>
      </c>
    </row>
    <row r="290" spans="1:14" x14ac:dyDescent="0.2">
      <c r="A290" t="s">
        <v>851</v>
      </c>
      <c r="B290" t="s">
        <v>852</v>
      </c>
      <c r="C290" t="s">
        <v>853</v>
      </c>
      <c r="D290" t="s">
        <v>643</v>
      </c>
      <c r="E290">
        <v>27406</v>
      </c>
      <c r="F290" t="s">
        <v>628</v>
      </c>
      <c r="G290" s="2">
        <f>SUM(H290:J290)</f>
        <v>163927</v>
      </c>
      <c r="H290" s="3">
        <v>127128</v>
      </c>
      <c r="I290" s="3">
        <v>29204</v>
      </c>
      <c r="J290" s="3">
        <v>7595</v>
      </c>
      <c r="K290" s="4">
        <f>SUM(L290:N290)</f>
        <v>37738.5</v>
      </c>
      <c r="L290" s="3">
        <v>33789.5</v>
      </c>
      <c r="M290" s="3">
        <v>900</v>
      </c>
      <c r="N290" s="3">
        <v>3049</v>
      </c>
    </row>
    <row r="291" spans="1:14" x14ac:dyDescent="0.2">
      <c r="A291" t="s">
        <v>629</v>
      </c>
      <c r="B291" t="s">
        <v>630</v>
      </c>
      <c r="C291" t="s">
        <v>631</v>
      </c>
      <c r="D291" t="s">
        <v>276</v>
      </c>
      <c r="E291">
        <v>27263</v>
      </c>
      <c r="F291" t="s">
        <v>628</v>
      </c>
      <c r="G291" s="2">
        <f>SUM(H291:J291)</f>
        <v>28714</v>
      </c>
      <c r="H291" s="3">
        <v>28714</v>
      </c>
      <c r="I291" s="3">
        <v>0</v>
      </c>
      <c r="J291" s="3">
        <v>0</v>
      </c>
      <c r="K291" s="4">
        <f>SUM(L291:N291)</f>
        <v>18552</v>
      </c>
      <c r="L291" s="3">
        <v>18552</v>
      </c>
      <c r="M291" s="3">
        <v>0</v>
      </c>
      <c r="N291" s="3">
        <v>0</v>
      </c>
    </row>
    <row r="292" spans="1:14" x14ac:dyDescent="0.2">
      <c r="A292" t="s">
        <v>625</v>
      </c>
      <c r="B292" t="s">
        <v>626</v>
      </c>
      <c r="C292" t="s">
        <v>627</v>
      </c>
      <c r="D292" t="s">
        <v>276</v>
      </c>
      <c r="E292">
        <v>27260</v>
      </c>
      <c r="F292" t="s">
        <v>628</v>
      </c>
      <c r="G292" s="2">
        <f>SUM(H292:J292)</f>
        <v>81365</v>
      </c>
      <c r="H292" s="3">
        <v>66244</v>
      </c>
      <c r="I292" s="3">
        <v>14950</v>
      </c>
      <c r="J292" s="3">
        <v>171</v>
      </c>
      <c r="K292" s="4">
        <f>SUM(L292:N292)</f>
        <v>43168</v>
      </c>
      <c r="L292" s="3">
        <v>40368</v>
      </c>
      <c r="M292" s="3">
        <v>2800</v>
      </c>
      <c r="N292" s="3">
        <v>0</v>
      </c>
    </row>
    <row r="293" spans="1:14" x14ac:dyDescent="0.2">
      <c r="A293" t="s">
        <v>771</v>
      </c>
      <c r="B293" t="s">
        <v>878</v>
      </c>
      <c r="C293" t="s">
        <v>879</v>
      </c>
      <c r="D293" t="s">
        <v>643</v>
      </c>
      <c r="E293">
        <v>27410</v>
      </c>
      <c r="F293" t="s">
        <v>628</v>
      </c>
      <c r="G293" s="2">
        <f>SUM(H293:J293)</f>
        <v>1852</v>
      </c>
      <c r="H293" s="3">
        <v>1567</v>
      </c>
      <c r="I293" s="3">
        <v>285</v>
      </c>
      <c r="J293" s="3">
        <v>0</v>
      </c>
      <c r="K293" s="4">
        <f>SUM(L293:N293)</f>
        <v>37733</v>
      </c>
      <c r="L293" s="3">
        <v>19167</v>
      </c>
      <c r="M293" s="3">
        <v>9343</v>
      </c>
      <c r="N293" s="3">
        <f>519+8704</f>
        <v>9223</v>
      </c>
    </row>
    <row r="294" spans="1:14" x14ac:dyDescent="0.2">
      <c r="A294" t="s">
        <v>99</v>
      </c>
      <c r="B294" t="s">
        <v>100</v>
      </c>
      <c r="C294" t="s">
        <v>101</v>
      </c>
      <c r="D294" t="s">
        <v>102</v>
      </c>
      <c r="E294">
        <v>28678</v>
      </c>
      <c r="F294" t="s">
        <v>94</v>
      </c>
      <c r="G294" s="2">
        <f>SUM(H294:J294)</f>
        <v>136156</v>
      </c>
      <c r="H294" s="3">
        <v>103919</v>
      </c>
      <c r="I294" s="3">
        <v>32237</v>
      </c>
      <c r="J294" s="3">
        <v>0</v>
      </c>
      <c r="K294" s="4">
        <f>SUM(L294:N294)</f>
        <v>59333</v>
      </c>
      <c r="L294" s="3">
        <v>52768</v>
      </c>
      <c r="M294" s="3">
        <v>6565</v>
      </c>
      <c r="N294" s="3">
        <v>0</v>
      </c>
    </row>
    <row r="295" spans="1:14" x14ac:dyDescent="0.2">
      <c r="A295" t="s">
        <v>1007</v>
      </c>
      <c r="B295" t="s">
        <v>1008</v>
      </c>
      <c r="C295" t="s">
        <v>1009</v>
      </c>
      <c r="D295" t="s">
        <v>1010</v>
      </c>
      <c r="E295">
        <v>27025</v>
      </c>
      <c r="F295" t="s">
        <v>963</v>
      </c>
      <c r="G295" s="2">
        <f>SUM(H295:J295)</f>
        <v>312679</v>
      </c>
      <c r="H295" s="3">
        <v>201860</v>
      </c>
      <c r="I295" s="3">
        <v>55194</v>
      </c>
      <c r="J295" s="3">
        <v>55625</v>
      </c>
      <c r="K295" s="4">
        <f>SUM(L295:N295)</f>
        <v>184723.5</v>
      </c>
      <c r="L295" s="3">
        <v>129729.5</v>
      </c>
      <c r="M295" s="3">
        <v>31637</v>
      </c>
      <c r="N295" s="3">
        <v>23357</v>
      </c>
    </row>
    <row r="296" spans="1:14" x14ac:dyDescent="0.2">
      <c r="A296" t="s">
        <v>1011</v>
      </c>
      <c r="B296" t="s">
        <v>1012</v>
      </c>
      <c r="C296" t="s">
        <v>1009</v>
      </c>
      <c r="D296" t="s">
        <v>1010</v>
      </c>
      <c r="E296">
        <v>27025</v>
      </c>
      <c r="F296" t="s">
        <v>963</v>
      </c>
      <c r="G296" s="2">
        <f>SUM(H296:J296)</f>
        <v>51034</v>
      </c>
      <c r="H296" s="3">
        <v>42935</v>
      </c>
      <c r="I296" s="3">
        <v>8099</v>
      </c>
      <c r="J296" s="3">
        <v>0</v>
      </c>
      <c r="K296" s="4">
        <f>SUM(L296:N296)</f>
        <v>59643.5</v>
      </c>
      <c r="L296" s="3">
        <v>46031.5</v>
      </c>
      <c r="M296" s="3">
        <v>13612</v>
      </c>
      <c r="N296" s="3">
        <v>0</v>
      </c>
    </row>
    <row r="297" spans="1:14" x14ac:dyDescent="0.2">
      <c r="A297" t="s">
        <v>1007</v>
      </c>
      <c r="B297" t="s">
        <v>1013</v>
      </c>
      <c r="C297" t="s">
        <v>1014</v>
      </c>
      <c r="D297" t="s">
        <v>1010</v>
      </c>
      <c r="E297">
        <v>27025</v>
      </c>
      <c r="F297" t="s">
        <v>963</v>
      </c>
      <c r="G297" s="2">
        <f>SUM(H297:J297)</f>
        <v>43199</v>
      </c>
      <c r="H297" s="3">
        <v>22792</v>
      </c>
      <c r="I297" s="3">
        <v>20407</v>
      </c>
      <c r="J297" s="3">
        <v>0</v>
      </c>
      <c r="K297" s="4">
        <f>SUM(L297:N297)</f>
        <v>14971.5</v>
      </c>
      <c r="L297" s="3">
        <v>9447.5</v>
      </c>
      <c r="M297" s="3">
        <v>5524</v>
      </c>
      <c r="N297" s="3">
        <v>0</v>
      </c>
    </row>
    <row r="298" spans="1:14" x14ac:dyDescent="0.2">
      <c r="A298" t="s">
        <v>366</v>
      </c>
      <c r="B298" t="s">
        <v>367</v>
      </c>
      <c r="C298" t="s">
        <v>368</v>
      </c>
      <c r="D298" t="s">
        <v>299</v>
      </c>
      <c r="E298">
        <v>27101</v>
      </c>
      <c r="F298" t="s">
        <v>349</v>
      </c>
      <c r="G298" s="2">
        <f>SUM(H298:J298)</f>
        <v>709408</v>
      </c>
      <c r="H298" s="3">
        <v>411516</v>
      </c>
      <c r="I298" s="3">
        <v>180206</v>
      </c>
      <c r="J298" s="3">
        <f>14630+40531+18054+44471</f>
        <v>117686</v>
      </c>
      <c r="K298" s="4">
        <f>SUM(L298:N298)</f>
        <v>272432.5</v>
      </c>
      <c r="L298" s="3">
        <v>184839.5</v>
      </c>
      <c r="M298" s="3">
        <v>48341</v>
      </c>
      <c r="N298" s="3">
        <f>10881+11629+12433+4309</f>
        <v>39252</v>
      </c>
    </row>
    <row r="299" spans="1:14" x14ac:dyDescent="0.2">
      <c r="A299" t="s">
        <v>1036</v>
      </c>
      <c r="B299" t="s">
        <v>1037</v>
      </c>
      <c r="C299" t="s">
        <v>1038</v>
      </c>
      <c r="D299" t="s">
        <v>1025</v>
      </c>
      <c r="E299">
        <v>27021</v>
      </c>
      <c r="F299" t="s">
        <v>1026</v>
      </c>
      <c r="G299" s="2">
        <f>SUM(H299:J299)</f>
        <v>31325</v>
      </c>
      <c r="H299" s="3">
        <v>29325</v>
      </c>
      <c r="I299" s="3">
        <v>2000</v>
      </c>
      <c r="J299" s="3">
        <v>0</v>
      </c>
      <c r="K299" s="4">
        <f>SUM(L299:N299)</f>
        <v>12945</v>
      </c>
      <c r="L299" s="3">
        <v>12945</v>
      </c>
      <c r="M299" s="3">
        <v>0</v>
      </c>
      <c r="N299" s="3">
        <v>0</v>
      </c>
    </row>
    <row r="300" spans="1:14" x14ac:dyDescent="0.2">
      <c r="A300" t="s">
        <v>1171</v>
      </c>
      <c r="B300" t="s">
        <v>1172</v>
      </c>
      <c r="C300" t="s">
        <v>1173</v>
      </c>
      <c r="D300" t="s">
        <v>1160</v>
      </c>
      <c r="E300">
        <v>28697</v>
      </c>
      <c r="F300" t="s">
        <v>1145</v>
      </c>
      <c r="G300" s="2">
        <f>SUM(H300:J300)</f>
        <v>1465896</v>
      </c>
      <c r="H300" s="3">
        <v>855284</v>
      </c>
      <c r="I300" s="3">
        <v>457568</v>
      </c>
      <c r="J300" s="3">
        <f>75226+77818</f>
        <v>153044</v>
      </c>
      <c r="K300" s="4">
        <f>SUM(L300:N300)</f>
        <v>567216</v>
      </c>
      <c r="L300" s="3">
        <v>355550</v>
      </c>
      <c r="M300" s="3">
        <v>126027</v>
      </c>
      <c r="N300" s="3">
        <f>42793+42846</f>
        <v>85639</v>
      </c>
    </row>
    <row r="301" spans="1:14" x14ac:dyDescent="0.2">
      <c r="A301" t="s">
        <v>1174</v>
      </c>
      <c r="B301" t="s">
        <v>1175</v>
      </c>
      <c r="C301" t="s">
        <v>1176</v>
      </c>
      <c r="D301" t="s">
        <v>1160</v>
      </c>
      <c r="E301">
        <v>28697</v>
      </c>
      <c r="F301" t="s">
        <v>1145</v>
      </c>
      <c r="G301" s="2">
        <f>SUM(H301:J301)</f>
        <v>0</v>
      </c>
      <c r="K301" s="4">
        <f>SUM(L301:N301)</f>
        <v>132345</v>
      </c>
      <c r="L301" s="3">
        <v>72389</v>
      </c>
      <c r="M301" s="3">
        <v>59956</v>
      </c>
      <c r="N301" s="3">
        <v>0</v>
      </c>
    </row>
    <row r="302" spans="1:14" x14ac:dyDescent="0.2">
      <c r="A302" t="s">
        <v>329</v>
      </c>
      <c r="B302" t="s">
        <v>330</v>
      </c>
      <c r="C302" t="s">
        <v>331</v>
      </c>
      <c r="D302" t="s">
        <v>253</v>
      </c>
      <c r="E302">
        <v>27292</v>
      </c>
      <c r="F302" t="s">
        <v>254</v>
      </c>
      <c r="G302" s="2">
        <f>SUM(H302:J302)</f>
        <v>5886</v>
      </c>
      <c r="H302" s="3">
        <v>4247</v>
      </c>
      <c r="I302" s="3">
        <v>510</v>
      </c>
      <c r="J302" s="3">
        <f>991+138</f>
        <v>1129</v>
      </c>
      <c r="K302" s="4">
        <f>SUM(L302:N302)</f>
        <v>7526.5</v>
      </c>
      <c r="L302" s="3">
        <v>4345.5</v>
      </c>
      <c r="M302" s="3">
        <v>3181</v>
      </c>
      <c r="N302" s="3">
        <v>0</v>
      </c>
    </row>
    <row r="303" spans="1:14" x14ac:dyDescent="0.2">
      <c r="A303" t="s">
        <v>728</v>
      </c>
      <c r="B303" t="s">
        <v>729</v>
      </c>
      <c r="C303" t="s">
        <v>730</v>
      </c>
      <c r="D303" t="s">
        <v>643</v>
      </c>
      <c r="E303">
        <v>27407</v>
      </c>
      <c r="F303" t="s">
        <v>628</v>
      </c>
      <c r="G303" s="2">
        <f>SUM(H303:J303)</f>
        <v>6641</v>
      </c>
      <c r="H303" s="3">
        <v>6641</v>
      </c>
      <c r="I303" s="3">
        <v>0</v>
      </c>
      <c r="J303" s="3">
        <v>0</v>
      </c>
      <c r="K303" s="4">
        <f>SUM(L303:N303)</f>
        <v>3596</v>
      </c>
      <c r="L303" s="3">
        <v>3596</v>
      </c>
      <c r="M303" s="3">
        <v>0</v>
      </c>
      <c r="N303" s="3">
        <v>0</v>
      </c>
    </row>
    <row r="304" spans="1:14" x14ac:dyDescent="0.2">
      <c r="A304" t="s">
        <v>731</v>
      </c>
      <c r="B304" t="s">
        <v>732</v>
      </c>
      <c r="C304" t="s">
        <v>733</v>
      </c>
      <c r="D304" t="s">
        <v>643</v>
      </c>
      <c r="E304">
        <v>27407</v>
      </c>
      <c r="F304" t="s">
        <v>628</v>
      </c>
      <c r="G304" s="2">
        <f>SUM(H304:J304)</f>
        <v>0</v>
      </c>
      <c r="H304" s="3">
        <v>0</v>
      </c>
      <c r="I304" s="3">
        <v>0</v>
      </c>
      <c r="J304" s="3">
        <v>0</v>
      </c>
      <c r="K304" s="4">
        <f>SUM(L304:N304)</f>
        <v>0</v>
      </c>
      <c r="L304" s="3">
        <v>0</v>
      </c>
      <c r="M304" s="3">
        <v>0</v>
      </c>
      <c r="N304" s="3">
        <v>0</v>
      </c>
    </row>
    <row r="305" spans="1:14" x14ac:dyDescent="0.2">
      <c r="A305" t="s">
        <v>1056</v>
      </c>
      <c r="B305" t="s">
        <v>1057</v>
      </c>
      <c r="C305" t="s">
        <v>1058</v>
      </c>
      <c r="D305" t="s">
        <v>1059</v>
      </c>
      <c r="E305">
        <v>27030</v>
      </c>
      <c r="F305" t="s">
        <v>1055</v>
      </c>
      <c r="G305" s="2">
        <f>SUM(H305:J305)</f>
        <v>50920</v>
      </c>
      <c r="H305" s="3">
        <v>41146</v>
      </c>
      <c r="I305" s="3">
        <v>3088</v>
      </c>
      <c r="J305" s="3">
        <f>4828+1858</f>
        <v>6686</v>
      </c>
      <c r="K305" s="4">
        <f>SUM(L305:N305)</f>
        <v>29793.5</v>
      </c>
      <c r="L305" s="3">
        <v>26751.5</v>
      </c>
      <c r="M305" s="3">
        <v>0</v>
      </c>
      <c r="N305" s="3">
        <f>1881+1161</f>
        <v>3042</v>
      </c>
    </row>
    <row r="306" spans="1:14" x14ac:dyDescent="0.2">
      <c r="A306" t="s">
        <v>209</v>
      </c>
      <c r="B306" t="s">
        <v>210</v>
      </c>
      <c r="C306" t="s">
        <v>211</v>
      </c>
      <c r="D306" t="s">
        <v>180</v>
      </c>
      <c r="E306">
        <v>28630</v>
      </c>
      <c r="F306" t="s">
        <v>181</v>
      </c>
      <c r="G306" s="2">
        <f>SUM(H306:J306)</f>
        <v>2320</v>
      </c>
      <c r="H306" s="3">
        <v>2320</v>
      </c>
      <c r="I306" s="3">
        <v>0</v>
      </c>
      <c r="J306" s="3">
        <v>0</v>
      </c>
      <c r="K306" s="4">
        <f>SUM(L306:N306)</f>
        <v>870</v>
      </c>
      <c r="L306" s="3">
        <v>870</v>
      </c>
      <c r="M306" s="3">
        <v>0</v>
      </c>
      <c r="N306" s="3">
        <v>0</v>
      </c>
    </row>
    <row r="307" spans="1:14" x14ac:dyDescent="0.2">
      <c r="A307" t="s">
        <v>986</v>
      </c>
      <c r="B307" t="s">
        <v>987</v>
      </c>
      <c r="C307" t="s">
        <v>988</v>
      </c>
      <c r="D307" t="s">
        <v>962</v>
      </c>
      <c r="E307">
        <v>27320</v>
      </c>
      <c r="F307" t="s">
        <v>963</v>
      </c>
      <c r="G307" s="2">
        <f>SUM(H307:J307)</f>
        <v>434850</v>
      </c>
      <c r="H307" s="3">
        <v>281606</v>
      </c>
      <c r="I307" s="3">
        <v>23840</v>
      </c>
      <c r="J307" s="3">
        <f>112903+16501</f>
        <v>129404</v>
      </c>
      <c r="K307" s="4">
        <f>SUM(L307:N307)</f>
        <v>192389.5</v>
      </c>
      <c r="L307" s="3">
        <v>127405.5</v>
      </c>
      <c r="M307" s="3">
        <v>4946</v>
      </c>
      <c r="N307" s="3">
        <f>50495+9543</f>
        <v>60038</v>
      </c>
    </row>
    <row r="308" spans="1:14" x14ac:dyDescent="0.2">
      <c r="A308" t="s">
        <v>177</v>
      </c>
      <c r="B308" t="s">
        <v>178</v>
      </c>
      <c r="C308" t="s">
        <v>179</v>
      </c>
      <c r="D308" t="s">
        <v>180</v>
      </c>
      <c r="E308">
        <v>28630</v>
      </c>
      <c r="F308" t="s">
        <v>181</v>
      </c>
      <c r="G308" s="2">
        <f>SUM(H308:J308)</f>
        <v>19144</v>
      </c>
      <c r="H308" s="3">
        <v>14753</v>
      </c>
      <c r="I308" s="3">
        <v>0</v>
      </c>
      <c r="J308" s="3">
        <v>4391</v>
      </c>
      <c r="K308" s="4">
        <f>SUM(L308:N308)</f>
        <v>16052</v>
      </c>
      <c r="L308" s="3">
        <v>14575</v>
      </c>
      <c r="M308" s="3">
        <v>0</v>
      </c>
      <c r="N308" s="3">
        <v>1477</v>
      </c>
    </row>
    <row r="309" spans="1:14" x14ac:dyDescent="0.2">
      <c r="A309" t="s">
        <v>406</v>
      </c>
      <c r="B309" t="s">
        <v>407</v>
      </c>
      <c r="C309" t="s">
        <v>408</v>
      </c>
      <c r="D309" t="s">
        <v>299</v>
      </c>
      <c r="E309">
        <v>27127</v>
      </c>
      <c r="F309" t="s">
        <v>349</v>
      </c>
      <c r="G309" s="2">
        <f>SUM(H309:J309)</f>
        <v>203544</v>
      </c>
      <c r="H309" s="3">
        <v>126004</v>
      </c>
      <c r="I309" s="3">
        <v>0</v>
      </c>
      <c r="J309" s="3">
        <v>77540</v>
      </c>
      <c r="K309" s="4">
        <f>SUM(L309:N309)</f>
        <v>107314.5</v>
      </c>
      <c r="L309" s="3">
        <v>69474.5</v>
      </c>
      <c r="M309" s="3">
        <v>0</v>
      </c>
      <c r="N309" s="3">
        <v>37840</v>
      </c>
    </row>
    <row r="310" spans="1:14" x14ac:dyDescent="0.2">
      <c r="A310" t="s">
        <v>109</v>
      </c>
      <c r="B310" t="s">
        <v>110</v>
      </c>
      <c r="C310" t="s">
        <v>111</v>
      </c>
      <c r="D310" t="s">
        <v>112</v>
      </c>
      <c r="E310">
        <v>28636</v>
      </c>
      <c r="F310" t="s">
        <v>94</v>
      </c>
      <c r="G310" s="2">
        <f>SUM(H310:J310)</f>
        <v>237711</v>
      </c>
      <c r="H310" s="3">
        <v>221026</v>
      </c>
      <c r="I310" s="3">
        <v>16685</v>
      </c>
      <c r="J310" s="3">
        <v>0</v>
      </c>
      <c r="K310" s="4">
        <f>SUM(L310:N310)</f>
        <v>173494.5</v>
      </c>
      <c r="L310" s="3">
        <v>152922.5</v>
      </c>
      <c r="M310" s="3">
        <v>20572</v>
      </c>
      <c r="N310" s="3">
        <v>0</v>
      </c>
    </row>
    <row r="311" spans="1:14" x14ac:dyDescent="0.2">
      <c r="A311" t="s">
        <v>496</v>
      </c>
      <c r="B311" t="s">
        <v>497</v>
      </c>
      <c r="C311" t="s">
        <v>498</v>
      </c>
      <c r="D311" t="s">
        <v>299</v>
      </c>
      <c r="E311">
        <v>27101</v>
      </c>
      <c r="F311" t="s">
        <v>349</v>
      </c>
      <c r="G311" s="2">
        <f>SUM(H311:J311)</f>
        <v>16124</v>
      </c>
      <c r="H311" s="3">
        <v>16124</v>
      </c>
      <c r="I311" s="3">
        <v>0</v>
      </c>
      <c r="J311" s="3">
        <v>0</v>
      </c>
      <c r="K311" s="4">
        <f>SUM(L311:N311)</f>
        <v>0</v>
      </c>
      <c r="L311" s="3">
        <v>0</v>
      </c>
      <c r="M311" s="3">
        <v>0</v>
      </c>
      <c r="N311" s="3">
        <v>0</v>
      </c>
    </row>
    <row r="312" spans="1:14" x14ac:dyDescent="0.2">
      <c r="A312" t="s">
        <v>640</v>
      </c>
      <c r="B312" t="s">
        <v>641</v>
      </c>
      <c r="C312" t="s">
        <v>642</v>
      </c>
      <c r="D312" t="s">
        <v>643</v>
      </c>
      <c r="E312">
        <v>27455</v>
      </c>
      <c r="F312" t="s">
        <v>628</v>
      </c>
      <c r="G312" s="2">
        <f>SUM(H312:J312)</f>
        <v>65168</v>
      </c>
      <c r="H312" s="3">
        <v>63573</v>
      </c>
      <c r="I312" s="3">
        <v>342</v>
      </c>
      <c r="J312" s="3">
        <f>950+303</f>
        <v>1253</v>
      </c>
      <c r="K312" s="4">
        <f>SUM(L312:N312)</f>
        <v>40297.5</v>
      </c>
      <c r="L312" s="3">
        <v>39757.5</v>
      </c>
      <c r="M312" s="3">
        <v>105</v>
      </c>
      <c r="N312" s="3">
        <v>435</v>
      </c>
    </row>
    <row r="313" spans="1:14" x14ac:dyDescent="0.2">
      <c r="A313" t="s">
        <v>335</v>
      </c>
      <c r="B313" t="s">
        <v>336</v>
      </c>
      <c r="C313" t="s">
        <v>337</v>
      </c>
      <c r="D313" t="s">
        <v>253</v>
      </c>
      <c r="E313">
        <v>27295</v>
      </c>
      <c r="F313" t="s">
        <v>254</v>
      </c>
      <c r="G313" s="2">
        <f>SUM(H313:J313)</f>
        <v>215474</v>
      </c>
      <c r="H313" s="3">
        <v>123113</v>
      </c>
      <c r="I313" s="3">
        <v>42026</v>
      </c>
      <c r="J313" s="3">
        <v>50335</v>
      </c>
      <c r="K313" s="4">
        <f>SUM(L313:N313)</f>
        <v>79279.5</v>
      </c>
      <c r="L313" s="3">
        <v>43614.5</v>
      </c>
      <c r="M313" s="3">
        <v>15482</v>
      </c>
      <c r="N313" s="3">
        <v>20183</v>
      </c>
    </row>
    <row r="314" spans="1:14" x14ac:dyDescent="0.2">
      <c r="A314" t="s">
        <v>338</v>
      </c>
      <c r="B314" t="s">
        <v>339</v>
      </c>
      <c r="C314" t="s">
        <v>337</v>
      </c>
      <c r="D314" t="s">
        <v>253</v>
      </c>
      <c r="E314">
        <v>27295</v>
      </c>
      <c r="F314" t="s">
        <v>254</v>
      </c>
      <c r="G314" s="2">
        <f>SUM(H314:J314)</f>
        <v>89476</v>
      </c>
      <c r="H314" s="3">
        <v>48321</v>
      </c>
      <c r="I314" s="3">
        <v>41155</v>
      </c>
      <c r="J314" s="3">
        <v>0</v>
      </c>
      <c r="K314" s="4">
        <f>SUM(L314:N314)</f>
        <v>36417</v>
      </c>
      <c r="L314" s="3">
        <v>18597</v>
      </c>
      <c r="M314" s="3">
        <v>17820</v>
      </c>
      <c r="N314" s="3">
        <v>0</v>
      </c>
    </row>
    <row r="315" spans="1:14" x14ac:dyDescent="0.2">
      <c r="A315" t="s">
        <v>332</v>
      </c>
      <c r="B315" t="s">
        <v>333</v>
      </c>
      <c r="C315" t="s">
        <v>334</v>
      </c>
      <c r="D315" t="s">
        <v>253</v>
      </c>
      <c r="E315">
        <v>27295</v>
      </c>
      <c r="F315" t="s">
        <v>254</v>
      </c>
      <c r="G315" s="2">
        <f>SUM(H315:J315)</f>
        <v>2639</v>
      </c>
      <c r="H315" s="3">
        <v>2639</v>
      </c>
      <c r="I315" s="3">
        <v>0</v>
      </c>
      <c r="J315" s="3">
        <v>0</v>
      </c>
      <c r="K315" s="4">
        <f>SUM(L315:N315)</f>
        <v>1479</v>
      </c>
      <c r="L315" s="3">
        <v>1479</v>
      </c>
      <c r="M315" s="3">
        <v>0</v>
      </c>
      <c r="N315" s="3">
        <v>0</v>
      </c>
    </row>
    <row r="316" spans="1:14" x14ac:dyDescent="0.2">
      <c r="A316" t="s">
        <v>857</v>
      </c>
      <c r="B316" t="s">
        <v>858</v>
      </c>
      <c r="C316" t="s">
        <v>859</v>
      </c>
      <c r="D316" t="s">
        <v>643</v>
      </c>
      <c r="E316">
        <v>27405</v>
      </c>
      <c r="F316" t="s">
        <v>628</v>
      </c>
      <c r="G316" s="2">
        <f>SUM(H316:J316)</f>
        <v>7500</v>
      </c>
      <c r="H316" s="3">
        <v>7275</v>
      </c>
      <c r="I316" s="3">
        <v>225</v>
      </c>
      <c r="J316" s="3">
        <v>0</v>
      </c>
      <c r="K316" s="4">
        <f>SUM(L316:N316)</f>
        <v>7187</v>
      </c>
      <c r="L316" s="3">
        <v>7135</v>
      </c>
      <c r="M316" s="3">
        <v>52</v>
      </c>
      <c r="N316" s="3">
        <v>0</v>
      </c>
    </row>
    <row r="317" spans="1:14" x14ac:dyDescent="0.2">
      <c r="A317" t="s">
        <v>857</v>
      </c>
      <c r="B317" t="s">
        <v>860</v>
      </c>
      <c r="C317" t="s">
        <v>859</v>
      </c>
      <c r="D317" t="s">
        <v>643</v>
      </c>
      <c r="E317">
        <v>27405</v>
      </c>
      <c r="F317" t="s">
        <v>628</v>
      </c>
      <c r="G317" s="2">
        <f>SUM(H317:J317)</f>
        <v>6016</v>
      </c>
      <c r="H317" s="3">
        <v>5930</v>
      </c>
      <c r="I317" s="3">
        <v>86</v>
      </c>
      <c r="J317" s="3">
        <v>0</v>
      </c>
      <c r="K317" s="4">
        <f>SUM(L317:N317)</f>
        <v>5079</v>
      </c>
      <c r="L317" s="3">
        <v>5079</v>
      </c>
      <c r="M317" s="3">
        <v>0</v>
      </c>
      <c r="N317" s="3">
        <v>0</v>
      </c>
    </row>
    <row r="318" spans="1:14" x14ac:dyDescent="0.2">
      <c r="A318" t="s">
        <v>861</v>
      </c>
      <c r="B318" t="s">
        <v>862</v>
      </c>
      <c r="C318" t="s">
        <v>863</v>
      </c>
      <c r="D318" t="s">
        <v>643</v>
      </c>
      <c r="E318">
        <v>27405</v>
      </c>
      <c r="F318" t="s">
        <v>628</v>
      </c>
      <c r="G318" s="2">
        <f>SUM(H318:J318)</f>
        <v>40018</v>
      </c>
      <c r="H318" s="3">
        <v>28801</v>
      </c>
      <c r="I318" s="3">
        <v>11217</v>
      </c>
      <c r="J318" s="3">
        <v>0</v>
      </c>
      <c r="K318" s="4">
        <f>SUM(L318:N318)</f>
        <v>16537.2</v>
      </c>
      <c r="L318" s="3">
        <v>14886.2</v>
      </c>
      <c r="M318" s="3">
        <v>1651</v>
      </c>
      <c r="N318" s="3">
        <v>0</v>
      </c>
    </row>
    <row r="319" spans="1:14" x14ac:dyDescent="0.2">
      <c r="A319" t="s">
        <v>871</v>
      </c>
      <c r="B319" t="s">
        <v>872</v>
      </c>
      <c r="C319" t="s">
        <v>873</v>
      </c>
      <c r="D319" t="s">
        <v>874</v>
      </c>
      <c r="E319">
        <v>27214</v>
      </c>
      <c r="F319" t="s">
        <v>628</v>
      </c>
      <c r="G319" s="2">
        <f>SUM(H319:J319)</f>
        <v>15751</v>
      </c>
      <c r="H319" s="3">
        <v>12080</v>
      </c>
      <c r="I319" s="3">
        <v>3671</v>
      </c>
      <c r="J319" s="3">
        <v>0</v>
      </c>
      <c r="K319" s="4">
        <f>SUM(L319:N319)</f>
        <v>23068.6</v>
      </c>
      <c r="L319" s="3">
        <v>16850.599999999999</v>
      </c>
      <c r="M319" s="3">
        <v>6218</v>
      </c>
      <c r="N319" s="3">
        <v>0</v>
      </c>
    </row>
    <row r="320" spans="1:14" x14ac:dyDescent="0.2">
      <c r="A320" t="s">
        <v>416</v>
      </c>
      <c r="B320" t="s">
        <v>417</v>
      </c>
      <c r="C320" t="s">
        <v>418</v>
      </c>
      <c r="D320" t="s">
        <v>299</v>
      </c>
      <c r="E320">
        <v>27106</v>
      </c>
      <c r="F320" t="s">
        <v>349</v>
      </c>
      <c r="G320" s="2">
        <f>SUM(H320:J320)</f>
        <v>46708</v>
      </c>
      <c r="H320" s="3">
        <v>44080</v>
      </c>
      <c r="I320" s="3">
        <v>59</v>
      </c>
      <c r="J320" s="3">
        <f>770+1799</f>
        <v>2569</v>
      </c>
      <c r="K320" s="4">
        <f>SUM(L320:N320)</f>
        <v>31160.5</v>
      </c>
      <c r="L320" s="3">
        <v>28604.5</v>
      </c>
      <c r="M320" s="3">
        <v>0</v>
      </c>
      <c r="N320" s="3">
        <f>1772+784</f>
        <v>2556</v>
      </c>
    </row>
    <row r="321" spans="1:14" x14ac:dyDescent="0.2">
      <c r="A321" t="s">
        <v>943</v>
      </c>
      <c r="B321" t="s">
        <v>944</v>
      </c>
      <c r="C321" t="s">
        <v>945</v>
      </c>
      <c r="D321" t="s">
        <v>946</v>
      </c>
      <c r="E321">
        <v>27350</v>
      </c>
      <c r="F321" t="s">
        <v>929</v>
      </c>
      <c r="G321" s="2">
        <f>SUM(H321:J321)</f>
        <v>81514</v>
      </c>
      <c r="H321" s="3">
        <v>55014</v>
      </c>
      <c r="I321" s="3">
        <v>26500</v>
      </c>
      <c r="J321" s="3">
        <v>0</v>
      </c>
      <c r="K321" s="4">
        <f>SUM(L321:N321)</f>
        <v>34873.5</v>
      </c>
      <c r="L321" s="3">
        <v>22073.5</v>
      </c>
      <c r="M321" s="3">
        <v>12800</v>
      </c>
      <c r="N321" s="3">
        <v>0</v>
      </c>
    </row>
    <row r="322" spans="1:14" x14ac:dyDescent="0.2">
      <c r="A322" t="s">
        <v>947</v>
      </c>
      <c r="B322" t="s">
        <v>948</v>
      </c>
      <c r="C322" t="s">
        <v>945</v>
      </c>
      <c r="D322" t="s">
        <v>946</v>
      </c>
      <c r="E322">
        <v>27350</v>
      </c>
      <c r="F322" t="s">
        <v>929</v>
      </c>
      <c r="G322" s="2">
        <f>SUM(H322:J322)</f>
        <v>12190</v>
      </c>
      <c r="H322" s="3">
        <v>12190</v>
      </c>
      <c r="I322" s="3">
        <v>0</v>
      </c>
      <c r="J322" s="3">
        <v>0</v>
      </c>
      <c r="K322" s="4">
        <f>SUM(L322:N322)</f>
        <v>1899.5</v>
      </c>
      <c r="L322" s="3">
        <v>1899.5</v>
      </c>
      <c r="M322" s="3">
        <v>0</v>
      </c>
      <c r="N322" s="3">
        <v>0</v>
      </c>
    </row>
    <row r="323" spans="1:14" x14ac:dyDescent="0.2">
      <c r="A323" t="s">
        <v>1161</v>
      </c>
      <c r="B323" t="s">
        <v>1162</v>
      </c>
      <c r="C323" t="s">
        <v>1163</v>
      </c>
      <c r="D323" t="s">
        <v>1160</v>
      </c>
      <c r="E323">
        <v>28697</v>
      </c>
      <c r="F323" t="s">
        <v>1145</v>
      </c>
      <c r="G323" s="2">
        <f>SUM(H323:J323)</f>
        <v>73509</v>
      </c>
      <c r="H323" s="3">
        <v>64189</v>
      </c>
      <c r="I323" s="3">
        <v>9320</v>
      </c>
      <c r="J323" s="3">
        <v>0</v>
      </c>
      <c r="K323" s="4">
        <f>SUM(L323:N323)</f>
        <v>32667.5</v>
      </c>
      <c r="L323" s="3">
        <v>32312.5</v>
      </c>
      <c r="M323" s="3">
        <v>355</v>
      </c>
      <c r="N323" s="3">
        <v>0</v>
      </c>
    </row>
    <row r="324" spans="1:14" x14ac:dyDescent="0.2">
      <c r="A324" t="s">
        <v>1015</v>
      </c>
      <c r="B324" t="s">
        <v>1016</v>
      </c>
      <c r="C324" t="s">
        <v>1017</v>
      </c>
      <c r="D324" t="s">
        <v>1018</v>
      </c>
      <c r="E324">
        <v>27048</v>
      </c>
      <c r="F324" t="s">
        <v>963</v>
      </c>
      <c r="G324" s="2">
        <f>SUM(H324:J324)</f>
        <v>114910</v>
      </c>
      <c r="H324" s="3">
        <v>103952</v>
      </c>
      <c r="I324" s="3">
        <v>791</v>
      </c>
      <c r="J324" s="3">
        <v>10167</v>
      </c>
      <c r="K324" s="4">
        <f>SUM(L324:N324)</f>
        <v>58509.5</v>
      </c>
      <c r="L324" s="3">
        <v>58328.5</v>
      </c>
      <c r="M324" s="3">
        <v>181</v>
      </c>
      <c r="N324" s="3">
        <v>0</v>
      </c>
    </row>
    <row r="325" spans="1:14" x14ac:dyDescent="0.2">
      <c r="A325" t="s">
        <v>186</v>
      </c>
      <c r="B325" t="s">
        <v>187</v>
      </c>
      <c r="C325" t="s">
        <v>188</v>
      </c>
      <c r="D325" t="s">
        <v>180</v>
      </c>
      <c r="E325">
        <v>28630</v>
      </c>
      <c r="F325" t="s">
        <v>181</v>
      </c>
      <c r="G325" s="2">
        <f>SUM(H325:J325)</f>
        <v>316295</v>
      </c>
      <c r="H325" s="3">
        <v>206980</v>
      </c>
      <c r="I325" s="3">
        <v>47130</v>
      </c>
      <c r="J325" s="3">
        <f>52427+2456+7302</f>
        <v>62185</v>
      </c>
      <c r="K325" s="4">
        <f>SUM(L325:N325)</f>
        <v>234456</v>
      </c>
      <c r="L325" s="3">
        <v>154497</v>
      </c>
      <c r="M325" s="3">
        <v>41476</v>
      </c>
      <c r="N325" s="3">
        <f>31505+826+6152</f>
        <v>38483</v>
      </c>
    </row>
    <row r="326" spans="1:14" x14ac:dyDescent="0.2">
      <c r="A326" t="s">
        <v>453</v>
      </c>
      <c r="B326" t="s">
        <v>454</v>
      </c>
      <c r="C326" t="s">
        <v>455</v>
      </c>
      <c r="D326" t="s">
        <v>299</v>
      </c>
      <c r="E326">
        <v>27105</v>
      </c>
      <c r="F326" t="s">
        <v>349</v>
      </c>
      <c r="G326" s="2">
        <f>SUM(H326:J326)</f>
        <v>65383</v>
      </c>
      <c r="H326" s="3">
        <v>61617</v>
      </c>
      <c r="I326" s="3">
        <v>3766</v>
      </c>
      <c r="J326" s="3">
        <v>0</v>
      </c>
      <c r="K326" s="4">
        <f>SUM(L326:N326)</f>
        <v>45591.5</v>
      </c>
      <c r="L326" s="3">
        <v>44098.5</v>
      </c>
      <c r="M326" s="3">
        <v>1493</v>
      </c>
      <c r="N326" s="3">
        <v>0</v>
      </c>
    </row>
    <row r="327" spans="1:14" x14ac:dyDescent="0.2">
      <c r="A327" t="s">
        <v>511</v>
      </c>
      <c r="B327" t="s">
        <v>512</v>
      </c>
      <c r="C327" t="s">
        <v>513</v>
      </c>
      <c r="D327" t="s">
        <v>299</v>
      </c>
      <c r="E327">
        <v>27103</v>
      </c>
      <c r="F327" t="s">
        <v>349</v>
      </c>
      <c r="G327" s="2">
        <f>SUM(H327:J327)</f>
        <v>18937</v>
      </c>
      <c r="H327" s="3">
        <v>18937</v>
      </c>
      <c r="I327" s="3">
        <v>0</v>
      </c>
      <c r="J327" s="3">
        <v>0</v>
      </c>
      <c r="K327" s="4">
        <f>SUM(L327:N327)</f>
        <v>4640</v>
      </c>
      <c r="L327" s="3">
        <v>4640</v>
      </c>
      <c r="M327" s="3">
        <v>0</v>
      </c>
      <c r="N327" s="3">
        <v>0</v>
      </c>
    </row>
    <row r="328" spans="1:14" x14ac:dyDescent="0.2">
      <c r="A328" t="s">
        <v>508</v>
      </c>
      <c r="B328" t="s">
        <v>509</v>
      </c>
      <c r="C328" t="s">
        <v>510</v>
      </c>
      <c r="D328" t="s">
        <v>299</v>
      </c>
      <c r="E328">
        <v>27105</v>
      </c>
      <c r="F328" t="s">
        <v>349</v>
      </c>
      <c r="G328" s="2">
        <f>SUM(H328:J328)</f>
        <v>60549</v>
      </c>
      <c r="H328" s="3">
        <v>36305</v>
      </c>
      <c r="I328" s="3">
        <v>0</v>
      </c>
      <c r="J328" s="3">
        <v>24244</v>
      </c>
      <c r="K328" s="4">
        <f>SUM(L328:N328)</f>
        <v>15811.5</v>
      </c>
      <c r="L328" s="3">
        <v>10238.5</v>
      </c>
      <c r="M328" s="3">
        <v>0</v>
      </c>
      <c r="N328" s="3">
        <v>5573</v>
      </c>
    </row>
    <row r="329" spans="1:14" x14ac:dyDescent="0.2">
      <c r="A329" t="s">
        <v>590</v>
      </c>
      <c r="B329" t="s">
        <v>593</v>
      </c>
      <c r="C329" t="s">
        <v>594</v>
      </c>
      <c r="D329" t="s">
        <v>299</v>
      </c>
      <c r="E329">
        <v>27101</v>
      </c>
      <c r="F329" t="s">
        <v>349</v>
      </c>
      <c r="G329" s="2">
        <f>SUM(H329:J329)</f>
        <v>31642</v>
      </c>
      <c r="H329" s="3">
        <v>29587</v>
      </c>
      <c r="I329" s="3">
        <v>2055</v>
      </c>
      <c r="J329" s="3">
        <v>0</v>
      </c>
      <c r="K329" s="4">
        <f>SUM(L329:N329)</f>
        <v>12055</v>
      </c>
      <c r="L329" s="3">
        <v>8942</v>
      </c>
      <c r="M329" s="3">
        <v>3113</v>
      </c>
      <c r="N329" s="3">
        <v>0</v>
      </c>
    </row>
    <row r="330" spans="1:14" x14ac:dyDescent="0.2">
      <c r="A330" t="s">
        <v>903</v>
      </c>
      <c r="B330" t="s">
        <v>904</v>
      </c>
      <c r="C330" t="s">
        <v>905</v>
      </c>
      <c r="D330" t="s">
        <v>889</v>
      </c>
      <c r="E330">
        <v>28677</v>
      </c>
      <c r="F330" t="s">
        <v>890</v>
      </c>
      <c r="G330" s="2">
        <f>SUM(H330:J330)</f>
        <v>129821</v>
      </c>
      <c r="H330" s="3">
        <v>77357</v>
      </c>
      <c r="I330" s="3">
        <v>0</v>
      </c>
      <c r="J330" s="3">
        <v>52464</v>
      </c>
      <c r="K330" s="4">
        <f>SUM(L330:N330)</f>
        <v>37666.5</v>
      </c>
      <c r="L330" s="3">
        <v>26788.5</v>
      </c>
      <c r="M330" s="3">
        <v>0</v>
      </c>
      <c r="N330" s="3">
        <v>10878</v>
      </c>
    </row>
    <row r="331" spans="1:14" x14ac:dyDescent="0.2">
      <c r="A331" t="s">
        <v>285</v>
      </c>
      <c r="B331" t="s">
        <v>286</v>
      </c>
      <c r="C331" t="s">
        <v>287</v>
      </c>
      <c r="D331" t="s">
        <v>265</v>
      </c>
      <c r="E331">
        <v>27360</v>
      </c>
      <c r="F331" t="s">
        <v>254</v>
      </c>
      <c r="G331" s="2">
        <f>SUM(H331:J331)</f>
        <v>30130</v>
      </c>
      <c r="H331" s="3">
        <v>30130</v>
      </c>
      <c r="I331" s="3">
        <v>0</v>
      </c>
      <c r="J331" s="3">
        <v>0</v>
      </c>
      <c r="K331" s="4">
        <f>SUM(L331:N331)</f>
        <v>18049.5</v>
      </c>
      <c r="L331" s="3">
        <v>18049.5</v>
      </c>
      <c r="M331" s="3">
        <v>0</v>
      </c>
      <c r="N331" s="3">
        <v>0</v>
      </c>
    </row>
    <row r="332" spans="1:14" x14ac:dyDescent="0.2">
      <c r="A332" t="s">
        <v>773</v>
      </c>
      <c r="B332" t="s">
        <v>774</v>
      </c>
      <c r="C332" t="s">
        <v>775</v>
      </c>
      <c r="D332" t="s">
        <v>776</v>
      </c>
      <c r="E332">
        <v>27282</v>
      </c>
      <c r="F332" t="s">
        <v>628</v>
      </c>
      <c r="G332" s="2">
        <f>SUM(H332:J332)</f>
        <v>333135</v>
      </c>
      <c r="H332" s="3">
        <v>268798</v>
      </c>
      <c r="I332" s="3">
        <v>27184</v>
      </c>
      <c r="J332" s="3">
        <f>36732+421</f>
        <v>37153</v>
      </c>
      <c r="K332" s="4">
        <f>SUM(L332:N332)</f>
        <v>196159.5</v>
      </c>
      <c r="L332" s="3">
        <v>175153.5</v>
      </c>
      <c r="M332" s="3">
        <v>0</v>
      </c>
      <c r="N332" s="3">
        <f>19772+1234</f>
        <v>21006</v>
      </c>
    </row>
    <row r="333" spans="1:14" x14ac:dyDescent="0.2">
      <c r="A333" t="s">
        <v>773</v>
      </c>
      <c r="B333" t="s">
        <v>777</v>
      </c>
      <c r="C333" t="s">
        <v>775</v>
      </c>
      <c r="D333" t="s">
        <v>776</v>
      </c>
      <c r="E333">
        <v>27282</v>
      </c>
      <c r="F333" t="s">
        <v>628</v>
      </c>
      <c r="G333" s="2">
        <f>SUM(H333:J333)</f>
        <v>54266</v>
      </c>
      <c r="H333" s="3">
        <v>27133</v>
      </c>
      <c r="I333" s="3">
        <v>27133</v>
      </c>
      <c r="J333" s="3">
        <v>0</v>
      </c>
      <c r="K333" s="4">
        <f>SUM(L333:N333)</f>
        <v>0</v>
      </c>
      <c r="L333" s="3">
        <v>0</v>
      </c>
      <c r="M333" s="3">
        <v>0</v>
      </c>
      <c r="N333" s="3">
        <v>0</v>
      </c>
    </row>
    <row r="334" spans="1:14" x14ac:dyDescent="0.2">
      <c r="A334" t="s">
        <v>1146</v>
      </c>
      <c r="B334" t="s">
        <v>1147</v>
      </c>
      <c r="C334" t="s">
        <v>1148</v>
      </c>
      <c r="D334" t="s">
        <v>1144</v>
      </c>
      <c r="E334">
        <v>28659</v>
      </c>
      <c r="F334" t="s">
        <v>1145</v>
      </c>
      <c r="G334" s="2">
        <f>SUM(H334:J334)</f>
        <v>443751</v>
      </c>
      <c r="H334" s="3">
        <v>310977</v>
      </c>
      <c r="I334" s="3">
        <v>28814</v>
      </c>
      <c r="J334" s="3">
        <f>88692+1751+13517</f>
        <v>103960</v>
      </c>
      <c r="K334" s="4">
        <f>SUM(L334:N334)</f>
        <v>236592.5</v>
      </c>
      <c r="L334" s="3">
        <v>182735.5</v>
      </c>
      <c r="M334" s="3">
        <v>23893</v>
      </c>
      <c r="N334" s="3">
        <f>27095+2869</f>
        <v>29964</v>
      </c>
    </row>
    <row r="335" spans="1:14" x14ac:dyDescent="0.2">
      <c r="A335" t="s">
        <v>505</v>
      </c>
      <c r="B335" t="s">
        <v>506</v>
      </c>
      <c r="C335" t="s">
        <v>507</v>
      </c>
      <c r="D335" t="s">
        <v>299</v>
      </c>
      <c r="E335">
        <v>27106</v>
      </c>
      <c r="F335" t="s">
        <v>349</v>
      </c>
      <c r="G335" s="2">
        <f>SUM(H335:J335)</f>
        <v>8990</v>
      </c>
      <c r="H335" s="3">
        <v>8990</v>
      </c>
      <c r="I335" s="3">
        <v>0</v>
      </c>
      <c r="J335" s="3">
        <v>0</v>
      </c>
      <c r="K335" s="4">
        <f>SUM(L335:N335)</f>
        <v>4060</v>
      </c>
      <c r="L335" s="3">
        <v>4060</v>
      </c>
      <c r="M335" s="3">
        <v>0</v>
      </c>
      <c r="N335" s="3">
        <v>0</v>
      </c>
    </row>
    <row r="336" spans="1:14" x14ac:dyDescent="0.2">
      <c r="A336" t="s">
        <v>397</v>
      </c>
      <c r="B336" t="s">
        <v>398</v>
      </c>
      <c r="C336" t="s">
        <v>399</v>
      </c>
      <c r="D336" t="s">
        <v>299</v>
      </c>
      <c r="E336">
        <v>27127</v>
      </c>
      <c r="F336" t="s">
        <v>349</v>
      </c>
      <c r="G336" s="2">
        <f>SUM(H336:J336)</f>
        <v>44840</v>
      </c>
      <c r="H336" s="3">
        <v>43905</v>
      </c>
      <c r="I336" s="3">
        <v>935</v>
      </c>
      <c r="J336" s="3">
        <v>0</v>
      </c>
      <c r="K336" s="4">
        <f>SUM(L336:N336)</f>
        <v>41669.5</v>
      </c>
      <c r="L336" s="3">
        <v>41409.5</v>
      </c>
      <c r="M336" s="3">
        <v>260</v>
      </c>
      <c r="N336" s="3">
        <v>0</v>
      </c>
    </row>
    <row r="337" spans="1:14" x14ac:dyDescent="0.2">
      <c r="A337" t="s">
        <v>113</v>
      </c>
      <c r="B337" t="s">
        <v>114</v>
      </c>
      <c r="C337" t="s">
        <v>115</v>
      </c>
      <c r="D337" t="s">
        <v>93</v>
      </c>
      <c r="E337">
        <v>28681</v>
      </c>
      <c r="F337" t="s">
        <v>94</v>
      </c>
      <c r="G337" s="2">
        <f>SUM(H337:J337)</f>
        <v>15800</v>
      </c>
      <c r="H337" s="3">
        <v>7900</v>
      </c>
      <c r="I337" s="3">
        <v>7900</v>
      </c>
      <c r="J337" s="3">
        <v>0</v>
      </c>
      <c r="K337" s="4">
        <f>SUM(L337:N337)</f>
        <v>2400</v>
      </c>
      <c r="L337" s="3">
        <v>1200</v>
      </c>
      <c r="M337" s="3">
        <v>1200</v>
      </c>
      <c r="N337" s="3">
        <v>0</v>
      </c>
    </row>
    <row r="338" spans="1:14" x14ac:dyDescent="0.2">
      <c r="A338" t="s">
        <v>543</v>
      </c>
      <c r="B338" t="s">
        <v>544</v>
      </c>
      <c r="C338" t="s">
        <v>545</v>
      </c>
      <c r="D338" t="s">
        <v>546</v>
      </c>
      <c r="E338">
        <v>27040</v>
      </c>
      <c r="F338" t="s">
        <v>349</v>
      </c>
      <c r="G338" s="2">
        <f>SUM(H338:J338)</f>
        <v>1044</v>
      </c>
      <c r="H338" s="3">
        <v>1044</v>
      </c>
      <c r="I338" s="3">
        <v>0</v>
      </c>
      <c r="J338" s="3">
        <v>0</v>
      </c>
      <c r="K338" s="4">
        <f>SUM(L338:N338)</f>
        <v>522</v>
      </c>
      <c r="L338" s="3">
        <v>522</v>
      </c>
      <c r="M338" s="3">
        <v>0</v>
      </c>
      <c r="N338" s="3">
        <v>0</v>
      </c>
    </row>
    <row r="339" spans="1:14" x14ac:dyDescent="0.2">
      <c r="A339" t="s">
        <v>493</v>
      </c>
      <c r="B339" t="s">
        <v>494</v>
      </c>
      <c r="C339" t="s">
        <v>495</v>
      </c>
      <c r="D339" t="s">
        <v>299</v>
      </c>
      <c r="E339">
        <v>27106</v>
      </c>
      <c r="F339" t="s">
        <v>349</v>
      </c>
      <c r="G339" s="2">
        <f>SUM(H339:J339)</f>
        <v>870</v>
      </c>
      <c r="H339" s="3">
        <v>870</v>
      </c>
      <c r="I339" s="3">
        <v>0</v>
      </c>
      <c r="J339" s="3">
        <v>0</v>
      </c>
      <c r="K339" s="4">
        <f>SUM(L339:N339)</f>
        <v>1305</v>
      </c>
      <c r="L339" s="3">
        <v>1305</v>
      </c>
      <c r="M339" s="3">
        <v>0</v>
      </c>
      <c r="N339" s="3">
        <v>0</v>
      </c>
    </row>
    <row r="340" spans="1:14" x14ac:dyDescent="0.2">
      <c r="A340" t="s">
        <v>490</v>
      </c>
      <c r="B340" t="s">
        <v>491</v>
      </c>
      <c r="C340" t="s">
        <v>492</v>
      </c>
      <c r="D340" t="s">
        <v>299</v>
      </c>
      <c r="E340">
        <v>27106</v>
      </c>
      <c r="F340" t="s">
        <v>349</v>
      </c>
      <c r="G340" s="2">
        <f>SUM(H340:J340)</f>
        <v>899</v>
      </c>
      <c r="H340" s="3">
        <v>899</v>
      </c>
      <c r="I340" s="3">
        <v>0</v>
      </c>
      <c r="J340" s="3">
        <v>0</v>
      </c>
      <c r="K340" s="4">
        <f>SUM(L340:N340)</f>
        <v>464</v>
      </c>
      <c r="L340" s="3">
        <v>464</v>
      </c>
      <c r="M340" s="3">
        <v>0</v>
      </c>
      <c r="N340" s="3">
        <v>0</v>
      </c>
    </row>
    <row r="341" spans="1:14" x14ac:dyDescent="0.2">
      <c r="A341" t="s">
        <v>486</v>
      </c>
      <c r="B341" t="s">
        <v>487</v>
      </c>
      <c r="C341" t="s">
        <v>488</v>
      </c>
      <c r="D341" t="s">
        <v>489</v>
      </c>
      <c r="E341">
        <v>27106</v>
      </c>
      <c r="F341" t="s">
        <v>349</v>
      </c>
      <c r="G341" s="2">
        <f>SUM(H341:J341)</f>
        <v>0</v>
      </c>
      <c r="H341" s="3">
        <v>0</v>
      </c>
      <c r="I341" s="3">
        <v>0</v>
      </c>
      <c r="J341" s="3">
        <v>0</v>
      </c>
      <c r="K341" s="4">
        <f>SUM(L341:N341)</f>
        <v>0</v>
      </c>
      <c r="L341" s="3">
        <v>0</v>
      </c>
      <c r="M341" s="3">
        <v>0</v>
      </c>
      <c r="N341" s="3">
        <v>0</v>
      </c>
    </row>
    <row r="342" spans="1:14" x14ac:dyDescent="0.2">
      <c r="A342" t="s">
        <v>303</v>
      </c>
      <c r="B342" t="s">
        <v>304</v>
      </c>
      <c r="C342" t="s">
        <v>305</v>
      </c>
      <c r="D342" t="s">
        <v>253</v>
      </c>
      <c r="E342">
        <v>27292</v>
      </c>
      <c r="F342" t="s">
        <v>254</v>
      </c>
      <c r="G342" s="2">
        <f>SUM(H342:J342)</f>
        <v>3654</v>
      </c>
      <c r="H342" s="3">
        <v>3654</v>
      </c>
      <c r="I342" s="3">
        <v>0</v>
      </c>
      <c r="J342" s="3">
        <v>0</v>
      </c>
      <c r="K342" s="4">
        <f>SUM(L342:N342)</f>
        <v>1827</v>
      </c>
      <c r="L342" s="3">
        <v>1827</v>
      </c>
      <c r="M342" s="3">
        <v>0</v>
      </c>
      <c r="N342" s="3">
        <v>0</v>
      </c>
    </row>
    <row r="343" spans="1:14" x14ac:dyDescent="0.2">
      <c r="A343" t="s">
        <v>540</v>
      </c>
      <c r="B343" t="s">
        <v>541</v>
      </c>
      <c r="C343" t="s">
        <v>542</v>
      </c>
      <c r="D343" t="s">
        <v>299</v>
      </c>
      <c r="E343">
        <v>27103</v>
      </c>
      <c r="F343" t="s">
        <v>349</v>
      </c>
      <c r="G343" s="2">
        <f>SUM(H343:J343)</f>
        <v>10150</v>
      </c>
      <c r="H343" s="3">
        <v>10150</v>
      </c>
      <c r="I343" s="3">
        <v>0</v>
      </c>
      <c r="J343" s="3">
        <v>0</v>
      </c>
      <c r="K343" s="4">
        <f>SUM(L343:N343)</f>
        <v>3625</v>
      </c>
      <c r="L343" s="3">
        <v>3625</v>
      </c>
      <c r="M343" s="3">
        <v>0</v>
      </c>
      <c r="N343" s="3">
        <v>0</v>
      </c>
    </row>
    <row r="344" spans="1:14" x14ac:dyDescent="0.2">
      <c r="A344" t="s">
        <v>75</v>
      </c>
      <c r="B344" t="s">
        <v>76</v>
      </c>
      <c r="C344" t="s">
        <v>77</v>
      </c>
      <c r="D344" t="s">
        <v>42</v>
      </c>
      <c r="E344">
        <v>27340</v>
      </c>
      <c r="F344" t="s">
        <v>12</v>
      </c>
      <c r="G344" s="2">
        <f>SUM(H344:J344)</f>
        <v>133552</v>
      </c>
      <c r="H344" s="3">
        <v>89434</v>
      </c>
      <c r="I344" s="3">
        <v>44118</v>
      </c>
      <c r="J344" s="3">
        <v>0</v>
      </c>
      <c r="K344" s="4">
        <f>SUM(L344:N344)</f>
        <v>145657.79999999999</v>
      </c>
      <c r="L344" s="3">
        <v>94568.8</v>
      </c>
      <c r="M344" s="3">
        <v>51089</v>
      </c>
      <c r="N344" s="3">
        <v>0</v>
      </c>
    </row>
    <row r="345" spans="1:14" x14ac:dyDescent="0.2">
      <c r="A345" t="s">
        <v>847</v>
      </c>
      <c r="B345" t="s">
        <v>848</v>
      </c>
      <c r="C345" t="s">
        <v>849</v>
      </c>
      <c r="D345" t="s">
        <v>850</v>
      </c>
      <c r="E345">
        <v>27249</v>
      </c>
      <c r="F345" t="s">
        <v>628</v>
      </c>
      <c r="G345" s="2">
        <f>SUM(H345:J345)</f>
        <v>0</v>
      </c>
      <c r="H345" s="3">
        <v>0</v>
      </c>
      <c r="I345" s="3">
        <v>0</v>
      </c>
      <c r="J345" s="3">
        <v>0</v>
      </c>
      <c r="K345" s="4">
        <f>SUM(L345:N345)</f>
        <v>0</v>
      </c>
      <c r="L345" s="3">
        <v>0</v>
      </c>
      <c r="M345" s="3">
        <v>0</v>
      </c>
      <c r="N345" s="3">
        <v>0</v>
      </c>
    </row>
    <row r="346" spans="1:14" x14ac:dyDescent="0.2">
      <c r="A346" t="s">
        <v>450</v>
      </c>
      <c r="B346" t="s">
        <v>451</v>
      </c>
      <c r="C346" t="s">
        <v>452</v>
      </c>
      <c r="D346" t="s">
        <v>299</v>
      </c>
      <c r="E346">
        <v>27101</v>
      </c>
      <c r="F346" t="s">
        <v>349</v>
      </c>
      <c r="G346" s="2">
        <f>SUM(H346:J346)</f>
        <v>6451</v>
      </c>
      <c r="H346" s="3">
        <v>5880</v>
      </c>
      <c r="I346" s="3">
        <v>571</v>
      </c>
      <c r="J346" s="3">
        <v>0</v>
      </c>
      <c r="K346" s="4">
        <f>SUM(L346:N346)</f>
        <v>4758.8999999999996</v>
      </c>
      <c r="L346" s="3">
        <v>4068.9</v>
      </c>
      <c r="M346" s="3">
        <v>690</v>
      </c>
      <c r="N346" s="3">
        <v>0</v>
      </c>
    </row>
    <row r="347" spans="1:14" x14ac:dyDescent="0.2">
      <c r="A347" t="s">
        <v>916</v>
      </c>
      <c r="B347" t="s">
        <v>917</v>
      </c>
      <c r="C347" t="s">
        <v>918</v>
      </c>
      <c r="D347" t="s">
        <v>889</v>
      </c>
      <c r="E347">
        <v>28677</v>
      </c>
      <c r="F347" t="s">
        <v>890</v>
      </c>
      <c r="G347" s="2">
        <f>SUM(H347:J347)</f>
        <v>2349</v>
      </c>
      <c r="H347" s="3">
        <v>2349</v>
      </c>
      <c r="I347" s="3">
        <v>0</v>
      </c>
      <c r="J347" s="3">
        <v>0</v>
      </c>
      <c r="K347" s="4">
        <f>SUM(L347:N347)</f>
        <v>1392</v>
      </c>
      <c r="L347" s="3">
        <v>1392</v>
      </c>
      <c r="M347" s="3">
        <v>0</v>
      </c>
      <c r="N347" s="3">
        <v>0</v>
      </c>
    </row>
    <row r="348" spans="1:14" x14ac:dyDescent="0.2">
      <c r="A348" t="s">
        <v>598</v>
      </c>
      <c r="B348" t="s">
        <v>599</v>
      </c>
      <c r="C348" t="s">
        <v>600</v>
      </c>
      <c r="D348" t="s">
        <v>375</v>
      </c>
      <c r="E348">
        <v>27284</v>
      </c>
      <c r="F348" t="s">
        <v>349</v>
      </c>
      <c r="G348" s="2">
        <f>SUM(H348:J348)</f>
        <v>0</v>
      </c>
      <c r="H348" s="3">
        <v>0</v>
      </c>
      <c r="I348" s="3">
        <v>0</v>
      </c>
      <c r="J348" s="3">
        <v>0</v>
      </c>
      <c r="K348" s="4">
        <f>SUM(L348:N348)</f>
        <v>696</v>
      </c>
      <c r="L348" s="3">
        <v>696</v>
      </c>
      <c r="M348" s="3">
        <v>0</v>
      </c>
      <c r="N348" s="3">
        <v>0</v>
      </c>
    </row>
    <row r="349" spans="1:14" x14ac:dyDescent="0.2">
      <c r="A349" t="s">
        <v>595</v>
      </c>
      <c r="B349" t="s">
        <v>596</v>
      </c>
      <c r="C349" t="s">
        <v>597</v>
      </c>
      <c r="D349" t="s">
        <v>375</v>
      </c>
      <c r="E349">
        <v>27284</v>
      </c>
      <c r="F349" t="s">
        <v>349</v>
      </c>
      <c r="G349" s="2">
        <f>SUM(H349:J349)</f>
        <v>1450</v>
      </c>
      <c r="H349" s="3">
        <v>1450</v>
      </c>
      <c r="I349" s="3">
        <v>0</v>
      </c>
      <c r="J349" s="3">
        <v>0</v>
      </c>
      <c r="K349" s="4">
        <f>SUM(L349:N349)</f>
        <v>0</v>
      </c>
      <c r="L349" s="3">
        <v>0</v>
      </c>
      <c r="M349" s="3">
        <v>0</v>
      </c>
      <c r="N349" s="3">
        <v>0</v>
      </c>
    </row>
    <row r="350" spans="1:14" x14ac:dyDescent="0.2">
      <c r="A350" t="s">
        <v>688</v>
      </c>
      <c r="B350" t="s">
        <v>689</v>
      </c>
      <c r="C350" t="s">
        <v>690</v>
      </c>
      <c r="D350" t="s">
        <v>643</v>
      </c>
      <c r="E350">
        <v>27407</v>
      </c>
      <c r="F350" t="s">
        <v>628</v>
      </c>
      <c r="G350" s="2">
        <f>SUM(H350:J350)</f>
        <v>28521</v>
      </c>
      <c r="H350" s="3">
        <v>28521</v>
      </c>
      <c r="I350" s="3">
        <v>0</v>
      </c>
      <c r="J350" s="3">
        <v>0</v>
      </c>
      <c r="K350" s="4">
        <f>SUM(L350:N350)</f>
        <v>15641</v>
      </c>
      <c r="L350" s="3">
        <v>15641</v>
      </c>
      <c r="M350" s="3">
        <v>0</v>
      </c>
      <c r="N350" s="3">
        <v>0</v>
      </c>
    </row>
    <row r="351" spans="1:14" x14ac:dyDescent="0.2">
      <c r="A351" t="s">
        <v>1046</v>
      </c>
      <c r="B351" t="s">
        <v>1047</v>
      </c>
      <c r="C351" t="s">
        <v>1048</v>
      </c>
      <c r="D351" t="s">
        <v>1025</v>
      </c>
      <c r="E351">
        <v>27021</v>
      </c>
      <c r="F351" t="s">
        <v>1026</v>
      </c>
      <c r="G351" s="2">
        <f>SUM(H351:J351)</f>
        <v>5452</v>
      </c>
      <c r="H351" s="3">
        <v>5452</v>
      </c>
      <c r="I351" s="3">
        <v>0</v>
      </c>
      <c r="J351" s="3">
        <v>0</v>
      </c>
      <c r="K351" s="4">
        <f>SUM(L351:N351)</f>
        <v>7424</v>
      </c>
      <c r="L351" s="3">
        <v>7424</v>
      </c>
      <c r="M351" s="3">
        <v>0</v>
      </c>
      <c r="N351" s="3">
        <v>0</v>
      </c>
    </row>
    <row r="352" spans="1:14" x14ac:dyDescent="0.2">
      <c r="A352" t="s">
        <v>1049</v>
      </c>
      <c r="B352" t="s">
        <v>1050</v>
      </c>
      <c r="C352" t="s">
        <v>1048</v>
      </c>
      <c r="D352" t="s">
        <v>1025</v>
      </c>
      <c r="E352">
        <v>27021</v>
      </c>
      <c r="F352" t="s">
        <v>1026</v>
      </c>
      <c r="G352" s="2">
        <f>SUM(H352:J352)</f>
        <v>1102</v>
      </c>
      <c r="H352" s="3">
        <v>1102</v>
      </c>
      <c r="I352" s="3">
        <v>0</v>
      </c>
      <c r="J352" s="3">
        <v>0</v>
      </c>
      <c r="K352" s="4">
        <f>SUM(L352:N352)</f>
        <v>0</v>
      </c>
      <c r="L352" s="3">
        <v>0</v>
      </c>
      <c r="M352" s="3">
        <v>0</v>
      </c>
      <c r="N352" s="3">
        <v>0</v>
      </c>
    </row>
    <row r="353" spans="1:14" x14ac:dyDescent="0.2">
      <c r="A353" t="s">
        <v>340</v>
      </c>
      <c r="B353" t="s">
        <v>341</v>
      </c>
      <c r="C353" t="s">
        <v>342</v>
      </c>
      <c r="D353" t="s">
        <v>253</v>
      </c>
      <c r="E353">
        <v>27374</v>
      </c>
      <c r="F353" t="s">
        <v>254</v>
      </c>
      <c r="G353" s="2">
        <f>SUM(H353:J353)</f>
        <v>528785</v>
      </c>
      <c r="H353" s="3">
        <v>294101</v>
      </c>
      <c r="I353" s="3">
        <v>86314</v>
      </c>
      <c r="J353" s="3">
        <v>148370</v>
      </c>
      <c r="K353" s="4">
        <f>SUM(L353:N353)</f>
        <v>302514.5</v>
      </c>
      <c r="L353" s="3">
        <v>164530.5</v>
      </c>
      <c r="M353" s="3">
        <v>57231</v>
      </c>
      <c r="N353" s="3">
        <v>80753</v>
      </c>
    </row>
    <row r="354" spans="1:14" x14ac:dyDescent="0.2">
      <c r="A354" t="s">
        <v>471</v>
      </c>
      <c r="B354" t="s">
        <v>472</v>
      </c>
      <c r="C354" t="s">
        <v>473</v>
      </c>
      <c r="D354" t="s">
        <v>299</v>
      </c>
      <c r="E354">
        <v>27103</v>
      </c>
      <c r="F354" t="s">
        <v>349</v>
      </c>
      <c r="G354" s="2">
        <f>SUM(H354:J354)</f>
        <v>104400</v>
      </c>
      <c r="H354" s="3">
        <v>91339</v>
      </c>
      <c r="I354" s="3">
        <v>2195</v>
      </c>
      <c r="J354" s="3">
        <f>2781+8085</f>
        <v>10866</v>
      </c>
      <c r="K354" s="4">
        <f>SUM(L354:N354)</f>
        <v>50056.5</v>
      </c>
      <c r="L354" s="3">
        <v>48208.5</v>
      </c>
      <c r="M354" s="3">
        <v>650</v>
      </c>
      <c r="N354" s="3">
        <f>669+529</f>
        <v>1198</v>
      </c>
    </row>
    <row r="355" spans="1:14" x14ac:dyDescent="0.2">
      <c r="A355" t="s">
        <v>444</v>
      </c>
      <c r="B355" t="s">
        <v>445</v>
      </c>
      <c r="C355" t="s">
        <v>446</v>
      </c>
      <c r="D355" t="s">
        <v>299</v>
      </c>
      <c r="E355">
        <v>27101</v>
      </c>
      <c r="F355" t="s">
        <v>349</v>
      </c>
      <c r="G355" s="2">
        <f>SUM(H355:J355)</f>
        <v>25380</v>
      </c>
      <c r="H355" s="3">
        <v>24770</v>
      </c>
      <c r="I355" s="3">
        <v>610</v>
      </c>
      <c r="J355" s="3">
        <v>0</v>
      </c>
      <c r="K355" s="4">
        <f>SUM(L355:N355)</f>
        <v>12779.5</v>
      </c>
      <c r="L355" s="3">
        <v>12734.5</v>
      </c>
      <c r="M355" s="3">
        <v>45</v>
      </c>
      <c r="N355" s="3">
        <v>0</v>
      </c>
    </row>
    <row r="356" spans="1:14" x14ac:dyDescent="0.2">
      <c r="A356" t="s">
        <v>411</v>
      </c>
      <c r="B356" t="s">
        <v>412</v>
      </c>
      <c r="C356" t="s">
        <v>413</v>
      </c>
      <c r="D356" t="s">
        <v>299</v>
      </c>
      <c r="E356">
        <v>27101</v>
      </c>
      <c r="F356" t="s">
        <v>349</v>
      </c>
      <c r="G356" s="2">
        <f>SUM(H356:J356)</f>
        <v>157708</v>
      </c>
      <c r="H356" s="3">
        <v>137212</v>
      </c>
      <c r="I356" s="3">
        <v>3131</v>
      </c>
      <c r="J356" s="3">
        <f>5504+11861</f>
        <v>17365</v>
      </c>
      <c r="K356" s="4">
        <f>SUM(L356:N356)</f>
        <v>62053.5</v>
      </c>
      <c r="L356" s="3">
        <v>60879.5</v>
      </c>
      <c r="M356" s="3">
        <v>619</v>
      </c>
      <c r="N356" s="3">
        <v>555</v>
      </c>
    </row>
    <row r="357" spans="1:14" x14ac:dyDescent="0.2">
      <c r="A357" t="s">
        <v>411</v>
      </c>
      <c r="B357" t="s">
        <v>414</v>
      </c>
      <c r="C357" t="s">
        <v>415</v>
      </c>
      <c r="D357" t="s">
        <v>299</v>
      </c>
      <c r="E357">
        <v>27101</v>
      </c>
      <c r="F357" t="s">
        <v>349</v>
      </c>
      <c r="G357" s="2">
        <f>SUM(H357:J357)</f>
        <v>82387</v>
      </c>
      <c r="H357" s="3">
        <v>54255</v>
      </c>
      <c r="I357" s="3">
        <v>4730</v>
      </c>
      <c r="J357" s="3">
        <f>900+22502</f>
        <v>23402</v>
      </c>
      <c r="K357" s="4">
        <f>SUM(L357:N357)</f>
        <v>61243</v>
      </c>
      <c r="L357" s="3">
        <v>34452</v>
      </c>
      <c r="M357" s="3">
        <v>604</v>
      </c>
      <c r="N357" s="3">
        <f>225+25962</f>
        <v>26187</v>
      </c>
    </row>
    <row r="358" spans="1:14" x14ac:dyDescent="0.2">
      <c r="A358" t="s">
        <v>440</v>
      </c>
      <c r="B358" t="s">
        <v>441</v>
      </c>
      <c r="C358" t="s">
        <v>442</v>
      </c>
      <c r="D358" t="s">
        <v>443</v>
      </c>
      <c r="E358">
        <v>27101</v>
      </c>
      <c r="F358" t="s">
        <v>349</v>
      </c>
      <c r="G358" s="2">
        <f>SUM(H358:J358)</f>
        <v>1160</v>
      </c>
      <c r="H358" s="3">
        <v>1160</v>
      </c>
      <c r="I358" s="3">
        <v>0</v>
      </c>
      <c r="J358" s="3">
        <v>0</v>
      </c>
      <c r="K358" s="4">
        <f>SUM(L358:N358)</f>
        <v>2117</v>
      </c>
      <c r="L358" s="3">
        <v>2117</v>
      </c>
      <c r="M358" s="3">
        <v>0</v>
      </c>
      <c r="N358" s="3">
        <v>0</v>
      </c>
    </row>
    <row r="359" spans="1:14" x14ac:dyDescent="0.2">
      <c r="A359" t="s">
        <v>897</v>
      </c>
      <c r="B359" t="s">
        <v>898</v>
      </c>
      <c r="C359" t="s">
        <v>899</v>
      </c>
      <c r="D359" t="s">
        <v>889</v>
      </c>
      <c r="E359">
        <v>28625</v>
      </c>
      <c r="F359" t="s">
        <v>890</v>
      </c>
      <c r="G359" s="2">
        <f>SUM(H359:J359)</f>
        <v>180258</v>
      </c>
      <c r="H359" s="3">
        <v>91923</v>
      </c>
      <c r="I359" s="3">
        <v>0</v>
      </c>
      <c r="J359" s="3">
        <v>88335</v>
      </c>
      <c r="K359" s="4">
        <f>SUM(L359:N359)</f>
        <v>128855</v>
      </c>
      <c r="L359" s="3">
        <v>64583</v>
      </c>
      <c r="M359" s="3">
        <v>0</v>
      </c>
      <c r="N359" s="3">
        <v>64272</v>
      </c>
    </row>
    <row r="360" spans="1:14" x14ac:dyDescent="0.2">
      <c r="A360" t="s">
        <v>1066</v>
      </c>
      <c r="B360" t="s">
        <v>1067</v>
      </c>
      <c r="C360" t="s">
        <v>1068</v>
      </c>
      <c r="D360" t="s">
        <v>1059</v>
      </c>
      <c r="E360">
        <v>27030</v>
      </c>
      <c r="F360" t="s">
        <v>1055</v>
      </c>
      <c r="G360" s="2">
        <f>SUM(H360:J360)</f>
        <v>57986</v>
      </c>
      <c r="H360" s="3">
        <v>30961</v>
      </c>
      <c r="I360" s="3">
        <v>3247</v>
      </c>
      <c r="J360" s="3">
        <v>23778</v>
      </c>
      <c r="K360" s="4">
        <f>SUM(L360:N360)</f>
        <v>31945.5</v>
      </c>
      <c r="L360" s="3">
        <v>17150.5</v>
      </c>
      <c r="M360" s="3">
        <v>1950</v>
      </c>
      <c r="N360" s="3">
        <v>12845</v>
      </c>
    </row>
    <row r="361" spans="1:14" x14ac:dyDescent="0.2">
      <c r="A361" t="s">
        <v>437</v>
      </c>
      <c r="B361" t="s">
        <v>438</v>
      </c>
      <c r="C361" t="s">
        <v>439</v>
      </c>
      <c r="D361" t="s">
        <v>299</v>
      </c>
      <c r="E361">
        <v>27101</v>
      </c>
      <c r="F361" t="s">
        <v>349</v>
      </c>
      <c r="G361" s="2">
        <f>SUM(H361:J361)</f>
        <v>8120</v>
      </c>
      <c r="H361" s="3">
        <v>8120</v>
      </c>
      <c r="I361" s="3">
        <v>0</v>
      </c>
      <c r="J361" s="3">
        <v>0</v>
      </c>
      <c r="K361" s="4">
        <f>SUM(L361:N361)</f>
        <v>4002</v>
      </c>
      <c r="L361" s="3">
        <v>4002</v>
      </c>
      <c r="M361" s="3">
        <v>0</v>
      </c>
      <c r="N361" s="3">
        <v>0</v>
      </c>
    </row>
    <row r="362" spans="1:14" x14ac:dyDescent="0.2">
      <c r="A362" t="s">
        <v>227</v>
      </c>
      <c r="B362" t="s">
        <v>228</v>
      </c>
      <c r="C362" t="s">
        <v>229</v>
      </c>
      <c r="D362" t="s">
        <v>230</v>
      </c>
      <c r="E362">
        <v>27028</v>
      </c>
      <c r="F362" t="s">
        <v>231</v>
      </c>
      <c r="G362" s="2">
        <f>SUM(H362:J362)</f>
        <v>1008044</v>
      </c>
      <c r="H362" s="3">
        <v>645205</v>
      </c>
      <c r="I362" s="3">
        <v>51011</v>
      </c>
      <c r="J362" s="3">
        <f>278007+29904+3917</f>
        <v>311828</v>
      </c>
      <c r="K362" s="4">
        <f>SUM(L362:N362)</f>
        <v>443969.1</v>
      </c>
      <c r="L362" s="3">
        <v>291132.09999999998</v>
      </c>
      <c r="M362" s="3">
        <v>22358</v>
      </c>
      <c r="N362" s="3">
        <f>104113+24235+2131</f>
        <v>130479</v>
      </c>
    </row>
    <row r="363" spans="1:14" x14ac:dyDescent="0.2">
      <c r="A363" t="s">
        <v>43</v>
      </c>
      <c r="B363" t="s">
        <v>44</v>
      </c>
      <c r="C363" t="s">
        <v>45</v>
      </c>
      <c r="D363" t="s">
        <v>29</v>
      </c>
      <c r="E363">
        <v>27302</v>
      </c>
      <c r="F363" t="s">
        <v>12</v>
      </c>
      <c r="G363" s="2">
        <f>SUM(H363:J363)</f>
        <v>564814</v>
      </c>
      <c r="H363" s="3">
        <v>362823</v>
      </c>
      <c r="I363" s="3">
        <v>33572</v>
      </c>
      <c r="J363" s="3">
        <f>31491+136928</f>
        <v>168419</v>
      </c>
      <c r="K363" s="4">
        <f>SUM(L363:N363)</f>
        <v>281362.5</v>
      </c>
      <c r="L363" s="3">
        <v>195909.5</v>
      </c>
      <c r="M363" s="3">
        <v>13190</v>
      </c>
      <c r="N363" s="3">
        <f>11539+60724</f>
        <v>72263</v>
      </c>
    </row>
    <row r="364" spans="1:14" x14ac:dyDescent="0.2">
      <c r="A364" t="s">
        <v>959</v>
      </c>
      <c r="B364" t="s">
        <v>960</v>
      </c>
      <c r="C364" t="s">
        <v>961</v>
      </c>
      <c r="D364" t="s">
        <v>962</v>
      </c>
      <c r="E364">
        <v>27320</v>
      </c>
      <c r="F364" t="s">
        <v>963</v>
      </c>
      <c r="G364" s="2">
        <f>SUM(H364:J364)</f>
        <v>221145</v>
      </c>
      <c r="H364" s="3">
        <v>149209</v>
      </c>
      <c r="I364" s="3">
        <v>20795</v>
      </c>
      <c r="J364" s="3">
        <f>49306+1835</f>
        <v>51141</v>
      </c>
      <c r="K364" s="4">
        <f>SUM(L364:N364)</f>
        <v>124747.5</v>
      </c>
      <c r="L364" s="3">
        <v>90817.5</v>
      </c>
      <c r="M364" s="3">
        <v>0</v>
      </c>
      <c r="N364" s="3">
        <f>32578+1352</f>
        <v>33930</v>
      </c>
    </row>
    <row r="365" spans="1:14" x14ac:dyDescent="0.2">
      <c r="A365" t="s">
        <v>616</v>
      </c>
      <c r="B365" t="s">
        <v>617</v>
      </c>
      <c r="C365" t="s">
        <v>618</v>
      </c>
      <c r="D365" t="s">
        <v>299</v>
      </c>
      <c r="E365">
        <v>27101</v>
      </c>
      <c r="F365" t="s">
        <v>349</v>
      </c>
      <c r="G365" s="2">
        <f>SUM(H365:J365)</f>
        <v>67439</v>
      </c>
      <c r="H365" s="3">
        <v>67439</v>
      </c>
      <c r="I365" s="3">
        <v>0</v>
      </c>
      <c r="J365" s="3">
        <v>0</v>
      </c>
      <c r="K365" s="4">
        <f>SUM(L365:N365)</f>
        <v>25591</v>
      </c>
      <c r="L365" s="3">
        <v>25591</v>
      </c>
      <c r="M365" s="3">
        <v>0</v>
      </c>
      <c r="N365" s="3">
        <v>0</v>
      </c>
    </row>
    <row r="366" spans="1:14" x14ac:dyDescent="0.2">
      <c r="A366" t="s">
        <v>88</v>
      </c>
      <c r="B366" t="s">
        <v>89</v>
      </c>
      <c r="C366" t="s">
        <v>80</v>
      </c>
      <c r="D366" t="s">
        <v>81</v>
      </c>
      <c r="E366">
        <v>28675</v>
      </c>
      <c r="F366" t="s">
        <v>82</v>
      </c>
      <c r="G366" s="2">
        <f>SUM(H366:J366)</f>
        <v>634694</v>
      </c>
      <c r="H366" s="3">
        <v>460697</v>
      </c>
      <c r="I366" s="3">
        <v>96780</v>
      </c>
      <c r="J366" s="3">
        <v>77217</v>
      </c>
      <c r="K366" s="4">
        <f>SUM(L366:N366)</f>
        <v>328320.40000000002</v>
      </c>
      <c r="L366" s="3">
        <v>257638.39999999999</v>
      </c>
      <c r="M366" s="3">
        <v>34819</v>
      </c>
      <c r="N366" s="3">
        <v>35863</v>
      </c>
    </row>
    <row r="367" spans="1:14" x14ac:dyDescent="0.2">
      <c r="A367" t="s">
        <v>78</v>
      </c>
      <c r="B367" t="s">
        <v>79</v>
      </c>
      <c r="C367" t="s">
        <v>80</v>
      </c>
      <c r="D367" t="s">
        <v>81</v>
      </c>
      <c r="E367">
        <v>28675</v>
      </c>
      <c r="F367" t="s">
        <v>82</v>
      </c>
      <c r="G367" s="2">
        <f>SUM(H367:J367)</f>
        <v>13572</v>
      </c>
      <c r="H367" s="3">
        <v>13572</v>
      </c>
      <c r="I367" s="3">
        <v>0</v>
      </c>
      <c r="J367" s="3">
        <v>0</v>
      </c>
      <c r="K367" s="4">
        <f>SUM(L367:N367)</f>
        <v>7308</v>
      </c>
      <c r="L367" s="3">
        <v>7308</v>
      </c>
      <c r="M367" s="3">
        <v>0</v>
      </c>
      <c r="N367" s="3">
        <v>0</v>
      </c>
    </row>
    <row r="368" spans="1:14" x14ac:dyDescent="0.2">
      <c r="A368" t="s">
        <v>86</v>
      </c>
      <c r="B368" t="s">
        <v>87</v>
      </c>
      <c r="C368" t="s">
        <v>85</v>
      </c>
      <c r="D368" t="s">
        <v>81</v>
      </c>
      <c r="E368">
        <v>28675</v>
      </c>
      <c r="F368" t="s">
        <v>82</v>
      </c>
      <c r="G368" s="2">
        <f>SUM(H368:J368)</f>
        <v>4176</v>
      </c>
      <c r="H368" s="3">
        <v>4176</v>
      </c>
      <c r="I368" s="3">
        <v>0</v>
      </c>
      <c r="J368" s="3">
        <v>0</v>
      </c>
      <c r="K368" s="4">
        <f>SUM(L368:N368)</f>
        <v>2088</v>
      </c>
      <c r="L368" s="3">
        <v>2088</v>
      </c>
      <c r="M368" s="3">
        <v>0</v>
      </c>
      <c r="N368" s="3">
        <v>0</v>
      </c>
    </row>
    <row r="369" spans="1:14" x14ac:dyDescent="0.2">
      <c r="A369" t="s">
        <v>83</v>
      </c>
      <c r="B369" t="s">
        <v>84</v>
      </c>
      <c r="C369" t="s">
        <v>85</v>
      </c>
      <c r="D369" t="s">
        <v>81</v>
      </c>
      <c r="E369">
        <v>28675</v>
      </c>
      <c r="F369" t="s">
        <v>82</v>
      </c>
      <c r="G369" s="2">
        <f>SUM(H369:J369)</f>
        <v>3132</v>
      </c>
      <c r="H369" s="3">
        <v>3132</v>
      </c>
      <c r="I369" s="3">
        <v>0</v>
      </c>
      <c r="J369" s="3">
        <v>0</v>
      </c>
      <c r="K369" s="4">
        <f>SUM(L369:N369)</f>
        <v>2088</v>
      </c>
      <c r="L369" s="3">
        <v>2088</v>
      </c>
      <c r="M369" s="3">
        <v>0</v>
      </c>
      <c r="N369" s="3">
        <v>0</v>
      </c>
    </row>
    <row r="370" spans="1:14" x14ac:dyDescent="0.2">
      <c r="A370" t="s">
        <v>1141</v>
      </c>
      <c r="B370" t="s">
        <v>1142</v>
      </c>
      <c r="C370" t="s">
        <v>1143</v>
      </c>
      <c r="D370" t="s">
        <v>1144</v>
      </c>
      <c r="E370">
        <v>28659</v>
      </c>
      <c r="F370" t="s">
        <v>1145</v>
      </c>
      <c r="G370" s="2">
        <f>SUM(H370:J370)</f>
        <v>273549</v>
      </c>
      <c r="H370" s="3">
        <v>161529</v>
      </c>
      <c r="I370" s="3">
        <v>81527</v>
      </c>
      <c r="J370" s="3">
        <f>27415+3078</f>
        <v>30493</v>
      </c>
      <c r="K370" s="4">
        <f>SUM(L370:N370)</f>
        <v>79981.5</v>
      </c>
      <c r="L370" s="3">
        <v>55063.5</v>
      </c>
      <c r="M370" s="3">
        <v>3271</v>
      </c>
      <c r="N370" s="3">
        <f>18505+3142</f>
        <v>21647</v>
      </c>
    </row>
    <row r="371" spans="1:14" x14ac:dyDescent="0.2">
      <c r="A371" t="s">
        <v>346</v>
      </c>
      <c r="B371" t="s">
        <v>350</v>
      </c>
      <c r="C371" t="s">
        <v>348</v>
      </c>
      <c r="D371" t="s">
        <v>299</v>
      </c>
      <c r="E371">
        <v>27101</v>
      </c>
      <c r="F371" t="s">
        <v>349</v>
      </c>
      <c r="G371" s="2">
        <f>SUM(H371:J371)</f>
        <v>1071241</v>
      </c>
      <c r="H371" s="3">
        <v>555373</v>
      </c>
      <c r="I371" s="3">
        <v>137438</v>
      </c>
      <c r="J371" s="3">
        <f>123838+50022+18767+16808+168995</f>
        <v>378430</v>
      </c>
      <c r="K371" s="4">
        <f>SUM(L371:N371)</f>
        <v>327969.5</v>
      </c>
      <c r="L371" s="3">
        <v>170053.5</v>
      </c>
      <c r="M371" s="3">
        <v>39838</v>
      </c>
      <c r="N371" s="3">
        <f>47375+14691+4537+5630+45845</f>
        <v>118078</v>
      </c>
    </row>
    <row r="372" spans="1:14" x14ac:dyDescent="0.2">
      <c r="A372" t="s">
        <v>346</v>
      </c>
      <c r="B372" t="s">
        <v>347</v>
      </c>
      <c r="C372" t="s">
        <v>348</v>
      </c>
      <c r="D372" t="s">
        <v>299</v>
      </c>
      <c r="E372">
        <v>27101</v>
      </c>
      <c r="F372" t="s">
        <v>349</v>
      </c>
      <c r="G372" s="2">
        <f>SUM(H372:J372)</f>
        <v>132878</v>
      </c>
      <c r="H372" s="3">
        <v>86852</v>
      </c>
      <c r="I372" s="3">
        <v>39546</v>
      </c>
      <c r="J372" s="3">
        <v>6480</v>
      </c>
      <c r="K372" s="4">
        <f>SUM(L372:N372)</f>
        <v>81207.5</v>
      </c>
      <c r="L372" s="3">
        <v>55001.5</v>
      </c>
      <c r="M372" s="3">
        <v>26206</v>
      </c>
      <c r="N372" s="3">
        <v>0</v>
      </c>
    </row>
    <row r="373" spans="1:14" x14ac:dyDescent="0.2">
      <c r="A373" t="s">
        <v>456</v>
      </c>
      <c r="B373" t="s">
        <v>949</v>
      </c>
      <c r="C373" t="s">
        <v>950</v>
      </c>
      <c r="D373" t="s">
        <v>951</v>
      </c>
      <c r="E373">
        <v>27208</v>
      </c>
      <c r="F373" t="s">
        <v>929</v>
      </c>
      <c r="G373" s="2">
        <f>SUM(H373:J373)</f>
        <v>27563</v>
      </c>
      <c r="H373" s="3">
        <v>23563</v>
      </c>
      <c r="I373" s="3">
        <v>4000</v>
      </c>
      <c r="J373" s="3">
        <v>0</v>
      </c>
      <c r="K373" s="4">
        <f>SUM(L373:N373)</f>
        <v>14335</v>
      </c>
      <c r="L373" s="3">
        <v>12385</v>
      </c>
      <c r="M373" s="3">
        <v>0</v>
      </c>
      <c r="N373" s="3">
        <v>1950</v>
      </c>
    </row>
    <row r="374" spans="1:14" x14ac:dyDescent="0.2">
      <c r="A374" t="s">
        <v>1043</v>
      </c>
      <c r="B374" t="s">
        <v>1044</v>
      </c>
      <c r="C374" t="s">
        <v>1045</v>
      </c>
      <c r="D374" t="s">
        <v>1042</v>
      </c>
      <c r="E374">
        <v>27053</v>
      </c>
      <c r="F374" t="s">
        <v>1026</v>
      </c>
      <c r="G374" s="2">
        <f>SUM(H374:J374)</f>
        <v>99807</v>
      </c>
      <c r="H374" s="3">
        <v>92979</v>
      </c>
      <c r="I374" s="3">
        <v>6828</v>
      </c>
      <c r="J374" s="3">
        <v>0</v>
      </c>
      <c r="K374" s="4">
        <f>SUM(L374:N374)</f>
        <v>67168.600000000006</v>
      </c>
      <c r="L374" s="3">
        <v>62966.6</v>
      </c>
      <c r="M374" s="3">
        <v>4202</v>
      </c>
      <c r="N374" s="3">
        <v>0</v>
      </c>
    </row>
    <row r="375" spans="1:14" x14ac:dyDescent="0.2">
      <c r="A375" t="s">
        <v>1039</v>
      </c>
      <c r="B375" t="s">
        <v>1040</v>
      </c>
      <c r="C375" t="s">
        <v>1041</v>
      </c>
      <c r="D375" t="s">
        <v>1042</v>
      </c>
      <c r="E375">
        <v>27053</v>
      </c>
      <c r="F375" t="s">
        <v>1026</v>
      </c>
      <c r="G375" s="2">
        <f>SUM(H375:J375)</f>
        <v>1160</v>
      </c>
      <c r="H375" s="3">
        <v>1160</v>
      </c>
      <c r="I375" s="3">
        <v>0</v>
      </c>
      <c r="J375" s="3">
        <v>0</v>
      </c>
      <c r="K375" s="4">
        <f>SUM(L375:N375)</f>
        <v>0</v>
      </c>
      <c r="L375" s="3">
        <v>0</v>
      </c>
      <c r="M375" s="3">
        <v>0</v>
      </c>
      <c r="N375" s="3">
        <v>0</v>
      </c>
    </row>
    <row r="376" spans="1:14" x14ac:dyDescent="0.2">
      <c r="A376" t="s">
        <v>737</v>
      </c>
      <c r="B376" t="s">
        <v>740</v>
      </c>
      <c r="C376" t="s">
        <v>741</v>
      </c>
      <c r="D376" t="s">
        <v>643</v>
      </c>
      <c r="E376">
        <v>27405</v>
      </c>
      <c r="F376" t="s">
        <v>628</v>
      </c>
      <c r="G376" s="2">
        <f>SUM(H376:J376)</f>
        <v>5540</v>
      </c>
      <c r="H376" s="3">
        <v>3392</v>
      </c>
      <c r="I376" s="3">
        <v>2148</v>
      </c>
      <c r="J376" s="3">
        <v>0</v>
      </c>
      <c r="K376" s="4">
        <f>SUM(L376:N376)</f>
        <v>6764</v>
      </c>
      <c r="L376" s="3">
        <v>6164</v>
      </c>
      <c r="M376" s="3">
        <v>600</v>
      </c>
      <c r="N376" s="3">
        <v>0</v>
      </c>
    </row>
    <row r="377" spans="1:14" x14ac:dyDescent="0.2">
      <c r="A377" t="s">
        <v>737</v>
      </c>
      <c r="B377" t="s">
        <v>738</v>
      </c>
      <c r="C377" t="s">
        <v>739</v>
      </c>
      <c r="D377" t="s">
        <v>643</v>
      </c>
      <c r="E377">
        <v>27405</v>
      </c>
      <c r="F377" t="s">
        <v>628</v>
      </c>
      <c r="G377" s="2">
        <f>SUM(H377:J377)</f>
        <v>14761</v>
      </c>
      <c r="H377" s="3">
        <v>8230</v>
      </c>
      <c r="I377" s="3">
        <v>1587</v>
      </c>
      <c r="J377" s="3">
        <f>923+4021</f>
        <v>4944</v>
      </c>
      <c r="K377" s="4">
        <f>SUM(L377:N377)</f>
        <v>13734</v>
      </c>
      <c r="L377" s="3">
        <v>9393</v>
      </c>
      <c r="M377" s="3">
        <v>775</v>
      </c>
      <c r="N377" s="3">
        <f>897+1164+1505</f>
        <v>3566</v>
      </c>
    </row>
    <row r="378" spans="1:14" x14ac:dyDescent="0.2">
      <c r="A378" t="s">
        <v>906</v>
      </c>
      <c r="B378" t="s">
        <v>907</v>
      </c>
      <c r="C378" t="s">
        <v>908</v>
      </c>
      <c r="D378" t="s">
        <v>889</v>
      </c>
      <c r="E378">
        <v>28677</v>
      </c>
      <c r="F378" t="s">
        <v>890</v>
      </c>
      <c r="G378" s="2">
        <f>SUM(H378:J378)</f>
        <v>804648</v>
      </c>
      <c r="H378" s="3">
        <v>516169</v>
      </c>
      <c r="I378" s="3">
        <v>137272</v>
      </c>
      <c r="J378" s="3">
        <f>139388+10410+1409</f>
        <v>151207</v>
      </c>
      <c r="K378" s="4">
        <f>SUM(L378:N378)</f>
        <v>443006.5</v>
      </c>
      <c r="L378" s="3">
        <v>295124.5</v>
      </c>
      <c r="M378" s="3">
        <v>77819</v>
      </c>
      <c r="N378" s="3">
        <f>65962+2651+1450</f>
        <v>70063</v>
      </c>
    </row>
    <row r="379" spans="1:14" x14ac:dyDescent="0.2">
      <c r="A379" t="s">
        <v>668</v>
      </c>
      <c r="B379" t="s">
        <v>672</v>
      </c>
      <c r="C379" t="s">
        <v>673</v>
      </c>
      <c r="D379" t="s">
        <v>671</v>
      </c>
      <c r="E379">
        <v>27357</v>
      </c>
      <c r="F379" t="s">
        <v>628</v>
      </c>
      <c r="G379" s="2">
        <f>SUM(H379:J379)</f>
        <v>380</v>
      </c>
      <c r="H379" s="3">
        <v>190</v>
      </c>
      <c r="I379" s="3">
        <v>190</v>
      </c>
      <c r="J379" s="3">
        <v>0</v>
      </c>
      <c r="K379" s="4">
        <f>SUM(L379:N379)</f>
        <v>0</v>
      </c>
      <c r="L379" s="3">
        <v>0</v>
      </c>
      <c r="M379" s="3">
        <v>0</v>
      </c>
      <c r="N379" s="3">
        <v>0</v>
      </c>
    </row>
    <row r="380" spans="1:14" x14ac:dyDescent="0.2">
      <c r="A380" t="s">
        <v>668</v>
      </c>
      <c r="B380" t="s">
        <v>669</v>
      </c>
      <c r="C380" t="s">
        <v>670</v>
      </c>
      <c r="D380" t="s">
        <v>671</v>
      </c>
      <c r="E380">
        <v>27357</v>
      </c>
      <c r="F380" t="s">
        <v>628</v>
      </c>
      <c r="G380" s="2">
        <f>SUM(H380:J380)</f>
        <v>30951</v>
      </c>
      <c r="H380" s="3">
        <v>30891</v>
      </c>
      <c r="I380" s="3">
        <v>60</v>
      </c>
      <c r="J380" s="3">
        <v>0</v>
      </c>
      <c r="K380" s="4">
        <f>SUM(L380:N380)</f>
        <v>21152</v>
      </c>
      <c r="L380" s="3">
        <v>21082</v>
      </c>
      <c r="M380" s="3">
        <v>70</v>
      </c>
      <c r="N380" s="3">
        <v>0</v>
      </c>
    </row>
    <row r="381" spans="1:14" x14ac:dyDescent="0.2">
      <c r="A381" t="s">
        <v>973</v>
      </c>
      <c r="B381" t="s">
        <v>974</v>
      </c>
      <c r="C381" t="s">
        <v>975</v>
      </c>
      <c r="D381" t="s">
        <v>976</v>
      </c>
      <c r="E381">
        <v>27320</v>
      </c>
      <c r="F381" t="s">
        <v>963</v>
      </c>
      <c r="G381" s="2">
        <f>SUM(H381:J381)</f>
        <v>43373</v>
      </c>
      <c r="H381" s="3">
        <v>40605</v>
      </c>
      <c r="I381" s="3">
        <v>1490</v>
      </c>
      <c r="J381" s="3">
        <f>870+408</f>
        <v>1278</v>
      </c>
      <c r="K381" s="4">
        <f>SUM(L381:N381)</f>
        <v>5553</v>
      </c>
      <c r="L381" s="3">
        <v>5165</v>
      </c>
      <c r="M381" s="3">
        <v>388</v>
      </c>
      <c r="N381" s="3">
        <v>0</v>
      </c>
    </row>
    <row r="382" spans="1:14" x14ac:dyDescent="0.2">
      <c r="A382" t="s">
        <v>465</v>
      </c>
      <c r="B382" t="s">
        <v>466</v>
      </c>
      <c r="C382" t="s">
        <v>467</v>
      </c>
      <c r="D382" t="s">
        <v>375</v>
      </c>
      <c r="E382">
        <v>27284</v>
      </c>
      <c r="F382" t="s">
        <v>349</v>
      </c>
      <c r="G382" s="2">
        <f>SUM(H382:J382)</f>
        <v>12325</v>
      </c>
      <c r="H382" s="3">
        <v>12325</v>
      </c>
      <c r="I382" s="3">
        <v>0</v>
      </c>
      <c r="J382" s="3">
        <v>0</v>
      </c>
      <c r="K382" s="4">
        <f>SUM(L382:N382)</f>
        <v>0</v>
      </c>
      <c r="L382" s="3">
        <v>0</v>
      </c>
      <c r="M382" s="3">
        <v>0</v>
      </c>
      <c r="N382" s="3">
        <v>0</v>
      </c>
    </row>
    <row r="383" spans="1:14" x14ac:dyDescent="0.2">
      <c r="A383" t="s">
        <v>293</v>
      </c>
      <c r="B383" t="s">
        <v>294</v>
      </c>
      <c r="C383" t="s">
        <v>295</v>
      </c>
      <c r="D383" t="s">
        <v>253</v>
      </c>
      <c r="E383">
        <v>27292</v>
      </c>
      <c r="F383" t="s">
        <v>254</v>
      </c>
      <c r="G383" s="2">
        <f>SUM(H383:J383)</f>
        <v>48893</v>
      </c>
      <c r="H383" s="3">
        <v>48893</v>
      </c>
      <c r="I383" s="3">
        <v>0</v>
      </c>
      <c r="J383" s="3">
        <v>0</v>
      </c>
      <c r="K383" s="4">
        <f>SUM(L383:N383)</f>
        <v>27452.5</v>
      </c>
      <c r="L383" s="3">
        <v>27452.5</v>
      </c>
      <c r="M383" s="3">
        <v>0</v>
      </c>
      <c r="N383" s="3">
        <v>0</v>
      </c>
    </row>
    <row r="384" spans="1:14" x14ac:dyDescent="0.2">
      <c r="A384" t="s">
        <v>685</v>
      </c>
      <c r="B384" t="s">
        <v>686</v>
      </c>
      <c r="C384" t="s">
        <v>687</v>
      </c>
      <c r="D384" t="s">
        <v>276</v>
      </c>
      <c r="E384">
        <v>27262</v>
      </c>
      <c r="F384" t="s">
        <v>628</v>
      </c>
      <c r="G384" s="2">
        <f>SUM(H384:J384)</f>
        <v>58192</v>
      </c>
      <c r="H384" s="3">
        <v>35140</v>
      </c>
      <c r="I384" s="3">
        <v>23052</v>
      </c>
      <c r="J384" s="3">
        <v>0</v>
      </c>
      <c r="K384" s="4">
        <f>SUM(L384:N384)</f>
        <v>35868</v>
      </c>
      <c r="L384" s="3">
        <v>28208</v>
      </c>
      <c r="M384" s="3">
        <v>7660</v>
      </c>
      <c r="N384" s="3">
        <v>0</v>
      </c>
    </row>
    <row r="385" spans="1:14" x14ac:dyDescent="0.2">
      <c r="A385" t="s">
        <v>63</v>
      </c>
      <c r="B385" t="s">
        <v>64</v>
      </c>
      <c r="C385" t="s">
        <v>65</v>
      </c>
      <c r="D385" t="s">
        <v>11</v>
      </c>
      <c r="E385">
        <v>27253</v>
      </c>
      <c r="F385" t="s">
        <v>12</v>
      </c>
      <c r="G385" s="2">
        <f>SUM(H385:J385)</f>
        <v>91939</v>
      </c>
      <c r="H385" s="3">
        <v>74128</v>
      </c>
      <c r="I385" s="3">
        <v>2110</v>
      </c>
      <c r="J385" s="3">
        <f>15551+150</f>
        <v>15701</v>
      </c>
      <c r="K385" s="4">
        <f>SUM(L385:N385)</f>
        <v>40820.5</v>
      </c>
      <c r="L385" s="3">
        <v>37835.5</v>
      </c>
      <c r="M385" s="3">
        <v>1160</v>
      </c>
      <c r="N385" s="3">
        <f>1720+105</f>
        <v>1825</v>
      </c>
    </row>
    <row r="386" spans="1:14" x14ac:dyDescent="0.2">
      <c r="A386" t="s">
        <v>36</v>
      </c>
      <c r="B386" t="s">
        <v>37</v>
      </c>
      <c r="C386" t="s">
        <v>38</v>
      </c>
      <c r="D386" t="s">
        <v>11</v>
      </c>
      <c r="E386">
        <v>27217</v>
      </c>
      <c r="F386" t="s">
        <v>12</v>
      </c>
      <c r="G386" s="2">
        <f>SUM(H386:J386)</f>
        <v>682845</v>
      </c>
      <c r="H386" s="3">
        <v>436018</v>
      </c>
      <c r="I386" s="3">
        <v>85159</v>
      </c>
      <c r="J386" s="3">
        <f>32178+15191+17558+96741</f>
        <v>161668</v>
      </c>
      <c r="K386" s="4">
        <f>SUM(L386:N386)</f>
        <v>344754.5</v>
      </c>
      <c r="L386" s="3">
        <v>243595.5</v>
      </c>
      <c r="M386" s="3">
        <v>31804</v>
      </c>
      <c r="N386" s="3">
        <f>9503+5396+13610+40087+759</f>
        <v>69355</v>
      </c>
    </row>
    <row r="387" spans="1:14" x14ac:dyDescent="0.2">
      <c r="A387" t="s">
        <v>714</v>
      </c>
      <c r="B387" t="s">
        <v>715</v>
      </c>
      <c r="C387" t="s">
        <v>716</v>
      </c>
      <c r="D387" t="s">
        <v>276</v>
      </c>
      <c r="E387">
        <v>27261</v>
      </c>
      <c r="F387" t="s">
        <v>628</v>
      </c>
      <c r="G387" s="2">
        <f>SUM(H387:J387)</f>
        <v>6015</v>
      </c>
      <c r="H387" s="3">
        <v>3590</v>
      </c>
      <c r="I387" s="3">
        <v>2425</v>
      </c>
      <c r="J387" s="3">
        <v>0</v>
      </c>
      <c r="K387" s="4">
        <f>SUM(L387:N387)</f>
        <v>3773</v>
      </c>
      <c r="L387" s="3">
        <v>2753</v>
      </c>
      <c r="M387" s="3">
        <v>1020</v>
      </c>
      <c r="N387" s="3">
        <v>0</v>
      </c>
    </row>
    <row r="388" spans="1:14" x14ac:dyDescent="0.2">
      <c r="A388" t="s">
        <v>378</v>
      </c>
      <c r="B388" t="s">
        <v>379</v>
      </c>
      <c r="C388" t="s">
        <v>380</v>
      </c>
      <c r="D388" t="s">
        <v>299</v>
      </c>
      <c r="E388">
        <v>27101</v>
      </c>
      <c r="F388" t="s">
        <v>349</v>
      </c>
      <c r="G388" s="2">
        <f>SUM(H388:J388)</f>
        <v>13195</v>
      </c>
      <c r="H388" s="3">
        <v>13195</v>
      </c>
      <c r="I388" s="3">
        <v>0</v>
      </c>
      <c r="J388" s="3">
        <v>0</v>
      </c>
      <c r="K388" s="4">
        <f>SUM(L388:N388)</f>
        <v>4611</v>
      </c>
      <c r="L388" s="3">
        <v>4611</v>
      </c>
      <c r="M388" s="3">
        <v>0</v>
      </c>
      <c r="N388" s="3">
        <v>0</v>
      </c>
    </row>
    <row r="389" spans="1:14" x14ac:dyDescent="0.2">
      <c r="A389" t="s">
        <v>1133</v>
      </c>
      <c r="B389" t="s">
        <v>1134</v>
      </c>
      <c r="C389" t="s">
        <v>1135</v>
      </c>
      <c r="D389" t="s">
        <v>1096</v>
      </c>
      <c r="E389">
        <v>28607</v>
      </c>
      <c r="F389" t="s">
        <v>1097</v>
      </c>
      <c r="G389" s="2">
        <f>SUM(H389:J389)</f>
        <v>111978</v>
      </c>
      <c r="H389" s="3">
        <v>66618</v>
      </c>
      <c r="I389" s="3">
        <v>8147</v>
      </c>
      <c r="J389" s="3">
        <v>37213</v>
      </c>
      <c r="K389" s="4">
        <f>SUM(L389:N389)</f>
        <v>70955.100000000006</v>
      </c>
      <c r="L389" s="3">
        <v>44537.1</v>
      </c>
      <c r="M389" s="3">
        <v>10179</v>
      </c>
      <c r="N389" s="3">
        <v>16239</v>
      </c>
    </row>
    <row r="390" spans="1:14" x14ac:dyDescent="0.2">
      <c r="A390" t="s">
        <v>581</v>
      </c>
      <c r="B390" t="s">
        <v>582</v>
      </c>
      <c r="C390" t="s">
        <v>583</v>
      </c>
      <c r="D390" t="s">
        <v>299</v>
      </c>
      <c r="E390">
        <v>27107</v>
      </c>
      <c r="F390" t="s">
        <v>349</v>
      </c>
      <c r="G390" s="2">
        <f>SUM(H390:J390)</f>
        <v>435</v>
      </c>
      <c r="H390" s="3">
        <v>435</v>
      </c>
      <c r="I390" s="3">
        <v>0</v>
      </c>
      <c r="J390" s="3">
        <v>0</v>
      </c>
      <c r="K390" s="4">
        <f>SUM(L390:N390)</f>
        <v>0</v>
      </c>
      <c r="L390" s="3">
        <v>0</v>
      </c>
      <c r="M390" s="3">
        <v>0</v>
      </c>
      <c r="N390" s="3">
        <v>0</v>
      </c>
    </row>
    <row r="391" spans="1:14" x14ac:dyDescent="0.2">
      <c r="A391" t="s">
        <v>215</v>
      </c>
      <c r="B391" t="s">
        <v>216</v>
      </c>
      <c r="C391" t="s">
        <v>217</v>
      </c>
      <c r="D391" t="s">
        <v>185</v>
      </c>
      <c r="E391">
        <v>28645</v>
      </c>
      <c r="F391" t="s">
        <v>181</v>
      </c>
      <c r="G391" s="2">
        <f>SUM(H391:J391)</f>
        <v>1131</v>
      </c>
      <c r="H391" s="3">
        <v>1131</v>
      </c>
      <c r="I391" s="3">
        <v>0</v>
      </c>
      <c r="J391" s="3">
        <v>0</v>
      </c>
      <c r="K391" s="4">
        <f>SUM(L391:N391)</f>
        <v>0</v>
      </c>
      <c r="L391" s="3">
        <v>0</v>
      </c>
      <c r="M391" s="3">
        <v>0</v>
      </c>
      <c r="N391" s="3">
        <v>0</v>
      </c>
    </row>
    <row r="392" spans="1:14" x14ac:dyDescent="0.2">
      <c r="A392" t="s">
        <v>343</v>
      </c>
      <c r="B392" t="s">
        <v>344</v>
      </c>
      <c r="C392" t="s">
        <v>345</v>
      </c>
      <c r="D392" t="s">
        <v>253</v>
      </c>
      <c r="E392">
        <v>27292</v>
      </c>
      <c r="F392" t="s">
        <v>254</v>
      </c>
      <c r="G392" s="2">
        <f>SUM(H392:J392)</f>
        <v>112657</v>
      </c>
      <c r="H392" s="3">
        <v>62139</v>
      </c>
      <c r="I392" s="3">
        <v>841</v>
      </c>
      <c r="J392" s="3">
        <f>39508+10169</f>
        <v>49677</v>
      </c>
      <c r="K392" s="4">
        <f>SUM(L392:N392)</f>
        <v>120736.5</v>
      </c>
      <c r="L392" s="3">
        <v>65722.5</v>
      </c>
      <c r="M392" s="3">
        <v>5197</v>
      </c>
      <c r="N392" s="3">
        <f>48777+1040</f>
        <v>49817</v>
      </c>
    </row>
    <row r="393" spans="1:14" x14ac:dyDescent="0.2">
      <c r="A393" t="s">
        <v>665</v>
      </c>
      <c r="B393" t="s">
        <v>666</v>
      </c>
      <c r="C393" t="s">
        <v>667</v>
      </c>
      <c r="D393" t="s">
        <v>276</v>
      </c>
      <c r="E393">
        <v>27260</v>
      </c>
      <c r="F393" t="s">
        <v>628</v>
      </c>
      <c r="G393" s="2">
        <f>SUM(H393:J393)</f>
        <v>39563</v>
      </c>
      <c r="H393" s="3">
        <v>39563</v>
      </c>
      <c r="I393" s="3">
        <v>0</v>
      </c>
      <c r="J393" s="3">
        <v>0</v>
      </c>
      <c r="K393" s="4">
        <f>SUM(L393:N393)</f>
        <v>25544</v>
      </c>
      <c r="L393" s="3">
        <v>25544</v>
      </c>
      <c r="M393" s="3">
        <v>0</v>
      </c>
      <c r="N393" s="3">
        <v>0</v>
      </c>
    </row>
    <row r="394" spans="1:14" x14ac:dyDescent="0.2">
      <c r="A394" t="s">
        <v>708</v>
      </c>
      <c r="B394" t="s">
        <v>709</v>
      </c>
      <c r="C394" t="s">
        <v>710</v>
      </c>
      <c r="D394" t="s">
        <v>276</v>
      </c>
      <c r="E394">
        <v>27261</v>
      </c>
      <c r="F394" t="s">
        <v>628</v>
      </c>
      <c r="G394" s="2">
        <f>SUM(H394:J394)</f>
        <v>287345</v>
      </c>
      <c r="H394" s="3">
        <v>217758</v>
      </c>
      <c r="I394" s="3">
        <v>9941</v>
      </c>
      <c r="J394" s="3">
        <f>10211+46805+2630</f>
        <v>59646</v>
      </c>
      <c r="K394" s="4">
        <f>SUM(L394:N394)</f>
        <v>216308</v>
      </c>
      <c r="L394" s="3">
        <v>177647</v>
      </c>
      <c r="M394" s="3">
        <v>1125</v>
      </c>
      <c r="N394" s="3">
        <f>7262+30274</f>
        <v>37536</v>
      </c>
    </row>
    <row r="395" spans="1:14" x14ac:dyDescent="0.2">
      <c r="A395" t="s">
        <v>717</v>
      </c>
      <c r="B395" t="s">
        <v>718</v>
      </c>
      <c r="C395" t="s">
        <v>710</v>
      </c>
      <c r="D395" t="s">
        <v>276</v>
      </c>
      <c r="E395">
        <v>27261</v>
      </c>
      <c r="F395" t="s">
        <v>628</v>
      </c>
      <c r="G395" s="2">
        <f>SUM(H395:J395)</f>
        <v>3761</v>
      </c>
      <c r="H395" s="3">
        <v>2161</v>
      </c>
      <c r="I395" s="3">
        <v>1600</v>
      </c>
      <c r="J395" s="3">
        <v>0</v>
      </c>
      <c r="K395" s="4">
        <f>SUM(L395:N395)</f>
        <v>3851</v>
      </c>
      <c r="L395" s="3">
        <v>2121</v>
      </c>
      <c r="M395" s="3">
        <v>1730</v>
      </c>
      <c r="N395" s="3">
        <v>0</v>
      </c>
    </row>
    <row r="396" spans="1:14" x14ac:dyDescent="0.2">
      <c r="A396" t="s">
        <v>30</v>
      </c>
      <c r="B396" t="s">
        <v>31</v>
      </c>
      <c r="C396" t="s">
        <v>32</v>
      </c>
      <c r="D396" t="s">
        <v>11</v>
      </c>
      <c r="E396">
        <v>27215</v>
      </c>
      <c r="F396" t="s">
        <v>12</v>
      </c>
      <c r="G396" s="2">
        <f>SUM(H396:J396)</f>
        <v>278736</v>
      </c>
      <c r="H396" s="3">
        <v>139368</v>
      </c>
      <c r="I396" s="3">
        <v>0</v>
      </c>
      <c r="J396" s="3">
        <v>139368</v>
      </c>
      <c r="K396" s="4">
        <f>SUM(L396:N396)</f>
        <v>112614</v>
      </c>
      <c r="L396" s="3">
        <v>56307</v>
      </c>
      <c r="M396" s="3">
        <v>0</v>
      </c>
      <c r="N396" s="3">
        <v>56307</v>
      </c>
    </row>
    <row r="397" spans="1:14" x14ac:dyDescent="0.2">
      <c r="A397" t="s">
        <v>834</v>
      </c>
      <c r="B397" t="s">
        <v>835</v>
      </c>
      <c r="C397" t="s">
        <v>836</v>
      </c>
      <c r="D397" t="s">
        <v>671</v>
      </c>
      <c r="E397">
        <v>27357</v>
      </c>
      <c r="F397" t="s">
        <v>628</v>
      </c>
      <c r="G397" s="2">
        <f>SUM(H397:J397)</f>
        <v>0</v>
      </c>
      <c r="H397" s="3">
        <v>0</v>
      </c>
      <c r="I397" s="3">
        <v>0</v>
      </c>
      <c r="J397" s="3">
        <v>0</v>
      </c>
      <c r="K397" s="4">
        <f>SUM(L397:N397)</f>
        <v>0</v>
      </c>
      <c r="L397" s="3">
        <v>0</v>
      </c>
      <c r="M397" s="3">
        <v>0</v>
      </c>
      <c r="N397" s="3">
        <v>0</v>
      </c>
    </row>
    <row r="398" spans="1:14" x14ac:dyDescent="0.2">
      <c r="A398" t="s">
        <v>933</v>
      </c>
      <c r="B398" t="s">
        <v>934</v>
      </c>
      <c r="C398" t="s">
        <v>935</v>
      </c>
      <c r="D398" t="s">
        <v>928</v>
      </c>
      <c r="E398">
        <v>27203</v>
      </c>
      <c r="F398" t="s">
        <v>929</v>
      </c>
      <c r="G398" s="2">
        <f>SUM(H398:J398)</f>
        <v>68430</v>
      </c>
      <c r="H398" s="3">
        <v>43650</v>
      </c>
      <c r="I398" s="3">
        <v>0</v>
      </c>
      <c r="J398" s="3">
        <v>24780</v>
      </c>
      <c r="K398" s="4">
        <f>SUM(L398:N398)</f>
        <v>23664.5</v>
      </c>
      <c r="L398" s="3">
        <v>15645.5</v>
      </c>
      <c r="M398" s="3">
        <v>0</v>
      </c>
      <c r="N398" s="3">
        <v>8019</v>
      </c>
    </row>
    <row r="399" spans="1:14" x14ac:dyDescent="0.2">
      <c r="A399" t="s">
        <v>266</v>
      </c>
      <c r="B399" t="s">
        <v>267</v>
      </c>
      <c r="C399" t="s">
        <v>268</v>
      </c>
      <c r="D399" t="s">
        <v>253</v>
      </c>
      <c r="E399">
        <v>27292</v>
      </c>
      <c r="F399" t="s">
        <v>254</v>
      </c>
      <c r="G399" s="2">
        <f>SUM(H399:J399)</f>
        <v>12785</v>
      </c>
      <c r="H399" s="3">
        <v>12785</v>
      </c>
      <c r="I399" s="3">
        <v>0</v>
      </c>
      <c r="J399" s="3">
        <v>0</v>
      </c>
      <c r="K399" s="4">
        <f>SUM(L399:N399)</f>
        <v>6272</v>
      </c>
      <c r="L399" s="3">
        <v>6272</v>
      </c>
      <c r="M399" s="3">
        <v>0</v>
      </c>
      <c r="N399" s="3">
        <v>0</v>
      </c>
    </row>
    <row r="400" spans="1:14" x14ac:dyDescent="0.2">
      <c r="A400" t="s">
        <v>610</v>
      </c>
      <c r="B400" t="s">
        <v>611</v>
      </c>
      <c r="C400" t="s">
        <v>612</v>
      </c>
      <c r="D400" t="s">
        <v>299</v>
      </c>
      <c r="E400">
        <v>27105</v>
      </c>
      <c r="F400" t="s">
        <v>349</v>
      </c>
      <c r="G400" s="2">
        <f>SUM(H400:J400)</f>
        <v>376</v>
      </c>
      <c r="H400" s="3">
        <v>376</v>
      </c>
      <c r="I400" s="3">
        <v>0</v>
      </c>
      <c r="J400" s="3">
        <v>0</v>
      </c>
      <c r="K400" s="4">
        <f>SUM(L400:N400)</f>
        <v>1183</v>
      </c>
      <c r="L400" s="3">
        <v>1183</v>
      </c>
      <c r="M400" s="3">
        <v>0</v>
      </c>
      <c r="N400" s="3">
        <v>0</v>
      </c>
    </row>
    <row r="401" spans="1:14" x14ac:dyDescent="0.2">
      <c r="A401" t="s">
        <v>925</v>
      </c>
      <c r="B401" t="s">
        <v>926</v>
      </c>
      <c r="C401" t="s">
        <v>927</v>
      </c>
      <c r="D401" t="s">
        <v>928</v>
      </c>
      <c r="E401">
        <v>27203</v>
      </c>
      <c r="F401" t="s">
        <v>929</v>
      </c>
      <c r="G401" s="2">
        <f>SUM(H401:J401)</f>
        <v>2153120</v>
      </c>
      <c r="H401" s="3">
        <v>1090727</v>
      </c>
      <c r="I401" s="3">
        <v>695877</v>
      </c>
      <c r="J401" s="3">
        <f>133175+30267+194834+6002+2238</f>
        <v>366516</v>
      </c>
      <c r="K401" s="4">
        <f>SUM(L401:N401)</f>
        <v>1253190</v>
      </c>
      <c r="L401" s="3">
        <v>630909</v>
      </c>
      <c r="M401" s="3">
        <v>460237</v>
      </c>
      <c r="N401" s="3">
        <f>56525+20734+12615+66735+4709+726</f>
        <v>162044</v>
      </c>
    </row>
    <row r="402" spans="1:14" x14ac:dyDescent="0.2">
      <c r="A402" t="s">
        <v>95</v>
      </c>
      <c r="B402" t="s">
        <v>96</v>
      </c>
      <c r="C402" t="s">
        <v>97</v>
      </c>
      <c r="D402" t="s">
        <v>98</v>
      </c>
      <c r="E402">
        <v>28601</v>
      </c>
      <c r="F402" t="s">
        <v>94</v>
      </c>
      <c r="G402" s="2">
        <f>SUM(H402:J402)</f>
        <v>175922</v>
      </c>
      <c r="H402" s="3">
        <v>126673</v>
      </c>
      <c r="I402" s="3">
        <v>25964</v>
      </c>
      <c r="J402" s="3">
        <f>20353+2932</f>
        <v>23285</v>
      </c>
      <c r="K402" s="4">
        <f>SUM(L402:N402)</f>
        <v>123816.5</v>
      </c>
      <c r="L402" s="3">
        <v>86011.5</v>
      </c>
      <c r="M402" s="3">
        <v>27664</v>
      </c>
      <c r="N402" s="3">
        <f>8643+1498</f>
        <v>10141</v>
      </c>
    </row>
    <row r="403" spans="1:14" x14ac:dyDescent="0.2">
      <c r="A403" t="s">
        <v>203</v>
      </c>
      <c r="B403" t="s">
        <v>204</v>
      </c>
      <c r="C403" t="s">
        <v>205</v>
      </c>
      <c r="D403" t="s">
        <v>185</v>
      </c>
      <c r="E403">
        <v>28645</v>
      </c>
      <c r="F403" t="s">
        <v>181</v>
      </c>
      <c r="G403" s="2">
        <f>SUM(H403:J403)</f>
        <v>56070</v>
      </c>
      <c r="H403" s="3">
        <v>28035</v>
      </c>
      <c r="I403" s="3">
        <v>3497</v>
      </c>
      <c r="J403" s="3">
        <v>24538</v>
      </c>
      <c r="K403" s="4">
        <f>SUM(L403:N403)</f>
        <v>18340</v>
      </c>
      <c r="L403" s="3">
        <v>9170</v>
      </c>
      <c r="M403" s="3">
        <v>300</v>
      </c>
      <c r="N403" s="3">
        <v>8870</v>
      </c>
    </row>
    <row r="404" spans="1:14" x14ac:dyDescent="0.2">
      <c r="A404" t="s">
        <v>409</v>
      </c>
      <c r="B404" t="s">
        <v>410</v>
      </c>
      <c r="C404" t="s">
        <v>205</v>
      </c>
      <c r="D404" t="s">
        <v>375</v>
      </c>
      <c r="E404">
        <v>27284</v>
      </c>
      <c r="F404" t="s">
        <v>349</v>
      </c>
      <c r="G404" s="2">
        <f>SUM(H404:J404)</f>
        <v>25646</v>
      </c>
      <c r="H404" s="3">
        <v>12823</v>
      </c>
      <c r="I404" s="3">
        <v>1813</v>
      </c>
      <c r="J404" s="3">
        <v>11010</v>
      </c>
      <c r="K404" s="4">
        <f>SUM(L404:N404)</f>
        <v>17944</v>
      </c>
      <c r="L404" s="3">
        <v>8972</v>
      </c>
      <c r="M404" s="3">
        <v>275</v>
      </c>
      <c r="N404" s="3">
        <f>7796+901</f>
        <v>8697</v>
      </c>
    </row>
    <row r="405" spans="1:14" x14ac:dyDescent="0.2">
      <c r="A405" t="s">
        <v>357</v>
      </c>
      <c r="B405" t="s">
        <v>358</v>
      </c>
      <c r="C405" t="s">
        <v>205</v>
      </c>
      <c r="D405" t="s">
        <v>299</v>
      </c>
      <c r="E405">
        <v>27101</v>
      </c>
      <c r="F405" t="s">
        <v>349</v>
      </c>
      <c r="G405" s="2">
        <f>SUM(H405:J405)</f>
        <v>3235</v>
      </c>
      <c r="H405" s="3">
        <v>2187</v>
      </c>
      <c r="I405" s="3">
        <v>240</v>
      </c>
      <c r="J405" s="3">
        <v>808</v>
      </c>
      <c r="K405" s="4">
        <f>SUM(L405:N405)</f>
        <v>893</v>
      </c>
      <c r="L405" s="3">
        <v>893</v>
      </c>
      <c r="M405" s="3">
        <v>0</v>
      </c>
      <c r="N405" s="3">
        <v>0</v>
      </c>
    </row>
    <row r="406" spans="1:14" x14ac:dyDescent="0.2">
      <c r="A406" t="s">
        <v>644</v>
      </c>
      <c r="B406" t="s">
        <v>645</v>
      </c>
      <c r="C406" t="s">
        <v>205</v>
      </c>
      <c r="D406" t="s">
        <v>276</v>
      </c>
      <c r="E406">
        <v>27262</v>
      </c>
      <c r="F406" t="s">
        <v>628</v>
      </c>
      <c r="G406" s="2">
        <f>SUM(H406:J406)</f>
        <v>2194</v>
      </c>
      <c r="H406" s="3">
        <v>1097</v>
      </c>
      <c r="I406" s="3">
        <v>1097</v>
      </c>
      <c r="J406" s="3">
        <v>0</v>
      </c>
      <c r="K406" s="4">
        <f>SUM(L406:N406)</f>
        <v>456</v>
      </c>
      <c r="L406" s="3">
        <v>228</v>
      </c>
      <c r="M406" s="3">
        <v>228</v>
      </c>
      <c r="N406" s="3">
        <v>0</v>
      </c>
    </row>
    <row r="407" spans="1:14" x14ac:dyDescent="0.2">
      <c r="A407" t="s">
        <v>646</v>
      </c>
      <c r="B407" t="s">
        <v>647</v>
      </c>
      <c r="C407" t="s">
        <v>205</v>
      </c>
      <c r="D407" t="s">
        <v>643</v>
      </c>
      <c r="E407">
        <v>27401</v>
      </c>
      <c r="F407" t="s">
        <v>628</v>
      </c>
      <c r="G407" s="2">
        <f>SUM(H407:J407)</f>
        <v>1376</v>
      </c>
      <c r="H407" s="3">
        <v>688</v>
      </c>
      <c r="I407" s="3">
        <v>688</v>
      </c>
      <c r="J407" s="3">
        <v>0</v>
      </c>
      <c r="K407" s="4">
        <f>SUM(L407:N407)</f>
        <v>250</v>
      </c>
      <c r="L407" s="3">
        <v>125</v>
      </c>
      <c r="M407" s="3">
        <v>125</v>
      </c>
      <c r="N407" s="3">
        <v>0</v>
      </c>
    </row>
    <row r="408" spans="1:14" x14ac:dyDescent="0.2">
      <c r="A408" t="s">
        <v>983</v>
      </c>
      <c r="B408" t="s">
        <v>984</v>
      </c>
      <c r="C408" t="s">
        <v>985</v>
      </c>
      <c r="D408" t="s">
        <v>962</v>
      </c>
      <c r="E408">
        <v>27323</v>
      </c>
      <c r="F408" t="s">
        <v>963</v>
      </c>
      <c r="G408" s="2">
        <f>SUM(H408:J408)</f>
        <v>3161</v>
      </c>
      <c r="H408" s="3">
        <v>3161</v>
      </c>
      <c r="I408" s="3">
        <v>0</v>
      </c>
      <c r="J408" s="3">
        <v>0</v>
      </c>
      <c r="K408" s="4">
        <f>SUM(L408:N408)</f>
        <v>0</v>
      </c>
      <c r="L408" s="3">
        <v>0</v>
      </c>
      <c r="M408" s="3">
        <v>0</v>
      </c>
      <c r="N408" s="3">
        <v>0</v>
      </c>
    </row>
  </sheetData>
  <autoFilter ref="A1:N1" xr:uid="{00000000-0001-0000-0000-000000000000}">
    <sortState xmlns:xlrd2="http://schemas.microsoft.com/office/spreadsheetml/2017/richdata2" ref="A2:N408">
      <sortCondition ref="C1:C408"/>
    </sortState>
  </autoFilter>
  <sortState xmlns:xlrd2="http://schemas.microsoft.com/office/spreadsheetml/2017/richdata2" ref="A1:F410">
    <sortCondition ref="F1:F410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Peggy Robinson</dc:creator>
  <cp:keywords/>
  <dc:description/>
  <cp:lastModifiedBy>Rashik Siddiquee</cp:lastModifiedBy>
  <cp:revision/>
  <dcterms:created xsi:type="dcterms:W3CDTF">2020-08-19T15:13:36Z</dcterms:created>
  <dcterms:modified xsi:type="dcterms:W3CDTF">2025-09-15T04:21:38Z</dcterms:modified>
  <cp:category/>
  <cp:contentStatus/>
</cp:coreProperties>
</file>