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abeysinghe/Documents/PycharmProjects/GO_automatic_patterns/Evaluation/2021-12-15/completed/"/>
    </mc:Choice>
  </mc:AlternateContent>
  <xr:revisionPtr revIDLastSave="0" documentId="13_ncr:1_{2665566F-7DB1-D94B-A619-58A577EDE4E4}" xr6:coauthVersionLast="47" xr6:coauthVersionMax="47" xr10:uidLastSave="{00000000-0000-0000-0000-000000000000}"/>
  <bookViews>
    <workbookView xWindow="-38100" yWindow="460" windowWidth="35840" windowHeight="19980" xr2:uid="{00000000-000D-0000-FFFF-FFFF00000000}"/>
  </bookViews>
  <sheets>
    <sheet name="evaluation_sample_811_linksAd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jPGvHN/hsOfJ1nHFnbW4d1AWjrXg=="/>
    </ext>
  </extLst>
</workbook>
</file>

<file path=xl/calcChain.xml><?xml version="1.0" encoding="utf-8"?>
<calcChain xmlns="http://schemas.openxmlformats.org/spreadsheetml/2006/main">
  <c r="D823" i="1" l="1"/>
  <c r="B823" i="1"/>
  <c r="D822" i="1"/>
  <c r="B822" i="1"/>
  <c r="D821" i="1"/>
  <c r="B821" i="1"/>
  <c r="D820" i="1"/>
  <c r="B820" i="1"/>
  <c r="D819" i="1"/>
  <c r="B819" i="1"/>
  <c r="D818" i="1"/>
  <c r="B818" i="1"/>
  <c r="D817" i="1"/>
  <c r="B817" i="1"/>
  <c r="D816" i="1"/>
  <c r="B816" i="1"/>
  <c r="D815" i="1"/>
  <c r="B815" i="1"/>
  <c r="D814" i="1"/>
  <c r="B814" i="1"/>
  <c r="D813" i="1"/>
  <c r="B813" i="1"/>
  <c r="D812" i="1"/>
  <c r="B812" i="1"/>
  <c r="D811" i="1"/>
  <c r="B811" i="1"/>
  <c r="D810" i="1"/>
  <c r="B810" i="1"/>
  <c r="D809" i="1"/>
  <c r="B809" i="1"/>
  <c r="D808" i="1"/>
  <c r="B808" i="1"/>
  <c r="D807" i="1"/>
  <c r="B807" i="1"/>
  <c r="D806" i="1"/>
  <c r="B806" i="1"/>
  <c r="D805" i="1"/>
  <c r="B805" i="1"/>
  <c r="D804" i="1"/>
  <c r="B804" i="1"/>
  <c r="D803" i="1"/>
  <c r="B803" i="1"/>
  <c r="D802" i="1"/>
  <c r="B802" i="1"/>
  <c r="D801" i="1"/>
  <c r="B801" i="1"/>
  <c r="D800" i="1"/>
  <c r="B800" i="1"/>
  <c r="D799" i="1"/>
  <c r="B799" i="1"/>
  <c r="D798" i="1"/>
  <c r="B798" i="1"/>
  <c r="D797" i="1"/>
  <c r="B797" i="1"/>
  <c r="D796" i="1"/>
  <c r="B796" i="1"/>
  <c r="D795" i="1"/>
  <c r="B795" i="1"/>
  <c r="D794" i="1"/>
  <c r="B794" i="1"/>
  <c r="D793" i="1"/>
  <c r="B793" i="1"/>
  <c r="D792" i="1"/>
  <c r="B792" i="1"/>
  <c r="D791" i="1"/>
  <c r="B791" i="1"/>
  <c r="D790" i="1"/>
  <c r="B790" i="1"/>
  <c r="D789" i="1"/>
  <c r="B789" i="1"/>
  <c r="D788" i="1"/>
  <c r="B788" i="1"/>
  <c r="D787" i="1"/>
  <c r="B787" i="1"/>
  <c r="D786" i="1"/>
  <c r="B786" i="1"/>
  <c r="D785" i="1"/>
  <c r="B785" i="1"/>
  <c r="D784" i="1"/>
  <c r="B784" i="1"/>
  <c r="D783" i="1"/>
  <c r="B783" i="1"/>
  <c r="D782" i="1"/>
  <c r="B782" i="1"/>
  <c r="D781" i="1"/>
  <c r="B781" i="1"/>
  <c r="D780" i="1"/>
  <c r="B780" i="1"/>
  <c r="D779" i="1"/>
  <c r="B779" i="1"/>
  <c r="D778" i="1"/>
  <c r="B778" i="1"/>
  <c r="D777" i="1"/>
  <c r="B777" i="1"/>
  <c r="D776" i="1"/>
  <c r="B776" i="1"/>
  <c r="D775" i="1"/>
  <c r="B775" i="1"/>
  <c r="D774" i="1"/>
  <c r="B774" i="1"/>
  <c r="D773" i="1"/>
  <c r="B773" i="1"/>
  <c r="D772" i="1"/>
  <c r="B772" i="1"/>
  <c r="D771" i="1"/>
  <c r="B771" i="1"/>
  <c r="D770" i="1"/>
  <c r="B770" i="1"/>
  <c r="D769" i="1"/>
  <c r="B769" i="1"/>
  <c r="D768" i="1"/>
  <c r="B768" i="1"/>
  <c r="D767" i="1"/>
  <c r="B767" i="1"/>
  <c r="D766" i="1"/>
  <c r="B766" i="1"/>
  <c r="D765" i="1"/>
  <c r="B765" i="1"/>
  <c r="D764" i="1"/>
  <c r="B764" i="1"/>
  <c r="D763" i="1"/>
  <c r="B763" i="1"/>
  <c r="D762" i="1"/>
  <c r="B762" i="1"/>
  <c r="D761" i="1"/>
  <c r="B761" i="1"/>
  <c r="D760" i="1"/>
  <c r="B760" i="1"/>
  <c r="D759" i="1"/>
  <c r="B759" i="1"/>
  <c r="D758" i="1"/>
  <c r="B758" i="1"/>
  <c r="D757" i="1"/>
  <c r="B757" i="1"/>
  <c r="D756" i="1"/>
  <c r="B756" i="1"/>
  <c r="D755" i="1"/>
  <c r="B755" i="1"/>
  <c r="D754" i="1"/>
  <c r="B754" i="1"/>
  <c r="D753" i="1"/>
  <c r="B753" i="1"/>
  <c r="D752" i="1"/>
  <c r="B752" i="1"/>
  <c r="D751" i="1"/>
  <c r="B751" i="1"/>
  <c r="D750" i="1"/>
  <c r="B750" i="1"/>
  <c r="D749" i="1"/>
  <c r="B749" i="1"/>
  <c r="D748" i="1"/>
  <c r="B748" i="1"/>
  <c r="D747" i="1"/>
  <c r="B747" i="1"/>
  <c r="D746" i="1"/>
  <c r="B746" i="1"/>
  <c r="D745" i="1"/>
  <c r="B745" i="1"/>
  <c r="D744" i="1"/>
  <c r="B744" i="1"/>
  <c r="D743" i="1"/>
  <c r="B743" i="1"/>
  <c r="D742" i="1"/>
  <c r="B742" i="1"/>
  <c r="D741" i="1"/>
  <c r="B741" i="1"/>
  <c r="D740" i="1"/>
  <c r="B740" i="1"/>
  <c r="D739" i="1"/>
  <c r="B739" i="1"/>
  <c r="D738" i="1"/>
  <c r="B738" i="1"/>
  <c r="D737" i="1"/>
  <c r="B737" i="1"/>
  <c r="D736" i="1"/>
  <c r="B736" i="1"/>
  <c r="D735" i="1"/>
  <c r="B735" i="1"/>
  <c r="D734" i="1"/>
  <c r="B734" i="1"/>
  <c r="D733" i="1"/>
  <c r="B733" i="1"/>
  <c r="D732" i="1"/>
  <c r="B732" i="1"/>
  <c r="D731" i="1"/>
  <c r="B731" i="1"/>
  <c r="D730" i="1"/>
  <c r="B730" i="1"/>
  <c r="D729" i="1"/>
  <c r="B729" i="1"/>
  <c r="D728" i="1"/>
  <c r="B728" i="1"/>
  <c r="D727" i="1"/>
  <c r="B727" i="1"/>
  <c r="D726" i="1"/>
  <c r="B726" i="1"/>
  <c r="D725" i="1"/>
  <c r="B725" i="1"/>
  <c r="D724" i="1"/>
  <c r="B724" i="1"/>
  <c r="D723" i="1"/>
  <c r="B723" i="1"/>
  <c r="D722" i="1"/>
  <c r="B722" i="1"/>
  <c r="D721" i="1"/>
  <c r="B721" i="1"/>
  <c r="D720" i="1"/>
  <c r="B720" i="1"/>
  <c r="D719" i="1"/>
  <c r="B719" i="1"/>
  <c r="D718" i="1"/>
  <c r="B718" i="1"/>
  <c r="D717" i="1"/>
  <c r="B717" i="1"/>
  <c r="D716" i="1"/>
  <c r="B716" i="1"/>
  <c r="D715" i="1"/>
  <c r="B715" i="1"/>
  <c r="D714" i="1"/>
  <c r="B714" i="1"/>
  <c r="D713" i="1"/>
  <c r="B713" i="1"/>
  <c r="D712" i="1"/>
  <c r="B712" i="1"/>
  <c r="D711" i="1"/>
  <c r="B711" i="1"/>
  <c r="D710" i="1"/>
  <c r="B710" i="1"/>
  <c r="D709" i="1"/>
  <c r="B709" i="1"/>
  <c r="D708" i="1"/>
  <c r="B708" i="1"/>
  <c r="D707" i="1"/>
  <c r="B707" i="1"/>
  <c r="D706" i="1"/>
  <c r="B706" i="1"/>
  <c r="D705" i="1"/>
  <c r="B705" i="1"/>
  <c r="D704" i="1"/>
  <c r="B704" i="1"/>
  <c r="D703" i="1"/>
  <c r="B703" i="1"/>
  <c r="D702" i="1"/>
  <c r="B702" i="1"/>
  <c r="D701" i="1"/>
  <c r="B701" i="1"/>
  <c r="D700" i="1"/>
  <c r="B700" i="1"/>
  <c r="D699" i="1"/>
  <c r="B699" i="1"/>
  <c r="D698" i="1"/>
  <c r="B698" i="1"/>
  <c r="D697" i="1"/>
  <c r="B697" i="1"/>
  <c r="D696" i="1"/>
  <c r="B696" i="1"/>
  <c r="D695" i="1"/>
  <c r="B695" i="1"/>
  <c r="D694" i="1"/>
  <c r="B694" i="1"/>
  <c r="D693" i="1"/>
  <c r="B693" i="1"/>
  <c r="D692" i="1"/>
  <c r="B692" i="1"/>
  <c r="D691" i="1"/>
  <c r="B691" i="1"/>
  <c r="D690" i="1"/>
  <c r="B690" i="1"/>
  <c r="D689" i="1"/>
  <c r="B689" i="1"/>
  <c r="D688" i="1"/>
  <c r="B688" i="1"/>
  <c r="D687" i="1"/>
  <c r="B687" i="1"/>
  <c r="D686" i="1"/>
  <c r="B686" i="1"/>
  <c r="D685" i="1"/>
  <c r="B685" i="1"/>
  <c r="D684" i="1"/>
  <c r="B684" i="1"/>
  <c r="D683" i="1"/>
  <c r="B683" i="1"/>
  <c r="D682" i="1"/>
  <c r="B682" i="1"/>
  <c r="D681" i="1"/>
  <c r="B681" i="1"/>
  <c r="D680" i="1"/>
  <c r="B680" i="1"/>
  <c r="D679" i="1"/>
  <c r="B679" i="1"/>
  <c r="D678" i="1"/>
  <c r="B678" i="1"/>
  <c r="D677" i="1"/>
  <c r="B677" i="1"/>
  <c r="D676" i="1"/>
  <c r="B676" i="1"/>
  <c r="D675" i="1"/>
  <c r="B675" i="1"/>
  <c r="D674" i="1"/>
  <c r="B674" i="1"/>
  <c r="D673" i="1"/>
  <c r="B673" i="1"/>
  <c r="D672" i="1"/>
  <c r="B672" i="1"/>
  <c r="D671" i="1"/>
  <c r="B671" i="1"/>
  <c r="D670" i="1"/>
  <c r="B670" i="1"/>
  <c r="D669" i="1"/>
  <c r="B669" i="1"/>
  <c r="D668" i="1"/>
  <c r="B668" i="1"/>
  <c r="D667" i="1"/>
  <c r="B667" i="1"/>
  <c r="D666" i="1"/>
  <c r="B666" i="1"/>
  <c r="D665" i="1"/>
  <c r="B665" i="1"/>
  <c r="D664" i="1"/>
  <c r="B664" i="1"/>
  <c r="D663" i="1"/>
  <c r="B663" i="1"/>
  <c r="D662" i="1"/>
  <c r="B662" i="1"/>
  <c r="D661" i="1"/>
  <c r="B661" i="1"/>
  <c r="D660" i="1"/>
  <c r="B660" i="1"/>
  <c r="D659" i="1"/>
  <c r="B659" i="1"/>
  <c r="D658" i="1"/>
  <c r="B658" i="1"/>
  <c r="D657" i="1"/>
  <c r="B657" i="1"/>
  <c r="D656" i="1"/>
  <c r="B656" i="1"/>
  <c r="D655" i="1"/>
  <c r="B655" i="1"/>
  <c r="D654" i="1"/>
  <c r="B654" i="1"/>
  <c r="D653" i="1"/>
  <c r="B653" i="1"/>
  <c r="D652" i="1"/>
  <c r="B652" i="1"/>
  <c r="D651" i="1"/>
  <c r="B651" i="1"/>
  <c r="D650" i="1"/>
  <c r="B650" i="1"/>
  <c r="D649" i="1"/>
  <c r="B649" i="1"/>
  <c r="D648" i="1"/>
  <c r="B648" i="1"/>
  <c r="D647" i="1"/>
  <c r="B647" i="1"/>
  <c r="D646" i="1"/>
  <c r="B646" i="1"/>
  <c r="D645" i="1"/>
  <c r="B645" i="1"/>
  <c r="D644" i="1"/>
  <c r="B644" i="1"/>
  <c r="D643" i="1"/>
  <c r="B643" i="1"/>
  <c r="D642" i="1"/>
  <c r="B642" i="1"/>
  <c r="D641" i="1"/>
  <c r="B641" i="1"/>
  <c r="D640" i="1"/>
  <c r="B640" i="1"/>
  <c r="D639" i="1"/>
  <c r="B639" i="1"/>
  <c r="D638" i="1"/>
  <c r="B638" i="1"/>
  <c r="D637" i="1"/>
  <c r="B637" i="1"/>
  <c r="D636" i="1"/>
  <c r="B636" i="1"/>
  <c r="D635" i="1"/>
  <c r="B635" i="1"/>
  <c r="D634" i="1"/>
  <c r="B634" i="1"/>
  <c r="D633" i="1"/>
  <c r="B633" i="1"/>
  <c r="D632" i="1"/>
  <c r="B632" i="1"/>
  <c r="D631" i="1"/>
  <c r="B631" i="1"/>
  <c r="D630" i="1"/>
  <c r="B630" i="1"/>
  <c r="D629" i="1"/>
  <c r="B629" i="1"/>
  <c r="D628" i="1"/>
  <c r="B628" i="1"/>
  <c r="D627" i="1"/>
  <c r="B627" i="1"/>
  <c r="D626" i="1"/>
  <c r="B626" i="1"/>
  <c r="D625" i="1"/>
  <c r="B625" i="1"/>
  <c r="D624" i="1"/>
  <c r="B624" i="1"/>
  <c r="D623" i="1"/>
  <c r="B623" i="1"/>
  <c r="D622" i="1"/>
  <c r="B622" i="1"/>
  <c r="D621" i="1"/>
  <c r="B621" i="1"/>
  <c r="D620" i="1"/>
  <c r="B620" i="1"/>
  <c r="D619" i="1"/>
  <c r="B619" i="1"/>
  <c r="D618" i="1"/>
  <c r="B618" i="1"/>
  <c r="D617" i="1"/>
  <c r="B617" i="1"/>
  <c r="D616" i="1"/>
  <c r="B616" i="1"/>
  <c r="D615" i="1"/>
  <c r="B615" i="1"/>
  <c r="D614" i="1"/>
  <c r="B614" i="1"/>
  <c r="D613" i="1"/>
  <c r="B613" i="1"/>
  <c r="D612" i="1"/>
  <c r="B612" i="1"/>
  <c r="D611" i="1"/>
  <c r="B611" i="1"/>
  <c r="D610" i="1"/>
  <c r="B610" i="1"/>
  <c r="D609" i="1"/>
  <c r="B609" i="1"/>
  <c r="D608" i="1"/>
  <c r="B608" i="1"/>
  <c r="D607" i="1"/>
  <c r="B607" i="1"/>
  <c r="D606" i="1"/>
  <c r="B606" i="1"/>
  <c r="D605" i="1"/>
  <c r="B605" i="1"/>
  <c r="D604" i="1"/>
  <c r="B604" i="1"/>
  <c r="D603" i="1"/>
  <c r="B603" i="1"/>
  <c r="D602" i="1"/>
  <c r="B602" i="1"/>
  <c r="D601" i="1"/>
  <c r="B601" i="1"/>
  <c r="D600" i="1"/>
  <c r="B600" i="1"/>
  <c r="D599" i="1"/>
  <c r="B599" i="1"/>
  <c r="D598" i="1"/>
  <c r="B598" i="1"/>
  <c r="D597" i="1"/>
  <c r="B597" i="1"/>
  <c r="D596" i="1"/>
  <c r="B596" i="1"/>
  <c r="D595" i="1"/>
  <c r="B595" i="1"/>
  <c r="D594" i="1"/>
  <c r="B594" i="1"/>
  <c r="D593" i="1"/>
  <c r="B593" i="1"/>
  <c r="D592" i="1"/>
  <c r="B592" i="1"/>
  <c r="D591" i="1"/>
  <c r="B591" i="1"/>
  <c r="D590" i="1"/>
  <c r="B590" i="1"/>
  <c r="D589" i="1"/>
  <c r="B589" i="1"/>
  <c r="D588" i="1"/>
  <c r="B588" i="1"/>
  <c r="D587" i="1"/>
  <c r="B587" i="1"/>
  <c r="D586" i="1"/>
  <c r="B586" i="1"/>
  <c r="D585" i="1"/>
  <c r="B585" i="1"/>
  <c r="D584" i="1"/>
  <c r="B584" i="1"/>
  <c r="D583" i="1"/>
  <c r="B583" i="1"/>
  <c r="D582" i="1"/>
  <c r="B582" i="1"/>
  <c r="D581" i="1"/>
  <c r="B581" i="1"/>
  <c r="D580" i="1"/>
  <c r="B580" i="1"/>
  <c r="D579" i="1"/>
  <c r="B579" i="1"/>
  <c r="D578" i="1"/>
  <c r="B578" i="1"/>
  <c r="D577" i="1"/>
  <c r="B577" i="1"/>
  <c r="D576" i="1"/>
  <c r="B576" i="1"/>
  <c r="D575" i="1"/>
  <c r="B575" i="1"/>
  <c r="D574" i="1"/>
  <c r="B574" i="1"/>
  <c r="D573" i="1"/>
  <c r="B573" i="1"/>
  <c r="D572" i="1"/>
  <c r="B572" i="1"/>
  <c r="D571" i="1"/>
  <c r="B571" i="1"/>
  <c r="D570" i="1"/>
  <c r="B570" i="1"/>
  <c r="D569" i="1"/>
  <c r="B569" i="1"/>
  <c r="D568" i="1"/>
  <c r="B568" i="1"/>
  <c r="D567" i="1"/>
  <c r="B567" i="1"/>
  <c r="D566" i="1"/>
  <c r="B566" i="1"/>
  <c r="D565" i="1"/>
  <c r="B565" i="1"/>
  <c r="D564" i="1"/>
  <c r="B564" i="1"/>
  <c r="D563" i="1"/>
  <c r="B563" i="1"/>
  <c r="D562" i="1"/>
  <c r="B562" i="1"/>
  <c r="D561" i="1"/>
  <c r="B561" i="1"/>
  <c r="D560" i="1"/>
  <c r="B560" i="1"/>
  <c r="D559" i="1"/>
  <c r="B559" i="1"/>
  <c r="D558" i="1"/>
  <c r="B558" i="1"/>
  <c r="D557" i="1"/>
  <c r="B557" i="1"/>
  <c r="D556" i="1"/>
  <c r="B556" i="1"/>
  <c r="D555" i="1"/>
  <c r="B555" i="1"/>
  <c r="D554" i="1"/>
  <c r="B554" i="1"/>
  <c r="D553" i="1"/>
  <c r="B553" i="1"/>
  <c r="D552" i="1"/>
  <c r="B552" i="1"/>
  <c r="D551" i="1"/>
  <c r="B551" i="1"/>
  <c r="D550" i="1"/>
  <c r="B550" i="1"/>
  <c r="D549" i="1"/>
  <c r="B549" i="1"/>
  <c r="D548" i="1"/>
  <c r="B548" i="1"/>
  <c r="D547" i="1"/>
  <c r="B547" i="1"/>
  <c r="D546" i="1"/>
  <c r="B546" i="1"/>
  <c r="D545" i="1"/>
  <c r="B545" i="1"/>
  <c r="D544" i="1"/>
  <c r="B544" i="1"/>
  <c r="D543" i="1"/>
  <c r="B543" i="1"/>
  <c r="D542" i="1"/>
  <c r="B542" i="1"/>
  <c r="D541" i="1"/>
  <c r="B541" i="1"/>
  <c r="D540" i="1"/>
  <c r="B540" i="1"/>
  <c r="D539" i="1"/>
  <c r="B539" i="1"/>
  <c r="D538" i="1"/>
  <c r="B538" i="1"/>
  <c r="D537" i="1"/>
  <c r="B537" i="1"/>
  <c r="D536" i="1"/>
  <c r="B536" i="1"/>
  <c r="D535" i="1"/>
  <c r="B535" i="1"/>
  <c r="D534" i="1"/>
  <c r="B534" i="1"/>
  <c r="D533" i="1"/>
  <c r="B533" i="1"/>
  <c r="D532" i="1"/>
  <c r="B532" i="1"/>
  <c r="D531" i="1"/>
  <c r="B531" i="1"/>
  <c r="D530" i="1"/>
  <c r="B530" i="1"/>
  <c r="D529" i="1"/>
  <c r="B529" i="1"/>
  <c r="D528" i="1"/>
  <c r="B528" i="1"/>
  <c r="D527" i="1"/>
  <c r="B527" i="1"/>
  <c r="D526" i="1"/>
  <c r="B526" i="1"/>
  <c r="D525" i="1"/>
  <c r="B525" i="1"/>
  <c r="D524" i="1"/>
  <c r="B524" i="1"/>
  <c r="D523" i="1"/>
  <c r="B523" i="1"/>
  <c r="D522" i="1"/>
  <c r="B522" i="1"/>
  <c r="D521" i="1"/>
  <c r="B521" i="1"/>
  <c r="D520" i="1"/>
  <c r="B520" i="1"/>
  <c r="D519" i="1"/>
  <c r="B519" i="1"/>
  <c r="D518" i="1"/>
  <c r="B518" i="1"/>
  <c r="D517" i="1"/>
  <c r="B517" i="1"/>
  <c r="D516" i="1"/>
  <c r="B516" i="1"/>
  <c r="D515" i="1"/>
  <c r="B515" i="1"/>
  <c r="D514" i="1"/>
  <c r="B514" i="1"/>
  <c r="D513" i="1"/>
  <c r="B513" i="1"/>
  <c r="D512" i="1"/>
  <c r="B512" i="1"/>
  <c r="D511" i="1"/>
  <c r="B511" i="1"/>
  <c r="D510" i="1"/>
  <c r="B510" i="1"/>
  <c r="D509" i="1"/>
  <c r="B509" i="1"/>
  <c r="D508" i="1"/>
  <c r="B508" i="1"/>
  <c r="D507" i="1"/>
  <c r="B507" i="1"/>
  <c r="D506" i="1"/>
  <c r="B506" i="1"/>
  <c r="D505" i="1"/>
  <c r="B505" i="1"/>
  <c r="D504" i="1"/>
  <c r="B504" i="1"/>
  <c r="D503" i="1"/>
  <c r="B503" i="1"/>
  <c r="D502" i="1"/>
  <c r="B502" i="1"/>
  <c r="D501" i="1"/>
  <c r="B501" i="1"/>
  <c r="D500" i="1"/>
  <c r="B500" i="1"/>
  <c r="D499" i="1"/>
  <c r="B499" i="1"/>
  <c r="D498" i="1"/>
  <c r="B498" i="1"/>
  <c r="D497" i="1"/>
  <c r="B497" i="1"/>
  <c r="D496" i="1"/>
  <c r="B496" i="1"/>
  <c r="D495" i="1"/>
  <c r="B495" i="1"/>
  <c r="D494" i="1"/>
  <c r="B494" i="1"/>
  <c r="D493" i="1"/>
  <c r="B493" i="1"/>
  <c r="D492" i="1"/>
  <c r="B492" i="1"/>
  <c r="D491" i="1"/>
  <c r="B491" i="1"/>
  <c r="D490" i="1"/>
  <c r="B490" i="1"/>
  <c r="D489" i="1"/>
  <c r="B489" i="1"/>
  <c r="D488" i="1"/>
  <c r="B488" i="1"/>
  <c r="D487" i="1"/>
  <c r="B487" i="1"/>
  <c r="D486" i="1"/>
  <c r="B486" i="1"/>
  <c r="D485" i="1"/>
  <c r="B485" i="1"/>
  <c r="D484" i="1"/>
  <c r="B484" i="1"/>
  <c r="D483" i="1"/>
  <c r="B483" i="1"/>
  <c r="D482" i="1"/>
  <c r="B482" i="1"/>
  <c r="D481" i="1"/>
  <c r="B481" i="1"/>
  <c r="D480" i="1"/>
  <c r="B480" i="1"/>
  <c r="D479" i="1"/>
  <c r="B479" i="1"/>
  <c r="D478" i="1"/>
  <c r="B478" i="1"/>
  <c r="D477" i="1"/>
  <c r="B477" i="1"/>
  <c r="D476" i="1"/>
  <c r="B476" i="1"/>
  <c r="D475" i="1"/>
  <c r="B475" i="1"/>
  <c r="D474" i="1"/>
  <c r="B474" i="1"/>
  <c r="D473" i="1"/>
  <c r="B473" i="1"/>
  <c r="D472" i="1"/>
  <c r="B472" i="1"/>
  <c r="D471" i="1"/>
  <c r="B471" i="1"/>
  <c r="D470" i="1"/>
  <c r="B470" i="1"/>
  <c r="D469" i="1"/>
  <c r="B469" i="1"/>
  <c r="D468" i="1"/>
  <c r="B468" i="1"/>
  <c r="D467" i="1"/>
  <c r="B467" i="1"/>
  <c r="D466" i="1"/>
  <c r="B466" i="1"/>
  <c r="D465" i="1"/>
  <c r="B465" i="1"/>
  <c r="D464" i="1"/>
  <c r="B464" i="1"/>
  <c r="D463" i="1"/>
  <c r="B463" i="1"/>
  <c r="D462" i="1"/>
  <c r="B462" i="1"/>
  <c r="D461" i="1"/>
  <c r="B461" i="1"/>
  <c r="D460" i="1"/>
  <c r="B460" i="1"/>
  <c r="D459" i="1"/>
  <c r="B459" i="1"/>
  <c r="D458" i="1"/>
  <c r="B458" i="1"/>
  <c r="D457" i="1"/>
  <c r="B457" i="1"/>
  <c r="D456" i="1"/>
  <c r="B456" i="1"/>
  <c r="D455" i="1"/>
  <c r="B455" i="1"/>
  <c r="D454" i="1"/>
  <c r="B454" i="1"/>
  <c r="D453" i="1"/>
  <c r="B453" i="1"/>
  <c r="D452" i="1"/>
  <c r="B452" i="1"/>
  <c r="D451" i="1"/>
  <c r="B451" i="1"/>
  <c r="D450" i="1"/>
  <c r="B450" i="1"/>
  <c r="D449" i="1"/>
  <c r="B449" i="1"/>
  <c r="D448" i="1"/>
  <c r="B448" i="1"/>
  <c r="D447" i="1"/>
  <c r="B447" i="1"/>
  <c r="D446" i="1"/>
  <c r="B446" i="1"/>
  <c r="D445" i="1"/>
  <c r="B445" i="1"/>
  <c r="D444" i="1"/>
  <c r="B444" i="1"/>
  <c r="D443" i="1"/>
  <c r="B443" i="1"/>
  <c r="D442" i="1"/>
  <c r="B442" i="1"/>
  <c r="D441" i="1"/>
  <c r="B441" i="1"/>
  <c r="D440" i="1"/>
  <c r="B440" i="1"/>
  <c r="D439" i="1"/>
  <c r="B439" i="1"/>
  <c r="D438" i="1"/>
  <c r="B438" i="1"/>
  <c r="D437" i="1"/>
  <c r="B437" i="1"/>
  <c r="D436" i="1"/>
  <c r="B436" i="1"/>
  <c r="D435" i="1"/>
  <c r="B435" i="1"/>
  <c r="D434" i="1"/>
  <c r="B434" i="1"/>
  <c r="D433" i="1"/>
  <c r="B433" i="1"/>
  <c r="D432" i="1"/>
  <c r="B432" i="1"/>
  <c r="D431" i="1"/>
  <c r="B431" i="1"/>
  <c r="D430" i="1"/>
  <c r="B430" i="1"/>
  <c r="D429" i="1"/>
  <c r="B429" i="1"/>
  <c r="D428" i="1"/>
  <c r="B428" i="1"/>
  <c r="D427" i="1"/>
  <c r="B427" i="1"/>
  <c r="D426" i="1"/>
  <c r="B426" i="1"/>
  <c r="D425" i="1"/>
  <c r="B425" i="1"/>
  <c r="D424" i="1"/>
  <c r="B424" i="1"/>
  <c r="D423" i="1"/>
  <c r="B423" i="1"/>
  <c r="D422" i="1"/>
  <c r="B422" i="1"/>
  <c r="D421" i="1"/>
  <c r="B421" i="1"/>
  <c r="D420" i="1"/>
  <c r="B420" i="1"/>
  <c r="D419" i="1"/>
  <c r="B419" i="1"/>
  <c r="D418" i="1"/>
  <c r="B418" i="1"/>
  <c r="D417" i="1"/>
  <c r="B417" i="1"/>
  <c r="D416" i="1"/>
  <c r="B416" i="1"/>
  <c r="D415" i="1"/>
  <c r="B415" i="1"/>
  <c r="D414" i="1"/>
  <c r="B414" i="1"/>
  <c r="D413" i="1"/>
  <c r="B413" i="1"/>
  <c r="D412" i="1"/>
  <c r="B412" i="1"/>
  <c r="D411" i="1"/>
  <c r="B411" i="1"/>
  <c r="D410" i="1"/>
  <c r="B410" i="1"/>
  <c r="D409" i="1"/>
  <c r="B409" i="1"/>
  <c r="D408" i="1"/>
  <c r="B408" i="1"/>
  <c r="D407" i="1"/>
  <c r="B407" i="1"/>
  <c r="D406" i="1"/>
  <c r="B406" i="1"/>
  <c r="D405" i="1"/>
  <c r="B405" i="1"/>
  <c r="D404" i="1"/>
  <c r="B404" i="1"/>
  <c r="D403" i="1"/>
  <c r="B403" i="1"/>
  <c r="D402" i="1"/>
  <c r="B402" i="1"/>
  <c r="D401" i="1"/>
  <c r="B401" i="1"/>
  <c r="D400" i="1"/>
  <c r="B400" i="1"/>
  <c r="D399" i="1"/>
  <c r="B399" i="1"/>
  <c r="D398" i="1"/>
  <c r="B398" i="1"/>
  <c r="D397" i="1"/>
  <c r="B397" i="1"/>
  <c r="D396" i="1"/>
  <c r="B396" i="1"/>
  <c r="D395" i="1"/>
  <c r="B395" i="1"/>
  <c r="D394" i="1"/>
  <c r="B394" i="1"/>
  <c r="D393" i="1"/>
  <c r="B393" i="1"/>
  <c r="D392" i="1"/>
  <c r="B392" i="1"/>
  <c r="D391" i="1"/>
  <c r="B391" i="1"/>
  <c r="D390" i="1"/>
  <c r="B390" i="1"/>
  <c r="D389" i="1"/>
  <c r="B389" i="1"/>
  <c r="D388" i="1"/>
  <c r="B388" i="1"/>
  <c r="D387" i="1"/>
  <c r="B387" i="1"/>
  <c r="D386" i="1"/>
  <c r="B386" i="1"/>
  <c r="D385" i="1"/>
  <c r="B385" i="1"/>
  <c r="D384" i="1"/>
  <c r="B384" i="1"/>
  <c r="D383" i="1"/>
  <c r="B383" i="1"/>
  <c r="D382" i="1"/>
  <c r="B382" i="1"/>
  <c r="D381" i="1"/>
  <c r="B381" i="1"/>
  <c r="D380" i="1"/>
  <c r="B380" i="1"/>
  <c r="D379" i="1"/>
  <c r="B379" i="1"/>
  <c r="D378" i="1"/>
  <c r="B378" i="1"/>
  <c r="D377" i="1"/>
  <c r="B377" i="1"/>
  <c r="D376" i="1"/>
  <c r="B376" i="1"/>
  <c r="D375" i="1"/>
  <c r="B375" i="1"/>
  <c r="D374" i="1"/>
  <c r="B374" i="1"/>
  <c r="D373" i="1"/>
  <c r="B373" i="1"/>
  <c r="D372" i="1"/>
  <c r="B372" i="1"/>
  <c r="D371" i="1"/>
  <c r="B371" i="1"/>
  <c r="D370" i="1"/>
  <c r="B370" i="1"/>
  <c r="D369" i="1"/>
  <c r="B369" i="1"/>
  <c r="D368" i="1"/>
  <c r="B368" i="1"/>
  <c r="D367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D360" i="1"/>
  <c r="B360" i="1"/>
  <c r="D359" i="1"/>
  <c r="B359" i="1"/>
  <c r="D358" i="1"/>
  <c r="B358" i="1"/>
  <c r="D357" i="1"/>
  <c r="B357" i="1"/>
  <c r="D356" i="1"/>
  <c r="B356" i="1"/>
  <c r="D355" i="1"/>
  <c r="B355" i="1"/>
  <c r="D354" i="1"/>
  <c r="B354" i="1"/>
  <c r="D353" i="1"/>
  <c r="B353" i="1"/>
  <c r="D352" i="1"/>
  <c r="B352" i="1"/>
  <c r="D351" i="1"/>
  <c r="B351" i="1"/>
  <c r="D350" i="1"/>
  <c r="B350" i="1"/>
  <c r="D349" i="1"/>
  <c r="B349" i="1"/>
  <c r="D348" i="1"/>
  <c r="B348" i="1"/>
  <c r="D347" i="1"/>
  <c r="B347" i="1"/>
  <c r="D346" i="1"/>
  <c r="B346" i="1"/>
  <c r="D345" i="1"/>
  <c r="B345" i="1"/>
  <c r="D344" i="1"/>
  <c r="B344" i="1"/>
  <c r="D343" i="1"/>
  <c r="B343" i="1"/>
  <c r="D342" i="1"/>
  <c r="B342" i="1"/>
  <c r="D341" i="1"/>
  <c r="B341" i="1"/>
  <c r="D340" i="1"/>
  <c r="B340" i="1"/>
  <c r="D339" i="1"/>
  <c r="B339" i="1"/>
  <c r="D338" i="1"/>
  <c r="B338" i="1"/>
  <c r="D337" i="1"/>
  <c r="B337" i="1"/>
  <c r="D336" i="1"/>
  <c r="B336" i="1"/>
  <c r="D335" i="1"/>
  <c r="B335" i="1"/>
  <c r="D334" i="1"/>
  <c r="B334" i="1"/>
  <c r="D333" i="1"/>
  <c r="B333" i="1"/>
  <c r="D332" i="1"/>
  <c r="B332" i="1"/>
  <c r="D331" i="1"/>
  <c r="B331" i="1"/>
  <c r="D330" i="1"/>
  <c r="B330" i="1"/>
  <c r="D329" i="1"/>
  <c r="B329" i="1"/>
  <c r="D328" i="1"/>
  <c r="B328" i="1"/>
  <c r="D327" i="1"/>
  <c r="B327" i="1"/>
  <c r="D326" i="1"/>
  <c r="B326" i="1"/>
  <c r="D325" i="1"/>
  <c r="B325" i="1"/>
  <c r="D324" i="1"/>
  <c r="B324" i="1"/>
  <c r="D323" i="1"/>
  <c r="B323" i="1"/>
  <c r="D322" i="1"/>
  <c r="B322" i="1"/>
  <c r="D321" i="1"/>
  <c r="B321" i="1"/>
  <c r="D320" i="1"/>
  <c r="B320" i="1"/>
  <c r="D319" i="1"/>
  <c r="B319" i="1"/>
  <c r="D318" i="1"/>
  <c r="B318" i="1"/>
  <c r="D317" i="1"/>
  <c r="B317" i="1"/>
  <c r="D316" i="1"/>
  <c r="B316" i="1"/>
  <c r="D315" i="1"/>
  <c r="B315" i="1"/>
  <c r="D314" i="1"/>
  <c r="B314" i="1"/>
  <c r="D313" i="1"/>
  <c r="B313" i="1"/>
  <c r="D312" i="1"/>
  <c r="B312" i="1"/>
  <c r="D311" i="1"/>
  <c r="B311" i="1"/>
  <c r="D310" i="1"/>
  <c r="B310" i="1"/>
  <c r="D309" i="1"/>
  <c r="B309" i="1"/>
  <c r="D308" i="1"/>
  <c r="B308" i="1"/>
  <c r="D307" i="1"/>
  <c r="B307" i="1"/>
  <c r="D306" i="1"/>
  <c r="B306" i="1"/>
  <c r="D305" i="1"/>
  <c r="B305" i="1"/>
  <c r="D304" i="1"/>
  <c r="B304" i="1"/>
  <c r="D303" i="1"/>
  <c r="B303" i="1"/>
  <c r="D302" i="1"/>
  <c r="B302" i="1"/>
  <c r="D301" i="1"/>
  <c r="B301" i="1"/>
  <c r="D300" i="1"/>
  <c r="B300" i="1"/>
  <c r="D299" i="1"/>
  <c r="B299" i="1"/>
  <c r="D298" i="1"/>
  <c r="B298" i="1"/>
  <c r="D297" i="1"/>
  <c r="B297" i="1"/>
  <c r="D296" i="1"/>
  <c r="B296" i="1"/>
  <c r="D295" i="1"/>
  <c r="B295" i="1"/>
  <c r="D294" i="1"/>
  <c r="B294" i="1"/>
  <c r="D293" i="1"/>
  <c r="B293" i="1"/>
  <c r="D292" i="1"/>
  <c r="B292" i="1"/>
  <c r="D291" i="1"/>
  <c r="B291" i="1"/>
  <c r="D290" i="1"/>
  <c r="B290" i="1"/>
  <c r="D289" i="1"/>
  <c r="B289" i="1"/>
  <c r="D288" i="1"/>
  <c r="B288" i="1"/>
  <c r="D287" i="1"/>
  <c r="B287" i="1"/>
  <c r="D286" i="1"/>
  <c r="B286" i="1"/>
  <c r="D285" i="1"/>
  <c r="B285" i="1"/>
  <c r="D284" i="1"/>
  <c r="B284" i="1"/>
  <c r="D283" i="1"/>
  <c r="B283" i="1"/>
  <c r="D282" i="1"/>
  <c r="B282" i="1"/>
  <c r="D281" i="1"/>
  <c r="B281" i="1"/>
  <c r="D280" i="1"/>
  <c r="B280" i="1"/>
  <c r="D279" i="1"/>
  <c r="B279" i="1"/>
  <c r="D278" i="1"/>
  <c r="B278" i="1"/>
  <c r="D277" i="1"/>
  <c r="B277" i="1"/>
  <c r="D276" i="1"/>
  <c r="B276" i="1"/>
  <c r="D275" i="1"/>
  <c r="B275" i="1"/>
  <c r="D274" i="1"/>
  <c r="B274" i="1"/>
  <c r="D273" i="1"/>
  <c r="B273" i="1"/>
  <c r="D272" i="1"/>
  <c r="B272" i="1"/>
  <c r="D271" i="1"/>
  <c r="B271" i="1"/>
  <c r="D270" i="1"/>
  <c r="B270" i="1"/>
  <c r="D269" i="1"/>
  <c r="B269" i="1"/>
  <c r="D268" i="1"/>
  <c r="B268" i="1"/>
  <c r="D267" i="1"/>
  <c r="B267" i="1"/>
  <c r="D266" i="1"/>
  <c r="B266" i="1"/>
  <c r="D265" i="1"/>
  <c r="B265" i="1"/>
  <c r="D264" i="1"/>
  <c r="B264" i="1"/>
  <c r="D263" i="1"/>
  <c r="B263" i="1"/>
  <c r="D262" i="1"/>
  <c r="B262" i="1"/>
  <c r="D261" i="1"/>
  <c r="B261" i="1"/>
  <c r="D260" i="1"/>
  <c r="B260" i="1"/>
  <c r="D259" i="1"/>
  <c r="B259" i="1"/>
  <c r="D258" i="1"/>
  <c r="B258" i="1"/>
  <c r="D257" i="1"/>
  <c r="B257" i="1"/>
  <c r="D256" i="1"/>
  <c r="B256" i="1"/>
  <c r="D255" i="1"/>
  <c r="B255" i="1"/>
  <c r="D254" i="1"/>
  <c r="B254" i="1"/>
  <c r="D253" i="1"/>
  <c r="B253" i="1"/>
  <c r="D252" i="1"/>
  <c r="B252" i="1"/>
  <c r="D251" i="1"/>
  <c r="B251" i="1"/>
  <c r="D250" i="1"/>
  <c r="B250" i="1"/>
  <c r="D249" i="1"/>
  <c r="B249" i="1"/>
  <c r="D248" i="1"/>
  <c r="B248" i="1"/>
  <c r="D247" i="1"/>
  <c r="B247" i="1"/>
  <c r="D246" i="1"/>
  <c r="B246" i="1"/>
  <c r="D245" i="1"/>
  <c r="B245" i="1"/>
  <c r="D244" i="1"/>
  <c r="B244" i="1"/>
  <c r="D243" i="1"/>
  <c r="B243" i="1"/>
  <c r="D242" i="1"/>
  <c r="B242" i="1"/>
  <c r="D241" i="1"/>
  <c r="B241" i="1"/>
  <c r="D240" i="1"/>
  <c r="B240" i="1"/>
  <c r="D239" i="1"/>
  <c r="B239" i="1"/>
  <c r="D238" i="1"/>
  <c r="B238" i="1"/>
  <c r="D237" i="1"/>
  <c r="B237" i="1"/>
  <c r="D236" i="1"/>
  <c r="B236" i="1"/>
  <c r="D235" i="1"/>
  <c r="B235" i="1"/>
  <c r="D234" i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</calcChain>
</file>

<file path=xl/sharedStrings.xml><?xml version="1.0" encoding="utf-8"?>
<sst xmlns="http://schemas.openxmlformats.org/spreadsheetml/2006/main" count="2470" uniqueCount="810">
  <si>
    <t>Sample #</t>
  </si>
  <si>
    <t>is_a</t>
  </si>
  <si>
    <t>Agree</t>
  </si>
  <si>
    <t>lyphocyte is a immunological formation</t>
  </si>
  <si>
    <t>part_of</t>
  </si>
  <si>
    <t>auditory receptor is a type of epidermis</t>
  </si>
  <si>
    <t>Heart rudiment is a part of heart</t>
  </si>
  <si>
    <t>S-triazine is a nitrongen compound</t>
  </si>
  <si>
    <t>regulation of hormones is a cellular proccess</t>
  </si>
  <si>
    <t>ketones are small molocules</t>
  </si>
  <si>
    <t>mitiotic actomysin is a part of cytoskeleton organization</t>
  </si>
  <si>
    <t>olefinic compounds containts carbons</t>
  </si>
  <si>
    <t>endothelial cell develpement are related to differentiation</t>
  </si>
  <si>
    <t>Monocyt is a type of leukocyte</t>
  </si>
  <si>
    <t xml:space="preserve">lymphocyte is a part of dendritic cells </t>
  </si>
  <si>
    <t>Chemorepellant activity is chemotaxis</t>
  </si>
  <si>
    <t>Melonocyt is a type of epithelial cell</t>
  </si>
  <si>
    <t>methlytransferase is a protien process</t>
  </si>
  <si>
    <t>regulation of synaptic is a regulation of neurotransmitter</t>
  </si>
  <si>
    <t>a pigment is a nucleobase</t>
  </si>
  <si>
    <t>regulates</t>
  </si>
  <si>
    <t>Pectin is a macromolocule</t>
  </si>
  <si>
    <t>activators regulate</t>
  </si>
  <si>
    <t>ornithine is an amine</t>
  </si>
  <si>
    <t xml:space="preserve">DNA is macromolocule </t>
  </si>
  <si>
    <t>apoptotic process results in cell killing</t>
  </si>
  <si>
    <t>CoA is an amide</t>
  </si>
  <si>
    <t>Rhombomere is areas of hind brian</t>
  </si>
  <si>
    <t>mRNA is being processed</t>
  </si>
  <si>
    <t>translocase modifies RNA</t>
  </si>
  <si>
    <t xml:space="preserve">ascopsore are fungus </t>
  </si>
  <si>
    <t>Pharynx is part of the digestive tract</t>
  </si>
  <si>
    <t>GABA is a monocarboxylic acid</t>
  </si>
  <si>
    <t>seperation is a form of segregation</t>
  </si>
  <si>
    <t xml:space="preserve">Cell differentiatinion is a form of activation </t>
  </si>
  <si>
    <t>phytospingosine contains nitrogen</t>
  </si>
  <si>
    <t>organophosphate process is a substance a cell carries out</t>
  </si>
  <si>
    <t>Gprotein-coupled recepotr serotonin is a G protein-coupled complex</t>
  </si>
  <si>
    <t>histon Succinylthransferase is a SuccSuccinylthransferase</t>
  </si>
  <si>
    <t xml:space="preserve">Ferredoxin is an acceptor </t>
  </si>
  <si>
    <t>CO2 is a gas</t>
  </si>
  <si>
    <t>presymapitc is part pf presynapse</t>
  </si>
  <si>
    <t>host autophagy is autophagy</t>
  </si>
  <si>
    <t>mehylammonium channel is a cation channel</t>
  </si>
  <si>
    <t>exportation is a form of localization</t>
  </si>
  <si>
    <t>hormone metabolic porcess is a form of cellulur process</t>
  </si>
  <si>
    <t>glycerol ether metabolic process is a cellular metablolic process</t>
  </si>
  <si>
    <t>mid xone assembly happens during chromitid segregation</t>
  </si>
  <si>
    <t>Axonogensis is reguleation of neuron developement</t>
  </si>
  <si>
    <t>Cinnamic accid is a secondary metabolites</t>
  </si>
  <si>
    <t>Petothenate is a nitrogen compound</t>
  </si>
  <si>
    <t>determination of lateral mesoderm is a developental process</t>
  </si>
  <si>
    <t>growthplat cartilage is part of multicellur porcess</t>
  </si>
  <si>
    <t>Alkaloids are a ntritogen compound</t>
  </si>
  <si>
    <t>sepal is part of floral whorl</t>
  </si>
  <si>
    <t xml:space="preserve">adult forging is a part of adult behavier </t>
  </si>
  <si>
    <t>regulation of axon guidance is a regulation of chemotaxis</t>
  </si>
  <si>
    <t>a kinase is regulated</t>
  </si>
  <si>
    <t>process is a zenobioitc process</t>
  </si>
  <si>
    <t>Differeation is a form of activation</t>
  </si>
  <si>
    <t>acetyl CoA is a amide</t>
  </si>
  <si>
    <t xml:space="preserve">Prencylcysteine is a catabolic process that is cellular </t>
  </si>
  <si>
    <t xml:space="preserve">Pteridine is a pigment </t>
  </si>
  <si>
    <t>Oculomoter nerv is a central nervous</t>
  </si>
  <si>
    <t>Nucleobase is a small molucule</t>
  </si>
  <si>
    <t>modification is processing</t>
  </si>
  <si>
    <t>porliferation is activation</t>
  </si>
  <si>
    <t>Testosterone is a hormone</t>
  </si>
  <si>
    <t>ATP is a ribonucleoside triphosphate</t>
  </si>
  <si>
    <t xml:space="preserve">oxidative stress is a initiation </t>
  </si>
  <si>
    <t xml:space="preserve">Isopentenyl diphosphate is a precurser to lipids </t>
  </si>
  <si>
    <t>differeation is a form of activation</t>
  </si>
  <si>
    <t>RITS is a nucleoprotien</t>
  </si>
  <si>
    <t>remodeling is a part of developement</t>
  </si>
  <si>
    <t>Wound healing is response to external stimuli</t>
  </si>
  <si>
    <t>Chromatin is a organelle</t>
  </si>
  <si>
    <t>mesnchymal cell is mesynchyme</t>
  </si>
  <si>
    <t xml:space="preserve">vesicle priming is a form of exocytosis </t>
  </si>
  <si>
    <t xml:space="preserve">Rudiment is a cone/ tube for which liquid flows </t>
  </si>
  <si>
    <t xml:space="preserve">Maturation is development </t>
  </si>
  <si>
    <t>acrosome is a special type of lysosome</t>
  </si>
  <si>
    <t>liptoechoic acid is an organic substance</t>
  </si>
  <si>
    <t>Hair cell is an epidermis cell</t>
  </si>
  <si>
    <t>Tensidol A is a amide</t>
  </si>
  <si>
    <t>Perithecuim is spore bering</t>
  </si>
  <si>
    <t>polysaccharide is a carbohydrate</t>
  </si>
  <si>
    <t>Carotene is a lipid</t>
  </si>
  <si>
    <t>petidyl diphtamide is a protein</t>
  </si>
  <si>
    <t>penicillin requires amine breakdown</t>
  </si>
  <si>
    <t>phagolysosome is phagocytic</t>
  </si>
  <si>
    <t>Mannogen is a polysaccharide</t>
  </si>
  <si>
    <t>Vettibular receptor cell is part of epidermis</t>
  </si>
  <si>
    <t xml:space="preserve">disc development is larvea stage </t>
  </si>
  <si>
    <t>zinc transport is a homeostasis</t>
  </si>
  <si>
    <t>deamination is modification</t>
  </si>
  <si>
    <t>icosanoid is a carboxylic acid</t>
  </si>
  <si>
    <t>spine apparatus is a cytoplasmic vesicle</t>
  </si>
  <si>
    <t>calcium release channel is a calcium mediated signal</t>
  </si>
  <si>
    <t>Triglyceride rich is a low density lipoprotien</t>
  </si>
  <si>
    <t>histamine secreation is a immune response</t>
  </si>
  <si>
    <t>piRNA is RNA process</t>
  </si>
  <si>
    <t>Hexokinases modify carbohydrates</t>
  </si>
  <si>
    <t>proliferation is activation</t>
  </si>
  <si>
    <t>lignan is a motabolite</t>
  </si>
  <si>
    <t>Renal is part of the kidney</t>
  </si>
  <si>
    <t>steriod hormone breakdown is cellular</t>
  </si>
  <si>
    <t xml:space="preserve">urate exchgange uses anions </t>
  </si>
  <si>
    <t>Cytolitic granule is a cytoplasmic vesicle</t>
  </si>
  <si>
    <t>lipopolysaccharide is organic</t>
  </si>
  <si>
    <t>degranulationis a form of activation</t>
  </si>
  <si>
    <t>segmentationis a form of morphogensis</t>
  </si>
  <si>
    <t>Uncoating involves endocytosis</t>
  </si>
  <si>
    <t>phenathrene is a xeno substance</t>
  </si>
  <si>
    <t>bis is a molybdoprterin</t>
  </si>
  <si>
    <t>viral gene expression is gene expression</t>
  </si>
  <si>
    <t>Cytochrom-c is a transmembrane transport protein</t>
  </si>
  <si>
    <t>Anthocynin is a glycoside</t>
  </si>
  <si>
    <t>Endocardial cell is an endothelial cell</t>
  </si>
  <si>
    <t>autolysosome is a lysosmal cell</t>
  </si>
  <si>
    <t>antibiotic process is a cellular procees</t>
  </si>
  <si>
    <t>histone modification involves lysine</t>
  </si>
  <si>
    <t>Urate is an organic acid</t>
  </si>
  <si>
    <t>carotenoid is a lipid</t>
  </si>
  <si>
    <t xml:space="preserve">teichoic acid is a small molucule </t>
  </si>
  <si>
    <t>increasing transcriptase activity is increasing cellular biosynthesis</t>
  </si>
  <si>
    <t>GTPase activity is a regulation of a biological process</t>
  </si>
  <si>
    <t>dephosphorylation is a modification</t>
  </si>
  <si>
    <t>developement is a result of differentiation</t>
  </si>
  <si>
    <t>cerebellar is part of the hindbrain</t>
  </si>
  <si>
    <t xml:space="preserve">beta-lactam is a small molecule </t>
  </si>
  <si>
    <t>Vitamin process isa cell process</t>
  </si>
  <si>
    <t>cyanogenic glycosides are secondary metabolites</t>
  </si>
  <si>
    <t>Histone methylation is peptidyl-lysine methylation</t>
  </si>
  <si>
    <t>Very-low-density lipoprotein particle receptor is a signaling receptor.</t>
  </si>
  <si>
    <t>Platelet is a component of blood</t>
  </si>
  <si>
    <t>Folic acid is organic</t>
  </si>
  <si>
    <t>sevenless signaling pathway is involved with R7</t>
  </si>
  <si>
    <t>cell wall catabolic  is part of cell wall metabolic process</t>
  </si>
  <si>
    <t>wounds are external stimulus</t>
  </si>
  <si>
    <t>cell mirgration is organismal process</t>
  </si>
  <si>
    <t>modulates a catabolic process</t>
  </si>
  <si>
    <t>oligomannoside is in fungal cell walls</t>
  </si>
  <si>
    <t>Corticotropoin is singal transduction</t>
  </si>
  <si>
    <t>platelets release cytokine</t>
  </si>
  <si>
    <t>Postsynaptic is synapse assembly</t>
  </si>
  <si>
    <t>dilbenzofuran is a xeno substance</t>
  </si>
  <si>
    <t>Ethonal is a carbohydrate</t>
  </si>
  <si>
    <t>platelet is part of blood</t>
  </si>
  <si>
    <t>Famesyl is a lipid</t>
  </si>
  <si>
    <t>glycogen is a glucose</t>
  </si>
  <si>
    <t>surveillance is catabolic process</t>
  </si>
  <si>
    <t>Serotonitn is a neurothransmitter</t>
  </si>
  <si>
    <t>phospatidate kinase activity is a kinase activity</t>
  </si>
  <si>
    <t>beta-glucan is part of cell wall</t>
  </si>
  <si>
    <t>distribution is a organization</t>
  </si>
  <si>
    <t>migration is a development</t>
  </si>
  <si>
    <t>differentiation is a organismal process</t>
  </si>
  <si>
    <t>Cyanate is an organic acid</t>
  </si>
  <si>
    <t>transcription is a metabolic porcess</t>
  </si>
  <si>
    <t>Ether is a small molecule</t>
  </si>
  <si>
    <t>differention is a form of activation</t>
  </si>
  <si>
    <t>Folic aciid is an amide</t>
  </si>
  <si>
    <t>Lipoprotein is a macromolecule</t>
  </si>
  <si>
    <t>growthplate cartilage proliferation is a developmental proccess</t>
  </si>
  <si>
    <t>choline is an amine</t>
  </si>
  <si>
    <t>Bulbus arteriousus is part of heart</t>
  </si>
  <si>
    <t>Nephron is part of kidney</t>
  </si>
  <si>
    <t xml:space="preserve">mesenchyme is part of kidney </t>
  </si>
  <si>
    <t>other organism is external</t>
  </si>
  <si>
    <t>activation is part of developement</t>
  </si>
  <si>
    <t>Nitic oxide process is a cellular process</t>
  </si>
  <si>
    <t>partition is a form of localization</t>
  </si>
  <si>
    <t>petal is part of the whorl</t>
  </si>
  <si>
    <t xml:space="preserve">mitotic recombination is part of cell cycle </t>
  </si>
  <si>
    <t xml:space="preserve">tetrapyrrole is a nitrogen compound </t>
  </si>
  <si>
    <t>prostaglandin is a hormone</t>
  </si>
  <si>
    <t>Carotenoid is a pigment</t>
  </si>
  <si>
    <t xml:space="preserve">xylan is a part of cell wall </t>
  </si>
  <si>
    <t xml:space="preserve">peptidyl is a protien </t>
  </si>
  <si>
    <t>vitamin D biosynthis 3 involves calcidiol</t>
  </si>
  <si>
    <t xml:space="preserve">regeneration is wound healing </t>
  </si>
  <si>
    <t>cabable of catylizing</t>
  </si>
  <si>
    <t>mid and hindbrain are part of the brain</t>
  </si>
  <si>
    <t>mesonephric is part of the nephron</t>
  </si>
  <si>
    <t>tirporic acid is a carboxylic acid</t>
  </si>
  <si>
    <t>epinephrine effects neurotransmitter</t>
  </si>
  <si>
    <t xml:space="preserve">hydroxylation is a modificaiton </t>
  </si>
  <si>
    <t>macrophage is form of granulocyte</t>
  </si>
  <si>
    <t>pupariation is post embryonic</t>
  </si>
  <si>
    <t>Sodium ion import across plasma membrane is a sodium ion homeostasis.</t>
  </si>
  <si>
    <t xml:space="preserve">Dendritic cells are lymphocytic cells </t>
  </si>
  <si>
    <t>polysaccharide is a macromolecule</t>
  </si>
  <si>
    <t>export of ribosmal is a form of biogenesis</t>
  </si>
  <si>
    <t>pteridine is a pigment</t>
  </si>
  <si>
    <t>developement is a subsect of maturation</t>
  </si>
  <si>
    <t>deamination is a form of modification</t>
  </si>
  <si>
    <t>suppression is a form of modulation</t>
  </si>
  <si>
    <t>urate is a organic acid</t>
  </si>
  <si>
    <t>eugenol is a secondary metabolite</t>
  </si>
  <si>
    <t>nucleoside contains nuclebase</t>
  </si>
  <si>
    <t>BMP is a kinase</t>
  </si>
  <si>
    <t>Spetin ring is protein containing</t>
  </si>
  <si>
    <t>Liipoprotein metabolic is a cellular process</t>
  </si>
  <si>
    <t>receptor activity is a signal transduciton</t>
  </si>
  <si>
    <t xml:space="preserve">macrophage secrete colony-stimulating factor, </t>
  </si>
  <si>
    <t xml:space="preserve">retinoic acid is part of vitamin A </t>
  </si>
  <si>
    <t>histamine is a neurotransmitter</t>
  </si>
  <si>
    <t>phytosphingosine is a lipid</t>
  </si>
  <si>
    <t>rna polymerase activity is a cellular process</t>
  </si>
  <si>
    <t xml:space="preserve">vuvlval is formed during larvea developement </t>
  </si>
  <si>
    <t>Dietary is external</t>
  </si>
  <si>
    <t>geraniol is a lipid</t>
  </si>
  <si>
    <t>retinal apoptotic process is a developmental process</t>
  </si>
  <si>
    <t>sterols are a singal transductor</t>
  </si>
  <si>
    <t xml:space="preserve">Peptidyl is a protien </t>
  </si>
  <si>
    <t xml:space="preserve">Inheritance requires localazation/budding for daughter cell </t>
  </si>
  <si>
    <t>Cinnamic acid is a secondary metablolite</t>
  </si>
  <si>
    <t>labyrinthine layer occurs in placenta</t>
  </si>
  <si>
    <t>norepinephrine is a neurotransmitter</t>
  </si>
  <si>
    <t>beta-caryophylllene is a lipid</t>
  </si>
  <si>
    <t>amylopectin is a starch</t>
  </si>
  <si>
    <t>ochratoxin is an amide</t>
  </si>
  <si>
    <t>active zone is a form of organization</t>
  </si>
  <si>
    <t>triethanolamine is a amine</t>
  </si>
  <si>
    <t>Lung lobe are part of tube formation</t>
  </si>
  <si>
    <t>Leukotriene is an eicosanoid</t>
  </si>
  <si>
    <t xml:space="preserve">lipoprotien is a macromolecule </t>
  </si>
  <si>
    <t xml:space="preserve">apoptotic process is a form of cell death </t>
  </si>
  <si>
    <t>Glucosylceramide is a macromolecule.</t>
  </si>
  <si>
    <t>Cytokinin is an amine</t>
  </si>
  <si>
    <t>ATP is a purine ribonucleotide.</t>
  </si>
  <si>
    <t>exo-alpha-bergamotene is a lipid</t>
  </si>
  <si>
    <t xml:space="preserve">Skelatal muscle is striated </t>
  </si>
  <si>
    <t xml:space="preserve">Proliferation is a form of activation. </t>
  </si>
  <si>
    <t xml:space="preserve">differentitiation is a form of activation </t>
  </si>
  <si>
    <t>Cinnimic diritives are secondary metabolite</t>
  </si>
  <si>
    <t>Histone is mostly a peptidyl-lysine</t>
  </si>
  <si>
    <t>c AMP kinase is caytalytic complex</t>
  </si>
  <si>
    <t>mammary gland porliferation is a developemntal process</t>
  </si>
  <si>
    <t>Endocardium is part of the heart</t>
  </si>
  <si>
    <t>nitric oxide is a netrogen compound</t>
  </si>
  <si>
    <t>Amyloid precursor protein is a glycoprotein.</t>
  </si>
  <si>
    <t>chromosomes are a part of the nucleaus</t>
  </si>
  <si>
    <t>exocytic vesicle is a general term that fits for synaptic vesicle</t>
  </si>
  <si>
    <t>altering proteins to increase likely hood of degredation is a protein catabolic process</t>
  </si>
  <si>
    <t>organophosphates are a substance</t>
  </si>
  <si>
    <t>juvenile hromaes effect regulation above a cellular level</t>
  </si>
  <si>
    <t>4-nitrophenol is a xeno substance</t>
  </si>
  <si>
    <t xml:space="preserve">mda-5 is used to detect virus </t>
  </si>
  <si>
    <t>hercynylselenocysteine is a celluluar function</t>
  </si>
  <si>
    <t xml:space="preserve">inhibitors  inhibits </t>
  </si>
  <si>
    <t xml:space="preserve">phytoalexin is a phytoalexan. </t>
  </si>
  <si>
    <t>a membrane is a membrane</t>
  </si>
  <si>
    <t>eclosion is a developent process</t>
  </si>
  <si>
    <t>muscle fiber is muscle tissue</t>
  </si>
  <si>
    <t>petals are post embryonic</t>
  </si>
  <si>
    <t>dendritic cell is a lymphocyte</t>
  </si>
  <si>
    <t xml:space="preserve">cerebellar comes from nonspecified parts and is part of organ formation </t>
  </si>
  <si>
    <t>rRNA is a ribosome</t>
  </si>
  <si>
    <t>N-methyltransferase activity is used</t>
  </si>
  <si>
    <t xml:space="preserve">leaves are organs of the shoot. </t>
  </si>
  <si>
    <t>cleistohtecium is spore bearing</t>
  </si>
  <si>
    <t xml:space="preserve">mitiotic actomyasin is a part of cell division </t>
  </si>
  <si>
    <t>ceramide is an amide</t>
  </si>
  <si>
    <t>pteridine is a nitrogen compound</t>
  </si>
  <si>
    <t xml:space="preserve">neurohypophysis part of hypophysis </t>
  </si>
  <si>
    <t>Positive regulation of translation in response to oxidative stress is a regulation of translation in response to oxidative stress.</t>
  </si>
  <si>
    <t>assemblying vacules is a method of increasing the rate of exocytosis</t>
  </si>
  <si>
    <t>nephron formation part of organ formation</t>
  </si>
  <si>
    <t xml:space="preserve">demehtylase activity is part of demthylation. </t>
  </si>
  <si>
    <t>growth is part of development</t>
  </si>
  <si>
    <t>glucomannan is a mannan</t>
  </si>
  <si>
    <t>fibroblast growth is a result of cytokine stimulus</t>
  </si>
  <si>
    <t>Pectin is a cellular carbohydrate.</t>
  </si>
  <si>
    <t>ceramids are lipids</t>
  </si>
  <si>
    <t>Resolution is a resolution</t>
  </si>
  <si>
    <t xml:space="preserve">differentiation is a form of activation </t>
  </si>
  <si>
    <t xml:space="preserve">branched chain are carboxylic acid </t>
  </si>
  <si>
    <t>Protein lipidation is a macromolecule biosynthetic process.</t>
  </si>
  <si>
    <t>citrulline is a nitrogen compound</t>
  </si>
  <si>
    <t>aminobenzenesulfonate is a xeno substance</t>
  </si>
  <si>
    <t xml:space="preserve">Neuron porjection secures its current state of growth. </t>
  </si>
  <si>
    <t xml:space="preserve">cardiac hypertrophy is an adaption </t>
  </si>
  <si>
    <t>skeletal muscle fiber is a muscle development</t>
  </si>
  <si>
    <t>viral portein is a protein process</t>
  </si>
  <si>
    <t>metanpehric capsule is a part of the metanephros</t>
  </si>
  <si>
    <t>pronephric glomerulu is part of pronephros</t>
  </si>
  <si>
    <t>floral organ are part of formation</t>
  </si>
  <si>
    <t>ATP is required for nucleotide process</t>
  </si>
  <si>
    <t>aromatic aminio acid is a carboxylic acid</t>
  </si>
  <si>
    <t>Lens fiber are part of tissue structure</t>
  </si>
  <si>
    <t>amino acid import is homeostasis</t>
  </si>
  <si>
    <t>ocellus is a secondary metabolite</t>
  </si>
  <si>
    <t xml:space="preserve">increasing apoptotic signal pathway is a increase in signal transduction </t>
  </si>
  <si>
    <t>gut granule lumen is a cytoplascmic vesicle</t>
  </si>
  <si>
    <t>anthanilate is functional in breaking down tryptophan</t>
  </si>
  <si>
    <t>sexual characteristics are a part of sex differentiation</t>
  </si>
  <si>
    <t>Corticosterone is a mineralocorticoid</t>
  </si>
  <si>
    <t>carpel is part of whorl</t>
  </si>
  <si>
    <t>cardiac myofibril assembly is a cardiocyte differentiation</t>
  </si>
  <si>
    <t>Glycerphospholipid is a lipid</t>
  </si>
  <si>
    <t>bisbolol is a lipid</t>
  </si>
  <si>
    <t>Blood vessel remodeling is a developmental process.</t>
  </si>
  <si>
    <t>cerebellar granular contributes to formation of an organ</t>
  </si>
  <si>
    <t>3-methylquinoline is a xenobiotic</t>
  </si>
  <si>
    <t>vagus nerve is part of central nervous system</t>
  </si>
  <si>
    <t>molybdopterin is a prosthetic group</t>
  </si>
  <si>
    <t>export form vacule is a transport transport</t>
  </si>
  <si>
    <t>proliferation is a form of activation</t>
  </si>
  <si>
    <t>regulating RNA import is regulation on RNA localization</t>
  </si>
  <si>
    <t>angiogensis is a developmental process</t>
  </si>
  <si>
    <t>autophosphorylation is a phosphorylation</t>
  </si>
  <si>
    <t>monemehtlyation of histone is a peptidyl-lysin mmonomehtlyation</t>
  </si>
  <si>
    <t>viroon attachment is a regulation of viral process</t>
  </si>
  <si>
    <t xml:space="preserve">cytolysis is a form of cell death </t>
  </si>
  <si>
    <t>bacterial lipoprotein is a organci substance</t>
  </si>
  <si>
    <t>peptidoglycan is a organic substance</t>
  </si>
  <si>
    <t>histione conatian peptidyl lysines</t>
  </si>
  <si>
    <t>molybdoprterin cofactor is a porsthetic group</t>
  </si>
  <si>
    <t>adenylate cyclase is a cyclase</t>
  </si>
  <si>
    <t>cell wall cellulose is a polysaccharide</t>
  </si>
  <si>
    <t xml:space="preserve">regulatin macrophage activation regulations granulocytes </t>
  </si>
  <si>
    <t>peptidyl-tryptophan hydroxylation adds a protien</t>
  </si>
  <si>
    <t>Pole cell is a germ cell</t>
  </si>
  <si>
    <t>Platelet aggregation is a form of activation</t>
  </si>
  <si>
    <t>membrane repair is wound healing</t>
  </si>
  <si>
    <t>Co2 is a organic substance</t>
  </si>
  <si>
    <t>male genitalia developement is part of male sex differentiation</t>
  </si>
  <si>
    <t>endolysosome is a cytoplasmic vesicle</t>
  </si>
  <si>
    <t>glycolytic process is a catabolic process</t>
  </si>
  <si>
    <t>betal lactam anitbiotic is a amine</t>
  </si>
  <si>
    <t>Proboscis forms from labral discs</t>
  </si>
  <si>
    <t>endoribonuclease cleaves RNA</t>
  </si>
  <si>
    <t>hair follicle is part of the skin</t>
  </si>
  <si>
    <t>superoxide dismutase is a reactive oxygen</t>
  </si>
  <si>
    <t xml:space="preserve">RNA is a macromolecule </t>
  </si>
  <si>
    <t>syringal lignin is a secondary metabolite</t>
  </si>
  <si>
    <t>HH genes produce signaling molecules that are involved in signal transduction</t>
  </si>
  <si>
    <t xml:space="preserve">Teichoic acid is a organic acid </t>
  </si>
  <si>
    <t>prostanoid is a fatty acid</t>
  </si>
  <si>
    <t>cartilage is part of skeletal system</t>
  </si>
  <si>
    <t xml:space="preserve">cellular lipid is a lipid </t>
  </si>
  <si>
    <t xml:space="preserve">succinylation is a modification </t>
  </si>
  <si>
    <t>dibenzothiophene is a xeno substance</t>
  </si>
  <si>
    <t>meiotic chromosome condensation is part of chromatid segregation via organization</t>
  </si>
  <si>
    <t>mineralcorticoid  catabolic is a cellular process</t>
  </si>
  <si>
    <t>N-acetylneuraminate is a amide</t>
  </si>
  <si>
    <t>alpha-amino acid is a cellular amino acid</t>
  </si>
  <si>
    <t>Phospholipid is a cellular lipid.</t>
  </si>
  <si>
    <t>anaerobic ethylbenzen is a catabolic process</t>
  </si>
  <si>
    <t>ATP systhesis is a oxidative phosphorylation</t>
  </si>
  <si>
    <t>differentiation is a form of activation</t>
  </si>
  <si>
    <t>neuromast hair cell is a epithelial</t>
  </si>
  <si>
    <t>histamine is a neurotransmitter secretion</t>
  </si>
  <si>
    <t>elongation is a part of morphogenesis</t>
  </si>
  <si>
    <t xml:space="preserve"> light is a external stimulus</t>
  </si>
  <si>
    <t>modulating stability of DNA is a catabolic process</t>
  </si>
  <si>
    <t>xyloclucan is a cellular carbohydrate</t>
  </si>
  <si>
    <t>cell porliferation is part of tissue growth</t>
  </si>
  <si>
    <t>nipple morphogenesis is part of mammarygland morphogenesis</t>
  </si>
  <si>
    <t xml:space="preserve">leukocyte is a cell </t>
  </si>
  <si>
    <t>mesendoderm development is a epithelium development</t>
  </si>
  <si>
    <t>Xenophagy is a respons to biotic stimulus</t>
  </si>
  <si>
    <t>acyglyceral is a lipid</t>
  </si>
  <si>
    <t>hydroxybenxoyl is a amide</t>
  </si>
  <si>
    <t>purkenje myocyte is a muscle cell</t>
  </si>
  <si>
    <t>import across membrane is a form of homeostasis</t>
  </si>
  <si>
    <t>Auxin catablolic is a cellular catabloic process</t>
  </si>
  <si>
    <t>amyloid protein is a macromolecule</t>
  </si>
  <si>
    <t>ent-pimara-8(14),15-diene. is a lipid</t>
  </si>
  <si>
    <t>glomerulus is part of nephron</t>
  </si>
  <si>
    <t>pectoral fin is a limb</t>
  </si>
  <si>
    <t xml:space="preserve">voltage-gated ion channel is a ion channel </t>
  </si>
  <si>
    <t>benxzoyl-coA is a amide</t>
  </si>
  <si>
    <t>endocytic vesicle is a cytoplasmic vesicle</t>
  </si>
  <si>
    <t xml:space="preserve">immune response is a cellular process. </t>
  </si>
  <si>
    <t>Estrogen is a steroid hormone.</t>
  </si>
  <si>
    <t>Endocardium is a part of heart.</t>
  </si>
  <si>
    <t>NADP is a nicotinamide nucleotide.</t>
  </si>
  <si>
    <t>Leukocyte degranulation is a leukocyte activation.</t>
  </si>
  <si>
    <t>Establishment of turgor in appressorium is a appressorium maturation.</t>
  </si>
  <si>
    <t>Skeletal muscle cell is a striated muscle cell.</t>
  </si>
  <si>
    <t>Proline is a secondary amine.</t>
  </si>
  <si>
    <t>Dephosphorylation is a modification.</t>
  </si>
  <si>
    <t>Natural killer cell proliferation involved in immune response is an immune response.</t>
  </si>
  <si>
    <t xml:space="preserve">Androgen catabolic process is a cellular catabolic process.
</t>
  </si>
  <si>
    <t>Mast cell degranulation is a myeloid leukocyte mediated immunity.</t>
  </si>
  <si>
    <t>Pentose catabolic process to propan-2-ol is a propan-2-ol biosynthetic process.</t>
  </si>
  <si>
    <t>Hemicellulose is a cellular polysaccharide.</t>
  </si>
  <si>
    <t>Aminoglycoside antibiotic is an antibiotic.</t>
  </si>
  <si>
    <t>Peptidyl-lysine is a protein.</t>
  </si>
  <si>
    <t>Threonine us an anion.</t>
  </si>
  <si>
    <t>Carbohydrate kinase activity is a carbohydrate biosynthetic process.</t>
  </si>
  <si>
    <t>1-indanone monooxygenase is a monooxygenase.</t>
  </si>
  <si>
    <t>Melatonin is a cellular amide.</t>
  </si>
  <si>
    <t>Vestibular receptor cell is an epithelial cell.</t>
  </si>
  <si>
    <t>Bone resorption is a tissue remodeling.</t>
  </si>
  <si>
    <t>Humidity is an external stimulus.</t>
  </si>
  <si>
    <t>Histamine secretion by mast cell is a leukocyte degranulation.</t>
  </si>
  <si>
    <t>Hematopoietic stem cell proliferation is a hemopoiesis.</t>
  </si>
  <si>
    <t>Propionyl-CoA is a cellular amide.</t>
  </si>
  <si>
    <t>Amine is a cellular nitrogen compound.</t>
  </si>
  <si>
    <t>Nutrient is an external stimulus.</t>
  </si>
  <si>
    <t>Neural crest cell is a mesenchymal cell.</t>
  </si>
  <si>
    <t>Head segmentation is a part of head morphogenesis.</t>
  </si>
  <si>
    <t>Atrioventricular valve is a part of heart.</t>
  </si>
  <si>
    <t>Liver trabecula is a part of liver.</t>
  </si>
  <si>
    <t>Artery morphogenesis is a vasculature development.</t>
  </si>
  <si>
    <t>Rhombomere is a part of hindbrain.</t>
  </si>
  <si>
    <t>Guanine deglycation, glyoxal removal is a glyoxal metabolic process.</t>
  </si>
  <si>
    <t>Medial cortex is a plasma membrane.</t>
  </si>
  <si>
    <t>Lincomycin is a amide.</t>
  </si>
  <si>
    <t>Macromolecule depalmitoylation is a macromolecule catabolic process.</t>
  </si>
  <si>
    <t>dAMP phosphorylation is a phosphorylation.</t>
  </si>
  <si>
    <t>Granulocyte differentiation is a granulocyte activation.</t>
  </si>
  <si>
    <t>Leaflet is a part of leaf.</t>
  </si>
  <si>
    <t>Peptide is a cellular amide.</t>
  </si>
  <si>
    <t>Strigolactone is a cellular lipid.</t>
  </si>
  <si>
    <t>Meiotic spindle elongation is a part of meiotic sister chromatid segregation.</t>
  </si>
  <si>
    <t>Cresol is a xenobiotic.</t>
  </si>
  <si>
    <t>Dolichol is a cellular lipid.</t>
  </si>
  <si>
    <t>Synaptic vesicle lumen acidification is a developmental process.</t>
  </si>
  <si>
    <t>Glycolipid is a cellular lipid.</t>
  </si>
  <si>
    <t>Many siderophores are nonribosomal peptides.</t>
  </si>
  <si>
    <t>Immune system is a system.</t>
  </si>
  <si>
    <t>Biphenyl is a xenobiotic.</t>
  </si>
  <si>
    <t>Ventricular cardiac muscle cell action potential is a heart contraction.</t>
  </si>
  <si>
    <t>Rhamnogalacturonan I is a cell wall pectin.</t>
  </si>
  <si>
    <t>A prosthetic group is the non-amino acid component that is part of the structure of the heteroproteins or conjugated proteins.</t>
  </si>
  <si>
    <t>Phytyl diphosphate is a cellular lipid.</t>
  </si>
  <si>
    <t>Pigment biosynthetic process is a biosynthetic process.</t>
  </si>
  <si>
    <t>Superior olivary nucleus is a part of animal organ.</t>
  </si>
  <si>
    <t>Eye photoreceptor cell development is a multicellular organismal process.</t>
  </si>
  <si>
    <t>Endosome is a vesicle.</t>
  </si>
  <si>
    <t>Glycosinolate is a secondary metabolite.</t>
  </si>
  <si>
    <t>Histamine secretion by mast cell is a multicellular organismal process.</t>
  </si>
  <si>
    <t>Histamine is a neurotransmitter.</t>
  </si>
  <si>
    <t>Xenobiotic detoxification by transmembrane export across the plasma membrane is a response to drug.</t>
  </si>
  <si>
    <t>Stamen is a part of floral whorl.</t>
  </si>
  <si>
    <t>Dimethylsilanediol is a small molecule.</t>
  </si>
  <si>
    <t>Protein serine/threonine kinase inhibitor activity is a part of negative regulation of protein serine/threonine kinase activity.</t>
  </si>
  <si>
    <t>T-helper 1 cell differentiation is a adaptive immune response based on somatic recombination of immune receptors built from immunoglobulin superfamily domains.</t>
  </si>
  <si>
    <t>Carbazole is a xenobiotic.</t>
  </si>
  <si>
    <t>Meiotic chromosome movement towards spindle pole is a part of meiotic sister chromatid segregation.</t>
  </si>
  <si>
    <t>Kinase inhibitor activity is a part of negative regulation of kinase activity.</t>
  </si>
  <si>
    <t>Embryonic skeletal system is a embryonic organ.</t>
  </si>
  <si>
    <t>N-terminal peptidyl-serine is a peptidyl-serine.</t>
  </si>
  <si>
    <t>2-aminoethylphosphonate catabolic process is a cellular process</t>
  </si>
  <si>
    <t>Rhombomere cell differentiation is a part of rhombomere formation.</t>
  </si>
  <si>
    <t>Protection from non-homologous end joining at telomere is a multicellular organismal process.</t>
  </si>
  <si>
    <t>Mesenchymal cell proliferation involved in ureter development is a multicellular organismal process.</t>
  </si>
  <si>
    <t xml:space="preserve">Sarcomere organization is a muscle cell differentiation.
</t>
  </si>
  <si>
    <t>Metanephric glomerular epithelial cell fate commitment is a part of metanephric glomerular epithelium development.</t>
  </si>
  <si>
    <t>Erythrocyte is a cell.</t>
  </si>
  <si>
    <t>Oxoglutarate dehydrogenase complex is a tricarboxylic acid cycle enzyme complex.</t>
  </si>
  <si>
    <t>Dendritic spine morphogenesis is a neurogenesis.</t>
  </si>
  <si>
    <t>Positive regulation of SUMO transferase activity is a positive regulation of protein sumoylation.</t>
  </si>
  <si>
    <t>Positive regulation of abscisic acid-activated signaling pathway is a positive regulation of response to alcohol.</t>
  </si>
  <si>
    <t>Mycolic acid is a cell wall macromolecule.</t>
  </si>
  <si>
    <t>Regulation of leukocyte differentiation is a regulation of leukocyte activation.</t>
  </si>
  <si>
    <t>Nuclear pore localization is a nucleus localization.</t>
  </si>
  <si>
    <t>Glucosylglycerol is a cellular polysaccharide.</t>
  </si>
  <si>
    <t>Selenium-containing prosthetic group is a part of organonitrogen compound.</t>
  </si>
  <si>
    <t>Metanephric glomerulus is a part of metanephros.</t>
  </si>
  <si>
    <t>Wnt-mediated midbrain dopaminergic neuron differentiation is a part of developmental process.</t>
  </si>
  <si>
    <t>Asparagine is a glutamine family amino acid.</t>
  </si>
  <si>
    <t>Cerebellar molecular layer is a part of hindbrain.</t>
  </si>
  <si>
    <t>Nickel cation import across plasma membrane is a nickel cation homeostasis.</t>
  </si>
  <si>
    <t>Response to symbiont is a biological process involved in interaction with symbiont.</t>
  </si>
  <si>
    <t>Wall teichoic acid is a cellular macromolecule.</t>
  </si>
  <si>
    <t>Mesonephric capsule is a part of mesonephros.</t>
  </si>
  <si>
    <t>rRNA pseudouridine synthase activity is a catalytic activity, acting on a rRNA.</t>
  </si>
  <si>
    <t>Epithelial cell is a part of tissue.</t>
  </si>
  <si>
    <t>Cell fate determination is a cell fate commitment.</t>
  </si>
  <si>
    <t>Amyloid precursor protein is an organonitrogen compound.</t>
  </si>
  <si>
    <t>Plant-type cell wall cellulose is a glucan.</t>
  </si>
  <si>
    <t>Negative regulation of neutrophil mediated killing of bacterium is a regulation of defense response to bacterium.</t>
  </si>
  <si>
    <t>Melanin is a secondary metabolite.</t>
  </si>
  <si>
    <t>Racemization is a modification.</t>
  </si>
  <si>
    <t>Oxidative stress is a stimulus.</t>
  </si>
  <si>
    <t>Platelet formation is a cell development.</t>
  </si>
  <si>
    <t>(-)-lariciresinol is a secondary metabolite.</t>
  </si>
  <si>
    <t>Synaptic vesicle fusion to presynaptic active zone membrane is an exocytosis.</t>
  </si>
  <si>
    <t>RNA adenylyltransferase activity is a part of RNA metabolic process.</t>
  </si>
  <si>
    <t>Lung is a part of respiratory tube.</t>
  </si>
  <si>
    <t>Tertiary granule lumen is a secretory granule lumen.</t>
  </si>
  <si>
    <t>Macrophage proliferation is a macrophage activation.</t>
  </si>
  <si>
    <t>Nephric duct is a part of kidney.</t>
  </si>
  <si>
    <t>2-chloro-N-isopropylacetanilide is a cellular amide.</t>
  </si>
  <si>
    <t>Cardiac myofibril assembly is a muscle cell differentiation.</t>
  </si>
  <si>
    <t>Teichoic acid is an organic acid.</t>
  </si>
  <si>
    <t>Acetylenic compound is an organic substance.</t>
  </si>
  <si>
    <t>Ent-kaurene is a cellular lipid.</t>
  </si>
  <si>
    <t>Facial nerve is a part of central nervous system.</t>
  </si>
  <si>
    <t>Dipyrrin is a cellular nitrogen.</t>
  </si>
  <si>
    <t>Mesonephric mesenchyme is a part of mosonephros.</t>
  </si>
  <si>
    <t>Bile acids are steroid acids.</t>
  </si>
  <si>
    <t>(+)-camphor is a cellular lipid.</t>
  </si>
  <si>
    <t>Midbrain-hindbrain boundary is a part of rostrocaudal neural tube.</t>
  </si>
  <si>
    <t>Aldaric acid is a carbohydrate.</t>
  </si>
  <si>
    <t>Ficolin-1-rich granule lumen is a secretory granule lumen.</t>
  </si>
  <si>
    <t>Immature T cell proliferation in thymus is a T cell differentiation.</t>
  </si>
  <si>
    <t>C-terminal peptidyl-glutamic acid amidation is a peptidyl-glutamic acid modification.</t>
  </si>
  <si>
    <t>Estradiol is a hormone.</t>
  </si>
  <si>
    <t>Seed is a part of fruit.</t>
  </si>
  <si>
    <t>Neurotransmitter transport is a regulation of neurotransmitter levels.</t>
  </si>
  <si>
    <t>Atrioventricular canal is a part of heart.</t>
  </si>
  <si>
    <t>Nucleobase is a nucleobase-containing small molecule.</t>
  </si>
  <si>
    <t>phailade bud from the tip of conidiophore. therefore increasing phailide developemnt will increase development of conidiophore</t>
  </si>
  <si>
    <t>Nitrile is a cellular nittrogen compound.</t>
  </si>
  <si>
    <t>Triterpenoid is a cellular lipid.</t>
  </si>
  <si>
    <t>Cytokinin is an amine.</t>
  </si>
  <si>
    <t>Coronary sinus valve is a part of animal organ.</t>
  </si>
  <si>
    <t>Skeletal muscle tissue growth is a muscle organ development.</t>
  </si>
  <si>
    <t>Glycolytic process is a cellular carbohydrate metabolic process.</t>
  </si>
  <si>
    <t>Fatty acid is a cellular lipid.</t>
  </si>
  <si>
    <t>Parkin-mediated stimulation of mitophagy in response to mitochondrial depolarization is a catabolic process.</t>
  </si>
  <si>
    <t>Positive regulation of AMPA receptor activity is a positive regulation of signal transduction.</t>
  </si>
  <si>
    <t xml:space="preserve">Positive regulation of release of cytochrome c from mitochondria is a positive regulation of apoptotic signaling pathway.
</t>
  </si>
  <si>
    <t>Sepal is a post-embryonic plant organ.</t>
  </si>
  <si>
    <t>Platelet is a cell.</t>
  </si>
  <si>
    <t>Cell wall chitin is a polysaccharide.</t>
  </si>
  <si>
    <t>Macromolecule deacylation is a cellular macromolecule metabolic process.</t>
  </si>
  <si>
    <t>Detection of lipoteichoic acid is a detection of bacterium.</t>
  </si>
  <si>
    <t>Carotenoid is pigment.</t>
  </si>
  <si>
    <t>Lipoprotein is a cellular macromolecule.</t>
  </si>
  <si>
    <t>Peptidase inhibitor activity is a part of negative regulation of peptidase activity.</t>
  </si>
  <si>
    <t>Midbrain-hindbrain boundary is a part of central nervous system.</t>
  </si>
  <si>
    <t>Osteoclast is a part of bone.</t>
  </si>
  <si>
    <t>Cell activation is a part of cell differentiation.</t>
  </si>
  <si>
    <t>Geranylgeranyl diphosphate is a cellular lipid.</t>
  </si>
  <si>
    <t>Positive regulation of proteinase activated receptor activity is a positive regulation of signal transduction.</t>
  </si>
  <si>
    <t>Transforming growth factor beta is a cytokine.</t>
  </si>
  <si>
    <t>Peptidyl-arginine is a protein.</t>
  </si>
  <si>
    <t>Isoflavonoid is a secondary metabolite.</t>
  </si>
  <si>
    <t>P-hydroxyphenyl lignin is a secondary metabolite.</t>
  </si>
  <si>
    <t>Cysteine-type endopeptidase is a peptidase.</t>
  </si>
  <si>
    <t>NK T cell differentiation is a NK T cell activation.</t>
  </si>
  <si>
    <t>Sphinganine-1-phosphate is a cellular lipid.</t>
  </si>
  <si>
    <t>Anthranilate is a aromatic amino acid.</t>
  </si>
  <si>
    <t>Tissue migration is a part of tissue morphogenesis.</t>
  </si>
  <si>
    <t>tRNA adenylyltransferase activity is a part of tRNA metabolic process.</t>
  </si>
  <si>
    <t>Negative regulation of intraciliary anterograde transport is a negative regulation of organelle organization.</t>
  </si>
  <si>
    <t>Muramyl dipeptide is a peptidoglycan.</t>
  </si>
  <si>
    <t xml:space="preserve">Cellular lactam is a small molecule </t>
  </si>
  <si>
    <t>RNA polyadenylation is a RNA processing.</t>
  </si>
  <si>
    <t>Antipodal cell differentiation is a multicellular organismal process.</t>
  </si>
  <si>
    <t>Macromolecule glycosylation is a cellular macromolecule metabolic process.</t>
  </si>
  <si>
    <t>Platelet-derived growth factor is a cytokine.</t>
  </si>
  <si>
    <t>Beta-lactam antibiotic is an amine.</t>
  </si>
  <si>
    <t xml:space="preserve">P-type zinc transporter activity is a part of zinc ion transmembrane transport.
 </t>
  </si>
  <si>
    <t>DNA dephosphorylation is a DNA modification.</t>
  </si>
  <si>
    <t>m7G(5')pppN diphosphatase is a phosphatase.</t>
  </si>
  <si>
    <t>Rough endoplasmic reticulum cisterna is a part of rough endoplasmic reticulum.</t>
  </si>
  <si>
    <t>Primary cell septum biogenesis is a mitotic division septum assembly.</t>
  </si>
  <si>
    <t>Positive regulation of vesicle docking is a positive regulation of transport.</t>
  </si>
  <si>
    <t>DNA strand resection involved in replication fork processing is a cellular biosynthetic process.</t>
  </si>
  <si>
    <t>Cardiac ventricle formation is a multicellular organismal process.</t>
  </si>
  <si>
    <t>Carbazole is a cellular nitrogen compound.</t>
  </si>
  <si>
    <t>Mo(VI)-molybdopterin cytosine dinucleotide is molybdopterin cofactor.</t>
  </si>
  <si>
    <t>Positive regulation of cysteine-type endopeptidase activity involved in apoptotic signaling pathway is a positive regulation of signal transduction.</t>
  </si>
  <si>
    <t>Histinde is an anion.</t>
  </si>
  <si>
    <t>Pyruvate dehydrogenase (quinone) activity is a pyruvate dehydrogenase activity.</t>
  </si>
  <si>
    <t>Dibenzo-p-dioxin is a xenobiotic.</t>
  </si>
  <si>
    <t xml:space="preserve">Bone mineralization is a part of bone development.
</t>
  </si>
  <si>
    <t>Bone is an animal organ.</t>
  </si>
  <si>
    <t>Vibriobactin is a catechol siderophore.</t>
  </si>
  <si>
    <t>Negative regulation of hh target transcription factor activity is a negative regulation of molecular function.</t>
  </si>
  <si>
    <t>Modulation by symbiont of host immune response is a regulation of immune response.</t>
  </si>
  <si>
    <t>Diterpenoid is a cellular lipid.</t>
  </si>
  <si>
    <t>Positive regulation of neutrophil differentiation is a positive regulation of neutrophil activation.</t>
  </si>
  <si>
    <t>Endocardial cushion cell is a endothelial cell .</t>
  </si>
  <si>
    <t>Positive regulation of leukocyte differentiation is a positive regulation of leukocyte activation.</t>
  </si>
  <si>
    <t>Brain is a part of head.</t>
  </si>
  <si>
    <t>Midbrain-hindbrain boundary is a part of tissue.</t>
  </si>
  <si>
    <t>Cell activation is a part of cell development.</t>
  </si>
  <si>
    <t>Paclitaxel is a cellular nitrogen compound.</t>
  </si>
  <si>
    <t>Basic amino acid is an amino acid.</t>
  </si>
  <si>
    <t>Superoxide dismutase activity is a cellular response to oxidative stress.</t>
  </si>
  <si>
    <t>Nephrogenic mesenchyme is a part of nephron.</t>
  </si>
  <si>
    <t>Perinuclear endoplasmic reticulum membrane is a endoplasmic reticulum membrane.</t>
  </si>
  <si>
    <t>Toxin is a secondary metabolite.</t>
  </si>
  <si>
    <t xml:space="preserve">Eye photoreceptor cell development is a neuron differentiation.
</t>
  </si>
  <si>
    <t>Pentalenolactone is a cellular lipid.</t>
  </si>
  <si>
    <t>Molybdopterin synthase complex is a catalytic complex.</t>
  </si>
  <si>
    <t>Metanephric glomerular capillary is a part of metanephric nephron.</t>
  </si>
  <si>
    <t>Mesonephric duct is a part of mesonephros.</t>
  </si>
  <si>
    <t>Hypoxia is an abiotic stimulus.</t>
  </si>
  <si>
    <t>Adenohypophysis is a part of hypophysis.</t>
  </si>
  <si>
    <t>Negative regulation of MDA-5 signaling pathway is a negative regulation of immune effector process.</t>
  </si>
  <si>
    <t xml:space="preserve">Mitochondrial electron transport, NADH to ubiquinone is an oxidative phosphorylation.
</t>
  </si>
  <si>
    <t>Pheromone is a secondary metabolite.</t>
  </si>
  <si>
    <t>Mitotic spindle pole body organization is a part of mitotic cell cycle.</t>
  </si>
  <si>
    <t>Dibenzofuran is a small molecule.</t>
  </si>
  <si>
    <t>Modulation by virus of host cytokine production is a regulation of cytokine production.</t>
  </si>
  <si>
    <t>RNA guanylyltransferase activity is a part of RNA process.</t>
  </si>
  <si>
    <t>Coronary vasculature is a part of heart.</t>
  </si>
  <si>
    <t>Presynapse assembly is a cell junction assembly.</t>
  </si>
  <si>
    <t>Acetylation is a modification.</t>
  </si>
  <si>
    <t>Calcium ion is a metal ion.</t>
  </si>
  <si>
    <t>Alpha-copaene is a lipid.</t>
  </si>
  <si>
    <t>Reactive oxygen species biosynthetic process is a cellular biosynthetic process.</t>
  </si>
  <si>
    <t>Ureide is a cellular amide.</t>
  </si>
  <si>
    <t>Fatty acid primary amide catabolic process is a cellular catabolic process.</t>
  </si>
  <si>
    <t>Pollen is an anatomical structure.</t>
  </si>
  <si>
    <t>Cysteine-type endopeptidase activity involved in execution phase of apoptosis is a apoptotic process.</t>
  </si>
  <si>
    <t>Gamma-aminobutyric acid is a monocarboxylic acid.</t>
  </si>
  <si>
    <t>Rhabdomere membrane is a neuron projection membrane.</t>
  </si>
  <si>
    <t>Acetylcholine is an amine.</t>
  </si>
  <si>
    <t xml:space="preserve">Glucagon is a protein. </t>
  </si>
  <si>
    <t>Sphingomyelin is a cellular lipid.</t>
  </si>
  <si>
    <t>Copper chelate transmembrane transporter activity is a part of copper ion homeostasis.</t>
  </si>
  <si>
    <t>Styrene is a xenobiotic.</t>
  </si>
  <si>
    <t>T-circle formation is a telomere maintenance.</t>
  </si>
  <si>
    <t>Bone is a tissue.</t>
  </si>
  <si>
    <t>Exoribonuclease activity is a RNA metabolic process.</t>
  </si>
  <si>
    <t>Excitatory postsynaptic potential is  synaptic transmission.</t>
  </si>
  <si>
    <t>Hormone metabolic process is a cellular metabolic process.</t>
  </si>
  <si>
    <t>laricersinnol is a secondary metabolite</t>
  </si>
  <si>
    <t>Acetylcholine is a neurotransmitter.</t>
  </si>
  <si>
    <t>Transcription by glucose is a transcription, DNA-templated.</t>
  </si>
  <si>
    <t>Inhibin secretion is a multicellular organismal process.</t>
  </si>
  <si>
    <t>Carbohydrate transmembrane transporter activity is a part of carbohydrate localization.</t>
  </si>
  <si>
    <t>Teichoic acids is a cell wall macromolecule.</t>
  </si>
  <si>
    <t>O antigen is a part of lipopolysaccharide.</t>
  </si>
  <si>
    <t>Chondrocyte is a part of cartilage.</t>
  </si>
  <si>
    <t>Specification of pronephric proximal tubule identity is a part of pronephric nephron tubule formation.</t>
  </si>
  <si>
    <t>Protein deamination is a protein catabolic process.</t>
  </si>
  <si>
    <t>Bile acid is an organic hydroxy compound.</t>
  </si>
  <si>
    <t>Notochord cell differentiation is a part of notochord formation.</t>
  </si>
  <si>
    <t>Bicyclogermacrene is a cellular lipid.</t>
  </si>
  <si>
    <t>Blood vessel is a tube.</t>
  </si>
  <si>
    <t>Positive regulation of dauer entry is a positive regulation of nematode larval development.</t>
  </si>
  <si>
    <t>Pectin is a cell wall polysaccharide.</t>
  </si>
  <si>
    <t>Oocyte fate determination is an oocyte differentiation.</t>
  </si>
  <si>
    <t>Coreceptor activity involved in epidermal growth factor receptor signaling pathway is a cellular process.</t>
  </si>
  <si>
    <t>Erythromycin is an antibiotic.</t>
  </si>
  <si>
    <t>Keto-3-deoxy-D-manno-octulosonic acid is a lipopilysaccharide.</t>
  </si>
  <si>
    <t>Chlorophyll is a pigment.</t>
  </si>
  <si>
    <t>Male germ-line stem cell asymmetric division is a developmental process.</t>
  </si>
  <si>
    <t>Apocarotenoid is a cellular lipd.</t>
  </si>
  <si>
    <t>Strand invasion is a DNA recombination.</t>
  </si>
  <si>
    <t>(-)-secologanin is a cellular lipid.</t>
  </si>
  <si>
    <t>Pulmonary valve is a part of heart.</t>
  </si>
  <si>
    <t>ncRNA transcription is a ncRNA metabolic process.</t>
  </si>
  <si>
    <t>Leukocyte tethering or rolling is a cellular extravasation.</t>
  </si>
  <si>
    <t>Histamine is a monoamine neurotransmitter.</t>
  </si>
  <si>
    <t xml:space="preserve">Agree sevenless signal pathway activates and commits cells in fly eye to differentiate </t>
  </si>
  <si>
    <t>Brassinosteroid is a steroid hormone.</t>
  </si>
  <si>
    <t>Keratinocyte activation is a part of keratinocyte development.</t>
  </si>
  <si>
    <t>Phenylmercury acetate is a xenobiotic.</t>
  </si>
  <si>
    <t>Estrogen catabolic process is a cellular catabolic process.</t>
  </si>
  <si>
    <t>Toluene is a xenobiotic.</t>
  </si>
  <si>
    <t>Skeletal muscle is striated.</t>
  </si>
  <si>
    <t>NMDA glutamate receptor is a glutamate receptor.</t>
  </si>
  <si>
    <t>limonene is a lipid</t>
  </si>
  <si>
    <t>ATP is a nucleotide.</t>
  </si>
  <si>
    <t>Ceramide phosphoethanolamine is a cellular lipid.</t>
  </si>
  <si>
    <t>Postsynaptic specialization membrane is an organelle membrane.</t>
  </si>
  <si>
    <t>Activin is a hormone.</t>
  </si>
  <si>
    <t>Cell recognition is a part of cell development.</t>
  </si>
  <si>
    <t xml:space="preserve">Alpha-(1-&gt;3)-fucosyltransferase activity is a metabolic process.
</t>
  </si>
  <si>
    <t>Serotonin is a neurotransmitter.</t>
  </si>
  <si>
    <t>Notochord is an animal organ.</t>
  </si>
  <si>
    <t>Xylene is a xenobiotic.</t>
  </si>
  <si>
    <t>N-terminal peptidyl-glutamine is a peptidyl-glutamine.</t>
  </si>
  <si>
    <t>Gravity is an external stimulus.</t>
  </si>
  <si>
    <t>Sarcomere organization is a cell development.</t>
  </si>
  <si>
    <t>Trophoblast cell migration is a developmental process.</t>
  </si>
  <si>
    <t>Dimethylallyl diphosphate is a lipid.</t>
  </si>
  <si>
    <t>Low-density lipoprotein receptor activity is a receptor-mediated endocytosis.</t>
  </si>
  <si>
    <t>Cyclase is an enzyme.</t>
  </si>
  <si>
    <t>Cytokinin is a heterocycle.</t>
  </si>
  <si>
    <t>molybdenum cofactor 2 is a class of molybdoteri cofactor</t>
  </si>
  <si>
    <t>Organelle localization is a localization in cell.</t>
  </si>
  <si>
    <t>Temperature stimulus is an external stimulus.</t>
  </si>
  <si>
    <t>Lens epithelial cell proliferation is a multicellular organismal process.</t>
  </si>
  <si>
    <t>Eicosanoids are a class of molecules derived from 20-carbon polyunsaturated fatty acids.</t>
  </si>
  <si>
    <t>Mitochondiral ncRNA is a ncRNA.</t>
  </si>
  <si>
    <t>Tensidol B is a cellular amide.</t>
  </si>
  <si>
    <t>Aromatic amino acid family is a carboxylic acid.</t>
  </si>
  <si>
    <t>Bronchiole is a part of lung.</t>
  </si>
  <si>
    <t>Arginine is an amine.</t>
  </si>
  <si>
    <t>Host B-cell mediated immune response is a host cell-mediated immune response.</t>
  </si>
  <si>
    <t>Meiotic DNA integrity checkpoint signaling should be a part of meiotic cell cycle.</t>
  </si>
  <si>
    <t>Molybdopterin cofactor is a prosthetic group.</t>
  </si>
  <si>
    <t>Pigment catabolic process is a catabolic process.</t>
  </si>
  <si>
    <t>Prostaglandin is a hormone.</t>
  </si>
  <si>
    <t>Protein guanylyltransferase activity is a part of protein process.</t>
  </si>
  <si>
    <t>Hepatocyte growth factor is a cytokine.</t>
  </si>
  <si>
    <t>NAD is a pyridine nucleotide.</t>
  </si>
  <si>
    <t>Tolerance induction is a developmental process.</t>
  </si>
  <si>
    <t>Modulation by virus of host gene expression is a regulation of gene expression.</t>
  </si>
  <si>
    <t>Cell morphogenesis is a cell development.</t>
  </si>
  <si>
    <t>Phthalate is a xenobiotic.</t>
  </si>
  <si>
    <t>Sphingomyelin is a cellular amide.</t>
  </si>
  <si>
    <t>Chloride channel inhibitor is an ion channel inhibitor.</t>
  </si>
  <si>
    <t>Mitochondrial DNA metabolic process is a mitochondrion organization.</t>
  </si>
  <si>
    <t>Penicillin is a cellular amine.</t>
  </si>
  <si>
    <t>mRNA modification is a mRNA processing.</t>
  </si>
  <si>
    <t>Pseurotin A is a cellular amide.</t>
  </si>
  <si>
    <t>Pelvic fin is a limb.</t>
  </si>
  <si>
    <t>Nitric oxide is a gas.</t>
  </si>
  <si>
    <t>Phospholipase is a lipase.</t>
  </si>
  <si>
    <t>Pericardium is a part of heart.</t>
  </si>
  <si>
    <t>B cell antigen processing and presentation is a lymphocyte mediated immunity.</t>
  </si>
  <si>
    <t>mitochondrial mRNA is mitochondrial RNA.</t>
  </si>
  <si>
    <t>Ureteric bud is a part of mesonephros.</t>
  </si>
  <si>
    <t>Detection of virus is a detection of other organism.</t>
  </si>
  <si>
    <t>Pinoresinol is a secondary metabolite.</t>
  </si>
  <si>
    <t xml:space="preserve">tRNA demethylase activity is a part of tRNA demethylation.
 </t>
  </si>
  <si>
    <t>methylation is a modification</t>
  </si>
  <si>
    <t>deamination is a catabolic process</t>
  </si>
  <si>
    <t>formation is part of morphogenesis</t>
  </si>
  <si>
    <t>(-)-pinoresinol is a secondary metabolite</t>
  </si>
  <si>
    <t>estradiol is a hormone</t>
  </si>
  <si>
    <t>olefinic compount is a organic substance</t>
  </si>
  <si>
    <t>Proliferation is a form of activation</t>
  </si>
  <si>
    <t>GPI anchor is part of making lipoprotiens</t>
  </si>
  <si>
    <t>rhodopsin is a cellular macromolecule</t>
  </si>
  <si>
    <t>cetnriole elongation is a cytoskeleton organization</t>
  </si>
  <si>
    <t>treithanolamine is a cellular alcohol</t>
  </si>
  <si>
    <t>teichruonic acid is a sell wall macromolecule</t>
  </si>
  <si>
    <t>indoleacetic acid is a small molecule</t>
  </si>
  <si>
    <t>formation of boundry is part of development</t>
  </si>
  <si>
    <t>pheromone is a organic substance</t>
  </si>
  <si>
    <t>alpha-pinene is a cellular lipid</t>
  </si>
  <si>
    <t>histone h3-k27 is a peptidyl -lysine</t>
  </si>
  <si>
    <t>azurophil granule is a lysosomal lumen</t>
  </si>
  <si>
    <t>chromatid seperation is a chromosome organization</t>
  </si>
  <si>
    <t xml:space="preserve">heart rudemine is part of ebryonic organ </t>
  </si>
  <si>
    <t>fin is a tissue</t>
  </si>
  <si>
    <t>ether is a small molecule</t>
  </si>
  <si>
    <t>plant epidermis is a tissue</t>
  </si>
  <si>
    <t>glucose is a organic substance</t>
  </si>
  <si>
    <t>Cytoltyic granule is a lysosomal lumen</t>
  </si>
  <si>
    <t>cadinene is a lipid</t>
  </si>
  <si>
    <t>skeletal muscle cell is a striated muscle cell</t>
  </si>
  <si>
    <t xml:space="preserve">protien kinase regulator is part of protein kinase activity </t>
  </si>
  <si>
    <t>autophagosome maturation is a organelle organization</t>
  </si>
  <si>
    <t>mesonephric glomerular visceral epithelial cell is a mesonphric glomerular epithelial cell</t>
  </si>
  <si>
    <t>nitrate is a cellular nitrogen compound</t>
  </si>
  <si>
    <t>Juvenile hormone is a cellular lipid</t>
  </si>
  <si>
    <t>sinoatrial valve is part of heart</t>
  </si>
  <si>
    <t>cell wall polysaccharide is a cellulur carbohydrate</t>
  </si>
  <si>
    <t xml:space="preserve">glycosinolate is a organic acid </t>
  </si>
  <si>
    <t>N- terminal peptidyl-methionine is a protein</t>
  </si>
  <si>
    <t>meiotic decondensation is a part of meiotic chromatid segregation</t>
  </si>
  <si>
    <t>Aortic valve is part of the heart</t>
  </si>
  <si>
    <t>JUN kinase is a stress-activated MAPK cascade.</t>
  </si>
  <si>
    <t>has_part</t>
  </si>
  <si>
    <t>Ganglion belongs to peripheral nervous system.</t>
  </si>
  <si>
    <t>RNA is cellular macromolecule.</t>
  </si>
  <si>
    <t>Bicoid mRNA localization is a cell maturation.</t>
  </si>
  <si>
    <t>RIG-I is invovled in detecting infected viral sequence and activate cellular defense machanism</t>
  </si>
  <si>
    <t>Atrial cardiac muscle cell action potential is a cardiac muscle cell contraction.</t>
  </si>
  <si>
    <t>Lymphocyte differentiation is a lymphocyte activation.</t>
  </si>
  <si>
    <t>Teichoic acid is cell wall macromolecule.</t>
  </si>
  <si>
    <t>Geranyl diphosphate is a precursor to monoterpenes, which is a branched lipid.</t>
  </si>
  <si>
    <t>Anthocyanins are glycosides of anthocyanidins.</t>
  </si>
  <si>
    <t>Acetylation is a kind of modification.</t>
  </si>
  <si>
    <t>Mo-molybdopterin cofactor is a prosthetic group.</t>
  </si>
  <si>
    <t>Glucose is a kind of carbohydrate.</t>
  </si>
  <si>
    <t>Centriole replication is a step of centrosome cycle.</t>
  </si>
  <si>
    <t>Conidiophore stalk is a spore-bearing organ.</t>
  </si>
  <si>
    <t>Determination of dorsal identity is a developmental process.</t>
  </si>
  <si>
    <t>Nucleotide-sugar is a nucleobase-containing small molecule.</t>
  </si>
  <si>
    <t>Ansamycin is a kind of antibiotic.</t>
  </si>
  <si>
    <t>Muscle filament sliding is a multicellular organismal process.</t>
  </si>
  <si>
    <t>Metabolism includes both anabolism and catabolism.</t>
  </si>
  <si>
    <t>RNA-directed 5'-3' RNA polymerase activity is a RNA biosynthetic process.</t>
  </si>
  <si>
    <t>Mitochondrial outer membrane permeabilization (MOMP) is a crucial event for most apoptotic pathways.</t>
  </si>
  <si>
    <t>Circadian sleep/wake cycle, wakefulness is a multicellular organismal process.</t>
  </si>
  <si>
    <t>Copper ion import across plasma membrane is a copper ion homeostasis.</t>
  </si>
  <si>
    <t>Neutrophil differentiation is a neutrophil activation.</t>
  </si>
  <si>
    <t>Postsynaptic density assembly is a postsynapse assembly.</t>
  </si>
  <si>
    <t>No clear IS_A relationship.</t>
  </si>
  <si>
    <t>B cell antigen processing and presentation is an adaptive immune response based on somatic recombination of immune receptors built from immunoglobulin superfamily .</t>
  </si>
  <si>
    <t xml:space="preserve">Cardiac muscle forms both the atria and the ventricles of the heart. </t>
  </si>
  <si>
    <t>Neurotransmitter receptor is a macromolecule.</t>
  </si>
  <si>
    <t>ATP is a kind of nucleotide.</t>
  </si>
  <si>
    <t>lymphocyte differentiation is a lymphocyte activation.</t>
  </si>
  <si>
    <t>Monocyte is a type of blood mononuclear cell.</t>
  </si>
  <si>
    <t>Phospholipid scramblase activity is a cellular component organization.</t>
  </si>
  <si>
    <t>Centriole replication is a centrosome duplication.</t>
  </si>
  <si>
    <t>Presynapse assembly is a nervous system development.</t>
  </si>
  <si>
    <t>Guanyl-nucleotide exchange factor activity is a step in GTP biding.</t>
  </si>
  <si>
    <t>Cell growth is a kind of developmental growth.</t>
  </si>
  <si>
    <t xml:space="preserve">Hepatocyte growth factor is secreted by mesenchymal cells and acts as a multi-functional cytokine on cells of mainly epithelial origin. </t>
  </si>
  <si>
    <t>Nucleoside phosphate is a kind of nucleobase-containing small molecule .</t>
  </si>
  <si>
    <t>Lipopolysaccharide is a type of lipid</t>
  </si>
  <si>
    <t>Anaerobic ethylbenzene is a kind of organic cyclic compound.</t>
  </si>
  <si>
    <t>Cardiac right atrium is a part of heart.</t>
  </si>
  <si>
    <t>heart rudiment morphogenesis is a part of tube morphogenesis.</t>
  </si>
  <si>
    <t>Ceramide transfer activity is a part of ceramide transport</t>
  </si>
  <si>
    <t>Metanephric macula densa is a part of metanephric nephron.</t>
  </si>
  <si>
    <t>Endocardial cushion fusion is a part of endocardial cushion formation.</t>
  </si>
  <si>
    <t>Floor plate is a part of tube.</t>
  </si>
  <si>
    <t>Hindbrain is a part of brain.</t>
  </si>
  <si>
    <t>Inner ear is a part of organ.</t>
  </si>
  <si>
    <t>Embryonic heart tube is a part of organ.</t>
  </si>
  <si>
    <t>Coronary sinus valve is a part of heart.</t>
  </si>
  <si>
    <t>Cellotriose is a polysaccharide.</t>
  </si>
  <si>
    <t>Polyadenylation-dependent ncRNA catabolic process has part of ncRNA processing.</t>
  </si>
  <si>
    <t>Missing relation</t>
  </si>
  <si>
    <t>Descendant</t>
  </si>
  <si>
    <t>Relation</t>
  </si>
  <si>
    <t>Ancestor</t>
  </si>
  <si>
    <t>Agree/Disagree</t>
  </si>
  <si>
    <t>Evaluators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</si>
</sst>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</font>
    <font>
      <u/>
      <sz val="12"/>
      <color theme="1"/>
      <name val="Calibri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5" fillId="0" borderId="0" xfId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pane ySplit="2" topLeftCell="A801" activePane="bottomLeft" state="frozen"/>
      <selection pane="bottomLeft" activeCell="B827" sqref="B827"/>
    </sheetView>
  </sheetViews>
  <sheetFormatPr baseColWidth="10" defaultColWidth="11.1640625" defaultRowHeight="15" customHeight="1" x14ac:dyDescent="0.2"/>
  <cols>
    <col min="1" max="1" width="10.83203125" style="17" customWidth="1"/>
    <col min="2" max="2" width="78" style="17" customWidth="1"/>
    <col min="3" max="3" width="10.83203125" style="17" customWidth="1"/>
    <col min="4" max="4" width="66.5" style="17" customWidth="1"/>
    <col min="5" max="5" width="21.83203125" style="17" customWidth="1"/>
    <col min="6" max="6" width="29.83203125" style="17" customWidth="1"/>
    <col min="7" max="7" width="70.83203125" style="17" customWidth="1"/>
    <col min="8" max="8" width="10.83203125" style="17" customWidth="1"/>
    <col min="9" max="9" width="70.83203125" style="17" customWidth="1"/>
    <col min="10" max="10" width="21.83203125" style="17" customWidth="1"/>
    <col min="11" max="11" width="23.6640625" style="17" customWidth="1"/>
    <col min="12" max="16384" width="11.1640625" style="17"/>
  </cols>
  <sheetData>
    <row r="1" spans="1:7" s="15" customFormat="1" ht="25" customHeight="1" x14ac:dyDescent="0.2">
      <c r="A1" s="3" t="s">
        <v>0</v>
      </c>
      <c r="B1" s="4" t="s">
        <v>804</v>
      </c>
      <c r="C1" s="4"/>
      <c r="D1" s="4"/>
      <c r="E1" s="4"/>
      <c r="F1" s="4"/>
      <c r="G1" s="5"/>
    </row>
    <row r="2" spans="1:7" s="16" customFormat="1" ht="25" customHeight="1" x14ac:dyDescent="0.2">
      <c r="A2" s="3"/>
      <c r="B2" s="2" t="s">
        <v>805</v>
      </c>
      <c r="C2" s="2" t="s">
        <v>806</v>
      </c>
      <c r="D2" s="2" t="s">
        <v>807</v>
      </c>
      <c r="E2" s="2" t="s">
        <v>808</v>
      </c>
      <c r="F2" s="2" t="s">
        <v>809</v>
      </c>
      <c r="G2" s="2"/>
    </row>
    <row r="3" spans="1:7" ht="24.75" customHeight="1" x14ac:dyDescent="0.2">
      <c r="A3" s="6">
        <v>1</v>
      </c>
      <c r="B3" s="7" t="str">
        <f>HYPERLINK("https://www.ebi.ac.uk/QuickGO/GTerm?id=GO:2000522","GO:2000522 positive regulation of immunological synapse formation")</f>
        <v>GO:2000522 positive regulation of immunological synapse formation</v>
      </c>
      <c r="C3" s="1" t="s">
        <v>1</v>
      </c>
      <c r="D3" s="7" t="str">
        <f>HYPERLINK("https://www.ebi.ac.uk/QuickGO/GTerm?id=GO:0051251","GO:0051251 positive regulation of lymphocyte activation")</f>
        <v>GO:0051251 positive regulation of lymphocyte activation</v>
      </c>
      <c r="E3" s="1" t="s">
        <v>2</v>
      </c>
      <c r="F3" s="1" t="s">
        <v>3</v>
      </c>
      <c r="G3" s="8"/>
    </row>
    <row r="4" spans="1:7" ht="24.75" customHeight="1" x14ac:dyDescent="0.2">
      <c r="A4" s="6">
        <v>2</v>
      </c>
      <c r="B4" s="7" t="str">
        <f>HYPERLINK("https://www.ebi.ac.uk/QuickGO/GTerm?id=GO:0002093","GO:0002093 auditory receptor cell morphogenesis")</f>
        <v>GO:0002093 auditory receptor cell morphogenesis</v>
      </c>
      <c r="C4" s="1" t="s">
        <v>4</v>
      </c>
      <c r="D4" s="7" t="str">
        <f>HYPERLINK("https://www.ebi.ac.uk/QuickGO/GTerm?id=GO:0048730","GO:0048730 epidermis morphogenesis")</f>
        <v>GO:0048730 epidermis morphogenesis</v>
      </c>
      <c r="E4" s="1" t="s">
        <v>2</v>
      </c>
      <c r="F4" s="1" t="s">
        <v>5</v>
      </c>
      <c r="G4" s="8"/>
    </row>
    <row r="5" spans="1:7" ht="24.75" customHeight="1" x14ac:dyDescent="0.2">
      <c r="A5" s="6">
        <v>3</v>
      </c>
      <c r="B5" s="7" t="str">
        <f>HYPERLINK("https://www.ebi.ac.uk/QuickGO/GTerm?id=GO:0003315","GO:0003315 heart rudiment formation")</f>
        <v>GO:0003315 heart rudiment formation</v>
      </c>
      <c r="C5" s="1" t="s">
        <v>4</v>
      </c>
      <c r="D5" s="7" t="str">
        <f>HYPERLINK("https://www.ebi.ac.uk/QuickGO/GTerm?id=GO:0003007","GO:0003007 heart morphogenesis")</f>
        <v>GO:0003007 heart morphogenesis</v>
      </c>
      <c r="E5" s="9" t="s">
        <v>2</v>
      </c>
      <c r="F5" s="9" t="s">
        <v>6</v>
      </c>
      <c r="G5" s="8"/>
    </row>
    <row r="6" spans="1:7" ht="24.75" customHeight="1" x14ac:dyDescent="0.2">
      <c r="A6" s="6">
        <v>4</v>
      </c>
      <c r="B6" s="7" t="str">
        <f>HYPERLINK("https://www.ebi.ac.uk/QuickGO/GTerm?id=GO:0018965","GO:0018965 s-triazine compound metabolic process")</f>
        <v>GO:0018965 s-triazine compound metabolic process</v>
      </c>
      <c r="C6" s="1" t="s">
        <v>1</v>
      </c>
      <c r="D6" s="7" t="str">
        <f>HYPERLINK("https://www.ebi.ac.uk/QuickGO/GTerm?id=GO:0034641","GO:0034641 cellular nitrogen compound metabolic process")</f>
        <v>GO:0034641 cellular nitrogen compound metabolic process</v>
      </c>
      <c r="E6" s="1" t="s">
        <v>2</v>
      </c>
      <c r="F6" s="1" t="s">
        <v>7</v>
      </c>
      <c r="G6" s="8"/>
    </row>
    <row r="7" spans="1:7" ht="24.75" customHeight="1" x14ac:dyDescent="0.2">
      <c r="A7" s="6">
        <v>5</v>
      </c>
      <c r="B7" s="7" t="str">
        <f>HYPERLINK("https://www.ebi.ac.uk/QuickGO/GTerm?id=GO:0032352","GO:0032352 positive regulation of hormone metabolic process")</f>
        <v>GO:0032352 positive regulation of hormone metabolic process</v>
      </c>
      <c r="C7" s="1" t="s">
        <v>1</v>
      </c>
      <c r="D7" s="7" t="str">
        <f>HYPERLINK("https://www.ebi.ac.uk/QuickGO/GTerm?id=GO:0031325","GO:0031325 positive regulation of cellular metabolic process")</f>
        <v>GO:0031325 positive regulation of cellular metabolic process</v>
      </c>
      <c r="E7" s="1" t="s">
        <v>2</v>
      </c>
      <c r="F7" s="1" t="s">
        <v>8</v>
      </c>
      <c r="G7" s="8"/>
    </row>
    <row r="8" spans="1:7" ht="24.75" customHeight="1" x14ac:dyDescent="0.2">
      <c r="A8" s="6">
        <v>6</v>
      </c>
      <c r="B8" s="7" t="str">
        <f>HYPERLINK("https://www.ebi.ac.uk/QuickGO/GTerm?id=GO:1902224","GO:1902224 ketone body metabolic process")</f>
        <v>GO:1902224 ketone body metabolic process</v>
      </c>
      <c r="C8" s="1" t="s">
        <v>1</v>
      </c>
      <c r="D8" s="7" t="str">
        <f>HYPERLINK("https://www.ebi.ac.uk/QuickGO/GTerm?id=GO:0044281","GO:0044281 small molecule metabolic process")</f>
        <v>GO:0044281 small molecule metabolic process</v>
      </c>
      <c r="E8" s="1" t="s">
        <v>2</v>
      </c>
      <c r="F8" s="1" t="s">
        <v>9</v>
      </c>
      <c r="G8" s="8"/>
    </row>
    <row r="9" spans="1:7" ht="24.75" customHeight="1" x14ac:dyDescent="0.2">
      <c r="A9" s="6">
        <v>7</v>
      </c>
      <c r="B9" s="7" t="str">
        <f>HYPERLINK("https://www.ebi.ac.uk/QuickGO/GTerm?id=GO:1903472","GO:1903472 negative regulation of mitotic actomyosin contractile ring contraction")</f>
        <v>GO:1903472 negative regulation of mitotic actomyosin contractile ring contraction</v>
      </c>
      <c r="C9" s="1" t="s">
        <v>1</v>
      </c>
      <c r="D9" s="7" t="str">
        <f>HYPERLINK("https://www.ebi.ac.uk/QuickGO/GTerm?id=GO:0051494","GO:0051494 negative regulation of cytoskeleton organization")</f>
        <v>GO:0051494 negative regulation of cytoskeleton organization</v>
      </c>
      <c r="E9" s="1" t="s">
        <v>2</v>
      </c>
      <c r="F9" s="1" t="s">
        <v>10</v>
      </c>
      <c r="G9" s="8"/>
    </row>
    <row r="10" spans="1:7" ht="24.75" customHeight="1" x14ac:dyDescent="0.2">
      <c r="A10" s="6">
        <v>8</v>
      </c>
      <c r="B10" s="7" t="str">
        <f>HYPERLINK("https://www.ebi.ac.uk/QuickGO/GTerm?id=GO:0120255","GO:0120255 olefinic compound biosynthetic process")</f>
        <v>GO:0120255 olefinic compound biosynthetic process</v>
      </c>
      <c r="C10" s="1" t="s">
        <v>1</v>
      </c>
      <c r="D10" s="7" t="str">
        <f>HYPERLINK("https://www.ebi.ac.uk/QuickGO/GTerm?id=GO:1901576","GO:1901576 organic substance biosynthetic process")</f>
        <v>GO:1901576 organic substance biosynthetic process</v>
      </c>
      <c r="E10" s="1" t="s">
        <v>2</v>
      </c>
      <c r="F10" s="1" t="s">
        <v>11</v>
      </c>
      <c r="G10" s="8"/>
    </row>
    <row r="11" spans="1:7" ht="24.75" customHeight="1" x14ac:dyDescent="0.2">
      <c r="A11" s="6">
        <v>9</v>
      </c>
      <c r="B11" s="7" t="str">
        <f>HYPERLINK("https://www.ebi.ac.uk/QuickGO/GTerm?id=GO:1901552","GO:1901552 positive regulation of endothelial cell development")</f>
        <v>GO:1901552 positive regulation of endothelial cell development</v>
      </c>
      <c r="C11" s="1" t="s">
        <v>1</v>
      </c>
      <c r="D11" s="7" t="str">
        <f>HYPERLINK("https://www.ebi.ac.uk/QuickGO/GTerm?id=GO:0045603","GO:0045603 positive regulation of endothelial cell differentiation")</f>
        <v>GO:0045603 positive regulation of endothelial cell differentiation</v>
      </c>
      <c r="E11" s="1" t="s">
        <v>2</v>
      </c>
      <c r="F11" s="1" t="s">
        <v>12</v>
      </c>
      <c r="G11" s="8"/>
    </row>
    <row r="12" spans="1:7" ht="24.75" customHeight="1" x14ac:dyDescent="0.2">
      <c r="A12" s="6">
        <v>10</v>
      </c>
      <c r="B12" s="7" t="str">
        <f>HYPERLINK("https://www.ebi.ac.uk/QuickGO/GTerm?id=GO:0150102","GO:0150102 negative regulation of monocyte activation")</f>
        <v>GO:0150102 negative regulation of monocyte activation</v>
      </c>
      <c r="C12" s="1" t="s">
        <v>1</v>
      </c>
      <c r="D12" s="7" t="str">
        <f>HYPERLINK("https://www.ebi.ac.uk/QuickGO/GTerm?id=GO:0002695","GO:0002695 negative regulation of leukocyte activation")</f>
        <v>GO:0002695 negative regulation of leukocyte activation</v>
      </c>
      <c r="E12" s="9" t="s">
        <v>2</v>
      </c>
      <c r="F12" s="1" t="s">
        <v>13</v>
      </c>
      <c r="G12" s="8"/>
    </row>
    <row r="13" spans="1:7" ht="24.75" customHeight="1" x14ac:dyDescent="0.2">
      <c r="A13" s="6">
        <v>11</v>
      </c>
      <c r="B13" s="7" t="str">
        <f>HYPERLINK("https://www.ebi.ac.uk/QuickGO/GTerm?id=GO:0002407","GO:0002407 dendritic cell chemotaxis")</f>
        <v>GO:0002407 dendritic cell chemotaxis</v>
      </c>
      <c r="C13" s="1" t="s">
        <v>1</v>
      </c>
      <c r="D13" s="7" t="str">
        <f>HYPERLINK("https://www.ebi.ac.uk/QuickGO/GTerm?id=GO:0048247","GO:0048247 lymphocyte chemotaxis")</f>
        <v>GO:0048247 lymphocyte chemotaxis</v>
      </c>
      <c r="E13" s="1" t="s">
        <v>2</v>
      </c>
      <c r="F13" s="1" t="s">
        <v>14</v>
      </c>
      <c r="G13" s="8"/>
    </row>
    <row r="14" spans="1:7" ht="24.75" customHeight="1" x14ac:dyDescent="0.2">
      <c r="A14" s="6">
        <v>12</v>
      </c>
      <c r="B14" s="7" t="str">
        <f>HYPERLINK("https://www.ebi.ac.uk/QuickGO/GTerm?id=GO:1903669","GO:1903669 positive regulation of chemorepellent activity")</f>
        <v>GO:1903669 positive regulation of chemorepellent activity</v>
      </c>
      <c r="C14" s="1" t="s">
        <v>1</v>
      </c>
      <c r="D14" s="7" t="str">
        <f>HYPERLINK("https://www.ebi.ac.uk/QuickGO/GTerm?id=GO:0050921","GO:0050921 positive regulation of chemotaxis")</f>
        <v>GO:0050921 positive regulation of chemotaxis</v>
      </c>
      <c r="E14" s="1" t="s">
        <v>2</v>
      </c>
      <c r="F14" s="1" t="s">
        <v>15</v>
      </c>
      <c r="G14" s="8"/>
    </row>
    <row r="15" spans="1:7" ht="24.75" customHeight="1" x14ac:dyDescent="0.2">
      <c r="A15" s="6">
        <v>13</v>
      </c>
      <c r="B15" s="7" t="str">
        <f>HYPERLINK("https://www.ebi.ac.uk/QuickGO/GTerm?id=GO:0030318","GO:0030318 melanocyte differentiation")</f>
        <v>GO:0030318 melanocyte differentiation</v>
      </c>
      <c r="C15" s="1" t="s">
        <v>1</v>
      </c>
      <c r="D15" s="7" t="str">
        <f>HYPERLINK("https://www.ebi.ac.uk/QuickGO/GTerm?id=GO:0030855","GO:0030855 epithelial cell differentiation")</f>
        <v>GO:0030855 epithelial cell differentiation</v>
      </c>
      <c r="E15" s="1" t="s">
        <v>2</v>
      </c>
      <c r="F15" s="1" t="s">
        <v>16</v>
      </c>
      <c r="G15" s="8"/>
    </row>
    <row r="16" spans="1:7" ht="24.75" customHeight="1" x14ac:dyDescent="0.2">
      <c r="A16" s="6">
        <v>14</v>
      </c>
      <c r="B16" s="7" t="str">
        <f>HYPERLINK("https://www.ebi.ac.uk/QuickGO/GTerm?id=GO:0008276","GO:0008276 protein methyltransferase activity")</f>
        <v>GO:0008276 protein methyltransferase activity</v>
      </c>
      <c r="C16" s="1" t="s">
        <v>4</v>
      </c>
      <c r="D16" s="7" t="str">
        <f>HYPERLINK("https://www.ebi.ac.uk/QuickGO/GTerm?id=GO:0016485","GO:0016485 protein processing")</f>
        <v>GO:0016485 protein processing</v>
      </c>
      <c r="E16" s="1" t="s">
        <v>2</v>
      </c>
      <c r="F16" s="1" t="s">
        <v>17</v>
      </c>
      <c r="G16" s="8"/>
    </row>
    <row r="17" spans="1:7" ht="24.75" customHeight="1" x14ac:dyDescent="0.2">
      <c r="A17" s="6">
        <v>15</v>
      </c>
      <c r="B17" s="7" t="str">
        <f>HYPERLINK("https://www.ebi.ac.uk/QuickGO/GTerm?id=GO:0031632","GO:0031632 positive regulation of synaptic vesicle fusion to presynaptic active zone membrane")</f>
        <v>GO:0031632 positive regulation of synaptic vesicle fusion to presynaptic active zone membrane</v>
      </c>
      <c r="C17" s="1" t="s">
        <v>1</v>
      </c>
      <c r="D17" s="7" t="str">
        <f>HYPERLINK("https://www.ebi.ac.uk/QuickGO/GTerm?id=GO:0001956","GO:0001956 positive regulation of neurotransmitter secretion")</f>
        <v>GO:0001956 positive regulation of neurotransmitter secretion</v>
      </c>
      <c r="E17" s="1" t="s">
        <v>2</v>
      </c>
      <c r="F17" s="1" t="s">
        <v>18</v>
      </c>
      <c r="G17" s="8"/>
    </row>
    <row r="18" spans="1:7" ht="24.75" customHeight="1" x14ac:dyDescent="0.2">
      <c r="A18" s="6">
        <v>16</v>
      </c>
      <c r="B18" s="7" t="str">
        <f>HYPERLINK("https://www.ebi.ac.uk/QuickGO/GTerm?id=GO:0006145","GO:0006145 purine nucleobase catabolic process")</f>
        <v>GO:0006145 purine nucleobase catabolic process</v>
      </c>
      <c r="C18" s="1" t="s">
        <v>1</v>
      </c>
      <c r="D18" s="7" t="str">
        <f>HYPERLINK("https://www.ebi.ac.uk/QuickGO/GTerm?id=GO:0046149","GO:0046149 pigment catabolic process")</f>
        <v>GO:0046149 pigment catabolic process</v>
      </c>
      <c r="E18" s="1" t="s">
        <v>2</v>
      </c>
      <c r="F18" s="1" t="s">
        <v>19</v>
      </c>
      <c r="G18" s="8"/>
    </row>
    <row r="19" spans="1:7" ht="24.75" customHeight="1" x14ac:dyDescent="0.2">
      <c r="A19" s="6">
        <v>17</v>
      </c>
      <c r="B19" s="7" t="str">
        <f>HYPERLINK("https://www.ebi.ac.uk/QuickGO/GTerm?id=GO:2001003","GO:2001003 regulation of pectin catabolic process")</f>
        <v>GO:2001003 regulation of pectin catabolic process</v>
      </c>
      <c r="C19" s="1" t="s">
        <v>20</v>
      </c>
      <c r="D19" s="7" t="str">
        <f>HYPERLINK("https://www.ebi.ac.uk/QuickGO/GTerm?id=GO:0044265","GO:0044265 cellular macromolecule catabolic process")</f>
        <v>GO:0044265 cellular macromolecule catabolic process</v>
      </c>
      <c r="E19" s="1" t="s">
        <v>2</v>
      </c>
      <c r="F19" s="1" t="s">
        <v>21</v>
      </c>
      <c r="G19" s="8"/>
    </row>
    <row r="20" spans="1:7" ht="24.75" customHeight="1" x14ac:dyDescent="0.2">
      <c r="A20" s="6">
        <v>18</v>
      </c>
      <c r="B20" s="7" t="str">
        <f>HYPERLINK("https://www.ebi.ac.uk/QuickGO/GTerm?id=GO:0010856","GO:0010856 adenylate cyclase activator activity")</f>
        <v>GO:0010856 adenylate cyclase activator activity</v>
      </c>
      <c r="C20" s="1" t="s">
        <v>1</v>
      </c>
      <c r="D20" s="7" t="str">
        <f>HYPERLINK("https://www.ebi.ac.uk/QuickGO/GTerm?id=GO:0010854","GO:0010854 adenylate cyclase regulator activity")</f>
        <v>GO:0010854 adenylate cyclase regulator activity</v>
      </c>
      <c r="E20" s="1" t="s">
        <v>2</v>
      </c>
      <c r="F20" s="1" t="s">
        <v>22</v>
      </c>
      <c r="G20" s="8"/>
    </row>
    <row r="21" spans="1:7" ht="24.75" customHeight="1" x14ac:dyDescent="0.2">
      <c r="A21" s="6">
        <v>19</v>
      </c>
      <c r="B21" s="7" t="str">
        <f>HYPERLINK("https://www.ebi.ac.uk/QuickGO/GTerm?id=GO:1903266","GO:1903266 regulation of ornithine catabolic process")</f>
        <v>GO:1903266 regulation of ornithine catabolic process</v>
      </c>
      <c r="C21" s="1" t="s">
        <v>1</v>
      </c>
      <c r="D21" s="7" t="str">
        <f>HYPERLINK("https://www.ebi.ac.uk/QuickGO/GTerm?id=GO:0033241","GO:0033241 regulation of cellular amine catabolic process")</f>
        <v>GO:0033241 regulation of cellular amine catabolic process</v>
      </c>
      <c r="E21" s="1" t="s">
        <v>2</v>
      </c>
      <c r="F21" s="1" t="s">
        <v>23</v>
      </c>
      <c r="G21" s="8"/>
    </row>
    <row r="22" spans="1:7" ht="24.75" customHeight="1" x14ac:dyDescent="0.2">
      <c r="A22" s="6">
        <v>20</v>
      </c>
      <c r="B22" s="7" t="str">
        <f>HYPERLINK("https://www.ebi.ac.uk/QuickGO/GTerm?id=GO:0106253","GO:0106253 positive regulation of DNA strand resection involved in replication fork processing")</f>
        <v>GO:0106253 positive regulation of DNA strand resection involved in replication fork processing</v>
      </c>
      <c r="C22" s="1" t="s">
        <v>1</v>
      </c>
      <c r="D22" s="7" t="str">
        <f>HYPERLINK("https://www.ebi.ac.uk/QuickGO/GTerm?id=GO:0010557","GO:0010557 positive regulation of macromolecule biosynthetic process")</f>
        <v>GO:0010557 positive regulation of macromolecule biosynthetic process</v>
      </c>
      <c r="E22" s="1" t="s">
        <v>2</v>
      </c>
      <c r="F22" s="1" t="s">
        <v>24</v>
      </c>
      <c r="G22" s="8"/>
    </row>
    <row r="23" spans="1:7" ht="24.75" customHeight="1" x14ac:dyDescent="0.2">
      <c r="A23" s="6">
        <v>21</v>
      </c>
      <c r="B23" s="7" t="str">
        <f>HYPERLINK("https://www.ebi.ac.uk/QuickGO/GTerm?id=GO:0033668","GO:0033668 negative regulation by symbiont of host apoptotic process")</f>
        <v>GO:0033668 negative regulation by symbiont of host apoptotic process</v>
      </c>
      <c r="C23" s="1" t="s">
        <v>1</v>
      </c>
      <c r="D23" s="7" t="str">
        <f>HYPERLINK("https://www.ebi.ac.uk/QuickGO/GTerm?id=GO:0031342","GO:0031342 negative regulation of cell killing")</f>
        <v>GO:0031342 negative regulation of cell killing</v>
      </c>
      <c r="E23" s="1" t="s">
        <v>2</v>
      </c>
      <c r="F23" s="1" t="s">
        <v>25</v>
      </c>
      <c r="G23" s="8"/>
    </row>
    <row r="24" spans="1:7" ht="24.75" customHeight="1" x14ac:dyDescent="0.2">
      <c r="A24" s="6">
        <v>22</v>
      </c>
      <c r="B24" s="7" t="str">
        <f>HYPERLINK("https://www.ebi.ac.uk/QuickGO/GTerm?id=GO:0036115","GO:0036115 fatty-acyl-CoA catabolic process")</f>
        <v>GO:0036115 fatty-acyl-CoA catabolic process</v>
      </c>
      <c r="C24" s="1" t="s">
        <v>1</v>
      </c>
      <c r="D24" s="7" t="str">
        <f>HYPERLINK("https://www.ebi.ac.uk/QuickGO/GTerm?id=GO:0043605","GO:0043605 cellular amide catabolic process")</f>
        <v>GO:0043605 cellular amide catabolic process</v>
      </c>
      <c r="E24" s="1" t="s">
        <v>2</v>
      </c>
      <c r="F24" s="1" t="s">
        <v>26</v>
      </c>
      <c r="G24" s="8"/>
    </row>
    <row r="25" spans="1:7" ht="24.75" customHeight="1" x14ac:dyDescent="0.2">
      <c r="A25" s="6">
        <v>23</v>
      </c>
      <c r="B25" s="7" t="str">
        <f>HYPERLINK("https://www.ebi.ac.uk/QuickGO/GTerm?id=GO:0021593","GO:0021593 rhombomere morphogenesis")</f>
        <v>GO:0021593 rhombomere morphogenesis</v>
      </c>
      <c r="C25" s="1" t="s">
        <v>4</v>
      </c>
      <c r="D25" s="7" t="str">
        <f>HYPERLINK("https://www.ebi.ac.uk/QuickGO/GTerm?id=GO:0021575","GO:0021575 hindbrain morphogenesis")</f>
        <v>GO:0021575 hindbrain morphogenesis</v>
      </c>
      <c r="E25" s="1" t="s">
        <v>2</v>
      </c>
      <c r="F25" s="1" t="s">
        <v>27</v>
      </c>
      <c r="G25" s="8"/>
    </row>
    <row r="26" spans="1:7" ht="24.75" customHeight="1" x14ac:dyDescent="0.2">
      <c r="A26" s="6">
        <v>24</v>
      </c>
      <c r="B26" s="7" t="str">
        <f>HYPERLINK("https://www.ebi.ac.uk/QuickGO/GTerm?id=GO:0004484","GO:0004484 mRNA guanylyltransferase activity")</f>
        <v>GO:0004484 mRNA guanylyltransferase activity</v>
      </c>
      <c r="C26" s="1" t="s">
        <v>4</v>
      </c>
      <c r="D26" s="7" t="str">
        <f>HYPERLINK("https://www.ebi.ac.uk/QuickGO/GTerm?id=GO:0006397","GO:0006397 mRNA processing")</f>
        <v>GO:0006397 mRNA processing</v>
      </c>
      <c r="E26" s="1" t="s">
        <v>2</v>
      </c>
      <c r="F26" s="1" t="s">
        <v>28</v>
      </c>
      <c r="G26" s="8"/>
    </row>
    <row r="27" spans="1:7" ht="24.75" customHeight="1" x14ac:dyDescent="0.2">
      <c r="A27" s="6">
        <v>25</v>
      </c>
      <c r="B27" s="7" t="str">
        <f>HYPERLINK("https://www.ebi.ac.uk/QuickGO/GTerm?id=GO:0039630","GO:0039630 RNA translocase activity")</f>
        <v>GO:0039630 RNA translocase activity</v>
      </c>
      <c r="C27" s="1" t="s">
        <v>1</v>
      </c>
      <c r="D27" s="7" t="str">
        <f>HYPERLINK("https://www.ebi.ac.uk/QuickGO/GTerm?id=GO:0140098","GO:0140098 catalytic activity, acting on RNA")</f>
        <v>GO:0140098 catalytic activity, acting on RNA</v>
      </c>
      <c r="E27" s="1" t="s">
        <v>2</v>
      </c>
      <c r="F27" s="1" t="s">
        <v>29</v>
      </c>
      <c r="G27" s="8"/>
    </row>
    <row r="28" spans="1:7" ht="24.75" customHeight="1" x14ac:dyDescent="0.2">
      <c r="A28" s="6">
        <v>26</v>
      </c>
      <c r="B28" s="7" t="str">
        <f>HYPERLINK("https://www.ebi.ac.uk/QuickGO/GTerm?id=GO:0034217","GO:0034217 ascospore wall chitin biosynthetic process")</f>
        <v>GO:0034217 ascospore wall chitin biosynthetic process</v>
      </c>
      <c r="C28" s="1" t="s">
        <v>1</v>
      </c>
      <c r="D28" s="7" t="str">
        <f>HYPERLINK("https://www.ebi.ac.uk/QuickGO/GTerm?id=GO:0051278","GO:0051278 fungal-type cell wall polysaccharide biosynthetic process")</f>
        <v>GO:0051278 fungal-type cell wall polysaccharide biosynthetic process</v>
      </c>
      <c r="E28" s="1" t="s">
        <v>2</v>
      </c>
      <c r="F28" s="1" t="s">
        <v>30</v>
      </c>
      <c r="G28" s="8"/>
    </row>
    <row r="29" spans="1:7" ht="24.75" customHeight="1" x14ac:dyDescent="0.2">
      <c r="A29" s="6">
        <v>27</v>
      </c>
      <c r="B29" s="7" t="str">
        <f>HYPERLINK("https://www.ebi.ac.uk/QuickGO/GTerm?id=GO:0110040","GO:0110040 pharynx morphogenesis")</f>
        <v>GO:0110040 pharynx morphogenesis</v>
      </c>
      <c r="C29" s="1" t="s">
        <v>4</v>
      </c>
      <c r="D29" s="7" t="str">
        <f>HYPERLINK("https://www.ebi.ac.uk/QuickGO/GTerm?id=GO:0048546","GO:0048546 digestive tract morphogenesis")</f>
        <v>GO:0048546 digestive tract morphogenesis</v>
      </c>
      <c r="E29" s="1" t="s">
        <v>2</v>
      </c>
      <c r="F29" s="1" t="s">
        <v>31</v>
      </c>
      <c r="G29" s="8"/>
    </row>
    <row r="30" spans="1:7" ht="24.75" customHeight="1" x14ac:dyDescent="0.2">
      <c r="A30" s="6">
        <v>28</v>
      </c>
      <c r="B30" s="7" t="str">
        <f>HYPERLINK("https://www.ebi.ac.uk/QuickGO/GTerm?id=GO:0009450","GO:0009450 gamma-aminobutyric acid catabolic process")</f>
        <v>GO:0009450 gamma-aminobutyric acid catabolic process</v>
      </c>
      <c r="C30" s="1" t="s">
        <v>1</v>
      </c>
      <c r="D30" s="7" t="str">
        <f>HYPERLINK("https://www.ebi.ac.uk/QuickGO/GTerm?id=GO:0072329","GO:0072329 monocarboxylic acid catabolic process")</f>
        <v>GO:0072329 monocarboxylic acid catabolic process</v>
      </c>
      <c r="E30" s="1" t="s">
        <v>2</v>
      </c>
      <c r="F30" s="1" t="s">
        <v>32</v>
      </c>
      <c r="G30" s="8"/>
    </row>
    <row r="31" spans="1:7" ht="24.75" customHeight="1" x14ac:dyDescent="0.2">
      <c r="A31" s="6">
        <v>29</v>
      </c>
      <c r="B31" s="7" t="str">
        <f>HYPERLINK("https://www.ebi.ac.uk/QuickGO/GTerm?id=GO:1905820","GO:1905820 positive regulation of chromosome separation")</f>
        <v>GO:1905820 positive regulation of chromosome separation</v>
      </c>
      <c r="C31" s="1" t="s">
        <v>1</v>
      </c>
      <c r="D31" s="7" t="str">
        <f>HYPERLINK("https://www.ebi.ac.uk/QuickGO/GTerm?id=GO:0051984","GO:0051984 positive regulation of chromosome segregation")</f>
        <v>GO:0051984 positive regulation of chromosome segregation</v>
      </c>
      <c r="E31" s="1" t="s">
        <v>2</v>
      </c>
      <c r="F31" s="1" t="s">
        <v>33</v>
      </c>
      <c r="G31" s="8"/>
    </row>
    <row r="32" spans="1:7" ht="24.75" customHeight="1" x14ac:dyDescent="0.2">
      <c r="A32" s="6">
        <v>30</v>
      </c>
      <c r="B32" s="7" t="str">
        <f>HYPERLINK("https://www.ebi.ac.uk/QuickGO/GTerm?id=GO:0051136","GO:0051136 regulation of NK T cell differentiation")</f>
        <v>GO:0051136 regulation of NK T cell differentiation</v>
      </c>
      <c r="C32" s="1" t="s">
        <v>1</v>
      </c>
      <c r="D32" s="7" t="str">
        <f>HYPERLINK("https://www.ebi.ac.uk/QuickGO/GTerm?id=GO:0051133","GO:0051133 regulation of NK T cell activation")</f>
        <v>GO:0051133 regulation of NK T cell activation</v>
      </c>
      <c r="E32" s="1" t="s">
        <v>2</v>
      </c>
      <c r="F32" s="1" t="s">
        <v>34</v>
      </c>
      <c r="G32" s="8"/>
    </row>
    <row r="33" spans="1:7" ht="24.75" customHeight="1" x14ac:dyDescent="0.2">
      <c r="A33" s="6">
        <v>31</v>
      </c>
      <c r="B33" s="7" t="str">
        <f>HYPERLINK("https://www.ebi.ac.uk/QuickGO/GTerm?id=GO:2001294","GO:2001294 malonyl-CoA catabolic process")</f>
        <v>GO:2001294 malonyl-CoA catabolic process</v>
      </c>
      <c r="C33" s="1" t="s">
        <v>1</v>
      </c>
      <c r="D33" s="7" t="str">
        <f>HYPERLINK("https://www.ebi.ac.uk/QuickGO/GTerm?id=GO:0043605","GO:0043605 cellular amide catabolic process")</f>
        <v>GO:0043605 cellular amide catabolic process</v>
      </c>
      <c r="E33" s="1" t="s">
        <v>2</v>
      </c>
      <c r="F33" s="1" t="s">
        <v>26</v>
      </c>
      <c r="G33" s="8"/>
    </row>
    <row r="34" spans="1:7" ht="24.75" customHeight="1" x14ac:dyDescent="0.2">
      <c r="A34" s="6">
        <v>32</v>
      </c>
      <c r="B34" s="7" t="str">
        <f>HYPERLINK("https://www.ebi.ac.uk/QuickGO/GTerm?id=GO:0006671","GO:0006671 phytosphingosine metabolic process")</f>
        <v>GO:0006671 phytosphingosine metabolic process</v>
      </c>
      <c r="C34" s="1" t="s">
        <v>1</v>
      </c>
      <c r="D34" s="7" t="str">
        <f>HYPERLINK("https://www.ebi.ac.uk/QuickGO/GTerm?id=GO:0034641","GO:0034641 cellular nitrogen compound metabolic process")</f>
        <v>GO:0034641 cellular nitrogen compound metabolic process</v>
      </c>
      <c r="E34" s="1" t="s">
        <v>2</v>
      </c>
      <c r="F34" s="1" t="s">
        <v>35</v>
      </c>
      <c r="G34" s="8"/>
    </row>
    <row r="35" spans="1:7" ht="24.75" customHeight="1" x14ac:dyDescent="0.2">
      <c r="A35" s="6">
        <v>33</v>
      </c>
      <c r="B35" s="7" t="str">
        <f>HYPERLINK("https://www.ebi.ac.uk/QuickGO/GTerm?id=GO:0090407","GO:0090407 organophosphate biosynthetic process")</f>
        <v>GO:0090407 organophosphate biosynthetic process</v>
      </c>
      <c r="C35" s="1" t="s">
        <v>1</v>
      </c>
      <c r="D35" s="7" t="str">
        <f>HYPERLINK("https://www.ebi.ac.uk/QuickGO/GTerm?id=GO:0044249","GO:0044249 cellular biosynthetic process")</f>
        <v>GO:0044249 cellular biosynthetic process</v>
      </c>
      <c r="E35" s="1" t="s">
        <v>2</v>
      </c>
      <c r="F35" s="1" t="s">
        <v>36</v>
      </c>
      <c r="G35" s="8"/>
    </row>
    <row r="36" spans="1:7" ht="24.75" customHeight="1" x14ac:dyDescent="0.2">
      <c r="A36" s="6">
        <v>34</v>
      </c>
      <c r="B36" s="7" t="str">
        <f>HYPERLINK("https://www.ebi.ac.uk/QuickGO/GTerm?id=GO:0098666","GO:0098666 G protein-coupled serotonin receptor complex")</f>
        <v>GO:0098666 G protein-coupled serotonin receptor complex</v>
      </c>
      <c r="C36" s="1" t="s">
        <v>1</v>
      </c>
      <c r="D36" s="7" t="str">
        <f>HYPERLINK("https://www.ebi.ac.uk/QuickGO/GTerm?id=GO:0097648","GO:0097648 G protein-coupled receptor complex")</f>
        <v>GO:0097648 G protein-coupled receptor complex</v>
      </c>
      <c r="E36" s="1" t="s">
        <v>2</v>
      </c>
      <c r="F36" s="1" t="s">
        <v>37</v>
      </c>
      <c r="G36" s="8"/>
    </row>
    <row r="37" spans="1:7" ht="24.75" customHeight="1" x14ac:dyDescent="0.2">
      <c r="A37" s="6">
        <v>35</v>
      </c>
      <c r="B37" s="7" t="str">
        <f>HYPERLINK("https://www.ebi.ac.uk/QuickGO/GTerm?id=GO:0106078","GO:0106078 histone succinyltransferase activity")</f>
        <v>GO:0106078 histone succinyltransferase activity</v>
      </c>
      <c r="C37" s="1" t="s">
        <v>1</v>
      </c>
      <c r="D37" s="7" t="str">
        <f>HYPERLINK("https://www.ebi.ac.uk/QuickGO/GTerm?id=GO:0016748","GO:0016748 succinyltransferase activity")</f>
        <v>GO:0016748 succinyltransferase activity</v>
      </c>
      <c r="E37" s="1" t="s">
        <v>2</v>
      </c>
      <c r="F37" s="1" t="s">
        <v>38</v>
      </c>
      <c r="G37" s="8"/>
    </row>
    <row r="38" spans="1:7" ht="24.75" customHeight="1" x14ac:dyDescent="0.2">
      <c r="A38" s="6">
        <v>36</v>
      </c>
      <c r="B38" s="7" t="str">
        <f>HYPERLINK("https://www.ebi.ac.uk/QuickGO/GTerm?id=GO:0050311","GO:0050311 sulfite reductase (ferredoxin) activity")</f>
        <v>GO:0050311 sulfite reductase (ferredoxin) activity</v>
      </c>
      <c r="C38" s="1" t="s">
        <v>1</v>
      </c>
      <c r="D38" s="7" t="str">
        <f>HYPERLINK("https://www.ebi.ac.uk/QuickGO/GTerm?id=GO:0016002","GO:0016002 sulfite reductase activity")</f>
        <v>GO:0016002 sulfite reductase activity</v>
      </c>
      <c r="E38" s="1" t="s">
        <v>2</v>
      </c>
      <c r="F38" s="1" t="s">
        <v>39</v>
      </c>
      <c r="G38" s="8"/>
    </row>
    <row r="39" spans="1:7" ht="24.75" customHeight="1" x14ac:dyDescent="0.2">
      <c r="A39" s="6">
        <v>37</v>
      </c>
      <c r="B39" s="7" t="str">
        <f>HYPERLINK("https://www.ebi.ac.uk/QuickGO/GTerm?id=GO:1903171","GO:1903171 carbon dioxide homeostasis")</f>
        <v>GO:1903171 carbon dioxide homeostasis</v>
      </c>
      <c r="C39" s="1" t="s">
        <v>1</v>
      </c>
      <c r="D39" s="7" t="str">
        <f>HYPERLINK("https://www.ebi.ac.uk/QuickGO/GTerm?id=GO:0033483","GO:0033483 gas homeostasis")</f>
        <v>GO:0033483 gas homeostasis</v>
      </c>
      <c r="E39" s="1" t="s">
        <v>2</v>
      </c>
      <c r="F39" s="1" t="s">
        <v>40</v>
      </c>
      <c r="G39" s="8"/>
    </row>
    <row r="40" spans="1:7" ht="24.75" customHeight="1" x14ac:dyDescent="0.2">
      <c r="A40" s="6">
        <v>38</v>
      </c>
      <c r="B40" s="7" t="str">
        <f>HYPERLINK("https://www.ebi.ac.uk/QuickGO/GTerm?id=GO:0097090","GO:0097090 presynaptic membrane organization")</f>
        <v>GO:0097090 presynaptic membrane organization</v>
      </c>
      <c r="C40" s="1" t="s">
        <v>4</v>
      </c>
      <c r="D40" s="7" t="str">
        <f>HYPERLINK("https://www.ebi.ac.uk/QuickGO/GTerm?id=GO:0099172","GO:0099172 presynapse organization")</f>
        <v>GO:0099172 presynapse organization</v>
      </c>
      <c r="E40" s="1" t="s">
        <v>2</v>
      </c>
      <c r="F40" s="1" t="s">
        <v>41</v>
      </c>
      <c r="G40" s="8"/>
    </row>
    <row r="41" spans="1:7" ht="24.75" customHeight="1" x14ac:dyDescent="0.2">
      <c r="A41" s="6">
        <v>39</v>
      </c>
      <c r="B41" s="7" t="str">
        <f>HYPERLINK("https://www.ebi.ac.uk/QuickGO/GTerm?id=GO:0075071","GO:0075071 modulation by symbiont of host autophagy")</f>
        <v>GO:0075071 modulation by symbiont of host autophagy</v>
      </c>
      <c r="C41" s="1" t="s">
        <v>1</v>
      </c>
      <c r="D41" s="7" t="str">
        <f>HYPERLINK("https://www.ebi.ac.uk/QuickGO/GTerm?id=GO:0010506","GO:0010506 regulation of autophagy")</f>
        <v>GO:0010506 regulation of autophagy</v>
      </c>
      <c r="E41" s="1" t="s">
        <v>2</v>
      </c>
      <c r="F41" s="1" t="s">
        <v>42</v>
      </c>
      <c r="G41" s="8"/>
    </row>
    <row r="42" spans="1:7" ht="24.75" customHeight="1" x14ac:dyDescent="0.2">
      <c r="A42" s="6">
        <v>40</v>
      </c>
      <c r="B42" s="7" t="str">
        <f>HYPERLINK("https://www.ebi.ac.uk/QuickGO/GTerm?id=GO:0015264","GO:0015264 methylammonium channel activity")</f>
        <v>GO:0015264 methylammonium channel activity</v>
      </c>
      <c r="C42" s="1" t="s">
        <v>1</v>
      </c>
      <c r="D42" s="7" t="str">
        <f>HYPERLINK("https://www.ebi.ac.uk/QuickGO/GTerm?id=GO:0005261","GO:0005261 cation channel activity")</f>
        <v>GO:0005261 cation channel activity</v>
      </c>
      <c r="E42" s="1" t="s">
        <v>2</v>
      </c>
      <c r="F42" s="1" t="s">
        <v>43</v>
      </c>
      <c r="G42" s="8"/>
    </row>
    <row r="43" spans="1:7" ht="24.75" customHeight="1" x14ac:dyDescent="0.2">
      <c r="A43" s="6">
        <v>41</v>
      </c>
      <c r="B43" s="7" t="str">
        <f>HYPERLINK("https://www.ebi.ac.uk/QuickGO/GTerm?id=GO:0046831","GO:0046831 regulation of RNA export from nucleus")</f>
        <v>GO:0046831 regulation of RNA export from nucleus</v>
      </c>
      <c r="C43" s="1" t="s">
        <v>20</v>
      </c>
      <c r="D43" s="7" t="str">
        <f>HYPERLINK("https://www.ebi.ac.uk/QuickGO/GTerm?id=GO:0006403","GO:0006403 RNA localization")</f>
        <v>GO:0006403 RNA localization</v>
      </c>
      <c r="E43" s="1" t="s">
        <v>2</v>
      </c>
      <c r="F43" s="1" t="s">
        <v>44</v>
      </c>
      <c r="G43" s="8"/>
    </row>
    <row r="44" spans="1:7" ht="24.75" customHeight="1" x14ac:dyDescent="0.2">
      <c r="A44" s="6">
        <v>42</v>
      </c>
      <c r="B44" s="7" t="str">
        <f>HYPERLINK("https://www.ebi.ac.uk/QuickGO/GTerm?id=GO:0032351","GO:0032351 negative regulation of hormone metabolic process")</f>
        <v>GO:0032351 negative regulation of hormone metabolic process</v>
      </c>
      <c r="C44" s="1" t="s">
        <v>1</v>
      </c>
      <c r="D44" s="7" t="str">
        <f>HYPERLINK("https://www.ebi.ac.uk/QuickGO/GTerm?id=GO:0031324","GO:0031324 negative regulation of cellular metabolic process")</f>
        <v>GO:0031324 negative regulation of cellular metabolic process</v>
      </c>
      <c r="E44" s="1" t="s">
        <v>2</v>
      </c>
      <c r="F44" s="1" t="s">
        <v>45</v>
      </c>
      <c r="G44" s="8"/>
    </row>
    <row r="45" spans="1:7" ht="24.75" customHeight="1" x14ac:dyDescent="0.2">
      <c r="A45" s="6">
        <v>43</v>
      </c>
      <c r="B45" s="7" t="str">
        <f>HYPERLINK("https://www.ebi.ac.uk/QuickGO/GTerm?id=GO:0006662","GO:0006662 glycerol ether metabolic process")</f>
        <v>GO:0006662 glycerol ether metabolic process</v>
      </c>
      <c r="C45" s="1" t="s">
        <v>1</v>
      </c>
      <c r="D45" s="7" t="str">
        <f>HYPERLINK("https://www.ebi.ac.uk/QuickGO/GTerm?id=GO:0044237","GO:0044237 cellular metabolic process")</f>
        <v>GO:0044237 cellular metabolic process</v>
      </c>
      <c r="E45" s="1" t="s">
        <v>2</v>
      </c>
      <c r="F45" s="1" t="s">
        <v>46</v>
      </c>
      <c r="G45" s="8"/>
    </row>
    <row r="46" spans="1:7" ht="24.75" customHeight="1" x14ac:dyDescent="0.2">
      <c r="A46" s="6">
        <v>44</v>
      </c>
      <c r="B46" s="7" t="str">
        <f>HYPERLINK("https://www.ebi.ac.uk/QuickGO/GTerm?id=GO:0051257","GO:0051257 meiotic spindle midzone assembly")</f>
        <v>GO:0051257 meiotic spindle midzone assembly</v>
      </c>
      <c r="C46" s="1" t="s">
        <v>4</v>
      </c>
      <c r="D46" s="7" t="str">
        <f>HYPERLINK("https://www.ebi.ac.uk/QuickGO/GTerm?id=GO:0045144","GO:0045144 meiotic sister chromatid segregation")</f>
        <v>GO:0045144 meiotic sister chromatid segregation</v>
      </c>
      <c r="E46" s="1" t="s">
        <v>2</v>
      </c>
      <c r="F46" s="1" t="s">
        <v>47</v>
      </c>
      <c r="G46" s="8"/>
    </row>
    <row r="47" spans="1:7" ht="24.75" customHeight="1" x14ac:dyDescent="0.2">
      <c r="A47" s="6">
        <v>45</v>
      </c>
      <c r="B47" s="7" t="str">
        <f>HYPERLINK("https://www.ebi.ac.uk/QuickGO/GTerm?id=GO:0050772","GO:0050772 positive regulation of axonogenesis")</f>
        <v>GO:0050772 positive regulation of axonogenesis</v>
      </c>
      <c r="C47" s="1" t="s">
        <v>1</v>
      </c>
      <c r="D47" s="7" t="str">
        <f>HYPERLINK("https://www.ebi.ac.uk/QuickGO/GTerm?id=GO:0010976","GO:0010976 positive regulation of neuron projection development")</f>
        <v>GO:0010976 positive regulation of neuron projection development</v>
      </c>
      <c r="E47" s="1" t="s">
        <v>2</v>
      </c>
      <c r="F47" s="1" t="s">
        <v>48</v>
      </c>
      <c r="G47" s="8"/>
    </row>
    <row r="48" spans="1:7" ht="24.75" customHeight="1" x14ac:dyDescent="0.2">
      <c r="A48" s="6">
        <v>46</v>
      </c>
      <c r="B48" s="7" t="str">
        <f>HYPERLINK("https://www.ebi.ac.uk/QuickGO/GTerm?id=GO:0046281","GO:0046281 cinnamic acid catabolic process")</f>
        <v>GO:0046281 cinnamic acid catabolic process</v>
      </c>
      <c r="C48" s="1" t="s">
        <v>1</v>
      </c>
      <c r="D48" s="7" t="str">
        <f>HYPERLINK("https://www.ebi.ac.uk/QuickGO/GTerm?id=GO:0090487","GO:0090487 secondary metabolite catabolic process")</f>
        <v>GO:0090487 secondary metabolite catabolic process</v>
      </c>
      <c r="E48" s="1" t="s">
        <v>2</v>
      </c>
      <c r="F48" s="1" t="s">
        <v>49</v>
      </c>
      <c r="G48" s="8"/>
    </row>
    <row r="49" spans="1:7" ht="24.75" customHeight="1" x14ac:dyDescent="0.2">
      <c r="A49" s="6">
        <v>47</v>
      </c>
      <c r="B49" s="7" t="str">
        <f>HYPERLINK("https://www.ebi.ac.uk/QuickGO/GTerm?id=GO:0015941","GO:0015941 pantothenate catabolic process")</f>
        <v>GO:0015941 pantothenate catabolic process</v>
      </c>
      <c r="C49" s="1" t="s">
        <v>1</v>
      </c>
      <c r="D49" s="7" t="str">
        <f>HYPERLINK("https://www.ebi.ac.uk/QuickGO/GTerm?id=GO:0044270","GO:0044270 cellular nitrogen compound catabolic process")</f>
        <v>GO:0044270 cellular nitrogen compound catabolic process</v>
      </c>
      <c r="E49" s="1" t="s">
        <v>2</v>
      </c>
      <c r="F49" s="1" t="s">
        <v>50</v>
      </c>
      <c r="G49" s="8"/>
    </row>
    <row r="50" spans="1:7" ht="24.75" customHeight="1" x14ac:dyDescent="0.2">
      <c r="A50" s="6">
        <v>48</v>
      </c>
      <c r="B50" s="7" t="str">
        <f>HYPERLINK("https://www.ebi.ac.uk/QuickGO/GTerm?id=GO:1900224","GO:1900224 positive regulation of nodal signaling pathway involved in determination of lateral mesoderm left/right asymmetry")</f>
        <v>GO:1900224 positive regulation of nodal signaling pathway involved in determination of lateral mesoderm left/right asymmetry</v>
      </c>
      <c r="C50" s="1" t="s">
        <v>1</v>
      </c>
      <c r="D50" s="7" t="str">
        <f>HYPERLINK("https://www.ebi.ac.uk/QuickGO/GTerm?id=GO:0051094","GO:0051094 positive regulation of developmental process")</f>
        <v>GO:0051094 positive regulation of developmental process</v>
      </c>
      <c r="E50" s="1" t="s">
        <v>2</v>
      </c>
      <c r="F50" s="1" t="s">
        <v>51</v>
      </c>
      <c r="G50" s="8"/>
    </row>
    <row r="51" spans="1:7" ht="24.75" customHeight="1" x14ac:dyDescent="0.2">
      <c r="A51" s="6">
        <v>49</v>
      </c>
      <c r="B51" s="7" t="str">
        <f>HYPERLINK("https://www.ebi.ac.uk/QuickGO/GTerm?id=GO:0061913","GO:0061913 positive regulation of growth plate cartilage chondrocyte proliferation")</f>
        <v>GO:0061913 positive regulation of growth plate cartilage chondrocyte proliferation</v>
      </c>
      <c r="C51" s="1" t="s">
        <v>1</v>
      </c>
      <c r="D51" s="7" t="str">
        <f>HYPERLINK("https://www.ebi.ac.uk/QuickGO/GTerm?id=GO:0051240","GO:0051240 positive regulation of multicellular organismal process")</f>
        <v>GO:0051240 positive regulation of multicellular organismal process</v>
      </c>
      <c r="E51" s="1" t="s">
        <v>2</v>
      </c>
      <c r="F51" s="1" t="s">
        <v>52</v>
      </c>
      <c r="G51" s="8"/>
    </row>
    <row r="52" spans="1:7" ht="24.75" customHeight="1" x14ac:dyDescent="0.2">
      <c r="A52" s="6">
        <v>50</v>
      </c>
      <c r="B52" s="7" t="str">
        <f>HYPERLINK("https://www.ebi.ac.uk/QuickGO/GTerm?id=GO:0009820","GO:0009820 alkaloid metabolic process")</f>
        <v>GO:0009820 alkaloid metabolic process</v>
      </c>
      <c r="C52" s="1" t="s">
        <v>1</v>
      </c>
      <c r="D52" s="7" t="str">
        <f>HYPERLINK("https://www.ebi.ac.uk/QuickGO/GTerm?id=GO:0034641","GO:0034641 cellular nitrogen compound metabolic process")</f>
        <v>GO:0034641 cellular nitrogen compound metabolic process</v>
      </c>
      <c r="E52" s="1" t="s">
        <v>2</v>
      </c>
      <c r="F52" s="1" t="s">
        <v>53</v>
      </c>
      <c r="G52" s="8"/>
    </row>
    <row r="53" spans="1:7" ht="24.75" customHeight="1" x14ac:dyDescent="0.2">
      <c r="A53" s="6">
        <v>51</v>
      </c>
      <c r="B53" s="7" t="str">
        <f>HYPERLINK("https://www.ebi.ac.uk/QuickGO/GTerm?id=GO:0048447","GO:0048447 sepal morphogenesis")</f>
        <v>GO:0048447 sepal morphogenesis</v>
      </c>
      <c r="C53" s="1" t="s">
        <v>4</v>
      </c>
      <c r="D53" s="7" t="str">
        <f>HYPERLINK("https://www.ebi.ac.uk/QuickGO/GTerm?id=GO:0048457","GO:0048457 floral whorl morphogenesis")</f>
        <v>GO:0048457 floral whorl morphogenesis</v>
      </c>
      <c r="E53" s="1" t="s">
        <v>2</v>
      </c>
      <c r="F53" s="1" t="s">
        <v>54</v>
      </c>
      <c r="G53" s="8"/>
    </row>
    <row r="54" spans="1:7" ht="24.75" customHeight="1" x14ac:dyDescent="0.2">
      <c r="A54" s="6">
        <v>52</v>
      </c>
      <c r="B54" s="7" t="str">
        <f>HYPERLINK("https://www.ebi.ac.uk/QuickGO/GTerm?id=GO:0060757","GO:0060757 adult foraging behavior")</f>
        <v>GO:0060757 adult foraging behavior</v>
      </c>
      <c r="C54" s="1" t="s">
        <v>1</v>
      </c>
      <c r="D54" s="7" t="str">
        <f>HYPERLINK("https://www.ebi.ac.uk/QuickGO/GTerm?id=GO:0030534","GO:0030534 adult behavior")</f>
        <v>GO:0030534 adult behavior</v>
      </c>
      <c r="E54" s="1" t="s">
        <v>2</v>
      </c>
      <c r="F54" s="1" t="s">
        <v>55</v>
      </c>
      <c r="G54" s="8"/>
    </row>
    <row r="55" spans="1:7" ht="24.75" customHeight="1" x14ac:dyDescent="0.2">
      <c r="A55" s="6">
        <v>53</v>
      </c>
      <c r="B55" s="7" t="str">
        <f>HYPERLINK("https://www.ebi.ac.uk/QuickGO/GTerm?id=GO:1902669","GO:1902669 positive regulation of axon guidance")</f>
        <v>GO:1902669 positive regulation of axon guidance</v>
      </c>
      <c r="C55" s="1" t="s">
        <v>1</v>
      </c>
      <c r="D55" s="7" t="str">
        <f>HYPERLINK("https://www.ebi.ac.uk/QuickGO/GTerm?id=GO:0050921","GO:0050921 positive regulation of chemotaxis")</f>
        <v>GO:0050921 positive regulation of chemotaxis</v>
      </c>
      <c r="E55" s="1" t="s">
        <v>2</v>
      </c>
      <c r="F55" s="1" t="s">
        <v>56</v>
      </c>
      <c r="G55" s="8"/>
    </row>
    <row r="56" spans="1:7" ht="24.75" customHeight="1" x14ac:dyDescent="0.2">
      <c r="A56" s="6">
        <v>54</v>
      </c>
      <c r="B56" s="7" t="str">
        <f>HYPERLINK("https://www.ebi.ac.uk/QuickGO/GTerm?id=GO:0019207","GO:0019207 kinase regulator activity")</f>
        <v>GO:0019207 kinase regulator activity</v>
      </c>
      <c r="C56" s="1" t="s">
        <v>4</v>
      </c>
      <c r="D56" s="7" t="str">
        <f>HYPERLINK("https://www.ebi.ac.uk/QuickGO/GTerm?id=GO:0043549","GO:0043549 regulation of kinase activity")</f>
        <v>GO:0043549 regulation of kinase activity</v>
      </c>
      <c r="E56" s="1" t="s">
        <v>2</v>
      </c>
      <c r="F56" s="1" t="s">
        <v>57</v>
      </c>
      <c r="G56" s="8"/>
    </row>
    <row r="57" spans="1:7" ht="24.75" customHeight="1" x14ac:dyDescent="0.2">
      <c r="A57" s="6">
        <v>55</v>
      </c>
      <c r="B57" s="7" t="str">
        <f>HYPERLINK("https://www.ebi.ac.uk/QuickGO/GTerm?id=GO:0018962","GO:0018962 3-phenylpropionate metabolic process")</f>
        <v>GO:0018962 3-phenylpropionate metabolic process</v>
      </c>
      <c r="C57" s="1" t="s">
        <v>1</v>
      </c>
      <c r="D57" s="7" t="str">
        <f>HYPERLINK("https://www.ebi.ac.uk/QuickGO/GTerm?id=GO:0006805","GO:0006805 xenobiotic metabolic process")</f>
        <v>GO:0006805 xenobiotic metabolic process</v>
      </c>
      <c r="E57" s="1" t="s">
        <v>2</v>
      </c>
      <c r="F57" s="1" t="s">
        <v>58</v>
      </c>
      <c r="G57" s="8"/>
    </row>
    <row r="58" spans="1:7" ht="24.75" customHeight="1" x14ac:dyDescent="0.2">
      <c r="A58" s="6">
        <v>56</v>
      </c>
      <c r="B58" s="7" t="str">
        <f>HYPERLINK("https://www.ebi.ac.uk/QuickGO/GTerm?id=GO:0002521","GO:0002521 leukocyte differentiation")</f>
        <v>GO:0002521 leukocyte differentiation</v>
      </c>
      <c r="C58" s="1" t="s">
        <v>1</v>
      </c>
      <c r="D58" s="7" t="str">
        <f>HYPERLINK("https://www.ebi.ac.uk/QuickGO/GTerm?id=GO:0045321","GO:0045321 leukocyte activation")</f>
        <v>GO:0045321 leukocyte activation</v>
      </c>
      <c r="E58" s="1" t="s">
        <v>2</v>
      </c>
      <c r="F58" s="1" t="s">
        <v>59</v>
      </c>
      <c r="G58" s="8"/>
    </row>
    <row r="59" spans="1:7" ht="24.75" customHeight="1" x14ac:dyDescent="0.2">
      <c r="A59" s="6">
        <v>57</v>
      </c>
      <c r="B59" s="7" t="str">
        <f>HYPERLINK("https://www.ebi.ac.uk/QuickGO/GTerm?id=GO:0046356","GO:0046356 acetyl-CoA catabolic process")</f>
        <v>GO:0046356 acetyl-CoA catabolic process</v>
      </c>
      <c r="C59" s="1" t="s">
        <v>1</v>
      </c>
      <c r="D59" s="7" t="str">
        <f>HYPERLINK("https://www.ebi.ac.uk/QuickGO/GTerm?id=GO:0043605","GO:0043605 cellular amide catabolic process")</f>
        <v>GO:0043605 cellular amide catabolic process</v>
      </c>
      <c r="E59" s="1" t="s">
        <v>2</v>
      </c>
      <c r="F59" s="1" t="s">
        <v>60</v>
      </c>
      <c r="G59" s="8"/>
    </row>
    <row r="60" spans="1:7" ht="24.75" customHeight="1" x14ac:dyDescent="0.2">
      <c r="A60" s="6">
        <v>58</v>
      </c>
      <c r="B60" s="7" t="str">
        <f>HYPERLINK("https://www.ebi.ac.uk/QuickGO/GTerm?id=GO:0030328","GO:0030328 prenylcysteine catabolic process")</f>
        <v>GO:0030328 prenylcysteine catabolic process</v>
      </c>
      <c r="C60" s="1" t="s">
        <v>1</v>
      </c>
      <c r="D60" s="7" t="str">
        <f>HYPERLINK("https://www.ebi.ac.uk/QuickGO/GTerm?id=GO:0044248","GO:0044248 cellular catabolic process")</f>
        <v>GO:0044248 cellular catabolic process</v>
      </c>
      <c r="E60" s="1" t="s">
        <v>2</v>
      </c>
      <c r="F60" s="1" t="s">
        <v>61</v>
      </c>
      <c r="G60" s="8"/>
    </row>
    <row r="61" spans="1:7" ht="24.75" customHeight="1" x14ac:dyDescent="0.2">
      <c r="A61" s="6">
        <v>59</v>
      </c>
      <c r="B61" s="7" t="str">
        <f>HYPERLINK("https://www.ebi.ac.uk/QuickGO/GTerm?id=GO:0019990","GO:0019990 pteridine catabolic process")</f>
        <v>GO:0019990 pteridine catabolic process</v>
      </c>
      <c r="C61" s="1" t="s">
        <v>1</v>
      </c>
      <c r="D61" s="7" t="str">
        <f>HYPERLINK("https://www.ebi.ac.uk/QuickGO/GTerm?id=GO:0046149","GO:0046149 pigment catabolic process")</f>
        <v>GO:0046149 pigment catabolic process</v>
      </c>
      <c r="E61" s="1" t="s">
        <v>2</v>
      </c>
      <c r="F61" s="1" t="s">
        <v>62</v>
      </c>
      <c r="G61" s="8"/>
    </row>
    <row r="62" spans="1:7" ht="24.75" customHeight="1" x14ac:dyDescent="0.2">
      <c r="A62" s="6">
        <v>60</v>
      </c>
      <c r="B62" s="7" t="str">
        <f>HYPERLINK("https://www.ebi.ac.uk/QuickGO/GTerm?id=GO:0021625","GO:0021625 oculomotor nerve maturation")</f>
        <v>GO:0021625 oculomotor nerve maturation</v>
      </c>
      <c r="C62" s="1" t="s">
        <v>4</v>
      </c>
      <c r="D62" s="7" t="str">
        <f>HYPERLINK("https://www.ebi.ac.uk/QuickGO/GTerm?id=GO:0021626","GO:0021626 central nervous system maturation")</f>
        <v>GO:0021626 central nervous system maturation</v>
      </c>
      <c r="E62" s="1" t="s">
        <v>2</v>
      </c>
      <c r="F62" s="1" t="s">
        <v>63</v>
      </c>
      <c r="G62" s="8"/>
    </row>
    <row r="63" spans="1:7" ht="24.75" customHeight="1" x14ac:dyDescent="0.2">
      <c r="A63" s="6">
        <v>61</v>
      </c>
      <c r="B63" s="7" t="str">
        <f>HYPERLINK("https://www.ebi.ac.uk/QuickGO/GTerm?id=GO:0019609","GO:0019609 3-hydroxyphenylacetate metabolic process")</f>
        <v>GO:0019609 3-hydroxyphenylacetate metabolic process</v>
      </c>
      <c r="C63" s="1" t="s">
        <v>1</v>
      </c>
      <c r="D63" s="7" t="str">
        <f>HYPERLINK("https://www.ebi.ac.uk/QuickGO/GTerm?id=GO:0006805","GO:0006805 xenobiotic metabolic process")</f>
        <v>GO:0006805 xenobiotic metabolic process</v>
      </c>
      <c r="E63" s="1" t="s">
        <v>2</v>
      </c>
      <c r="F63" s="1" t="s">
        <v>58</v>
      </c>
      <c r="G63" s="8"/>
    </row>
    <row r="64" spans="1:7" ht="24.75" customHeight="1" x14ac:dyDescent="0.2">
      <c r="A64" s="6">
        <v>62</v>
      </c>
      <c r="B64" s="7" t="str">
        <f>HYPERLINK("https://www.ebi.ac.uk/QuickGO/GTerm?id=GO:0046113","GO:0046113 nucleobase catabolic process")</f>
        <v>GO:0046113 nucleobase catabolic process</v>
      </c>
      <c r="C64" s="1" t="s">
        <v>1</v>
      </c>
      <c r="D64" s="7" t="str">
        <f>HYPERLINK("https://www.ebi.ac.uk/QuickGO/GTerm?id=GO:0034656","GO:0034656 nucleobase-containing small molecule catabolic process")</f>
        <v>GO:0034656 nucleobase-containing small molecule catabolic process</v>
      </c>
      <c r="E64" s="1" t="s">
        <v>2</v>
      </c>
      <c r="F64" s="1" t="s">
        <v>64</v>
      </c>
      <c r="G64" s="8"/>
    </row>
    <row r="65" spans="1:7" ht="24.75" customHeight="1" x14ac:dyDescent="0.2">
      <c r="A65" s="6">
        <v>63</v>
      </c>
      <c r="B65" s="7" t="str">
        <f>HYPERLINK("https://www.ebi.ac.uk/QuickGO/GTerm?id=GO:0040031","GO:0040031 snRNA modification")</f>
        <v>GO:0040031 snRNA modification</v>
      </c>
      <c r="C65" s="1" t="s">
        <v>1</v>
      </c>
      <c r="D65" s="7" t="str">
        <f>HYPERLINK("https://www.ebi.ac.uk/QuickGO/GTerm?id=GO:0016180","GO:0016180 snRNA processing")</f>
        <v>GO:0016180 snRNA processing</v>
      </c>
      <c r="E65" s="1" t="s">
        <v>2</v>
      </c>
      <c r="F65" s="1" t="s">
        <v>65</v>
      </c>
      <c r="G65" s="8"/>
    </row>
    <row r="66" spans="1:7" ht="24.75" customHeight="1" x14ac:dyDescent="0.2">
      <c r="A66" s="6">
        <v>64</v>
      </c>
      <c r="B66" s="7" t="str">
        <f>HYPERLINK("https://www.ebi.ac.uk/QuickGO/GTerm?id=GO:0070664","GO:0070664 negative regulation of leukocyte proliferation")</f>
        <v>GO:0070664 negative regulation of leukocyte proliferation</v>
      </c>
      <c r="C66" s="1" t="s">
        <v>1</v>
      </c>
      <c r="D66" s="7" t="str">
        <f>HYPERLINK("https://www.ebi.ac.uk/QuickGO/GTerm?id=GO:0002695","GO:0002695 negative regulation of leukocyte activation")</f>
        <v>GO:0002695 negative regulation of leukocyte activation</v>
      </c>
      <c r="E66" s="1" t="s">
        <v>2</v>
      </c>
      <c r="F66" s="1" t="s">
        <v>66</v>
      </c>
      <c r="G66" s="8"/>
    </row>
    <row r="67" spans="1:7" ht="24.75" customHeight="1" x14ac:dyDescent="0.2">
      <c r="A67" s="6">
        <v>65</v>
      </c>
      <c r="B67" s="7" t="str">
        <f>HYPERLINK("https://www.ebi.ac.uk/QuickGO/GTerm?id=GO:0071394","GO:0071394 cellular response to testosterone stimulus")</f>
        <v>GO:0071394 cellular response to testosterone stimulus</v>
      </c>
      <c r="C67" s="1" t="s">
        <v>1</v>
      </c>
      <c r="D67" s="7" t="str">
        <f>HYPERLINK("https://www.ebi.ac.uk/QuickGO/GTerm?id=GO:0032870","GO:0032870 cellular response to hormone stimulus")</f>
        <v>GO:0032870 cellular response to hormone stimulus</v>
      </c>
      <c r="E67" s="1" t="s">
        <v>2</v>
      </c>
      <c r="F67" s="1" t="s">
        <v>67</v>
      </c>
      <c r="G67" s="8"/>
    </row>
    <row r="68" spans="1:7" ht="24.75" customHeight="1" x14ac:dyDescent="0.2">
      <c r="A68" s="6">
        <v>66</v>
      </c>
      <c r="B68" s="7" t="str">
        <f>HYPERLINK("https://www.ebi.ac.uk/QuickGO/GTerm?id=GO:0046034","GO:0046034 ATP metabolic process")</f>
        <v>GO:0046034 ATP metabolic process</v>
      </c>
      <c r="C68" s="1" t="s">
        <v>1</v>
      </c>
      <c r="D68" s="7" t="str">
        <f>HYPERLINK("https://www.ebi.ac.uk/QuickGO/GTerm?id=GO:0009205","GO:0009205 purine ribonucleoside triphosphate metabolic process")</f>
        <v>GO:0009205 purine ribonucleoside triphosphate metabolic process</v>
      </c>
      <c r="E68" s="1" t="s">
        <v>2</v>
      </c>
      <c r="F68" s="1" t="s">
        <v>68</v>
      </c>
      <c r="G68" s="8"/>
    </row>
    <row r="69" spans="1:7" ht="24.75" customHeight="1" x14ac:dyDescent="0.2">
      <c r="A69" s="6">
        <v>67</v>
      </c>
      <c r="B69" s="7" t="str">
        <f>HYPERLINK("https://www.ebi.ac.uk/QuickGO/GTerm?id=GO:0032939","GO:0032939 positive regulation of translation in response to oxidative stress")</f>
        <v>GO:0032939 positive regulation of translation in response to oxidative stress</v>
      </c>
      <c r="C69" s="1" t="s">
        <v>1</v>
      </c>
      <c r="D69" s="7" t="str">
        <f>HYPERLINK("https://www.ebi.ac.uk/QuickGO/GTerm?id=GO:0045948","GO:0045948 positive regulation of translational initiation")</f>
        <v>GO:0045948 positive regulation of translational initiation</v>
      </c>
      <c r="E69" s="1" t="s">
        <v>2</v>
      </c>
      <c r="F69" s="1" t="s">
        <v>69</v>
      </c>
      <c r="G69" s="8"/>
    </row>
    <row r="70" spans="1:7" ht="24.75" customHeight="1" x14ac:dyDescent="0.2">
      <c r="A70" s="6">
        <v>68</v>
      </c>
      <c r="B70" s="7" t="str">
        <f>HYPERLINK("https://www.ebi.ac.uk/QuickGO/GTerm?id=GO:0009240","GO:0009240 isopentenyl diphosphate biosynthetic process")</f>
        <v>GO:0009240 isopentenyl diphosphate biosynthetic process</v>
      </c>
      <c r="C70" s="1" t="s">
        <v>1</v>
      </c>
      <c r="D70" s="7" t="str">
        <f>HYPERLINK("https://www.ebi.ac.uk/QuickGO/GTerm?id=GO:0097384","GO:0097384 cellular lipid biosynthetic process")</f>
        <v>GO:0097384 cellular lipid biosynthetic process</v>
      </c>
      <c r="E70" s="1" t="s">
        <v>2</v>
      </c>
      <c r="F70" s="1" t="s">
        <v>70</v>
      </c>
      <c r="G70" s="8"/>
    </row>
    <row r="71" spans="1:7" ht="24.75" customHeight="1" x14ac:dyDescent="0.2">
      <c r="A71" s="6">
        <v>69</v>
      </c>
      <c r="B71" s="7" t="str">
        <f>HYPERLINK("https://www.ebi.ac.uk/QuickGO/GTerm?id=GO:0030223","GO:0030223 neutrophil differentiation")</f>
        <v>GO:0030223 neutrophil differentiation</v>
      </c>
      <c r="C71" s="1" t="s">
        <v>1</v>
      </c>
      <c r="D71" s="7" t="str">
        <f>HYPERLINK("https://www.ebi.ac.uk/QuickGO/GTerm?id=GO:0042119","GO:0042119 neutrophil activation")</f>
        <v>GO:0042119 neutrophil activation</v>
      </c>
      <c r="E71" s="1" t="s">
        <v>2</v>
      </c>
      <c r="F71" s="1" t="s">
        <v>71</v>
      </c>
      <c r="G71" s="8"/>
    </row>
    <row r="72" spans="1:7" ht="24.75" customHeight="1" x14ac:dyDescent="0.2">
      <c r="A72" s="6">
        <v>70</v>
      </c>
      <c r="B72" s="7" t="str">
        <f>HYPERLINK("https://www.ebi.ac.uk/QuickGO/GTerm?id=GO:0034630","GO:0034630 RITS complex localization")</f>
        <v>GO:0034630 RITS complex localization</v>
      </c>
      <c r="C72" s="1" t="s">
        <v>1</v>
      </c>
      <c r="D72" s="7" t="str">
        <f>HYPERLINK("https://www.ebi.ac.uk/QuickGO/GTerm?id=GO:0071166","GO:0071166 ribonucleoprotein complex localization")</f>
        <v>GO:0071166 ribonucleoprotein complex localization</v>
      </c>
      <c r="E72" s="9" t="s">
        <v>2</v>
      </c>
      <c r="F72" s="1" t="s">
        <v>72</v>
      </c>
      <c r="G72" s="8"/>
    </row>
    <row r="73" spans="1:7" ht="24.75" customHeight="1" x14ac:dyDescent="0.2">
      <c r="A73" s="6">
        <v>71</v>
      </c>
      <c r="B73" s="7" t="str">
        <f>HYPERLINK("https://www.ebi.ac.uk/QuickGO/GTerm?id=GO:0046849","GO:0046849 bone remodeling")</f>
        <v>GO:0046849 bone remodeling</v>
      </c>
      <c r="C73" s="1" t="s">
        <v>4</v>
      </c>
      <c r="D73" s="7" t="str">
        <f>HYPERLINK("https://www.ebi.ac.uk/QuickGO/GTerm?id=GO:0060348","GO:0060348 bone development")</f>
        <v>GO:0060348 bone development</v>
      </c>
      <c r="E73" s="1" t="s">
        <v>2</v>
      </c>
      <c r="F73" s="1" t="s">
        <v>73</v>
      </c>
      <c r="G73" s="8"/>
    </row>
    <row r="74" spans="1:7" ht="24.75" customHeight="1" x14ac:dyDescent="0.2">
      <c r="A74" s="6">
        <v>72</v>
      </c>
      <c r="B74" s="7" t="str">
        <f>HYPERLINK("https://www.ebi.ac.uk/QuickGO/GTerm?id=GO:0090303","GO:0090303 positive regulation of wound healing")</f>
        <v>GO:0090303 positive regulation of wound healing</v>
      </c>
      <c r="C74" s="1" t="s">
        <v>1</v>
      </c>
      <c r="D74" s="7" t="str">
        <f>HYPERLINK("https://www.ebi.ac.uk/QuickGO/GTerm?id=GO:0032103","GO:0032103 positive regulation of response to external stimulus")</f>
        <v>GO:0032103 positive regulation of response to external stimulus</v>
      </c>
      <c r="E74" s="1" t="s">
        <v>2</v>
      </c>
      <c r="F74" s="1" t="s">
        <v>74</v>
      </c>
      <c r="G74" s="8"/>
    </row>
    <row r="75" spans="1:7" ht="24.75" customHeight="1" x14ac:dyDescent="0.2">
      <c r="A75" s="6">
        <v>74</v>
      </c>
      <c r="B75" s="7" t="str">
        <f>HYPERLINK("https://www.ebi.ac.uk/QuickGO/GTerm?id=GO:0031497","GO:0031497 chromatin assembly")</f>
        <v>GO:0031497 chromatin assembly</v>
      </c>
      <c r="C75" s="1" t="s">
        <v>4</v>
      </c>
      <c r="D75" s="7" t="str">
        <f>HYPERLINK("https://www.ebi.ac.uk/QuickGO/GTerm?id=GO:0070925","GO:0070925 organelle assembly")</f>
        <v>GO:0070925 organelle assembly</v>
      </c>
      <c r="E75" s="1" t="s">
        <v>2</v>
      </c>
      <c r="F75" s="1" t="s">
        <v>75</v>
      </c>
      <c r="G75" s="8"/>
    </row>
    <row r="76" spans="1:7" ht="24.75" customHeight="1" x14ac:dyDescent="0.2">
      <c r="A76" s="6">
        <v>75</v>
      </c>
      <c r="B76" s="7" t="str">
        <f>HYPERLINK("https://www.ebi.ac.uk/QuickGO/GTerm?id=GO:0090497","GO:0090497 mesenchymal cell migration")</f>
        <v>GO:0090497 mesenchymal cell migration</v>
      </c>
      <c r="C76" s="1" t="s">
        <v>4</v>
      </c>
      <c r="D76" s="7" t="str">
        <f>HYPERLINK("https://www.ebi.ac.uk/QuickGO/GTerm?id=GO:0090131","GO:0090131 mesenchyme migration")</f>
        <v>GO:0090131 mesenchyme migration</v>
      </c>
      <c r="E76" s="1" t="s">
        <v>2</v>
      </c>
      <c r="F76" s="1" t="s">
        <v>76</v>
      </c>
      <c r="G76" s="8"/>
    </row>
    <row r="77" spans="1:7" ht="24.75" customHeight="1" x14ac:dyDescent="0.2">
      <c r="A77" s="6">
        <v>76</v>
      </c>
      <c r="B77" s="7" t="str">
        <f>HYPERLINK("https://www.ebi.ac.uk/QuickGO/GTerm?id=GO:0010808","GO:0010808 positive regulation of synaptic vesicle priming")</f>
        <v>GO:0010808 positive regulation of synaptic vesicle priming</v>
      </c>
      <c r="C77" s="1" t="s">
        <v>1</v>
      </c>
      <c r="D77" s="7" t="str">
        <f>HYPERLINK("https://www.ebi.ac.uk/QuickGO/GTerm?id=GO:2000302","GO:2000302 positive regulation of synaptic vesicle exocytosis")</f>
        <v>GO:2000302 positive regulation of synaptic vesicle exocytosis</v>
      </c>
      <c r="E77" s="1" t="s">
        <v>2</v>
      </c>
      <c r="F77" s="1" t="s">
        <v>77</v>
      </c>
      <c r="G77" s="8"/>
    </row>
    <row r="78" spans="1:7" ht="24.75" customHeight="1" x14ac:dyDescent="0.2">
      <c r="A78" s="6">
        <v>77</v>
      </c>
      <c r="B78" s="7" t="str">
        <f>HYPERLINK("https://www.ebi.ac.uk/QuickGO/GTerm?id=GO:0003315","GO:0003315 heart rudiment formation")</f>
        <v>GO:0003315 heart rudiment formation</v>
      </c>
      <c r="C78" s="1" t="s">
        <v>4</v>
      </c>
      <c r="D78" s="7" t="str">
        <f>HYPERLINK("https://www.ebi.ac.uk/QuickGO/GTerm?id=GO:0035148","GO:0035148 tube formation")</f>
        <v>GO:0035148 tube formation</v>
      </c>
      <c r="E78" s="1" t="s">
        <v>2</v>
      </c>
      <c r="F78" s="1" t="s">
        <v>78</v>
      </c>
      <c r="G78" s="8"/>
    </row>
    <row r="79" spans="1:7" ht="24.75" customHeight="1" x14ac:dyDescent="0.2">
      <c r="A79" s="6">
        <v>78</v>
      </c>
      <c r="B79" s="7" t="str">
        <f>HYPERLINK("https://www.ebi.ac.uk/QuickGO/GTerm?id=GO:1904146","GO:1904146 positive regulation of meiotic cell cycle process involved in oocyte maturation")</f>
        <v>GO:1904146 positive regulation of meiotic cell cycle process involved in oocyte maturation</v>
      </c>
      <c r="C79" s="1" t="s">
        <v>1</v>
      </c>
      <c r="D79" s="7" t="str">
        <f>HYPERLINK("https://www.ebi.ac.uk/QuickGO/GTerm?id=GO:0051094","GO:0051094 positive regulation of developmental process")</f>
        <v>GO:0051094 positive regulation of developmental process</v>
      </c>
      <c r="E79" s="1" t="s">
        <v>2</v>
      </c>
      <c r="F79" s="1" t="s">
        <v>79</v>
      </c>
      <c r="G79" s="8"/>
    </row>
    <row r="80" spans="1:7" ht="24.75" customHeight="1" x14ac:dyDescent="0.2">
      <c r="A80" s="6">
        <v>79</v>
      </c>
      <c r="B80" s="7" t="str">
        <f>HYPERLINK("https://www.ebi.ac.uk/QuickGO/GTerm?id=GO:0002080","GO:0002080 acrosomal membrane")</f>
        <v>GO:0002080 acrosomal membrane</v>
      </c>
      <c r="C80" s="1" t="s">
        <v>1</v>
      </c>
      <c r="D80" s="7" t="str">
        <f>HYPERLINK("https://www.ebi.ac.uk/QuickGO/GTerm?id=GO:0005765","GO:0005765 lysosomal membrane")</f>
        <v>GO:0005765 lysosomal membrane</v>
      </c>
      <c r="E80" s="1" t="s">
        <v>2</v>
      </c>
      <c r="F80" s="1" t="s">
        <v>80</v>
      </c>
      <c r="G80" s="8"/>
    </row>
    <row r="81" spans="1:7" ht="24.75" customHeight="1" x14ac:dyDescent="0.2">
      <c r="A81" s="6">
        <v>80</v>
      </c>
      <c r="B81" s="7" t="str">
        <f>HYPERLINK("https://www.ebi.ac.uk/QuickGO/GTerm?id=GO:0070392","GO:0070392 detection of lipoteichoic acid")</f>
        <v>GO:0070392 detection of lipoteichoic acid</v>
      </c>
      <c r="C81" s="1" t="s">
        <v>1</v>
      </c>
      <c r="D81" s="7" t="str">
        <f>HYPERLINK("https://www.ebi.ac.uk/QuickGO/GTerm?id=GO:0071703","GO:0071703 detection of organic substance")</f>
        <v>GO:0071703 detection of organic substance</v>
      </c>
      <c r="E81" s="1" t="s">
        <v>2</v>
      </c>
      <c r="F81" s="1" t="s">
        <v>81</v>
      </c>
      <c r="G81" s="8"/>
    </row>
    <row r="82" spans="1:7" ht="24.75" customHeight="1" x14ac:dyDescent="0.2">
      <c r="A82" s="6">
        <v>81</v>
      </c>
      <c r="B82" s="7" t="str">
        <f>HYPERLINK("https://www.ebi.ac.uk/QuickGO/GTerm?id=GO:0035678","GO:0035678 neuromast hair cell morphogenesis")</f>
        <v>GO:0035678 neuromast hair cell morphogenesis</v>
      </c>
      <c r="C82" s="1" t="s">
        <v>4</v>
      </c>
      <c r="D82" s="7" t="str">
        <f>HYPERLINK("https://www.ebi.ac.uk/QuickGO/GTerm?id=GO:0048730","GO:0048730 epidermis morphogenesis")</f>
        <v>GO:0048730 epidermis morphogenesis</v>
      </c>
      <c r="E82" s="1" t="s">
        <v>2</v>
      </c>
      <c r="F82" s="1" t="s">
        <v>82</v>
      </c>
      <c r="G82" s="8"/>
    </row>
    <row r="83" spans="1:7" ht="24.75" customHeight="1" x14ac:dyDescent="0.2">
      <c r="A83" s="6">
        <v>82</v>
      </c>
      <c r="B83" s="7" t="str">
        <f>HYPERLINK("https://www.ebi.ac.uk/QuickGO/GTerm?id=GO:1900604","GO:1900604 tensidol A catabolic process")</f>
        <v>GO:1900604 tensidol A catabolic process</v>
      </c>
      <c r="C83" s="1" t="s">
        <v>1</v>
      </c>
      <c r="D83" s="7" t="str">
        <f>HYPERLINK("https://www.ebi.ac.uk/QuickGO/GTerm?id=GO:0043605","GO:0043605 cellular amide catabolic process")</f>
        <v>GO:0043605 cellular amide catabolic process</v>
      </c>
      <c r="E83" s="1" t="s">
        <v>2</v>
      </c>
      <c r="F83" s="1" t="s">
        <v>83</v>
      </c>
      <c r="G83" s="8"/>
    </row>
    <row r="84" spans="1:7" ht="24.75" customHeight="1" x14ac:dyDescent="0.2">
      <c r="A84" s="6">
        <v>83</v>
      </c>
      <c r="B84" s="7" t="str">
        <f>HYPERLINK("https://www.ebi.ac.uk/QuickGO/GTerm?id=GO:0106154","GO:0106154 perithecium formation")</f>
        <v>GO:0106154 perithecium formation</v>
      </c>
      <c r="C84" s="1" t="s">
        <v>1</v>
      </c>
      <c r="D84" s="7" t="str">
        <f>HYPERLINK("https://www.ebi.ac.uk/QuickGO/GTerm?id=GO:0097751","GO:0097751 spore-bearing structure formation")</f>
        <v>GO:0097751 spore-bearing structure formation</v>
      </c>
      <c r="E84" s="1" t="s">
        <v>2</v>
      </c>
      <c r="F84" s="1" t="s">
        <v>84</v>
      </c>
      <c r="G84" s="8"/>
    </row>
    <row r="85" spans="1:7" ht="24.75" customHeight="1" x14ac:dyDescent="0.2">
      <c r="A85" s="6">
        <v>84</v>
      </c>
      <c r="B85" s="7" t="str">
        <f>HYPERLINK("https://www.ebi.ac.uk/QuickGO/GTerm?id=GO:0033037","GO:0033037 polysaccharide localization")</f>
        <v>GO:0033037 polysaccharide localization</v>
      </c>
      <c r="C85" s="1" t="s">
        <v>1</v>
      </c>
      <c r="D85" s="7" t="str">
        <f>HYPERLINK("https://www.ebi.ac.uk/QuickGO/GTerm?id=GO:0052575","GO:0052575 carbohydrate localization")</f>
        <v>GO:0052575 carbohydrate localization</v>
      </c>
      <c r="E85" s="1" t="s">
        <v>2</v>
      </c>
      <c r="F85" s="1" t="s">
        <v>85</v>
      </c>
      <c r="G85" s="8"/>
    </row>
    <row r="86" spans="1:7" ht="24.75" customHeight="1" x14ac:dyDescent="0.2">
      <c r="A86" s="6">
        <v>85</v>
      </c>
      <c r="B86" s="7" t="str">
        <f>HYPERLINK("https://www.ebi.ac.uk/QuickGO/GTerm?id=GO:0016120","GO:0016120 carotene biosynthetic process")</f>
        <v>GO:0016120 carotene biosynthetic process</v>
      </c>
      <c r="C86" s="1" t="s">
        <v>1</v>
      </c>
      <c r="D86" s="7" t="str">
        <f>HYPERLINK("https://www.ebi.ac.uk/QuickGO/GTerm?id=GO:0097384","GO:0097384 cellular lipid biosynthetic process")</f>
        <v>GO:0097384 cellular lipid biosynthetic process</v>
      </c>
      <c r="E86" s="1" t="s">
        <v>2</v>
      </c>
      <c r="F86" s="1" t="s">
        <v>86</v>
      </c>
      <c r="G86" s="8"/>
    </row>
    <row r="87" spans="1:7" ht="24.75" customHeight="1" x14ac:dyDescent="0.2">
      <c r="A87" s="6">
        <v>86</v>
      </c>
      <c r="B87" s="7" t="str">
        <f>HYPERLINK("https://www.ebi.ac.uk/QuickGO/GTerm?id=GO:0017184","GO:0017184 peptidyl-diphthamide catabolic process")</f>
        <v>GO:0017184 peptidyl-diphthamide catabolic process</v>
      </c>
      <c r="C87" s="1" t="s">
        <v>1</v>
      </c>
      <c r="D87" s="7" t="str">
        <f>HYPERLINK("https://www.ebi.ac.uk/QuickGO/GTerm?id=GO:0044257","GO:0044257 cellular protein catabolic process")</f>
        <v>GO:0044257 cellular protein catabolic process</v>
      </c>
      <c r="E87" s="1" t="s">
        <v>2</v>
      </c>
      <c r="F87" s="1" t="s">
        <v>87</v>
      </c>
      <c r="G87" s="8"/>
    </row>
    <row r="88" spans="1:7" ht="24.75" customHeight="1" x14ac:dyDescent="0.2">
      <c r="A88" s="6">
        <v>87</v>
      </c>
      <c r="B88" s="7" t="str">
        <f>HYPERLINK("https://www.ebi.ac.uk/QuickGO/GTerm?id=GO:0033249","GO:0033249 positive regulation of penicillin catabolic process")</f>
        <v>GO:0033249 positive regulation of penicillin catabolic process</v>
      </c>
      <c r="C88" s="1" t="s">
        <v>1</v>
      </c>
      <c r="D88" s="7" t="str">
        <f>HYPERLINK("https://www.ebi.ac.uk/QuickGO/GTerm?id=GO:0033243","GO:0033243 positive regulation of cellular amine catabolic process")</f>
        <v>GO:0033243 positive regulation of cellular amine catabolic process</v>
      </c>
      <c r="E88" s="1" t="s">
        <v>2</v>
      </c>
      <c r="F88" s="1" t="s">
        <v>88</v>
      </c>
      <c r="G88" s="8"/>
    </row>
    <row r="89" spans="1:7" ht="24.75" customHeight="1" x14ac:dyDescent="0.2">
      <c r="A89" s="6">
        <v>88</v>
      </c>
      <c r="B89" s="7" t="str">
        <f>HYPERLINK("https://www.ebi.ac.uk/QuickGO/GTerm?id=GO:0106175","GO:0106175 phagolysosome vesicle membrane")</f>
        <v>GO:0106175 phagolysosome vesicle membrane</v>
      </c>
      <c r="C89" s="1" t="s">
        <v>1</v>
      </c>
      <c r="D89" s="7" t="str">
        <f>HYPERLINK("https://www.ebi.ac.uk/QuickGO/GTerm?id=GO:0030670","GO:0030670 phagocytic vesicle membrane")</f>
        <v>GO:0030670 phagocytic vesicle membrane</v>
      </c>
      <c r="E89" s="1" t="s">
        <v>2</v>
      </c>
      <c r="F89" s="1" t="s">
        <v>89</v>
      </c>
      <c r="G89" s="8"/>
    </row>
    <row r="90" spans="1:7" ht="24.75" customHeight="1" x14ac:dyDescent="0.2">
      <c r="A90" s="6">
        <v>89</v>
      </c>
      <c r="B90" s="7" t="str">
        <f>HYPERLINK("https://www.ebi.ac.uk/QuickGO/GTerm?id=GO:0106304","GO:0106304 mannogen biosynthetic process")</f>
        <v>GO:0106304 mannogen biosynthetic process</v>
      </c>
      <c r="C90" s="1" t="s">
        <v>1</v>
      </c>
      <c r="D90" s="7" t="str">
        <f>HYPERLINK("https://www.ebi.ac.uk/QuickGO/GTerm?id=GO:0033692","GO:0033692 cellular polysaccharide biosynthetic process")</f>
        <v>GO:0033692 cellular polysaccharide biosynthetic process</v>
      </c>
      <c r="E90" s="1" t="s">
        <v>2</v>
      </c>
      <c r="F90" s="1" t="s">
        <v>90</v>
      </c>
      <c r="G90" s="8"/>
    </row>
    <row r="91" spans="1:7" ht="24.75" customHeight="1" x14ac:dyDescent="0.2">
      <c r="A91" s="6">
        <v>90</v>
      </c>
      <c r="B91" s="7" t="str">
        <f>HYPERLINK("https://www.ebi.ac.uk/QuickGO/GTerm?id=GO:0060116","GO:0060116 vestibular receptor cell morphogenesis")</f>
        <v>GO:0060116 vestibular receptor cell morphogenesis</v>
      </c>
      <c r="C91" s="1" t="s">
        <v>4</v>
      </c>
      <c r="D91" s="7" t="str">
        <f>HYPERLINK("https://www.ebi.ac.uk/QuickGO/GTerm?id=GO:0048730","GO:0048730 epidermis morphogenesis")</f>
        <v>GO:0048730 epidermis morphogenesis</v>
      </c>
      <c r="E91" s="1" t="s">
        <v>2</v>
      </c>
      <c r="F91" s="1" t="s">
        <v>91</v>
      </c>
      <c r="G91" s="8"/>
    </row>
    <row r="92" spans="1:7" ht="24.75" customHeight="1" x14ac:dyDescent="0.2">
      <c r="A92" s="6">
        <v>91</v>
      </c>
      <c r="B92" s="7" t="str">
        <f>HYPERLINK("https://www.ebi.ac.uk/QuickGO/GTerm?id=GO:0007444","GO:0007444 imaginal disc development")</f>
        <v>GO:0007444 imaginal disc development</v>
      </c>
      <c r="C92" s="1" t="s">
        <v>1</v>
      </c>
      <c r="D92" s="7" t="str">
        <f>HYPERLINK("https://www.ebi.ac.uk/QuickGO/GTerm?id=GO:0048569","GO:0048569 post-embryonic animal organ development")</f>
        <v>GO:0048569 post-embryonic animal organ development</v>
      </c>
      <c r="E92" s="1" t="s">
        <v>2</v>
      </c>
      <c r="F92" s="1" t="s">
        <v>92</v>
      </c>
      <c r="G92" s="8"/>
    </row>
    <row r="93" spans="1:7" ht="24.75" customHeight="1" x14ac:dyDescent="0.2">
      <c r="A93" s="6">
        <v>92</v>
      </c>
      <c r="B93" s="7" t="str">
        <f>HYPERLINK("https://www.ebi.ac.uk/QuickGO/GTerm?id=GO:0071578","GO:0071578 zinc ion import across plasma membrane")</f>
        <v>GO:0071578 zinc ion import across plasma membrane</v>
      </c>
      <c r="C93" s="1" t="s">
        <v>1</v>
      </c>
      <c r="D93" s="7" t="str">
        <f>HYPERLINK("https://www.ebi.ac.uk/QuickGO/GTerm?id=GO:0055069","GO:0055069 zinc ion homeostasis")</f>
        <v>GO:0055069 zinc ion homeostasis</v>
      </c>
      <c r="E93" s="1" t="s">
        <v>2</v>
      </c>
      <c r="F93" s="1" t="s">
        <v>93</v>
      </c>
      <c r="G93" s="8"/>
    </row>
    <row r="94" spans="1:7" ht="24.75" customHeight="1" x14ac:dyDescent="0.2">
      <c r="A94" s="6">
        <v>93</v>
      </c>
      <c r="B94" s="7" t="str">
        <f>HYPERLINK("https://www.ebi.ac.uk/QuickGO/GTerm?id=GO:0031366","GO:0031366 N-terminal peptidyl-asparagine deamination")</f>
        <v>GO:0031366 N-terminal peptidyl-asparagine deamination</v>
      </c>
      <c r="C94" s="1" t="s">
        <v>1</v>
      </c>
      <c r="D94" s="7" t="str">
        <f>HYPERLINK("https://www.ebi.ac.uk/QuickGO/GTerm?id=GO:0018196","GO:0018196 peptidyl-asparagine modification")</f>
        <v>GO:0018196 peptidyl-asparagine modification</v>
      </c>
      <c r="E94" s="1" t="s">
        <v>2</v>
      </c>
      <c r="F94" s="1" t="s">
        <v>94</v>
      </c>
      <c r="G94" s="8"/>
    </row>
    <row r="95" spans="1:7" ht="24.75" customHeight="1" x14ac:dyDescent="0.2">
      <c r="A95" s="6">
        <v>94</v>
      </c>
      <c r="B95" s="7" t="str">
        <f>HYPERLINK("https://www.ebi.ac.uk/QuickGO/GTerm?id=GO:1901523","GO:1901523 icosanoid catabolic process")</f>
        <v>GO:1901523 icosanoid catabolic process</v>
      </c>
      <c r="C95" s="1" t="s">
        <v>1</v>
      </c>
      <c r="D95" s="7" t="str">
        <f>HYPERLINK("https://www.ebi.ac.uk/QuickGO/GTerm?id=GO:0046395","GO:0046395 carboxylic acid catabolic process")</f>
        <v>GO:0046395 carboxylic acid catabolic process</v>
      </c>
      <c r="E95" s="1" t="s">
        <v>2</v>
      </c>
      <c r="F95" s="1" t="s">
        <v>95</v>
      </c>
      <c r="G95" s="8"/>
    </row>
    <row r="96" spans="1:7" ht="24.75" customHeight="1" x14ac:dyDescent="0.2">
      <c r="A96" s="6">
        <v>95</v>
      </c>
      <c r="B96" s="7" t="str">
        <f>HYPERLINK("https://www.ebi.ac.uk/QuickGO/GTerm?id=GO:0098897","GO:0098897 spine apparatus membrane")</f>
        <v>GO:0098897 spine apparatus membrane</v>
      </c>
      <c r="C96" s="1" t="s">
        <v>1</v>
      </c>
      <c r="D96" s="7" t="str">
        <f>HYPERLINK("https://www.ebi.ac.uk/QuickGO/GTerm?id=GO:0030659","GO:0030659 cytoplasmic vesicle membrane")</f>
        <v>GO:0030659 cytoplasmic vesicle membrane</v>
      </c>
      <c r="E96" s="1" t="s">
        <v>2</v>
      </c>
      <c r="F96" s="1" t="s">
        <v>96</v>
      </c>
      <c r="G96" s="8"/>
    </row>
    <row r="97" spans="1:7" ht="24.75" customHeight="1" x14ac:dyDescent="0.2">
      <c r="A97" s="6">
        <v>96</v>
      </c>
      <c r="B97" s="7" t="str">
        <f>HYPERLINK("https://www.ebi.ac.uk/QuickGO/GTerm?id=GO:0031587","GO:0031587 positive regulation of inositol 1,4,5-trisphosphate-sensitive calcium-release channel activity")</f>
        <v>GO:0031587 positive regulation of inositol 1,4,5-trisphosphate-sensitive calcium-release channel activity</v>
      </c>
      <c r="C97" s="1" t="s">
        <v>1</v>
      </c>
      <c r="D97" s="7" t="str">
        <f>HYPERLINK("https://www.ebi.ac.uk/QuickGO/GTerm?id=GO:0050850","GO:0050850 positive regulation of calcium-mediated signaling")</f>
        <v>GO:0050850 positive regulation of calcium-mediated signaling</v>
      </c>
      <c r="E97" s="1" t="s">
        <v>2</v>
      </c>
      <c r="F97" s="1" t="s">
        <v>97</v>
      </c>
      <c r="G97" s="8"/>
    </row>
    <row r="98" spans="1:7" ht="24.75" customHeight="1" x14ac:dyDescent="0.2">
      <c r="A98" s="6">
        <v>97</v>
      </c>
      <c r="B98" s="7" t="str">
        <f>HYPERLINK("https://www.ebi.ac.uk/QuickGO/GTerm?id=GO:0034447","GO:0034447 very-low-density lipoprotein particle clearance")</f>
        <v>GO:0034447 very-low-density lipoprotein particle clearance</v>
      </c>
      <c r="C98" s="1" t="s">
        <v>1</v>
      </c>
      <c r="D98" s="7" t="str">
        <f>HYPERLINK("https://www.ebi.ac.uk/QuickGO/GTerm?id=GO:0071830","GO:0071830 triglyceride-rich lipoprotein particle clearance")</f>
        <v>GO:0071830 triglyceride-rich lipoprotein particle clearance</v>
      </c>
      <c r="E98" s="1" t="s">
        <v>2</v>
      </c>
      <c r="F98" s="1" t="s">
        <v>98</v>
      </c>
      <c r="G98" s="8"/>
    </row>
    <row r="99" spans="1:7" ht="24.75" customHeight="1" x14ac:dyDescent="0.2">
      <c r="A99" s="6">
        <v>98</v>
      </c>
      <c r="B99" s="7" t="str">
        <f>HYPERLINK("https://www.ebi.ac.uk/QuickGO/GTerm?id=GO:1903594","GO:1903594 negative regulation of histamine secretion by mast cell")</f>
        <v>GO:1903594 negative regulation of histamine secretion by mast cell</v>
      </c>
      <c r="C99" s="1" t="s">
        <v>1</v>
      </c>
      <c r="D99" s="7" t="str">
        <f>HYPERLINK("https://www.ebi.ac.uk/QuickGO/GTerm?id=GO:0050777","GO:0050777 negative regulation of immune response")</f>
        <v>GO:0050777 negative regulation of immune response</v>
      </c>
      <c r="E99" s="1" t="s">
        <v>2</v>
      </c>
      <c r="F99" s="1" t="s">
        <v>99</v>
      </c>
      <c r="G99" s="8"/>
    </row>
    <row r="100" spans="1:7" ht="24.75" customHeight="1" x14ac:dyDescent="0.2">
      <c r="A100" s="6">
        <v>99</v>
      </c>
      <c r="B100" s="7" t="str">
        <f>HYPERLINK("https://www.ebi.ac.uk/QuickGO/GTerm?id=GO:1990511","GO:1990511 piRNA biosynthetic process")</f>
        <v>GO:1990511 piRNA biosynthetic process</v>
      </c>
      <c r="C100" s="1" t="s">
        <v>1</v>
      </c>
      <c r="D100" s="7" t="str">
        <f>HYPERLINK("https://www.ebi.ac.uk/QuickGO/GTerm?id=GO:0032774","GO:0032774 RNA biosynthetic process")</f>
        <v>GO:0032774 RNA biosynthetic process</v>
      </c>
      <c r="E100" s="1" t="s">
        <v>2</v>
      </c>
      <c r="F100" s="1" t="s">
        <v>100</v>
      </c>
      <c r="G100" s="8"/>
    </row>
    <row r="101" spans="1:7" ht="24.75" customHeight="1" x14ac:dyDescent="0.2">
      <c r="A101" s="6">
        <v>100</v>
      </c>
      <c r="B101" s="7" t="str">
        <f>HYPERLINK("https://www.ebi.ac.uk/QuickGO/GTerm?id=GO:1903301","GO:1903301 positive regulation of hexokinase activity")</f>
        <v>GO:1903301 positive regulation of hexokinase activity</v>
      </c>
      <c r="C101" s="1" t="s">
        <v>1</v>
      </c>
      <c r="D101" s="7" t="str">
        <f>HYPERLINK("https://www.ebi.ac.uk/QuickGO/GTerm?id=GO:0010676","GO:0010676 positive regulation of cellular carbohydrate metabolic process")</f>
        <v>GO:0010676 positive regulation of cellular carbohydrate metabolic process</v>
      </c>
      <c r="E101" s="1" t="s">
        <v>2</v>
      </c>
      <c r="F101" s="1" t="s">
        <v>101</v>
      </c>
      <c r="G101" s="8"/>
    </row>
    <row r="102" spans="1:7" ht="24.75" customHeight="1" x14ac:dyDescent="0.2">
      <c r="A102" s="6">
        <v>101</v>
      </c>
      <c r="B102" s="7" t="str">
        <f>HYPERLINK("https://www.ebi.ac.uk/QuickGO/GTerm?id=GO:0070661","GO:0070661 leukocyte proliferation")</f>
        <v>GO:0070661 leukocyte proliferation</v>
      </c>
      <c r="C102" s="1" t="s">
        <v>1</v>
      </c>
      <c r="D102" s="7" t="str">
        <f>HYPERLINK("https://www.ebi.ac.uk/QuickGO/GTerm?id=GO:0045321","GO:0045321 leukocyte activation")</f>
        <v>GO:0045321 leukocyte activation</v>
      </c>
      <c r="E102" s="1" t="s">
        <v>2</v>
      </c>
      <c r="F102" s="1" t="s">
        <v>102</v>
      </c>
      <c r="G102" s="8"/>
    </row>
    <row r="103" spans="1:7" ht="24.75" customHeight="1" x14ac:dyDescent="0.2">
      <c r="A103" s="6">
        <v>102</v>
      </c>
      <c r="B103" s="7" t="str">
        <f>HYPERLINK("https://www.ebi.ac.uk/QuickGO/GTerm?id=GO:1901062","GO:1901062 guaiacyl lignin catabolic process")</f>
        <v>GO:1901062 guaiacyl lignin catabolic process</v>
      </c>
      <c r="C103" s="1" t="s">
        <v>1</v>
      </c>
      <c r="D103" s="7" t="str">
        <f>HYPERLINK("https://www.ebi.ac.uk/QuickGO/GTerm?id=GO:0090487","GO:0090487 secondary metabolite catabolic process")</f>
        <v>GO:0090487 secondary metabolite catabolic process</v>
      </c>
      <c r="E103" s="1" t="s">
        <v>2</v>
      </c>
      <c r="F103" s="1" t="s">
        <v>103</v>
      </c>
      <c r="G103" s="8"/>
    </row>
    <row r="104" spans="1:7" ht="24.75" customHeight="1" x14ac:dyDescent="0.2">
      <c r="A104" s="6">
        <v>103</v>
      </c>
      <c r="B104" s="7" t="str">
        <f>HYPERLINK("https://www.ebi.ac.uk/QuickGO/GTerm?id=GO:0072128","GO:0072128 renal capsule morphogenesis")</f>
        <v>GO:0072128 renal capsule morphogenesis</v>
      </c>
      <c r="C104" s="1" t="s">
        <v>4</v>
      </c>
      <c r="D104" s="7" t="str">
        <f>HYPERLINK("https://www.ebi.ac.uk/QuickGO/GTerm?id=GO:0060993","GO:0060993 kidney morphogenesis")</f>
        <v>GO:0060993 kidney morphogenesis</v>
      </c>
      <c r="E104" s="1" t="s">
        <v>2</v>
      </c>
      <c r="F104" s="1" t="s">
        <v>104</v>
      </c>
      <c r="G104" s="8"/>
    </row>
    <row r="105" spans="1:7" ht="24.75" customHeight="1" x14ac:dyDescent="0.2">
      <c r="A105" s="6">
        <v>104</v>
      </c>
      <c r="B105" s="7" t="str">
        <f>HYPERLINK("https://www.ebi.ac.uk/QuickGO/GTerm?id=GO:0008208","GO:0008208 C21-steroid hormone catabolic process")</f>
        <v>GO:0008208 C21-steroid hormone catabolic process</v>
      </c>
      <c r="C105" s="1" t="s">
        <v>1</v>
      </c>
      <c r="D105" s="7" t="str">
        <f>HYPERLINK("https://www.ebi.ac.uk/QuickGO/GTerm?id=GO:0044248","GO:0044248 cellular catabolic process")</f>
        <v>GO:0044248 cellular catabolic process</v>
      </c>
      <c r="E105" s="1" t="s">
        <v>2</v>
      </c>
      <c r="F105" s="1" t="s">
        <v>105</v>
      </c>
      <c r="G105" s="8"/>
    </row>
    <row r="106" spans="1:7" ht="24.75" customHeight="1" x14ac:dyDescent="0.2">
      <c r="A106" s="6">
        <v>105</v>
      </c>
      <c r="B106" s="7" t="str">
        <f>HYPERLINK("https://www.ebi.ac.uk/QuickGO/GTerm?id=GO:1903118","GO:1903118 urate homeostasis")</f>
        <v>GO:1903118 urate homeostasis</v>
      </c>
      <c r="C106" s="1" t="s">
        <v>1</v>
      </c>
      <c r="D106" s="7" t="str">
        <f>HYPERLINK("https://www.ebi.ac.uk/QuickGO/GTerm?id=GO:0055081","GO:0055081 anion homeostasis")</f>
        <v>GO:0055081 anion homeostasis</v>
      </c>
      <c r="E106" s="1" t="s">
        <v>2</v>
      </c>
      <c r="F106" s="1" t="s">
        <v>106</v>
      </c>
      <c r="G106" s="8"/>
    </row>
    <row r="107" spans="1:7" ht="24.75" customHeight="1" x14ac:dyDescent="0.2">
      <c r="A107" s="6">
        <v>106</v>
      </c>
      <c r="B107" s="7" t="str">
        <f>HYPERLINK("https://www.ebi.ac.uk/QuickGO/GTerm?id=GO:0101004","GO:0101004 cytolytic granule membrane")</f>
        <v>GO:0101004 cytolytic granule membrane</v>
      </c>
      <c r="C107" s="1" t="s">
        <v>1</v>
      </c>
      <c r="D107" s="7" t="str">
        <f>HYPERLINK("https://www.ebi.ac.uk/QuickGO/GTerm?id=GO:0030659","GO:0030659 cytoplasmic vesicle membrane")</f>
        <v>GO:0030659 cytoplasmic vesicle membrane</v>
      </c>
      <c r="E107" s="1" t="s">
        <v>2</v>
      </c>
      <c r="F107" s="1" t="s">
        <v>107</v>
      </c>
      <c r="G107" s="8"/>
    </row>
    <row r="108" spans="1:7" ht="24.75" customHeight="1" x14ac:dyDescent="0.2">
      <c r="A108" s="6">
        <v>107</v>
      </c>
      <c r="B108" s="7" t="str">
        <f>HYPERLINK("https://www.ebi.ac.uk/QuickGO/GTerm?id=GO:0032497","GO:0032497 detection of lipopolysaccharide")</f>
        <v>GO:0032497 detection of lipopolysaccharide</v>
      </c>
      <c r="C108" s="1" t="s">
        <v>1</v>
      </c>
      <c r="D108" s="7" t="str">
        <f>HYPERLINK("https://www.ebi.ac.uk/QuickGO/GTerm?id=GO:0071703","GO:0071703 detection of organic substance")</f>
        <v>GO:0071703 detection of organic substance</v>
      </c>
      <c r="E108" s="1" t="s">
        <v>2</v>
      </c>
      <c r="F108" s="1" t="s">
        <v>108</v>
      </c>
      <c r="G108" s="8"/>
    </row>
    <row r="109" spans="1:7" ht="24.75" customHeight="1" x14ac:dyDescent="0.2">
      <c r="A109" s="6">
        <v>108</v>
      </c>
      <c r="B109" s="7" t="str">
        <f>HYPERLINK("https://www.ebi.ac.uk/QuickGO/GTerm?id=GO:0043302","GO:0043302 positive regulation of leukocyte degranulation")</f>
        <v>GO:0043302 positive regulation of leukocyte degranulation</v>
      </c>
      <c r="C109" s="1" t="s">
        <v>1</v>
      </c>
      <c r="D109" s="7" t="str">
        <f>HYPERLINK("https://www.ebi.ac.uk/QuickGO/GTerm?id=GO:0002696","GO:0002696 positive regulation of leukocyte activation")</f>
        <v>GO:0002696 positive regulation of leukocyte activation</v>
      </c>
      <c r="E109" s="1" t="s">
        <v>2</v>
      </c>
      <c r="F109" s="1" t="s">
        <v>109</v>
      </c>
      <c r="G109" s="8"/>
    </row>
    <row r="110" spans="1:7" ht="24.75" customHeight="1" x14ac:dyDescent="0.2">
      <c r="A110" s="6">
        <v>109</v>
      </c>
      <c r="B110" s="7" t="str">
        <f>HYPERLINK("https://www.ebi.ac.uk/QuickGO/GTerm?id=GO:0035284","GO:0035284 brain segmentation")</f>
        <v>GO:0035284 brain segmentation</v>
      </c>
      <c r="C110" s="1" t="s">
        <v>4</v>
      </c>
      <c r="D110" s="7" t="str">
        <f>HYPERLINK("https://www.ebi.ac.uk/QuickGO/GTerm?id=GO:0048854","GO:0048854 brain morphogenesis")</f>
        <v>GO:0048854 brain morphogenesis</v>
      </c>
      <c r="E110" s="1" t="s">
        <v>2</v>
      </c>
      <c r="F110" s="1" t="s">
        <v>110</v>
      </c>
      <c r="G110" s="8"/>
    </row>
    <row r="111" spans="1:7" ht="24.75" customHeight="1" x14ac:dyDescent="0.2">
      <c r="A111" s="6">
        <v>110</v>
      </c>
      <c r="B111" s="7" t="str">
        <f>HYPERLINK("https://www.ebi.ac.uk/QuickGO/GTerm?id=GO:1903390","GO:1903390 positive regulation of synaptic vesicle uncoating")</f>
        <v>GO:1903390 positive regulation of synaptic vesicle uncoating</v>
      </c>
      <c r="C111" s="1" t="s">
        <v>1</v>
      </c>
      <c r="D111" s="7" t="str">
        <f>HYPERLINK("https://www.ebi.ac.uk/QuickGO/GTerm?id=GO:1900244","GO:1900244 positive regulation of synaptic vesicle endocytosis")</f>
        <v>GO:1900244 positive regulation of synaptic vesicle endocytosis</v>
      </c>
      <c r="E111" s="1" t="s">
        <v>2</v>
      </c>
      <c r="F111" s="1" t="s">
        <v>111</v>
      </c>
      <c r="G111" s="8"/>
    </row>
    <row r="112" spans="1:7" ht="24.75" customHeight="1" x14ac:dyDescent="0.2">
      <c r="A112" s="6">
        <v>111</v>
      </c>
      <c r="B112" s="7" t="str">
        <f>HYPERLINK("https://www.ebi.ac.uk/QuickGO/GTerm?id=GO:0018955","GO:0018955 phenanthrene metabolic process")</f>
        <v>GO:0018955 phenanthrene metabolic process</v>
      </c>
      <c r="C112" s="1" t="s">
        <v>1</v>
      </c>
      <c r="D112" s="7" t="str">
        <f>HYPERLINK("https://www.ebi.ac.uk/QuickGO/GTerm?id=GO:0006805","GO:0006805 xenobiotic metabolic process")</f>
        <v>GO:0006805 xenobiotic metabolic process</v>
      </c>
      <c r="E112" s="1" t="s">
        <v>2</v>
      </c>
      <c r="F112" s="1" t="s">
        <v>112</v>
      </c>
      <c r="G112" s="8"/>
    </row>
    <row r="113" spans="1:7" ht="24.75" customHeight="1" x14ac:dyDescent="0.2">
      <c r="A113" s="6">
        <v>112</v>
      </c>
      <c r="B113" s="7" t="str">
        <f>HYPERLINK("https://www.ebi.ac.uk/QuickGO/GTerm?id=GO:1902758","GO:1902758 bis(molybdopterin guanine dinucleotide)molybdenum biosynthetic process")</f>
        <v>GO:1902758 bis(molybdopterin guanine dinucleotide)molybdenum biosynthetic process</v>
      </c>
      <c r="C113" s="1" t="s">
        <v>1</v>
      </c>
      <c r="D113" s="7" t="str">
        <f>HYPERLINK("https://www.ebi.ac.uk/QuickGO/GTerm?id=GO:0032324","GO:0032324 molybdopterin cofactor biosynthetic process")</f>
        <v>GO:0032324 molybdopterin cofactor biosynthetic process</v>
      </c>
      <c r="E113" s="1" t="s">
        <v>2</v>
      </c>
      <c r="F113" s="1" t="s">
        <v>113</v>
      </c>
      <c r="G113" s="8"/>
    </row>
    <row r="114" spans="1:7" ht="24.75" customHeight="1" x14ac:dyDescent="0.2">
      <c r="A114" s="6">
        <v>113</v>
      </c>
      <c r="B114" s="7" t="str">
        <f>HYPERLINK("https://www.ebi.ac.uk/QuickGO/GTerm?id=GO:0019080","GO:0019080 viral gene expression")</f>
        <v>GO:0019080 viral gene expression</v>
      </c>
      <c r="C114" s="1" t="s">
        <v>1</v>
      </c>
      <c r="D114" s="7" t="str">
        <f>HYPERLINK("https://www.ebi.ac.uk/QuickGO/GTerm?id=GO:0010467","GO:0010467 gene expression")</f>
        <v>GO:0010467 gene expression</v>
      </c>
      <c r="E114" s="1" t="s">
        <v>2</v>
      </c>
      <c r="F114" s="1" t="s">
        <v>114</v>
      </c>
      <c r="G114" s="8"/>
    </row>
    <row r="115" spans="1:7" ht="24.75" customHeight="1" x14ac:dyDescent="0.2">
      <c r="A115" s="6">
        <v>114</v>
      </c>
      <c r="B115" s="7" t="str">
        <f>HYPERLINK("https://www.ebi.ac.uk/QuickGO/GTerm?id=GO:1904960","GO:1904960 positive regulation of cytochrome-c oxidase activity")</f>
        <v>GO:1904960 positive regulation of cytochrome-c oxidase activity</v>
      </c>
      <c r="C115" s="1" t="s">
        <v>1</v>
      </c>
      <c r="D115" s="7" t="str">
        <f>HYPERLINK("https://www.ebi.ac.uk/QuickGO/GTerm?id=GO:1904064","GO:1904064 positive regulation of cation transmembrane transport")</f>
        <v>GO:1904064 positive regulation of cation transmembrane transport</v>
      </c>
      <c r="E115" s="1" t="s">
        <v>2</v>
      </c>
      <c r="F115" s="1" t="s">
        <v>115</v>
      </c>
      <c r="G115" s="8"/>
    </row>
    <row r="116" spans="1:7" ht="24.75" customHeight="1" x14ac:dyDescent="0.2">
      <c r="A116" s="6">
        <v>115</v>
      </c>
      <c r="B116" s="7" t="str">
        <f>HYPERLINK("https://www.ebi.ac.uk/QuickGO/GTerm?id=GO:0046283","GO:0046283 anthocyanin-containing compound metabolic process")</f>
        <v>GO:0046283 anthocyanin-containing compound metabolic process</v>
      </c>
      <c r="C116" s="1" t="s">
        <v>1</v>
      </c>
      <c r="D116" s="7" t="str">
        <f>HYPERLINK("https://www.ebi.ac.uk/QuickGO/GTerm?id=GO:0016137","GO:0016137 glycoside metabolic process")</f>
        <v>GO:0016137 glycoside metabolic process</v>
      </c>
      <c r="E116" s="1" t="s">
        <v>2</v>
      </c>
      <c r="F116" s="1" t="s">
        <v>116</v>
      </c>
      <c r="G116" s="8"/>
    </row>
    <row r="117" spans="1:7" ht="24.75" customHeight="1" x14ac:dyDescent="0.2">
      <c r="A117" s="6">
        <v>116</v>
      </c>
      <c r="B117" s="7" t="str">
        <f>HYPERLINK("https://www.ebi.ac.uk/QuickGO/GTerm?id=GO:0061447","GO:0061447 endocardial cushion cell fate specification")</f>
        <v>GO:0061447 endocardial cushion cell fate specification</v>
      </c>
      <c r="C117" s="1" t="s">
        <v>1</v>
      </c>
      <c r="D117" s="7" t="str">
        <f>HYPERLINK("https://www.ebi.ac.uk/QuickGO/GTerm?id=GO:0060847","GO:0060847 endothelial cell fate specification")</f>
        <v>GO:0060847 endothelial cell fate specification</v>
      </c>
      <c r="E117" s="1" t="s">
        <v>2</v>
      </c>
      <c r="F117" s="1" t="s">
        <v>117</v>
      </c>
      <c r="G117" s="8"/>
    </row>
    <row r="118" spans="1:7" ht="24.75" customHeight="1" x14ac:dyDescent="0.2">
      <c r="A118" s="6">
        <v>117</v>
      </c>
      <c r="B118" s="7" t="str">
        <f>HYPERLINK("https://www.ebi.ac.uk/QuickGO/GTerm?id=GO:0120282","GO:0120282 autolysosome lumen")</f>
        <v>GO:0120282 autolysosome lumen</v>
      </c>
      <c r="C118" s="1" t="s">
        <v>1</v>
      </c>
      <c r="D118" s="7" t="str">
        <f>HYPERLINK("https://www.ebi.ac.uk/QuickGO/GTerm?id=GO:0043202","GO:0043202 lysosomal lumen")</f>
        <v>GO:0043202 lysosomal lumen</v>
      </c>
      <c r="E118" s="1" t="s">
        <v>2</v>
      </c>
      <c r="F118" s="1" t="s">
        <v>118</v>
      </c>
      <c r="G118" s="8"/>
    </row>
    <row r="119" spans="1:7" ht="24.75" customHeight="1" x14ac:dyDescent="0.2">
      <c r="A119" s="6">
        <v>119</v>
      </c>
      <c r="B119" s="7" t="str">
        <f>HYPERLINK("https://www.ebi.ac.uk/QuickGO/GTerm?id=GO:0016999","GO:0016999 antibiotic metabolic process")</f>
        <v>GO:0016999 antibiotic metabolic process</v>
      </c>
      <c r="C119" s="1" t="s">
        <v>1</v>
      </c>
      <c r="D119" s="7" t="str">
        <f>HYPERLINK("https://www.ebi.ac.uk/QuickGO/GTerm?id=GO:0044237","GO:0044237 cellular metabolic process")</f>
        <v>GO:0044237 cellular metabolic process</v>
      </c>
      <c r="E119" s="1" t="s">
        <v>2</v>
      </c>
      <c r="F119" s="1" t="s">
        <v>119</v>
      </c>
      <c r="G119" s="8"/>
    </row>
    <row r="120" spans="1:7" ht="24.75" customHeight="1" x14ac:dyDescent="0.2">
      <c r="A120" s="6">
        <v>120</v>
      </c>
      <c r="B120" s="7" t="str">
        <f>HYPERLINK("https://www.ebi.ac.uk/QuickGO/GTerm?id=GO:0016570","GO:0016570 histone modification")</f>
        <v>GO:0016570 histone modification</v>
      </c>
      <c r="C120" s="1" t="s">
        <v>1</v>
      </c>
      <c r="D120" s="7" t="str">
        <f>HYPERLINK("https://www.ebi.ac.uk/QuickGO/GTerm?id=GO:0018205","GO:0018205 peptidyl-lysine modification")</f>
        <v>GO:0018205 peptidyl-lysine modification</v>
      </c>
      <c r="E120" s="1" t="s">
        <v>2</v>
      </c>
      <c r="F120" s="1" t="s">
        <v>120</v>
      </c>
      <c r="G120" s="8"/>
    </row>
    <row r="121" spans="1:7" ht="24.75" customHeight="1" x14ac:dyDescent="0.2">
      <c r="A121" s="6">
        <v>121</v>
      </c>
      <c r="B121" s="7" t="str">
        <f>HYPERLINK("https://www.ebi.ac.uk/QuickGO/GTerm?id=GO:0019628","GO:0019628 urate catabolic process")</f>
        <v>GO:0019628 urate catabolic process</v>
      </c>
      <c r="C121" s="1" t="s">
        <v>1</v>
      </c>
      <c r="D121" s="7" t="str">
        <f>HYPERLINK("https://www.ebi.ac.uk/QuickGO/GTerm?id=GO:0016054","GO:0016054 organic acid catabolic process")</f>
        <v>GO:0016054 organic acid catabolic process</v>
      </c>
      <c r="E121" s="1" t="s">
        <v>2</v>
      </c>
      <c r="F121" s="1" t="s">
        <v>121</v>
      </c>
      <c r="G121" s="8"/>
    </row>
    <row r="122" spans="1:7" ht="24.75" customHeight="1" x14ac:dyDescent="0.2">
      <c r="A122" s="6">
        <v>122</v>
      </c>
      <c r="B122" s="7" t="str">
        <f>HYPERLINK("https://www.ebi.ac.uk/QuickGO/GTerm?id=GO:0016117","GO:0016117 carotenoid biosynthetic process")</f>
        <v>GO:0016117 carotenoid biosynthetic process</v>
      </c>
      <c r="C122" s="1" t="s">
        <v>1</v>
      </c>
      <c r="D122" s="7" t="str">
        <f>HYPERLINK("https://www.ebi.ac.uk/QuickGO/GTerm?id=GO:0097384","GO:0097384 cellular lipid biosynthetic process")</f>
        <v>GO:0097384 cellular lipid biosynthetic process</v>
      </c>
      <c r="E122" s="1" t="s">
        <v>2</v>
      </c>
      <c r="F122" s="1" t="s">
        <v>122</v>
      </c>
      <c r="G122" s="8"/>
    </row>
    <row r="123" spans="1:7" ht="24.75" customHeight="1" x14ac:dyDescent="0.2">
      <c r="A123" s="6">
        <v>123</v>
      </c>
      <c r="B123" s="7" t="str">
        <f>HYPERLINK("https://www.ebi.ac.uk/QuickGO/GTerm?id=GO:0070399","GO:0070399 wall teichoic acid catabolic process")</f>
        <v>GO:0070399 wall teichoic acid catabolic process</v>
      </c>
      <c r="C123" s="1" t="s">
        <v>1</v>
      </c>
      <c r="D123" s="7" t="str">
        <f>HYPERLINK("https://www.ebi.ac.uk/QuickGO/GTerm?id=GO:0044282","GO:0044282 small molecule catabolic process")</f>
        <v>GO:0044282 small molecule catabolic process</v>
      </c>
      <c r="E123" s="1" t="s">
        <v>2</v>
      </c>
      <c r="F123" s="1" t="s">
        <v>123</v>
      </c>
      <c r="G123" s="8"/>
    </row>
    <row r="124" spans="1:7" ht="24.75" customHeight="1" x14ac:dyDescent="0.2">
      <c r="A124" s="6">
        <v>124</v>
      </c>
      <c r="B124" s="7" t="str">
        <f>HYPERLINK("https://www.ebi.ac.uk/QuickGO/GTerm?id=GO:1905663","GO:1905663 positive regulation of telomerase RNA reverse transcriptase activity")</f>
        <v>GO:1905663 positive regulation of telomerase RNA reverse transcriptase activity</v>
      </c>
      <c r="C124" s="1" t="s">
        <v>1</v>
      </c>
      <c r="D124" s="7" t="str">
        <f>HYPERLINK("https://www.ebi.ac.uk/QuickGO/GTerm?id=GO:0031328","GO:0031328 positive regulation of cellular biosynthetic process")</f>
        <v>GO:0031328 positive regulation of cellular biosynthetic process</v>
      </c>
      <c r="E124" s="1" t="s">
        <v>2</v>
      </c>
      <c r="F124" s="1" t="s">
        <v>124</v>
      </c>
      <c r="G124" s="8"/>
    </row>
    <row r="125" spans="1:7" ht="24.75" customHeight="1" x14ac:dyDescent="0.2">
      <c r="A125" s="6">
        <v>125</v>
      </c>
      <c r="B125" s="7" t="str">
        <f>HYPERLINK("https://www.ebi.ac.uk/QuickGO/GTerm?id=GO:0043547","GO:0043547 positive regulation of GTPase activity")</f>
        <v>GO:0043547 positive regulation of GTPase activity</v>
      </c>
      <c r="C125" s="1" t="s">
        <v>1</v>
      </c>
      <c r="D125" s="7" t="str">
        <f>HYPERLINK("https://www.ebi.ac.uk/QuickGO/GTerm?id=GO:0048518","GO:0048518 positive regulation of biological process")</f>
        <v>GO:0048518 positive regulation of biological process</v>
      </c>
      <c r="E125" s="1" t="s">
        <v>2</v>
      </c>
      <c r="F125" s="1" t="s">
        <v>125</v>
      </c>
      <c r="G125" s="8"/>
    </row>
    <row r="126" spans="1:7" ht="24.75" customHeight="1" x14ac:dyDescent="0.2">
      <c r="A126" s="6">
        <v>126</v>
      </c>
      <c r="B126" s="7" t="str">
        <f>HYPERLINK("https://www.ebi.ac.uk/QuickGO/GTerm?id=GO:0035335","GO:0035335 peptidyl-tyrosine dephosphorylation")</f>
        <v>GO:0035335 peptidyl-tyrosine dephosphorylation</v>
      </c>
      <c r="C126" s="1" t="s">
        <v>1</v>
      </c>
      <c r="D126" s="7" t="str">
        <f>HYPERLINK("https://www.ebi.ac.uk/QuickGO/GTerm?id=GO:0018212","GO:0018212 peptidyl-tyrosine modification")</f>
        <v>GO:0018212 peptidyl-tyrosine modification</v>
      </c>
      <c r="E126" s="1" t="s">
        <v>2</v>
      </c>
      <c r="F126" s="1" t="s">
        <v>126</v>
      </c>
      <c r="G126" s="8"/>
    </row>
    <row r="127" spans="1:7" ht="24.75" customHeight="1" x14ac:dyDescent="0.2">
      <c r="A127" s="6">
        <v>127</v>
      </c>
      <c r="B127" s="7" t="str">
        <f>HYPERLINK("https://www.ebi.ac.uk/QuickGO/GTerm?id=GO:0009451","GO:0009451 RNA modification")</f>
        <v>GO:0009451 RNA modification</v>
      </c>
      <c r="C127" s="1" t="s">
        <v>1</v>
      </c>
      <c r="D127" s="7" t="str">
        <f>HYPERLINK("https://www.ebi.ac.uk/QuickGO/GTerm?id=GO:0006396","GO:0006396 RNA processing")</f>
        <v>GO:0006396 RNA processing</v>
      </c>
      <c r="E127" s="1" t="s">
        <v>2</v>
      </c>
      <c r="F127" s="1" t="s">
        <v>65</v>
      </c>
      <c r="G127" s="8"/>
    </row>
    <row r="128" spans="1:7" ht="24.75" customHeight="1" x14ac:dyDescent="0.2">
      <c r="A128" s="6">
        <v>128</v>
      </c>
      <c r="B128" s="7" t="str">
        <f>HYPERLINK("https://www.ebi.ac.uk/QuickGO/GTerm?id=GO:0055019","GO:0055019 negative regulation of cardiac muscle fiber development")</f>
        <v>GO:0055019 negative regulation of cardiac muscle fiber development</v>
      </c>
      <c r="C128" s="1" t="s">
        <v>1</v>
      </c>
      <c r="D128" s="7" t="str">
        <f>HYPERLINK("https://www.ebi.ac.uk/QuickGO/GTerm?id=GO:2000726","GO:2000726 negative regulation of cardiac muscle cell differentiation")</f>
        <v>GO:2000726 negative regulation of cardiac muscle cell differentiation</v>
      </c>
      <c r="E128" s="1" t="s">
        <v>2</v>
      </c>
      <c r="F128" s="1" t="s">
        <v>127</v>
      </c>
      <c r="G128" s="8"/>
    </row>
    <row r="129" spans="1:7" ht="24.75" customHeight="1" x14ac:dyDescent="0.2">
      <c r="A129" s="6">
        <v>129</v>
      </c>
      <c r="B129" s="7" t="str">
        <f>HYPERLINK("https://www.ebi.ac.uk/QuickGO/GTerm?id=GO:0021684","GO:0021684 cerebellar granular layer formation")</f>
        <v>GO:0021684 cerebellar granular layer formation</v>
      </c>
      <c r="C129" s="1" t="s">
        <v>4</v>
      </c>
      <c r="D129" s="7" t="str">
        <f>HYPERLINK("https://www.ebi.ac.uk/QuickGO/GTerm?id=GO:0021576","GO:0021576 hindbrain formation")</f>
        <v>GO:0021576 hindbrain formation</v>
      </c>
      <c r="E129" s="1" t="s">
        <v>2</v>
      </c>
      <c r="F129" s="1" t="s">
        <v>128</v>
      </c>
      <c r="G129" s="8"/>
    </row>
    <row r="130" spans="1:7" ht="24.75" customHeight="1" x14ac:dyDescent="0.2">
      <c r="A130" s="6">
        <v>130</v>
      </c>
      <c r="B130" s="7" t="str">
        <f>HYPERLINK("https://www.ebi.ac.uk/QuickGO/GTerm?id=GO:0030654","GO:0030654 beta-lactam antibiotic biosynthetic process")</f>
        <v>GO:0030654 beta-lactam antibiotic biosynthetic process</v>
      </c>
      <c r="C130" s="1" t="s">
        <v>1</v>
      </c>
      <c r="D130" s="7" t="str">
        <f>HYPERLINK("https://www.ebi.ac.uk/QuickGO/GTerm?id=GO:0044283","GO:0044283 small molecule biosynthetic process")</f>
        <v>GO:0044283 small molecule biosynthetic process</v>
      </c>
      <c r="E130" s="1" t="s">
        <v>2</v>
      </c>
      <c r="F130" s="1" t="s">
        <v>129</v>
      </c>
      <c r="G130" s="8"/>
    </row>
    <row r="131" spans="1:7" ht="24.75" customHeight="1" x14ac:dyDescent="0.2">
      <c r="A131" s="6">
        <v>131</v>
      </c>
      <c r="B131" s="7" t="str">
        <f>HYPERLINK("https://www.ebi.ac.uk/QuickGO/GTerm?id=GO:0006766","GO:0006766 vitamin metabolic process")</f>
        <v>GO:0006766 vitamin metabolic process</v>
      </c>
      <c r="C131" s="1" t="s">
        <v>1</v>
      </c>
      <c r="D131" s="7" t="str">
        <f>HYPERLINK("https://www.ebi.ac.uk/QuickGO/GTerm?id=GO:0044237","GO:0044237 cellular metabolic process")</f>
        <v>GO:0044237 cellular metabolic process</v>
      </c>
      <c r="E131" s="1" t="s">
        <v>2</v>
      </c>
      <c r="F131" s="1" t="s">
        <v>130</v>
      </c>
      <c r="G131" s="8"/>
    </row>
    <row r="132" spans="1:7" ht="24.75" customHeight="1" x14ac:dyDescent="0.2">
      <c r="A132" s="6">
        <v>133</v>
      </c>
      <c r="B132" s="7" t="str">
        <f>HYPERLINK("https://www.ebi.ac.uk/QuickGO/GTerm?id=GO:0042342","GO:0042342 cyanogenic glycoside catabolic process")</f>
        <v>GO:0042342 cyanogenic glycoside catabolic process</v>
      </c>
      <c r="C132" s="1" t="s">
        <v>1</v>
      </c>
      <c r="D132" s="7" t="str">
        <f>HYPERLINK("https://www.ebi.ac.uk/QuickGO/GTerm?id=GO:0090487","GO:0090487 secondary metabolite catabolic process")</f>
        <v>GO:0090487 secondary metabolite catabolic process</v>
      </c>
      <c r="E132" s="1" t="s">
        <v>2</v>
      </c>
      <c r="F132" s="1" t="s">
        <v>131</v>
      </c>
      <c r="G132" s="8"/>
    </row>
    <row r="133" spans="1:7" ht="24.75" customHeight="1" x14ac:dyDescent="0.2">
      <c r="A133" s="6">
        <v>134</v>
      </c>
      <c r="B133" s="7" t="str">
        <f>HYPERLINK("https://www.ebi.ac.uk/QuickGO/GTerm?id=GO:0016571","GO:0016571 histone methylation")</f>
        <v>GO:0016571 histone methylation</v>
      </c>
      <c r="C133" s="1" t="s">
        <v>1</v>
      </c>
      <c r="D133" s="7" t="str">
        <f>HYPERLINK("https://www.ebi.ac.uk/QuickGO/GTerm?id=GO:0018022","GO:0018022 peptidyl-lysine methylation")</f>
        <v>GO:0018022 peptidyl-lysine methylation</v>
      </c>
      <c r="E133" s="1" t="s">
        <v>2</v>
      </c>
      <c r="F133" s="1" t="s">
        <v>132</v>
      </c>
      <c r="G133" s="8"/>
    </row>
    <row r="134" spans="1:7" ht="24.75" customHeight="1" x14ac:dyDescent="0.2">
      <c r="A134" s="6">
        <v>135</v>
      </c>
      <c r="B134" s="7" t="str">
        <f>HYPERLINK("https://www.ebi.ac.uk/QuickGO/GTerm?id=GO:0030229","GO:0030229 very-low-density lipoprotein particle receptor activity")</f>
        <v>GO:0030229 very-low-density lipoprotein particle receptor activity</v>
      </c>
      <c r="C134" s="1" t="s">
        <v>1</v>
      </c>
      <c r="D134" s="7" t="str">
        <f>HYPERLINK("https://www.ebi.ac.uk/QuickGO/GTerm?id=GO:0038023","GO:0038023 signaling receptor activity")</f>
        <v>GO:0038023 signaling receptor activity</v>
      </c>
      <c r="E134" s="1" t="s">
        <v>2</v>
      </c>
      <c r="F134" s="1" t="s">
        <v>133</v>
      </c>
      <c r="G134" s="8"/>
    </row>
    <row r="135" spans="1:7" ht="24.75" customHeight="1" x14ac:dyDescent="0.2">
      <c r="A135" s="6">
        <v>136</v>
      </c>
      <c r="B135" s="7" t="str">
        <f>HYPERLINK("https://www.ebi.ac.uk/QuickGO/GTerm?id=GO:1901731","GO:1901731 positive regulation of platelet aggregation")</f>
        <v>GO:1901731 positive regulation of platelet aggregation</v>
      </c>
      <c r="C135" s="1" t="s">
        <v>1</v>
      </c>
      <c r="D135" s="7" t="str">
        <f>HYPERLINK("https://www.ebi.ac.uk/QuickGO/GTerm?id=GO:0030194","GO:0030194 positive regulation of blood coagulation")</f>
        <v>GO:0030194 positive regulation of blood coagulation</v>
      </c>
      <c r="E135" s="1" t="s">
        <v>2</v>
      </c>
      <c r="F135" s="1" t="s">
        <v>134</v>
      </c>
      <c r="G135" s="8"/>
    </row>
    <row r="136" spans="1:7" ht="24.75" customHeight="1" x14ac:dyDescent="0.2">
      <c r="A136" s="6">
        <v>137</v>
      </c>
      <c r="B136" s="7" t="str">
        <f>HYPERLINK("https://www.ebi.ac.uk/QuickGO/GTerm?id=GO:0031318","GO:0031318 detection of folic acid")</f>
        <v>GO:0031318 detection of folic acid</v>
      </c>
      <c r="C136" s="1" t="s">
        <v>1</v>
      </c>
      <c r="D136" s="7" t="str">
        <f>HYPERLINK("https://www.ebi.ac.uk/QuickGO/GTerm?id=GO:0071703","GO:0071703 detection of organic substance")</f>
        <v>GO:0071703 detection of organic substance</v>
      </c>
      <c r="E136" s="1" t="s">
        <v>2</v>
      </c>
      <c r="F136" s="1" t="s">
        <v>135</v>
      </c>
      <c r="G136" s="8"/>
    </row>
    <row r="137" spans="1:7" ht="24.75" customHeight="1" x14ac:dyDescent="0.2">
      <c r="A137" s="10">
        <v>138</v>
      </c>
      <c r="B137" s="11" t="str">
        <f>HYPERLINK("https://www.ebi.ac.uk/QuickGO/GTerm?id=GO:0045874","GO:0045874 positive regulation of sevenless signaling pathway")</f>
        <v>GO:0045874 positive regulation of sevenless signaling pathway</v>
      </c>
      <c r="C137" s="12" t="s">
        <v>1</v>
      </c>
      <c r="D137" s="11" t="str">
        <f>HYPERLINK("https://www.ebi.ac.uk/QuickGO/GTerm?id=GO:0045678","GO:0045678 positive regulation of R7 cell differentiation")</f>
        <v>GO:0045678 positive regulation of R7 cell differentiation</v>
      </c>
      <c r="E137" s="12" t="s">
        <v>2</v>
      </c>
      <c r="F137" s="12" t="s">
        <v>136</v>
      </c>
      <c r="G137" s="8"/>
    </row>
    <row r="138" spans="1:7" ht="24.75" customHeight="1" x14ac:dyDescent="0.2">
      <c r="A138" s="6">
        <v>139</v>
      </c>
      <c r="B138" s="7" t="str">
        <f>HYPERLINK("https://www.ebi.ac.uk/QuickGO/GTerm?id=GO:0044347","GO:0044347 cell wall polysaccharide catabolic process")</f>
        <v>GO:0044347 cell wall polysaccharide catabolic process</v>
      </c>
      <c r="C138" s="1" t="s">
        <v>1</v>
      </c>
      <c r="D138" s="7" t="str">
        <f>HYPERLINK("https://www.ebi.ac.uk/QuickGO/GTerm?id=GO:0010383","GO:0010383 cell wall polysaccharide metabolic process")</f>
        <v>GO:0010383 cell wall polysaccharide metabolic process</v>
      </c>
      <c r="E138" s="1" t="s">
        <v>2</v>
      </c>
      <c r="F138" s="1" t="s">
        <v>137</v>
      </c>
      <c r="G138" s="8"/>
    </row>
    <row r="139" spans="1:7" ht="24.75" customHeight="1" x14ac:dyDescent="0.2">
      <c r="A139" s="6">
        <v>140</v>
      </c>
      <c r="B139" s="7" t="str">
        <f>HYPERLINK("https://www.ebi.ac.uk/QuickGO/GTerm?id=GO:0009611","GO:0009611 response to wounding")</f>
        <v>GO:0009611 response to wounding</v>
      </c>
      <c r="C139" s="1" t="s">
        <v>1</v>
      </c>
      <c r="D139" s="7" t="str">
        <f>HYPERLINK("https://www.ebi.ac.uk/QuickGO/GTerm?id=GO:0009605","GO:0009605 response to external stimulus")</f>
        <v>GO:0009605 response to external stimulus</v>
      </c>
      <c r="E139" s="1" t="s">
        <v>2</v>
      </c>
      <c r="F139" s="1" t="s">
        <v>138</v>
      </c>
      <c r="G139" s="8"/>
    </row>
    <row r="140" spans="1:7" ht="24.75" customHeight="1" x14ac:dyDescent="0.2">
      <c r="A140" s="6">
        <v>141</v>
      </c>
      <c r="B140" s="7" t="str">
        <f>HYPERLINK("https://www.ebi.ac.uk/QuickGO/GTerm?id=GO:0010634","GO:0010634 positive regulation of epithelial cell migration")</f>
        <v>GO:0010634 positive regulation of epithelial cell migration</v>
      </c>
      <c r="C140" s="1" t="s">
        <v>1</v>
      </c>
      <c r="D140" s="7" t="str">
        <f>HYPERLINK("https://www.ebi.ac.uk/QuickGO/GTerm?id=GO:0051240","GO:0051240 positive regulation of multicellular organismal process")</f>
        <v>GO:0051240 positive regulation of multicellular organismal process</v>
      </c>
      <c r="E140" s="1" t="s">
        <v>2</v>
      </c>
      <c r="F140" s="1" t="s">
        <v>139</v>
      </c>
      <c r="G140" s="8"/>
    </row>
    <row r="141" spans="1:7" ht="24.75" customHeight="1" x14ac:dyDescent="0.2">
      <c r="A141" s="6">
        <v>142</v>
      </c>
      <c r="B141" s="7" t="str">
        <f>HYPERLINK("https://www.ebi.ac.uk/QuickGO/GTerm?id=GO:1902991","GO:1902991 regulation of amyloid precursor protein catabolic process")</f>
        <v>GO:1902991 regulation of amyloid precursor protein catabolic process</v>
      </c>
      <c r="C141" s="1" t="s">
        <v>1</v>
      </c>
      <c r="D141" s="7" t="str">
        <f>HYPERLINK("https://www.ebi.ac.uk/QuickGO/GTerm?id=GO:0009894","GO:0009894 regulation of catabolic process")</f>
        <v>GO:0009894 regulation of catabolic process</v>
      </c>
      <c r="E141" s="1" t="s">
        <v>2</v>
      </c>
      <c r="F141" s="1" t="s">
        <v>140</v>
      </c>
      <c r="G141" s="8"/>
    </row>
    <row r="142" spans="1:7" ht="24.75" customHeight="1" x14ac:dyDescent="0.2">
      <c r="A142" s="6">
        <v>143</v>
      </c>
      <c r="B142" s="7" t="str">
        <f>HYPERLINK("https://www.ebi.ac.uk/QuickGO/GTerm?id=GO:0070135","GO:0070135 beta-1,2-oligomannoside metabolic process")</f>
        <v>GO:0070135 beta-1,2-oligomannoside metabolic process</v>
      </c>
      <c r="C142" s="1" t="s">
        <v>1</v>
      </c>
      <c r="D142" s="7" t="str">
        <f>HYPERLINK("https://www.ebi.ac.uk/QuickGO/GTerm?id=GO:0071966","GO:0071966 fungal-type cell wall polysaccharide metabolic process")</f>
        <v>GO:0071966 fungal-type cell wall polysaccharide metabolic process</v>
      </c>
      <c r="E142" s="1" t="s">
        <v>2</v>
      </c>
      <c r="F142" s="1" t="s">
        <v>141</v>
      </c>
      <c r="G142" s="8"/>
    </row>
    <row r="143" spans="1:7" ht="24.75" customHeight="1" x14ac:dyDescent="0.2">
      <c r="A143" s="6">
        <v>144</v>
      </c>
      <c r="B143" s="7" t="str">
        <f>HYPERLINK("https://www.ebi.ac.uk/QuickGO/GTerm?id=GO:1900012","GO:1900012 positive regulation of corticotropin-releasing hormone receptor activity")</f>
        <v>GO:1900012 positive regulation of corticotropin-releasing hormone receptor activity</v>
      </c>
      <c r="C143" s="1" t="s">
        <v>1</v>
      </c>
      <c r="D143" s="7" t="str">
        <f>HYPERLINK("https://www.ebi.ac.uk/QuickGO/GTerm?id=GO:0009967","GO:0009967 positive regulation of signal transduction")</f>
        <v>GO:0009967 positive regulation of signal transduction</v>
      </c>
      <c r="E143" s="1" t="s">
        <v>2</v>
      </c>
      <c r="F143" s="1" t="s">
        <v>142</v>
      </c>
      <c r="G143" s="8"/>
    </row>
    <row r="144" spans="1:7" ht="24.75" customHeight="1" x14ac:dyDescent="0.2">
      <c r="A144" s="6">
        <v>145</v>
      </c>
      <c r="B144" s="7" t="str">
        <f>HYPERLINK("https://www.ebi.ac.uk/QuickGO/GTerm?id=GO:0036120","GO:0036120 cellular response to platelet-derived growth factor stimulus")</f>
        <v>GO:0036120 cellular response to platelet-derived growth factor stimulus</v>
      </c>
      <c r="C144" s="1" t="s">
        <v>1</v>
      </c>
      <c r="D144" s="7" t="str">
        <f>HYPERLINK("https://www.ebi.ac.uk/QuickGO/GTerm?id=GO:0071345","GO:0071345 cellular response to cytokine stimulus")</f>
        <v>GO:0071345 cellular response to cytokine stimulus</v>
      </c>
      <c r="E144" s="1" t="s">
        <v>2</v>
      </c>
      <c r="F144" s="1" t="s">
        <v>143</v>
      </c>
      <c r="G144" s="8"/>
    </row>
    <row r="145" spans="1:7" ht="24.75" customHeight="1" x14ac:dyDescent="0.2">
      <c r="A145" s="6">
        <v>146</v>
      </c>
      <c r="B145" s="7" t="str">
        <f>HYPERLINK("https://www.ebi.ac.uk/QuickGO/GTerm?id=GO:0099150","GO:0099150 regulation of postsynaptic specialization assembly")</f>
        <v>GO:0099150 regulation of postsynaptic specialization assembly</v>
      </c>
      <c r="C145" s="1" t="s">
        <v>1</v>
      </c>
      <c r="D145" s="7" t="str">
        <f>HYPERLINK("https://www.ebi.ac.uk/QuickGO/GTerm?id=GO:0051963","GO:0051963 regulation of synapse assembly")</f>
        <v>GO:0051963 regulation of synapse assembly</v>
      </c>
      <c r="E145" s="1" t="s">
        <v>2</v>
      </c>
      <c r="F145" s="1" t="s">
        <v>144</v>
      </c>
      <c r="G145" s="8"/>
    </row>
    <row r="146" spans="1:7" ht="24.75" customHeight="1" x14ac:dyDescent="0.2">
      <c r="A146" s="6">
        <v>147</v>
      </c>
      <c r="B146" s="7" t="str">
        <f>HYPERLINK("https://www.ebi.ac.uk/QuickGO/GTerm?id=GO:0018893","GO:0018893 dibenzofuran metabolic process")</f>
        <v>GO:0018893 dibenzofuran metabolic process</v>
      </c>
      <c r="C146" s="1" t="s">
        <v>1</v>
      </c>
      <c r="D146" s="7" t="str">
        <f>HYPERLINK("https://www.ebi.ac.uk/QuickGO/GTerm?id=GO:0006805","GO:0006805 xenobiotic metabolic process")</f>
        <v>GO:0006805 xenobiotic metabolic process</v>
      </c>
      <c r="E146" s="1" t="s">
        <v>2</v>
      </c>
      <c r="F146" s="1" t="s">
        <v>145</v>
      </c>
      <c r="G146" s="8"/>
    </row>
    <row r="147" spans="1:7" ht="24.75" customHeight="1" x14ac:dyDescent="0.2">
      <c r="A147" s="6">
        <v>148</v>
      </c>
      <c r="B147" s="7" t="str">
        <f>HYPERLINK("https://www.ebi.ac.uk/QuickGO/GTerm?id=GO:2001172","GO:2001172 positive regulation of glycolytic fermentation to ethanol")</f>
        <v>GO:2001172 positive regulation of glycolytic fermentation to ethanol</v>
      </c>
      <c r="C147" s="1" t="s">
        <v>1</v>
      </c>
      <c r="D147" s="7" t="str">
        <f>HYPERLINK("https://www.ebi.ac.uk/QuickGO/GTerm?id=GO:0010676","GO:0010676 positive regulation of cellular carbohydrate metabolic process")</f>
        <v>GO:0010676 positive regulation of cellular carbohydrate metabolic process</v>
      </c>
      <c r="E147" s="1" t="s">
        <v>2</v>
      </c>
      <c r="F147" s="1" t="s">
        <v>146</v>
      </c>
      <c r="G147" s="8"/>
    </row>
    <row r="148" spans="1:7" ht="24.75" customHeight="1" x14ac:dyDescent="0.2">
      <c r="A148" s="6">
        <v>149</v>
      </c>
      <c r="B148" s="7" t="str">
        <f>HYPERLINK("https://www.ebi.ac.uk/QuickGO/GTerm?id=GO:0010572","GO:0010572 positive regulation of platelet activation")</f>
        <v>GO:0010572 positive regulation of platelet activation</v>
      </c>
      <c r="C148" s="1" t="s">
        <v>1</v>
      </c>
      <c r="D148" s="7" t="str">
        <f>HYPERLINK("https://www.ebi.ac.uk/QuickGO/GTerm?id=GO:0030194","GO:0030194 positive regulation of blood coagulation")</f>
        <v>GO:0030194 positive regulation of blood coagulation</v>
      </c>
      <c r="E148" s="1" t="s">
        <v>2</v>
      </c>
      <c r="F148" s="1" t="s">
        <v>147</v>
      </c>
      <c r="G148" s="8"/>
    </row>
    <row r="149" spans="1:7" ht="24.75" customHeight="1" x14ac:dyDescent="0.2">
      <c r="A149" s="6">
        <v>150</v>
      </c>
      <c r="B149" s="7" t="str">
        <f>HYPERLINK("https://www.ebi.ac.uk/QuickGO/GTerm?id=GO:0045337","GO:0045337 farnesyl diphosphate biosynthetic process")</f>
        <v>GO:0045337 farnesyl diphosphate biosynthetic process</v>
      </c>
      <c r="C149" s="1" t="s">
        <v>1</v>
      </c>
      <c r="D149" s="7" t="str">
        <f>HYPERLINK("https://www.ebi.ac.uk/QuickGO/GTerm?id=GO:0097384","GO:0097384 cellular lipid biosynthetic process")</f>
        <v>GO:0097384 cellular lipid biosynthetic process</v>
      </c>
      <c r="E149" s="1" t="s">
        <v>2</v>
      </c>
      <c r="F149" s="1" t="s">
        <v>148</v>
      </c>
      <c r="G149" s="8"/>
    </row>
    <row r="150" spans="1:7" ht="24.75" customHeight="1" x14ac:dyDescent="0.2">
      <c r="A150" s="6">
        <v>151</v>
      </c>
      <c r="B150" s="7" t="str">
        <f>HYPERLINK("https://www.ebi.ac.uk/QuickGO/GTerm?id=GO:0005981","GO:0005981 regulation of glycogen catabolic process")</f>
        <v>GO:0005981 regulation of glycogen catabolic process</v>
      </c>
      <c r="C150" s="1" t="s">
        <v>20</v>
      </c>
      <c r="D150" s="7" t="str">
        <f>HYPERLINK("https://www.ebi.ac.uk/QuickGO/GTerm?id=GO:0006007","GO:0006007 glucose catabolic process")</f>
        <v>GO:0006007 glucose catabolic process</v>
      </c>
      <c r="E150" s="1" t="s">
        <v>2</v>
      </c>
      <c r="F150" s="1" t="s">
        <v>149</v>
      </c>
      <c r="G150" s="8"/>
    </row>
    <row r="151" spans="1:7" ht="24.75" customHeight="1" x14ac:dyDescent="0.2">
      <c r="A151" s="6">
        <v>152</v>
      </c>
      <c r="B151" s="7" t="str">
        <f>HYPERLINK("https://www.ebi.ac.uk/QuickGO/GTerm?id=GO:0035946","GO:0035946 mitochondrial mRNA surveillance")</f>
        <v>GO:0035946 mitochondrial mRNA surveillance</v>
      </c>
      <c r="C151" s="1" t="s">
        <v>1</v>
      </c>
      <c r="D151" s="7" t="str">
        <f>HYPERLINK("https://www.ebi.ac.uk/QuickGO/GTerm?id=GO:0006402","GO:0006402 mRNA catabolic process")</f>
        <v>GO:0006402 mRNA catabolic process</v>
      </c>
      <c r="E151" s="1" t="s">
        <v>2</v>
      </c>
      <c r="F151" s="1" t="s">
        <v>150</v>
      </c>
      <c r="G151" s="8"/>
    </row>
    <row r="152" spans="1:7" ht="24.75" customHeight="1" x14ac:dyDescent="0.2">
      <c r="A152" s="6">
        <v>153</v>
      </c>
      <c r="B152" s="7" t="str">
        <f>HYPERLINK("https://www.ebi.ac.uk/QuickGO/GTerm?id=GO:0006837","GO:0006837 serotonin transport")</f>
        <v>GO:0006837 serotonin transport</v>
      </c>
      <c r="C152" s="1" t="s">
        <v>1</v>
      </c>
      <c r="D152" s="7" t="str">
        <f>HYPERLINK("https://www.ebi.ac.uk/QuickGO/GTerm?id=GO:0006836","GO:0006836 neurotransmitter transport")</f>
        <v>GO:0006836 neurotransmitter transport</v>
      </c>
      <c r="E152" s="1" t="s">
        <v>2</v>
      </c>
      <c r="F152" s="1" t="s">
        <v>151</v>
      </c>
      <c r="G152" s="8"/>
    </row>
    <row r="153" spans="1:7" ht="24.75" customHeight="1" x14ac:dyDescent="0.2">
      <c r="A153" s="6">
        <v>154</v>
      </c>
      <c r="B153" s="7" t="str">
        <f>HYPERLINK("https://www.ebi.ac.uk/QuickGO/GTerm?id=GO:0102352","GO:0102352 phosphatidate kinase activity")</f>
        <v>GO:0102352 phosphatidate kinase activity</v>
      </c>
      <c r="C153" s="1" t="s">
        <v>1</v>
      </c>
      <c r="D153" s="7" t="str">
        <f>HYPERLINK("https://www.ebi.ac.uk/QuickGO/GTerm?id=GO:0016301","GO:0016301 kinase activity")</f>
        <v>GO:0016301 kinase activity</v>
      </c>
      <c r="E153" s="1" t="s">
        <v>2</v>
      </c>
      <c r="F153" s="1" t="s">
        <v>152</v>
      </c>
      <c r="G153" s="8"/>
    </row>
    <row r="154" spans="1:7" ht="24.75" customHeight="1" x14ac:dyDescent="0.2">
      <c r="A154" s="6">
        <v>155</v>
      </c>
      <c r="B154" s="7" t="str">
        <f>HYPERLINK("https://www.ebi.ac.uk/QuickGO/GTerm?id=GO:0034406","GO:0034406 cell wall beta-glucan metabolic process")</f>
        <v>GO:0034406 cell wall beta-glucan metabolic process</v>
      </c>
      <c r="C154" s="1" t="s">
        <v>4</v>
      </c>
      <c r="D154" s="7" t="str">
        <f>HYPERLINK("https://www.ebi.ac.uk/QuickGO/GTerm?id=GO:0042546","GO:0042546 cell wall biogenesis")</f>
        <v>GO:0042546 cell wall biogenesis</v>
      </c>
      <c r="E154" s="1" t="s">
        <v>2</v>
      </c>
      <c r="F154" s="1" t="s">
        <v>153</v>
      </c>
      <c r="G154" s="8"/>
    </row>
    <row r="155" spans="1:7" ht="24.75" customHeight="1" x14ac:dyDescent="0.2">
      <c r="A155" s="6">
        <v>156</v>
      </c>
      <c r="B155" s="7" t="str">
        <f>HYPERLINK("https://www.ebi.ac.uk/QuickGO/GTerm?id=GO:0044855","GO:0044855 plasma membrane raft distribution")</f>
        <v>GO:0044855 plasma membrane raft distribution</v>
      </c>
      <c r="C155" s="1" t="s">
        <v>1</v>
      </c>
      <c r="D155" s="7" t="str">
        <f>HYPERLINK("https://www.ebi.ac.uk/QuickGO/GTerm?id=GO:0044857","GO:0044857 plasma membrane raft organization")</f>
        <v>GO:0044857 plasma membrane raft organization</v>
      </c>
      <c r="E155" s="1" t="s">
        <v>2</v>
      </c>
      <c r="F155" s="1" t="s">
        <v>154</v>
      </c>
      <c r="G155" s="8"/>
    </row>
    <row r="156" spans="1:7" ht="24.75" customHeight="1" x14ac:dyDescent="0.2">
      <c r="A156" s="6">
        <v>157</v>
      </c>
      <c r="B156" s="7" t="str">
        <f>HYPERLINK("https://www.ebi.ac.uk/QuickGO/GTerm?id=GO:2000591","GO:2000591 positive regulation of metanephric mesenchymal cell migration")</f>
        <v>GO:2000591 positive regulation of metanephric mesenchymal cell migration</v>
      </c>
      <c r="C156" s="1" t="s">
        <v>1</v>
      </c>
      <c r="D156" s="7" t="str">
        <f>HYPERLINK("https://www.ebi.ac.uk/QuickGO/GTerm?id=GO:0072216","GO:0072216 positive regulation of metanephros development")</f>
        <v>GO:0072216 positive regulation of metanephros development</v>
      </c>
      <c r="E156" s="1" t="s">
        <v>2</v>
      </c>
      <c r="F156" s="1" t="s">
        <v>155</v>
      </c>
      <c r="G156" s="8"/>
    </row>
    <row r="157" spans="1:7" ht="24.75" customHeight="1" x14ac:dyDescent="0.2">
      <c r="A157" s="6">
        <v>158</v>
      </c>
      <c r="B157" s="7" t="str">
        <f>HYPERLINK("https://www.ebi.ac.uk/QuickGO/GTerm?id=GO:0045702","GO:0045702 positive regulation of spermatid nuclear differentiation")</f>
        <v>GO:0045702 positive regulation of spermatid nuclear differentiation</v>
      </c>
      <c r="C157" s="1" t="s">
        <v>1</v>
      </c>
      <c r="D157" s="7" t="str">
        <f>HYPERLINK("https://www.ebi.ac.uk/QuickGO/GTerm?id=GO:0051240","GO:0051240 positive regulation of multicellular organismal process")</f>
        <v>GO:0051240 positive regulation of multicellular organismal process</v>
      </c>
      <c r="E157" s="1" t="s">
        <v>2</v>
      </c>
      <c r="F157" s="1" t="s">
        <v>156</v>
      </c>
      <c r="G157" s="8"/>
    </row>
    <row r="158" spans="1:7" ht="24.75" customHeight="1" x14ac:dyDescent="0.2">
      <c r="A158" s="6">
        <v>159</v>
      </c>
      <c r="B158" s="7" t="str">
        <f>HYPERLINK("https://www.ebi.ac.uk/QuickGO/GTerm?id=GO:0009440","GO:0009440 cyanate catabolic process")</f>
        <v>GO:0009440 cyanate catabolic process</v>
      </c>
      <c r="C158" s="1" t="s">
        <v>1</v>
      </c>
      <c r="D158" s="7" t="str">
        <f>HYPERLINK("https://www.ebi.ac.uk/QuickGO/GTerm?id=GO:0016054","GO:0016054 organic acid catabolic process")</f>
        <v>GO:0016054 organic acid catabolic process</v>
      </c>
      <c r="E158" s="1" t="s">
        <v>2</v>
      </c>
      <c r="F158" s="1" t="s">
        <v>157</v>
      </c>
      <c r="G158" s="8"/>
    </row>
    <row r="159" spans="1:7" ht="24.75" customHeight="1" x14ac:dyDescent="0.2">
      <c r="A159" s="6">
        <v>160</v>
      </c>
      <c r="B159" s="7" t="str">
        <f>HYPERLINK("https://www.ebi.ac.uk/QuickGO/GTerm?id=GO:0061614","GO:0061614 miRNA transcription")</f>
        <v>GO:0061614 miRNA transcription</v>
      </c>
      <c r="C159" s="1" t="s">
        <v>1</v>
      </c>
      <c r="D159" s="7" t="str">
        <f>HYPERLINK("https://www.ebi.ac.uk/QuickGO/GTerm?id=GO:0010586","GO:0010586 miRNA metabolic process")</f>
        <v>GO:0010586 miRNA metabolic process</v>
      </c>
      <c r="E159" s="1" t="s">
        <v>2</v>
      </c>
      <c r="F159" s="1" t="s">
        <v>158</v>
      </c>
      <c r="G159" s="8"/>
    </row>
    <row r="160" spans="1:7" ht="24.75" customHeight="1" x14ac:dyDescent="0.2">
      <c r="A160" s="6">
        <v>161</v>
      </c>
      <c r="B160" s="7" t="str">
        <f>HYPERLINK("https://www.ebi.ac.uk/QuickGO/GTerm?id=GO:1901503","GO:1901503 ether biosynthetic process")</f>
        <v>GO:1901503 ether biosynthetic process</v>
      </c>
      <c r="C160" s="1" t="s">
        <v>1</v>
      </c>
      <c r="D160" s="7" t="str">
        <f>HYPERLINK("https://www.ebi.ac.uk/QuickGO/GTerm?id=GO:0044283","GO:0044283 small molecule biosynthetic process")</f>
        <v>GO:0044283 small molecule biosynthetic process</v>
      </c>
      <c r="E160" s="1" t="s">
        <v>2</v>
      </c>
      <c r="F160" s="1" t="s">
        <v>159</v>
      </c>
      <c r="G160" s="8"/>
    </row>
    <row r="161" spans="1:7" ht="24.75" customHeight="1" x14ac:dyDescent="0.2">
      <c r="A161" s="6">
        <v>162</v>
      </c>
      <c r="B161" s="7" t="str">
        <f>HYPERLINK("https://www.ebi.ac.uk/QuickGO/GTerm?id=GO:0051137","GO:0051137 negative regulation of NK T cell differentiation")</f>
        <v>GO:0051137 negative regulation of NK T cell differentiation</v>
      </c>
      <c r="C161" s="1" t="s">
        <v>1</v>
      </c>
      <c r="D161" s="7" t="str">
        <f>HYPERLINK("https://www.ebi.ac.uk/QuickGO/GTerm?id=GO:0051134","GO:0051134 negative regulation of NK T cell activation")</f>
        <v>GO:0051134 negative regulation of NK T cell activation</v>
      </c>
      <c r="E161" s="1" t="s">
        <v>2</v>
      </c>
      <c r="F161" s="1" t="s">
        <v>160</v>
      </c>
      <c r="G161" s="8"/>
    </row>
    <row r="162" spans="1:7" ht="24.75" customHeight="1" x14ac:dyDescent="0.2">
      <c r="A162" s="6">
        <v>163</v>
      </c>
      <c r="B162" s="7" t="str">
        <f>HYPERLINK("https://www.ebi.ac.uk/QuickGO/GTerm?id=GO:0046657","GO:0046657 folic acid catabolic process")</f>
        <v>GO:0046657 folic acid catabolic process</v>
      </c>
      <c r="C162" s="1" t="s">
        <v>1</v>
      </c>
      <c r="D162" s="7" t="str">
        <f>HYPERLINK("https://www.ebi.ac.uk/QuickGO/GTerm?id=GO:0043605","GO:0043605 cellular amide catabolic process")</f>
        <v>GO:0043605 cellular amide catabolic process</v>
      </c>
      <c r="E162" s="1" t="s">
        <v>2</v>
      </c>
      <c r="F162" s="1" t="s">
        <v>161</v>
      </c>
      <c r="G162" s="8"/>
    </row>
    <row r="163" spans="1:7" ht="24.75" customHeight="1" x14ac:dyDescent="0.2">
      <c r="A163" s="6">
        <v>164</v>
      </c>
      <c r="B163" s="7" t="str">
        <f>HYPERLINK("https://www.ebi.ac.uk/QuickGO/GTerm?id=GO:0042157","GO:0042157 lipoprotein metabolic process")</f>
        <v>GO:0042157 lipoprotein metabolic process</v>
      </c>
      <c r="C163" s="1" t="s">
        <v>1</v>
      </c>
      <c r="D163" s="7" t="str">
        <f>HYPERLINK("https://www.ebi.ac.uk/QuickGO/GTerm?id=GO:0044260","GO:0044260 cellular macromolecule metabolic process")</f>
        <v>GO:0044260 cellular macromolecule metabolic process</v>
      </c>
      <c r="E163" s="1" t="s">
        <v>2</v>
      </c>
      <c r="F163" s="1" t="s">
        <v>162</v>
      </c>
      <c r="G163" s="8"/>
    </row>
    <row r="164" spans="1:7" ht="24.75" customHeight="1" x14ac:dyDescent="0.2">
      <c r="A164" s="6">
        <v>165</v>
      </c>
      <c r="B164" s="7" t="str">
        <f>HYPERLINK("https://www.ebi.ac.uk/QuickGO/GTerm?id=GO:0061913","GO:0061913 positive regulation of growth plate cartilage chondrocyte proliferation")</f>
        <v>GO:0061913 positive regulation of growth plate cartilage chondrocyte proliferation</v>
      </c>
      <c r="C164" s="1" t="s">
        <v>1</v>
      </c>
      <c r="D164" s="7" t="str">
        <f>HYPERLINK("https://www.ebi.ac.uk/QuickGO/GTerm?id=GO:0051094","GO:0051094 positive regulation of developmental process")</f>
        <v>GO:0051094 positive regulation of developmental process</v>
      </c>
      <c r="E164" s="1" t="s">
        <v>2</v>
      </c>
      <c r="F164" s="1" t="s">
        <v>163</v>
      </c>
      <c r="G164" s="8"/>
    </row>
    <row r="165" spans="1:7" ht="24.75" customHeight="1" x14ac:dyDescent="0.2">
      <c r="A165" s="6">
        <v>166</v>
      </c>
      <c r="B165" s="7" t="str">
        <f>HYPERLINK("https://www.ebi.ac.uk/QuickGO/GTerm?id=GO:0019695","GO:0019695 choline metabolic process")</f>
        <v>GO:0019695 choline metabolic process</v>
      </c>
      <c r="C165" s="1" t="s">
        <v>1</v>
      </c>
      <c r="D165" s="7" t="str">
        <f>HYPERLINK("https://www.ebi.ac.uk/QuickGO/GTerm?id=GO:0006576","GO:0006576 cellular biogenic amine metabolic process")</f>
        <v>GO:0006576 cellular biogenic amine metabolic process</v>
      </c>
      <c r="E165" s="1" t="s">
        <v>2</v>
      </c>
      <c r="F165" s="1" t="s">
        <v>164</v>
      </c>
      <c r="G165" s="8"/>
    </row>
    <row r="166" spans="1:7" ht="24.75" customHeight="1" x14ac:dyDescent="0.2">
      <c r="A166" s="6">
        <v>167</v>
      </c>
      <c r="B166" s="7" t="str">
        <f>HYPERLINK("https://www.ebi.ac.uk/QuickGO/GTerm?id=GO:0003234","GO:0003234 bulbus arteriosus formation")</f>
        <v>GO:0003234 bulbus arteriosus formation</v>
      </c>
      <c r="C166" s="1" t="s">
        <v>4</v>
      </c>
      <c r="D166" s="7" t="str">
        <f>HYPERLINK("https://www.ebi.ac.uk/QuickGO/GTerm?id=GO:0060914","GO:0060914 heart formation")</f>
        <v>GO:0060914 heart formation</v>
      </c>
      <c r="E166" s="1" t="s">
        <v>2</v>
      </c>
      <c r="F166" s="1" t="s">
        <v>165</v>
      </c>
      <c r="G166" s="8"/>
    </row>
    <row r="167" spans="1:7" ht="24.75" customHeight="1" x14ac:dyDescent="0.2">
      <c r="A167" s="6">
        <v>168</v>
      </c>
      <c r="B167" s="7" t="str">
        <f>HYPERLINK("https://www.ebi.ac.uk/QuickGO/GTerm?id=GO:2000768","GO:2000768 positive regulation of nephron tubule epithelial cell differentiation")</f>
        <v>GO:2000768 positive regulation of nephron tubule epithelial cell differentiation</v>
      </c>
      <c r="C167" s="1" t="s">
        <v>1</v>
      </c>
      <c r="D167" s="7" t="str">
        <f>HYPERLINK("https://www.ebi.ac.uk/QuickGO/GTerm?id=GO:0090184","GO:0090184 positive regulation of kidney development")</f>
        <v>GO:0090184 positive regulation of kidney development</v>
      </c>
      <c r="E167" s="1" t="s">
        <v>2</v>
      </c>
      <c r="F167" s="1" t="s">
        <v>166</v>
      </c>
      <c r="G167" s="8"/>
    </row>
    <row r="168" spans="1:7" ht="24.75" customHeight="1" x14ac:dyDescent="0.2">
      <c r="A168" s="6">
        <v>169</v>
      </c>
      <c r="B168" s="7" t="str">
        <f>HYPERLINK("https://www.ebi.ac.uk/QuickGO/GTerm?id=GO:0072133","GO:0072133 metanephric mesenchyme morphogenesis")</f>
        <v>GO:0072133 metanephric mesenchyme morphogenesis</v>
      </c>
      <c r="C168" s="1" t="s">
        <v>4</v>
      </c>
      <c r="D168" s="7" t="str">
        <f>HYPERLINK("https://www.ebi.ac.uk/QuickGO/GTerm?id=GO:0003338","GO:0003338 metanephros morphogenesis")</f>
        <v>GO:0003338 metanephros morphogenesis</v>
      </c>
      <c r="E168" s="1" t="s">
        <v>2</v>
      </c>
      <c r="F168" s="1" t="s">
        <v>167</v>
      </c>
      <c r="G168" s="8"/>
    </row>
    <row r="169" spans="1:7" ht="24.75" customHeight="1" x14ac:dyDescent="0.2">
      <c r="A169" s="6">
        <v>170</v>
      </c>
      <c r="B169" s="7" t="str">
        <f>HYPERLINK("https://www.ebi.ac.uk/QuickGO/GTerm?id=GO:0098543","GO:0098543 detection of other organism")</f>
        <v>GO:0098543 detection of other organism</v>
      </c>
      <c r="C169" s="1" t="s">
        <v>1</v>
      </c>
      <c r="D169" s="7" t="str">
        <f>HYPERLINK("https://www.ebi.ac.uk/QuickGO/GTerm?id=GO:0009581","GO:0009581 detection of external stimulus")</f>
        <v>GO:0009581 detection of external stimulus</v>
      </c>
      <c r="E169" s="1" t="s">
        <v>2</v>
      </c>
      <c r="F169" s="1" t="s">
        <v>168</v>
      </c>
      <c r="G169" s="8"/>
    </row>
    <row r="170" spans="1:7" ht="24.75" customHeight="1" x14ac:dyDescent="0.2">
      <c r="A170" s="6">
        <v>171</v>
      </c>
      <c r="B170" s="7" t="str">
        <f>HYPERLINK("https://www.ebi.ac.uk/QuickGO/GTerm?id=GO:0044566","GO:0044566 chondrocyte activation")</f>
        <v>GO:0044566 chondrocyte activation</v>
      </c>
      <c r="C170" s="1" t="s">
        <v>4</v>
      </c>
      <c r="D170" s="7" t="str">
        <f>HYPERLINK("https://www.ebi.ac.uk/QuickGO/GTerm?id=GO:0002063","GO:0002063 chondrocyte development")</f>
        <v>GO:0002063 chondrocyte development</v>
      </c>
      <c r="E170" s="1" t="s">
        <v>2</v>
      </c>
      <c r="F170" s="1" t="s">
        <v>169</v>
      </c>
      <c r="G170" s="8"/>
    </row>
    <row r="171" spans="1:7" ht="24.75" customHeight="1" x14ac:dyDescent="0.2">
      <c r="A171" s="6">
        <v>172</v>
      </c>
      <c r="B171" s="7" t="str">
        <f>HYPERLINK("https://www.ebi.ac.uk/QuickGO/GTerm?id=GO:0080164","GO:0080164 regulation of nitric oxide metabolic process")</f>
        <v>GO:0080164 regulation of nitric oxide metabolic process</v>
      </c>
      <c r="C171" s="1" t="s">
        <v>1</v>
      </c>
      <c r="D171" s="7" t="str">
        <f>HYPERLINK("https://www.ebi.ac.uk/QuickGO/GTerm?id=GO:0031323","GO:0031323 regulation of cellular metabolic process")</f>
        <v>GO:0031323 regulation of cellular metabolic process</v>
      </c>
      <c r="E171" s="1" t="s">
        <v>2</v>
      </c>
      <c r="F171" s="1" t="s">
        <v>170</v>
      </c>
      <c r="G171" s="8"/>
    </row>
    <row r="172" spans="1:7" ht="24.75" customHeight="1" x14ac:dyDescent="0.2">
      <c r="A172" s="6">
        <v>173</v>
      </c>
      <c r="B172" s="7" t="str">
        <f>HYPERLINK("https://www.ebi.ac.uk/QuickGO/GTerm?id=GO:0048308","GO:0048308 organelle inheritance")</f>
        <v>GO:0048308 organelle inheritance</v>
      </c>
      <c r="C172" s="1" t="s">
        <v>1</v>
      </c>
      <c r="D172" s="7" t="str">
        <f>HYPERLINK("https://www.ebi.ac.uk/QuickGO/GTerm?id=GO:0051640","GO:0051640 organelle localization")</f>
        <v>GO:0051640 organelle localization</v>
      </c>
      <c r="E172" s="1" t="s">
        <v>2</v>
      </c>
      <c r="F172" s="1" t="s">
        <v>171</v>
      </c>
      <c r="G172" s="8"/>
    </row>
    <row r="173" spans="1:7" ht="24.75" customHeight="1" x14ac:dyDescent="0.2">
      <c r="A173" s="6">
        <v>174</v>
      </c>
      <c r="B173" s="7" t="str">
        <f>HYPERLINK("https://www.ebi.ac.uk/QuickGO/GTerm?id=GO:0048446","GO:0048446 petal morphogenesis")</f>
        <v>GO:0048446 petal morphogenesis</v>
      </c>
      <c r="C173" s="1" t="s">
        <v>4</v>
      </c>
      <c r="D173" s="7" t="str">
        <f>HYPERLINK("https://www.ebi.ac.uk/QuickGO/GTerm?id=GO:0048457","GO:0048457 floral whorl morphogenesis")</f>
        <v>GO:0048457 floral whorl morphogenesis</v>
      </c>
      <c r="E173" s="1" t="s">
        <v>2</v>
      </c>
      <c r="F173" s="1" t="s">
        <v>172</v>
      </c>
      <c r="G173" s="8"/>
    </row>
    <row r="174" spans="1:7" ht="24.75" customHeight="1" x14ac:dyDescent="0.2">
      <c r="A174" s="6">
        <v>177</v>
      </c>
      <c r="B174" s="7" t="str">
        <f>HYPERLINK("https://www.ebi.ac.uk/QuickGO/GTerm?id=GO:0071140","GO:0071140 resolution of mitotic recombination intermediates")</f>
        <v>GO:0071140 resolution of mitotic recombination intermediates</v>
      </c>
      <c r="C174" s="1" t="s">
        <v>4</v>
      </c>
      <c r="D174" s="7" t="str">
        <f>HYPERLINK("https://www.ebi.ac.uk/QuickGO/GTerm?id=GO:0000278","GO:0000278 mitotic cell cycle")</f>
        <v>GO:0000278 mitotic cell cycle</v>
      </c>
      <c r="E174" s="1" t="s">
        <v>2</v>
      </c>
      <c r="F174" s="1" t="s">
        <v>173</v>
      </c>
      <c r="G174" s="8"/>
    </row>
    <row r="175" spans="1:7" ht="24.75" customHeight="1" x14ac:dyDescent="0.2">
      <c r="A175" s="6">
        <v>178</v>
      </c>
      <c r="B175" s="7" t="str">
        <f>HYPERLINK("https://www.ebi.ac.uk/QuickGO/GTerm?id=GO:0033013","GO:0033013 tetrapyrrole metabolic process")</f>
        <v>GO:0033013 tetrapyrrole metabolic process</v>
      </c>
      <c r="C175" s="1" t="s">
        <v>1</v>
      </c>
      <c r="D175" s="7" t="str">
        <f>HYPERLINK("https://www.ebi.ac.uk/QuickGO/GTerm?id=GO:0034641","GO:0034641 cellular nitrogen compound metabolic process")</f>
        <v>GO:0034641 cellular nitrogen compound metabolic process</v>
      </c>
      <c r="E175" s="1" t="s">
        <v>2</v>
      </c>
      <c r="F175" s="1" t="s">
        <v>174</v>
      </c>
      <c r="G175" s="8"/>
    </row>
    <row r="176" spans="1:7" ht="24.75" customHeight="1" x14ac:dyDescent="0.2">
      <c r="A176" s="6">
        <v>179</v>
      </c>
      <c r="B176" s="7" t="str">
        <f>HYPERLINK("https://www.ebi.ac.uk/QuickGO/GTerm?id=GO:0032307","GO:0032307 negative regulation of prostaglandin secretion")</f>
        <v>GO:0032307 negative regulation of prostaglandin secretion</v>
      </c>
      <c r="C176" s="1" t="s">
        <v>1</v>
      </c>
      <c r="D176" s="7" t="str">
        <f>HYPERLINK("https://www.ebi.ac.uk/QuickGO/GTerm?id=GO:0046888","GO:0046888 negative regulation of hormone secretion")</f>
        <v>GO:0046888 negative regulation of hormone secretion</v>
      </c>
      <c r="E176" s="1" t="s">
        <v>2</v>
      </c>
      <c r="F176" s="1" t="s">
        <v>175</v>
      </c>
      <c r="G176" s="8"/>
    </row>
    <row r="177" spans="1:7" ht="24.75" customHeight="1" x14ac:dyDescent="0.2">
      <c r="A177" s="6">
        <v>180</v>
      </c>
      <c r="B177" s="7" t="str">
        <f>HYPERLINK("https://www.ebi.ac.uk/QuickGO/GTerm?id=GO:0016116","GO:0016116 carotenoid metabolic process")</f>
        <v>GO:0016116 carotenoid metabolic process</v>
      </c>
      <c r="C177" s="1" t="s">
        <v>1</v>
      </c>
      <c r="D177" s="7" t="str">
        <f>HYPERLINK("https://www.ebi.ac.uk/QuickGO/GTerm?id=GO:0042440","GO:0042440 pigment metabolic process")</f>
        <v>GO:0042440 pigment metabolic process</v>
      </c>
      <c r="E177" s="1" t="s">
        <v>2</v>
      </c>
      <c r="F177" s="1" t="s">
        <v>176</v>
      </c>
      <c r="G177" s="8"/>
    </row>
    <row r="178" spans="1:7" ht="24.75" customHeight="1" x14ac:dyDescent="0.2">
      <c r="A178" s="6">
        <v>181</v>
      </c>
      <c r="B178" s="7" t="str">
        <f>HYPERLINK("https://www.ebi.ac.uk/QuickGO/GTerm?id=GO:0045493","GO:0045493 xylan catabolic process")</f>
        <v>GO:0045493 xylan catabolic process</v>
      </c>
      <c r="C178" s="1" t="s">
        <v>1</v>
      </c>
      <c r="D178" s="7" t="str">
        <f>HYPERLINK("https://www.ebi.ac.uk/QuickGO/GTerm?id=GO:2000895","GO:2000895 hemicellulose catabolic process")</f>
        <v>GO:2000895 hemicellulose catabolic process</v>
      </c>
      <c r="E178" s="1" t="s">
        <v>2</v>
      </c>
      <c r="F178" s="1" t="s">
        <v>177</v>
      </c>
      <c r="G178" s="8"/>
    </row>
    <row r="179" spans="1:7" ht="24.75" customHeight="1" x14ac:dyDescent="0.2">
      <c r="A179" s="6">
        <v>182</v>
      </c>
      <c r="B179" s="7" t="str">
        <f>HYPERLINK("https://www.ebi.ac.uk/QuickGO/GTerm?id=GO:0031367","GO:0031367 N-terminal peptidyl-glutamine deamination")</f>
        <v>GO:0031367 N-terminal peptidyl-glutamine deamination</v>
      </c>
      <c r="C179" s="1" t="s">
        <v>1</v>
      </c>
      <c r="D179" s="7" t="str">
        <f>HYPERLINK("https://www.ebi.ac.uk/QuickGO/GTerm?id=GO:0018277","GO:0018277 protein deamination")</f>
        <v>GO:0018277 protein deamination</v>
      </c>
      <c r="E179" s="1" t="s">
        <v>2</v>
      </c>
      <c r="F179" s="1" t="s">
        <v>178</v>
      </c>
      <c r="G179" s="8"/>
    </row>
    <row r="180" spans="1:7" ht="24.75" customHeight="1" x14ac:dyDescent="0.2">
      <c r="A180" s="6">
        <v>183</v>
      </c>
      <c r="B180" s="7" t="str">
        <f>HYPERLINK("https://www.ebi.ac.uk/QuickGO/GTerm?id=GO:0060559","GO:0060559 positive regulation of calcidiol 1-monooxygenase activity")</f>
        <v>GO:0060559 positive regulation of calcidiol 1-monooxygenase activity</v>
      </c>
      <c r="C180" s="1" t="s">
        <v>1</v>
      </c>
      <c r="D180" s="7" t="str">
        <f>HYPERLINK("https://www.ebi.ac.uk/QuickGO/GTerm?id=GO:0060557","GO:0060557 positive regulation of vitamin D biosynthetic process")</f>
        <v>GO:0060557 positive regulation of vitamin D biosynthetic process</v>
      </c>
      <c r="E180" s="1" t="s">
        <v>2</v>
      </c>
      <c r="F180" s="1" t="s">
        <v>179</v>
      </c>
      <c r="G180" s="8"/>
    </row>
    <row r="181" spans="1:7" ht="24.75" customHeight="1" x14ac:dyDescent="0.2">
      <c r="A181" s="6">
        <v>184</v>
      </c>
      <c r="B181" s="7" t="str">
        <f>HYPERLINK("https://www.ebi.ac.uk/QuickGO/GTerm?id=GO:0043415","GO:0043415 positive regulation of skeletal muscle tissue regeneration")</f>
        <v>GO:0043415 positive regulation of skeletal muscle tissue regeneration</v>
      </c>
      <c r="C181" s="1" t="s">
        <v>1</v>
      </c>
      <c r="D181" s="7" t="str">
        <f>HYPERLINK("https://www.ebi.ac.uk/QuickGO/GTerm?id=GO:0090303","GO:0090303 positive regulation of wound healing")</f>
        <v>GO:0090303 positive regulation of wound healing</v>
      </c>
      <c r="E181" s="9" t="s">
        <v>2</v>
      </c>
      <c r="F181" s="1" t="s">
        <v>180</v>
      </c>
      <c r="G181" s="8"/>
    </row>
    <row r="182" spans="1:7" ht="24.75" customHeight="1" x14ac:dyDescent="0.2">
      <c r="A182" s="6">
        <v>185</v>
      </c>
      <c r="B182" s="7" t="str">
        <f>HYPERLINK("https://www.ebi.ac.uk/QuickGO/GTerm?id=GO:0005835","GO:0005835 fatty acid synthase complex")</f>
        <v>GO:0005835 fatty acid synthase complex</v>
      </c>
      <c r="C182" s="1" t="s">
        <v>1</v>
      </c>
      <c r="D182" s="7" t="str">
        <f>HYPERLINK("https://www.ebi.ac.uk/QuickGO/GTerm?id=GO:1902494","GO:1902494 catalytic complex")</f>
        <v>GO:1902494 catalytic complex</v>
      </c>
      <c r="E182" s="1" t="s">
        <v>2</v>
      </c>
      <c r="F182" s="1" t="s">
        <v>181</v>
      </c>
      <c r="G182" s="8"/>
    </row>
    <row r="183" spans="1:7" ht="24.75" customHeight="1" x14ac:dyDescent="0.2">
      <c r="A183" s="6">
        <v>186</v>
      </c>
      <c r="B183" s="7" t="str">
        <f>HYPERLINK("https://www.ebi.ac.uk/QuickGO/GTerm?id=GO:0021555","GO:0021555 midbrain-hindbrain boundary morphogenesis")</f>
        <v>GO:0021555 midbrain-hindbrain boundary morphogenesis</v>
      </c>
      <c r="C183" s="1" t="s">
        <v>4</v>
      </c>
      <c r="D183" s="7" t="str">
        <f>HYPERLINK("https://www.ebi.ac.uk/QuickGO/GTerm?id=GO:0048854","GO:0048854 brain morphogenesis")</f>
        <v>GO:0048854 brain morphogenesis</v>
      </c>
      <c r="E183" s="1" t="s">
        <v>2</v>
      </c>
      <c r="F183" s="1" t="s">
        <v>182</v>
      </c>
      <c r="G183" s="8"/>
    </row>
    <row r="184" spans="1:7" ht="24.75" customHeight="1" x14ac:dyDescent="0.2">
      <c r="A184" s="6">
        <v>187</v>
      </c>
      <c r="B184" s="7" t="str">
        <f>HYPERLINK("https://www.ebi.ac.uk/QuickGO/GTerm?id=GO:0072164","GO:0072164 mesonephric tubule development")</f>
        <v>GO:0072164 mesonephric tubule development</v>
      </c>
      <c r="C184" s="1" t="s">
        <v>1</v>
      </c>
      <c r="D184" s="7" t="str">
        <f>HYPERLINK("https://www.ebi.ac.uk/QuickGO/GTerm?id=GO:0072080","GO:0072080 nephron tubule development")</f>
        <v>GO:0072080 nephron tubule development</v>
      </c>
      <c r="E184" s="1" t="s">
        <v>2</v>
      </c>
      <c r="F184" s="1" t="s">
        <v>183</v>
      </c>
      <c r="G184" s="8"/>
    </row>
    <row r="185" spans="1:7" ht="24.75" customHeight="1" x14ac:dyDescent="0.2">
      <c r="A185" s="6">
        <v>188</v>
      </c>
      <c r="B185" s="7" t="str">
        <f>HYPERLINK("https://www.ebi.ac.uk/QuickGO/GTerm?id=GO:0046842","GO:0046842 trisporic acid biosynthetic process")</f>
        <v>GO:0046842 trisporic acid biosynthetic process</v>
      </c>
      <c r="C185" s="1" t="s">
        <v>1</v>
      </c>
      <c r="D185" s="7" t="str">
        <f>HYPERLINK("https://www.ebi.ac.uk/QuickGO/GTerm?id=GO:0046394","GO:0046394 carboxylic acid biosynthetic process")</f>
        <v>GO:0046394 carboxylic acid biosynthetic process</v>
      </c>
      <c r="E185" s="1" t="s">
        <v>2</v>
      </c>
      <c r="F185" s="1" t="s">
        <v>184</v>
      </c>
      <c r="G185" s="8"/>
    </row>
    <row r="186" spans="1:7" ht="24.75" customHeight="1" x14ac:dyDescent="0.2">
      <c r="A186" s="6">
        <v>189</v>
      </c>
      <c r="B186" s="7" t="str">
        <f>HYPERLINK("https://www.ebi.ac.uk/QuickGO/GTerm?id=GO:0051626","GO:0051626 regulation of epinephrine uptake")</f>
        <v>GO:0051626 regulation of epinephrine uptake</v>
      </c>
      <c r="C186" s="1" t="s">
        <v>1</v>
      </c>
      <c r="D186" s="7" t="str">
        <f>HYPERLINK("https://www.ebi.ac.uk/QuickGO/GTerm?id=GO:0051580","GO:0051580 regulation of neurotransmitter uptake")</f>
        <v>GO:0051580 regulation of neurotransmitter uptake</v>
      </c>
      <c r="E186" s="1" t="s">
        <v>2</v>
      </c>
      <c r="F186" s="1" t="s">
        <v>185</v>
      </c>
      <c r="G186" s="8"/>
    </row>
    <row r="187" spans="1:7" ht="24.75" customHeight="1" x14ac:dyDescent="0.2">
      <c r="A187" s="6">
        <v>190</v>
      </c>
      <c r="B187" s="7" t="str">
        <f>HYPERLINK("https://www.ebi.ac.uk/QuickGO/GTerm?id=GO:0018336","GO:0018336 peptidyl-tyrosine hydroxylation")</f>
        <v>GO:0018336 peptidyl-tyrosine hydroxylation</v>
      </c>
      <c r="C187" s="1" t="s">
        <v>1</v>
      </c>
      <c r="D187" s="7" t="str">
        <f>HYPERLINK("https://www.ebi.ac.uk/QuickGO/GTerm?id=GO:0018212","GO:0018212 peptidyl-tyrosine modification")</f>
        <v>GO:0018212 peptidyl-tyrosine modification</v>
      </c>
      <c r="E187" s="1" t="s">
        <v>2</v>
      </c>
      <c r="F187" s="1" t="s">
        <v>186</v>
      </c>
      <c r="G187" s="8"/>
    </row>
    <row r="188" spans="1:7" ht="24.75" customHeight="1" x14ac:dyDescent="0.2">
      <c r="A188" s="6">
        <v>191</v>
      </c>
      <c r="B188" s="7" t="str">
        <f>HYPERLINK("https://www.ebi.ac.uk/QuickGO/GTerm?id=GO:0045651","GO:0045651 positive regulation of macrophage differentiation")</f>
        <v>GO:0045651 positive regulation of macrophage differentiation</v>
      </c>
      <c r="C188" s="1" t="s">
        <v>1</v>
      </c>
      <c r="D188" s="7" t="str">
        <f>HYPERLINK("https://www.ebi.ac.uk/QuickGO/GTerm?id=GO:0030852","GO:0030852 regulation of granulocyte differentiation")</f>
        <v>GO:0030852 regulation of granulocyte differentiation</v>
      </c>
      <c r="E188" s="1" t="s">
        <v>2</v>
      </c>
      <c r="F188" s="1" t="s">
        <v>187</v>
      </c>
      <c r="G188" s="8"/>
    </row>
    <row r="189" spans="1:7" ht="24.75" customHeight="1" x14ac:dyDescent="0.2">
      <c r="A189" s="6">
        <v>192</v>
      </c>
      <c r="B189" s="7" t="str">
        <f>HYPERLINK("https://www.ebi.ac.uk/QuickGO/GTerm?id=GO:0017181","GO:0017181 peptidyl-diphthine catabolic process")</f>
        <v>GO:0017181 peptidyl-diphthine catabolic process</v>
      </c>
      <c r="C189" s="1" t="s">
        <v>1</v>
      </c>
      <c r="D189" s="7" t="str">
        <f>HYPERLINK("https://www.ebi.ac.uk/QuickGO/GTerm?id=GO:0044257","GO:0044257 cellular protein catabolic process")</f>
        <v>GO:0044257 cellular protein catabolic process</v>
      </c>
      <c r="E189" s="1" t="s">
        <v>2</v>
      </c>
      <c r="F189" s="1" t="s">
        <v>178</v>
      </c>
      <c r="G189" s="8"/>
    </row>
    <row r="190" spans="1:7" ht="24.75" customHeight="1" x14ac:dyDescent="0.2">
      <c r="A190" s="6">
        <v>193</v>
      </c>
      <c r="B190" s="7" t="str">
        <f>HYPERLINK("https://www.ebi.ac.uk/QuickGO/GTerm?id=GO:0106025","GO:0106025 positive regulation of pupariation")</f>
        <v>GO:0106025 positive regulation of pupariation</v>
      </c>
      <c r="C190" s="1" t="s">
        <v>1</v>
      </c>
      <c r="D190" s="7" t="str">
        <f>HYPERLINK("https://www.ebi.ac.uk/QuickGO/GTerm?id=GO:0048582","GO:0048582 positive regulation of post-embryonic development")</f>
        <v>GO:0048582 positive regulation of post-embryonic development</v>
      </c>
      <c r="E190" s="1" t="s">
        <v>2</v>
      </c>
      <c r="F190" s="1" t="s">
        <v>188</v>
      </c>
      <c r="G190" s="8"/>
    </row>
    <row r="191" spans="1:7" ht="24.75" customHeight="1" x14ac:dyDescent="0.2">
      <c r="A191" s="6">
        <v>194</v>
      </c>
      <c r="B191" s="7" t="str">
        <f>HYPERLINK("https://www.ebi.ac.uk/QuickGO/GTerm?id=GO:0098719","GO:0098719 sodium ion import across plasma membrane")</f>
        <v>GO:0098719 sodium ion import across plasma membrane</v>
      </c>
      <c r="C191" s="1" t="s">
        <v>1</v>
      </c>
      <c r="D191" s="7" t="str">
        <f>HYPERLINK("https://www.ebi.ac.uk/QuickGO/GTerm?id=GO:0055078","GO:0055078 sodium ion homeostasis")</f>
        <v>GO:0055078 sodium ion homeostasis</v>
      </c>
      <c r="E191" s="1" t="s">
        <v>2</v>
      </c>
      <c r="F191" s="1" t="s">
        <v>189</v>
      </c>
      <c r="G191" s="8"/>
    </row>
    <row r="192" spans="1:7" ht="24.75" customHeight="1" x14ac:dyDescent="0.2">
      <c r="A192" s="6">
        <v>195</v>
      </c>
      <c r="B192" s="7" t="str">
        <f>HYPERLINK("https://www.ebi.ac.uk/QuickGO/GTerm?id=GO:0097028","GO:0097028 dendritic cell differentiation")</f>
        <v>GO:0097028 dendritic cell differentiation</v>
      </c>
      <c r="C192" s="1" t="s">
        <v>1</v>
      </c>
      <c r="D192" s="7" t="str">
        <f>HYPERLINK("https://www.ebi.ac.uk/QuickGO/GTerm?id=GO:0030098","GO:0030098 lymphocyte differentiation")</f>
        <v>GO:0030098 lymphocyte differentiation</v>
      </c>
      <c r="E192" s="1" t="s">
        <v>2</v>
      </c>
      <c r="F192" s="1" t="s">
        <v>190</v>
      </c>
      <c r="G192" s="8"/>
    </row>
    <row r="193" spans="1:7" ht="24.75" customHeight="1" x14ac:dyDescent="0.2">
      <c r="A193" s="6">
        <v>196</v>
      </c>
      <c r="B193" s="7" t="str">
        <f>HYPERLINK("https://www.ebi.ac.uk/QuickGO/GTerm?id=GO:0044247","GO:0044247 cellular polysaccharide catabolic process")</f>
        <v>GO:0044247 cellular polysaccharide catabolic process</v>
      </c>
      <c r="C193" s="1" t="s">
        <v>1</v>
      </c>
      <c r="D193" s="7" t="str">
        <f>HYPERLINK("https://www.ebi.ac.uk/QuickGO/GTerm?id=GO:0044265","GO:0044265 cellular macromolecule catabolic process")</f>
        <v>GO:0044265 cellular macromolecule catabolic process</v>
      </c>
      <c r="E193" s="1" t="s">
        <v>2</v>
      </c>
      <c r="F193" s="1" t="s">
        <v>191</v>
      </c>
      <c r="G193" s="8"/>
    </row>
    <row r="194" spans="1:7" ht="24.75" customHeight="1" x14ac:dyDescent="0.2">
      <c r="A194" s="6">
        <v>198</v>
      </c>
      <c r="B194" s="7" t="str">
        <f>HYPERLINK("https://www.ebi.ac.uk/QuickGO/GTerm?id=GO:2000202","GO:2000202 positive regulation of ribosomal subunit export from nucleus")</f>
        <v>GO:2000202 positive regulation of ribosomal subunit export from nucleus</v>
      </c>
      <c r="C194" s="1" t="s">
        <v>1</v>
      </c>
      <c r="D194" s="7" t="str">
        <f>HYPERLINK("https://www.ebi.ac.uk/QuickGO/GTerm?id=GO:0090070","GO:0090070 positive regulation of ribosome biogenesis")</f>
        <v>GO:0090070 positive regulation of ribosome biogenesis</v>
      </c>
      <c r="E194" s="1" t="s">
        <v>2</v>
      </c>
      <c r="F194" s="1" t="s">
        <v>192</v>
      </c>
      <c r="G194" s="8"/>
    </row>
    <row r="195" spans="1:7" ht="24.75" customHeight="1" x14ac:dyDescent="0.2">
      <c r="A195" s="6">
        <v>199</v>
      </c>
      <c r="B195" s="7" t="str">
        <f>HYPERLINK("https://www.ebi.ac.uk/QuickGO/GTerm?id=GO:0019889","GO:0019889 pteridine metabolic process")</f>
        <v>GO:0019889 pteridine metabolic process</v>
      </c>
      <c r="C195" s="1" t="s">
        <v>1</v>
      </c>
      <c r="D195" s="7" t="str">
        <f>HYPERLINK("https://www.ebi.ac.uk/QuickGO/GTerm?id=GO:0042440","GO:0042440 pigment metabolic process")</f>
        <v>GO:0042440 pigment metabolic process</v>
      </c>
      <c r="E195" s="1" t="s">
        <v>2</v>
      </c>
      <c r="F195" s="1" t="s">
        <v>193</v>
      </c>
      <c r="G195" s="8"/>
    </row>
    <row r="196" spans="1:7" ht="24.75" customHeight="1" x14ac:dyDescent="0.2">
      <c r="A196" s="6">
        <v>200</v>
      </c>
      <c r="B196" s="7" t="str">
        <f>HYPERLINK("https://www.ebi.ac.uk/QuickGO/GTerm?id=GO:0014041","GO:0014041 regulation of neuron maturation")</f>
        <v>GO:0014041 regulation of neuron maturation</v>
      </c>
      <c r="C196" s="1" t="s">
        <v>20</v>
      </c>
      <c r="D196" s="7" t="str">
        <f>HYPERLINK("https://www.ebi.ac.uk/QuickGO/GTerm?id=GO:0048666","GO:0048666 neuron development")</f>
        <v>GO:0048666 neuron development</v>
      </c>
      <c r="E196" s="1" t="s">
        <v>2</v>
      </c>
      <c r="F196" s="1" t="s">
        <v>194</v>
      </c>
      <c r="G196" s="8"/>
    </row>
    <row r="197" spans="1:7" ht="24.75" customHeight="1" x14ac:dyDescent="0.2">
      <c r="A197" s="6">
        <v>201</v>
      </c>
      <c r="B197" s="7" t="str">
        <f>HYPERLINK("https://www.ebi.ac.uk/QuickGO/GTerm?id=GO:0018389","GO:0018389 N-terminal peptidyl-valine deamination")</f>
        <v>GO:0018389 N-terminal peptidyl-valine deamination</v>
      </c>
      <c r="C197" s="1" t="s">
        <v>1</v>
      </c>
      <c r="D197" s="7" t="str">
        <f>HYPERLINK("https://www.ebi.ac.uk/QuickGO/GTerm?id=GO:0018213","GO:0018213 peptidyl-valine modification")</f>
        <v>GO:0018213 peptidyl-valine modification</v>
      </c>
      <c r="E197" s="1" t="s">
        <v>2</v>
      </c>
      <c r="F197" s="1" t="s">
        <v>195</v>
      </c>
      <c r="G197" s="8"/>
    </row>
    <row r="198" spans="1:7" ht="24.75" customHeight="1" x14ac:dyDescent="0.2">
      <c r="A198" s="6">
        <v>202</v>
      </c>
      <c r="B198" s="7" t="str">
        <f>HYPERLINK("https://www.ebi.ac.uk/QuickGO/GTerm?id=GO:0085034","GO:0085034 suppression by symbiont of host I-kappaB kinase/NF-kappaB cascade")</f>
        <v>GO:0085034 suppression by symbiont of host I-kappaB kinase/NF-kappaB cascade</v>
      </c>
      <c r="C198" s="1" t="s">
        <v>1</v>
      </c>
      <c r="D198" s="7" t="str">
        <f>HYPERLINK("https://www.ebi.ac.uk/QuickGO/GTerm?id=GO:0085032","GO:0085032 modulation by symbiont of host I-kappaB kinase/NF-kappaB cascade")</f>
        <v>GO:0085032 modulation by symbiont of host I-kappaB kinase/NF-kappaB cascade</v>
      </c>
      <c r="E198" s="1" t="s">
        <v>2</v>
      </c>
      <c r="F198" s="1" t="s">
        <v>196</v>
      </c>
      <c r="G198" s="8"/>
    </row>
    <row r="199" spans="1:7" ht="24.75" customHeight="1" x14ac:dyDescent="0.2">
      <c r="A199" s="6">
        <v>203</v>
      </c>
      <c r="B199" s="7" t="str">
        <f>HYPERLINK("https://www.ebi.ac.uk/QuickGO/GTerm?id=GO:0034418","GO:0034418 urate biosynthetic process")</f>
        <v>GO:0034418 urate biosynthetic process</v>
      </c>
      <c r="C199" s="1" t="s">
        <v>1</v>
      </c>
      <c r="D199" s="7" t="str">
        <f>HYPERLINK("https://www.ebi.ac.uk/QuickGO/GTerm?id=GO:0016053","GO:0016053 organic acid biosynthetic process")</f>
        <v>GO:0016053 organic acid biosynthetic process</v>
      </c>
      <c r="E199" s="1" t="s">
        <v>2</v>
      </c>
      <c r="F199" s="1" t="s">
        <v>197</v>
      </c>
      <c r="G199" s="8"/>
    </row>
    <row r="200" spans="1:7" ht="24.75" customHeight="1" x14ac:dyDescent="0.2">
      <c r="A200" s="6">
        <v>204</v>
      </c>
      <c r="B200" s="7" t="str">
        <f>HYPERLINK("https://www.ebi.ac.uk/QuickGO/GTerm?id=GO:0042856","GO:0042856 eugenol catabolic process")</f>
        <v>GO:0042856 eugenol catabolic process</v>
      </c>
      <c r="C200" s="1" t="s">
        <v>1</v>
      </c>
      <c r="D200" s="7" t="str">
        <f>HYPERLINK("https://www.ebi.ac.uk/QuickGO/GTerm?id=GO:0090487","GO:0090487 secondary metabolite catabolic process")</f>
        <v>GO:0090487 secondary metabolite catabolic process</v>
      </c>
      <c r="E200" s="1" t="s">
        <v>2</v>
      </c>
      <c r="F200" s="1" t="s">
        <v>198</v>
      </c>
      <c r="G200" s="8"/>
    </row>
    <row r="201" spans="1:7" ht="24.75" customHeight="1" x14ac:dyDescent="0.2">
      <c r="A201" s="6">
        <v>205</v>
      </c>
      <c r="B201" s="7" t="str">
        <f>HYPERLINK("https://www.ebi.ac.uk/QuickGO/GTerm?id=GO:1901293","GO:1901293 nucleoside phosphate biosynthetic process")</f>
        <v>GO:1901293 nucleoside phosphate biosynthetic process</v>
      </c>
      <c r="C201" s="1" t="s">
        <v>1</v>
      </c>
      <c r="D201" s="7" t="str">
        <f>HYPERLINK("https://www.ebi.ac.uk/QuickGO/GTerm?id=GO:0034404","GO:0034404 nucleobase-containing small molecule biosynthetic process")</f>
        <v>GO:0034404 nucleobase-containing small molecule biosynthetic process</v>
      </c>
      <c r="E201" s="1" t="s">
        <v>2</v>
      </c>
      <c r="F201" s="1" t="s">
        <v>199</v>
      </c>
      <c r="G201" s="8"/>
    </row>
    <row r="202" spans="1:7" ht="24.75" customHeight="1" x14ac:dyDescent="0.2">
      <c r="A202" s="6">
        <v>206</v>
      </c>
      <c r="B202" s="7" t="str">
        <f>HYPERLINK("https://www.ebi.ac.uk/QuickGO/GTerm?id=GO:0070724","GO:0070724 BMP receptor complex")</f>
        <v>GO:0070724 BMP receptor complex</v>
      </c>
      <c r="C202" s="1" t="s">
        <v>1</v>
      </c>
      <c r="D202" s="7" t="str">
        <f>HYPERLINK("https://www.ebi.ac.uk/QuickGO/GTerm?id=GO:1902911","GO:1902911 protein kinase complex")</f>
        <v>GO:1902911 protein kinase complex</v>
      </c>
      <c r="E202" s="1" t="s">
        <v>2</v>
      </c>
      <c r="F202" s="1" t="s">
        <v>200</v>
      </c>
      <c r="G202" s="8"/>
    </row>
    <row r="203" spans="1:7" ht="24.75" customHeight="1" x14ac:dyDescent="0.2">
      <c r="A203" s="6">
        <v>207</v>
      </c>
      <c r="B203" s="7" t="str">
        <f>HYPERLINK("https://www.ebi.ac.uk/QuickGO/GTerm?id=GO:0031107","GO:0031107 septin ring disassembly")</f>
        <v>GO:0031107 septin ring disassembly</v>
      </c>
      <c r="C203" s="1" t="s">
        <v>1</v>
      </c>
      <c r="D203" s="7" t="str">
        <f>HYPERLINK("https://www.ebi.ac.uk/QuickGO/GTerm?id=GO:0032984","GO:0032984 protein-containing complex disassembly")</f>
        <v>GO:0032984 protein-containing complex disassembly</v>
      </c>
      <c r="E203" s="1" t="s">
        <v>2</v>
      </c>
      <c r="F203" s="1" t="s">
        <v>201</v>
      </c>
      <c r="G203" s="8"/>
    </row>
    <row r="204" spans="1:7" ht="24.75" customHeight="1" x14ac:dyDescent="0.2">
      <c r="A204" s="6">
        <v>208</v>
      </c>
      <c r="B204" s="7" t="str">
        <f>HYPERLINK("https://www.ebi.ac.uk/QuickGO/GTerm?id=GO:0050748","GO:0050748 negative regulation of lipoprotein metabolic process")</f>
        <v>GO:0050748 negative regulation of lipoprotein metabolic process</v>
      </c>
      <c r="C204" s="1" t="s">
        <v>1</v>
      </c>
      <c r="D204" s="7" t="str">
        <f>HYPERLINK("https://www.ebi.ac.uk/QuickGO/GTerm?id=GO:0031327","GO:0031327 negative regulation of cellular biosynthetic process")</f>
        <v>GO:0031327 negative regulation of cellular biosynthetic process</v>
      </c>
      <c r="E204" s="1" t="s">
        <v>2</v>
      </c>
      <c r="F204" s="1" t="s">
        <v>202</v>
      </c>
      <c r="G204" s="8"/>
    </row>
    <row r="205" spans="1:7" ht="24.75" customHeight="1" x14ac:dyDescent="0.2">
      <c r="A205" s="6">
        <v>209</v>
      </c>
      <c r="B205" s="7" t="str">
        <f>HYPERLINK("https://www.ebi.ac.uk/QuickGO/GTerm?id=GO:1900258","GO:1900258 positive regulation of beta1-adrenergic receptor activity")</f>
        <v>GO:1900258 positive regulation of beta1-adrenergic receptor activity</v>
      </c>
      <c r="C205" s="1" t="s">
        <v>1</v>
      </c>
      <c r="D205" s="7" t="str">
        <f>HYPERLINK("https://www.ebi.ac.uk/QuickGO/GTerm?id=GO:0009967","GO:0009967 positive regulation of signal transduction")</f>
        <v>GO:0009967 positive regulation of signal transduction</v>
      </c>
      <c r="E205" s="1" t="s">
        <v>2</v>
      </c>
      <c r="F205" s="1" t="s">
        <v>203</v>
      </c>
      <c r="G205" s="8"/>
    </row>
    <row r="206" spans="1:7" ht="24.75" customHeight="1" x14ac:dyDescent="0.2">
      <c r="A206" s="6">
        <v>210</v>
      </c>
      <c r="B206" s="7" t="str">
        <f>HYPERLINK("https://www.ebi.ac.uk/QuickGO/GTerm?id=GO:1905523","GO:1905523 positive regulation of macrophage migration")</f>
        <v>GO:1905523 positive regulation of macrophage migration</v>
      </c>
      <c r="C206" s="1" t="s">
        <v>20</v>
      </c>
      <c r="D206" s="7" t="str">
        <f>HYPERLINK("https://www.ebi.ac.uk/QuickGO/GTerm?id=GO:0097530","GO:0097530 granulocyte migration")</f>
        <v>GO:0097530 granulocyte migration</v>
      </c>
      <c r="E206" s="1" t="s">
        <v>2</v>
      </c>
      <c r="F206" s="1" t="s">
        <v>204</v>
      </c>
      <c r="G206" s="8"/>
    </row>
    <row r="207" spans="1:7" ht="24.75" customHeight="1" x14ac:dyDescent="0.2">
      <c r="A207" s="6">
        <v>211</v>
      </c>
      <c r="B207" s="7" t="str">
        <f>HYPERLINK("https://www.ebi.ac.uk/QuickGO/GTerm?id=GO:0002138","GO:0002138 retinoic acid biosynthetic process")</f>
        <v>GO:0002138 retinoic acid biosynthetic process</v>
      </c>
      <c r="C207" s="1" t="s">
        <v>1</v>
      </c>
      <c r="D207" s="7" t="str">
        <f>HYPERLINK("https://www.ebi.ac.uk/QuickGO/GTerm?id=GO:0042362","GO:0042362 fat-soluble vitamin biosynthetic process")</f>
        <v>GO:0042362 fat-soluble vitamin biosynthetic process</v>
      </c>
      <c r="E207" s="1" t="s">
        <v>2</v>
      </c>
      <c r="F207" s="1" t="s">
        <v>205</v>
      </c>
      <c r="G207" s="8"/>
    </row>
    <row r="208" spans="1:7" ht="24.75" customHeight="1" x14ac:dyDescent="0.2">
      <c r="A208" s="6">
        <v>212</v>
      </c>
      <c r="B208" s="7" t="str">
        <f>HYPERLINK("https://www.ebi.ac.uk/QuickGO/GTerm?id=GO:0001692","GO:0001692 histamine metabolic process")</f>
        <v>GO:0001692 histamine metabolic process</v>
      </c>
      <c r="C208" s="1" t="s">
        <v>1</v>
      </c>
      <c r="D208" s="7" t="str">
        <f>HYPERLINK("https://www.ebi.ac.uk/QuickGO/GTerm?id=GO:0042133","GO:0042133 neurotransmitter metabolic process")</f>
        <v>GO:0042133 neurotransmitter metabolic process</v>
      </c>
      <c r="E208" s="1" t="s">
        <v>2</v>
      </c>
      <c r="F208" s="1" t="s">
        <v>206</v>
      </c>
      <c r="G208" s="8"/>
    </row>
    <row r="209" spans="1:7" ht="24.75" customHeight="1" x14ac:dyDescent="0.2">
      <c r="A209" s="6">
        <v>213</v>
      </c>
      <c r="B209" s="7" t="str">
        <f>HYPERLINK("https://www.ebi.ac.uk/QuickGO/GTerm?id=GO:0071602","GO:0071602 phytosphingosine biosynthetic process")</f>
        <v>GO:0071602 phytosphingosine biosynthetic process</v>
      </c>
      <c r="C209" s="1" t="s">
        <v>1</v>
      </c>
      <c r="D209" s="7" t="str">
        <f>HYPERLINK("https://www.ebi.ac.uk/QuickGO/GTerm?id=GO:0097384","GO:0097384 cellular lipid biosynthetic process")</f>
        <v>GO:0097384 cellular lipid biosynthetic process</v>
      </c>
      <c r="E209" s="1" t="s">
        <v>2</v>
      </c>
      <c r="F209" s="1" t="s">
        <v>207</v>
      </c>
      <c r="G209" s="8"/>
    </row>
    <row r="210" spans="1:7" ht="24.75" customHeight="1" x14ac:dyDescent="0.2">
      <c r="A210" s="6">
        <v>214</v>
      </c>
      <c r="B210" s="7" t="str">
        <f>HYPERLINK("https://www.ebi.ac.uk/QuickGO/GTerm?id=GO:1900261","GO:1900261 positive regulation of RNA-directed 5'-3' RNA polymerase activity")</f>
        <v>GO:1900261 positive regulation of RNA-directed 5'-3' RNA polymerase activity</v>
      </c>
      <c r="C210" s="1" t="s">
        <v>1</v>
      </c>
      <c r="D210" s="7" t="str">
        <f>HYPERLINK("https://www.ebi.ac.uk/QuickGO/GTerm?id=GO:0048522","GO:0048522 positive regulation of cellular process")</f>
        <v>GO:0048522 positive regulation of cellular process</v>
      </c>
      <c r="E210" s="1" t="s">
        <v>2</v>
      </c>
      <c r="F210" s="1" t="s">
        <v>208</v>
      </c>
      <c r="G210" s="8"/>
    </row>
    <row r="211" spans="1:7" ht="24.75" customHeight="1" x14ac:dyDescent="0.2">
      <c r="A211" s="6">
        <v>215</v>
      </c>
      <c r="B211" s="7" t="str">
        <f>HYPERLINK("https://www.ebi.ac.uk/QuickGO/GTerm?id=GO:0040026","GO:0040026 positive regulation of vulval development")</f>
        <v>GO:0040026 positive regulation of vulval development</v>
      </c>
      <c r="C211" s="1" t="s">
        <v>1</v>
      </c>
      <c r="D211" s="7" t="str">
        <f>HYPERLINK("https://www.ebi.ac.uk/QuickGO/GTerm?id=GO:0061063","GO:0061063 positive regulation of nematode larval development")</f>
        <v>GO:0061063 positive regulation of nematode larval development</v>
      </c>
      <c r="E211" s="1" t="s">
        <v>2</v>
      </c>
      <c r="F211" s="1" t="s">
        <v>209</v>
      </c>
      <c r="G211" s="8"/>
    </row>
    <row r="212" spans="1:7" ht="24.75" customHeight="1" x14ac:dyDescent="0.2">
      <c r="A212" s="6">
        <v>216</v>
      </c>
      <c r="B212" s="7" t="str">
        <f>HYPERLINK("https://www.ebi.ac.uk/QuickGO/GTerm?id=GO:0002022","GO:0002022 detection of dietary excess")</f>
        <v>GO:0002022 detection of dietary excess</v>
      </c>
      <c r="C212" s="1" t="s">
        <v>1</v>
      </c>
      <c r="D212" s="7" t="str">
        <f>HYPERLINK("https://www.ebi.ac.uk/QuickGO/GTerm?id=GO:0009581","GO:0009581 detection of external stimulus")</f>
        <v>GO:0009581 detection of external stimulus</v>
      </c>
      <c r="E212" s="1" t="s">
        <v>2</v>
      </c>
      <c r="F212" s="1" t="s">
        <v>210</v>
      </c>
      <c r="G212" s="8"/>
    </row>
    <row r="213" spans="1:7" ht="24.75" customHeight="1" x14ac:dyDescent="0.2">
      <c r="A213" s="6">
        <v>217</v>
      </c>
      <c r="B213" s="7" t="str">
        <f>HYPERLINK("https://www.ebi.ac.uk/QuickGO/GTerm?id=GO:1903448","GO:1903448 geraniol biosynthetic process")</f>
        <v>GO:1903448 geraniol biosynthetic process</v>
      </c>
      <c r="C213" s="1" t="s">
        <v>1</v>
      </c>
      <c r="D213" s="7" t="str">
        <f>HYPERLINK("https://www.ebi.ac.uk/QuickGO/GTerm?id=GO:0097384","GO:0097384 cellular lipid biosynthetic process")</f>
        <v>GO:0097384 cellular lipid biosynthetic process</v>
      </c>
      <c r="E213" s="1" t="s">
        <v>2</v>
      </c>
      <c r="F213" s="1" t="s">
        <v>211</v>
      </c>
      <c r="G213" s="8"/>
    </row>
    <row r="214" spans="1:7" ht="24.75" customHeight="1" x14ac:dyDescent="0.2">
      <c r="A214" s="6">
        <v>218</v>
      </c>
      <c r="B214" s="7" t="str">
        <f>HYPERLINK("https://www.ebi.ac.uk/QuickGO/GTerm?id=GO:1901693","GO:1901693 negative regulation of compound eye retinal cell apoptotic process")</f>
        <v>GO:1901693 negative regulation of compound eye retinal cell apoptotic process</v>
      </c>
      <c r="C214" s="1" t="s">
        <v>1</v>
      </c>
      <c r="D214" s="7" t="str">
        <f>HYPERLINK("https://www.ebi.ac.uk/QuickGO/GTerm?id=GO:0051093","GO:0051093 negative regulation of developmental process")</f>
        <v>GO:0051093 negative regulation of developmental process</v>
      </c>
      <c r="E214" s="1" t="s">
        <v>2</v>
      </c>
      <c r="F214" s="1" t="s">
        <v>212</v>
      </c>
      <c r="G214" s="8"/>
    </row>
    <row r="215" spans="1:7" ht="24.75" customHeight="1" x14ac:dyDescent="0.2">
      <c r="A215" s="6">
        <v>219</v>
      </c>
      <c r="B215" s="7" t="str">
        <f>HYPERLINK("https://www.ebi.ac.uk/QuickGO/GTerm?id=GO:1901310","GO:1901310 positive regulation of sterol regulatory element binding protein cleavage")</f>
        <v>GO:1901310 positive regulation of sterol regulatory element binding protein cleavage</v>
      </c>
      <c r="C215" s="1" t="s">
        <v>1</v>
      </c>
      <c r="D215" s="7" t="str">
        <f>HYPERLINK("https://www.ebi.ac.uk/QuickGO/GTerm?id=GO:0009967","GO:0009967 positive regulation of signal transduction")</f>
        <v>GO:0009967 positive regulation of signal transduction</v>
      </c>
      <c r="E215" s="1" t="s">
        <v>2</v>
      </c>
      <c r="F215" s="1" t="s">
        <v>213</v>
      </c>
      <c r="G215" s="8"/>
    </row>
    <row r="216" spans="1:7" ht="24.75" customHeight="1" x14ac:dyDescent="0.2">
      <c r="A216" s="6">
        <v>220</v>
      </c>
      <c r="B216" s="7" t="str">
        <f>HYPERLINK("https://www.ebi.ac.uk/QuickGO/GTerm?id=GO:0098824","GO:0098824 peptidyl-cysteine sulfation")</f>
        <v>GO:0098824 peptidyl-cysteine sulfation</v>
      </c>
      <c r="C216" s="1" t="s">
        <v>1</v>
      </c>
      <c r="D216" s="7" t="str">
        <f>HYPERLINK("https://www.ebi.ac.uk/QuickGO/GTerm?id=GO:0006477","GO:0006477 protein sulfation")</f>
        <v>GO:0006477 protein sulfation</v>
      </c>
      <c r="E216" s="1" t="s">
        <v>2</v>
      </c>
      <c r="F216" s="1" t="s">
        <v>214</v>
      </c>
      <c r="G216" s="8"/>
    </row>
    <row r="217" spans="1:7" ht="24.75" customHeight="1" x14ac:dyDescent="0.2">
      <c r="A217" s="6">
        <v>221</v>
      </c>
      <c r="B217" s="7" t="str">
        <f>HYPERLINK("https://www.ebi.ac.uk/QuickGO/GTerm?id=GO:0048313","GO:0048313 Golgi inheritance")</f>
        <v>GO:0048313 Golgi inheritance</v>
      </c>
      <c r="C217" s="1" t="s">
        <v>1</v>
      </c>
      <c r="D217" s="7" t="str">
        <f>HYPERLINK("https://www.ebi.ac.uk/QuickGO/GTerm?id=GO:0051645","GO:0051645 Golgi localization")</f>
        <v>GO:0051645 Golgi localization</v>
      </c>
      <c r="E217" s="1" t="s">
        <v>2</v>
      </c>
      <c r="F217" s="1" t="s">
        <v>215</v>
      </c>
      <c r="G217" s="8"/>
    </row>
    <row r="218" spans="1:7" ht="24.75" customHeight="1" x14ac:dyDescent="0.2">
      <c r="A218" s="6">
        <v>222</v>
      </c>
      <c r="B218" s="7" t="str">
        <f>HYPERLINK("https://www.ebi.ac.uk/QuickGO/GTerm?id=GO:0046282","GO:0046282 cinnamic acid ester catabolic process")</f>
        <v>GO:0046282 cinnamic acid ester catabolic process</v>
      </c>
      <c r="C218" s="1" t="s">
        <v>1</v>
      </c>
      <c r="D218" s="7" t="str">
        <f>HYPERLINK("https://www.ebi.ac.uk/QuickGO/GTerm?id=GO:0090487","GO:0090487 secondary metabolite catabolic process")</f>
        <v>GO:0090487 secondary metabolite catabolic process</v>
      </c>
      <c r="E218" s="1" t="s">
        <v>2</v>
      </c>
      <c r="F218" s="1" t="s">
        <v>216</v>
      </c>
      <c r="G218" s="8"/>
    </row>
    <row r="219" spans="1:7" ht="24.75" customHeight="1" x14ac:dyDescent="0.2">
      <c r="A219" s="6">
        <v>223</v>
      </c>
      <c r="B219" s="7" t="str">
        <f>HYPERLINK("https://www.ebi.ac.uk/QuickGO/GTerm?id=GO:0060713","GO:0060713 labyrinthine layer morphogenesis")</f>
        <v>GO:0060713 labyrinthine layer morphogenesis</v>
      </c>
      <c r="C219" s="1" t="s">
        <v>4</v>
      </c>
      <c r="D219" s="7" t="str">
        <f>HYPERLINK("https://www.ebi.ac.uk/QuickGO/GTerm?id=GO:0048562","GO:0048562 embryonic organ morphogenesis")</f>
        <v>GO:0048562 embryonic organ morphogenesis</v>
      </c>
      <c r="E219" s="1" t="s">
        <v>2</v>
      </c>
      <c r="F219" s="1" t="s">
        <v>217</v>
      </c>
      <c r="G219" s="8"/>
    </row>
    <row r="220" spans="1:7" ht="24.75" customHeight="1" x14ac:dyDescent="0.2">
      <c r="A220" s="6">
        <v>224</v>
      </c>
      <c r="B220" s="7" t="str">
        <f>HYPERLINK("https://www.ebi.ac.uk/QuickGO/GTerm?id=GO:0019710","GO:0019710 peptidyl-asparagine methylation")</f>
        <v>GO:0019710 peptidyl-asparagine methylation</v>
      </c>
      <c r="C220" s="1" t="s">
        <v>1</v>
      </c>
      <c r="D220" s="7" t="str">
        <f>HYPERLINK("https://www.ebi.ac.uk/QuickGO/GTerm?id=GO:0006479","GO:0006479 protein methylation")</f>
        <v>GO:0006479 protein methylation</v>
      </c>
      <c r="E220" s="1" t="s">
        <v>2</v>
      </c>
      <c r="F220" s="1" t="s">
        <v>214</v>
      </c>
      <c r="G220" s="8"/>
    </row>
    <row r="221" spans="1:7" ht="24.75" customHeight="1" x14ac:dyDescent="0.2">
      <c r="A221" s="6">
        <v>225</v>
      </c>
      <c r="B221" s="7" t="str">
        <f>HYPERLINK("https://www.ebi.ac.uk/QuickGO/GTerm?id=GO:0051621","GO:0051621 regulation of norepinephrine uptake")</f>
        <v>GO:0051621 regulation of norepinephrine uptake</v>
      </c>
      <c r="C221" s="1" t="s">
        <v>1</v>
      </c>
      <c r="D221" s="7" t="str">
        <f>HYPERLINK("https://www.ebi.ac.uk/QuickGO/GTerm?id=GO:0051580","GO:0051580 regulation of neurotransmitter uptake")</f>
        <v>GO:0051580 regulation of neurotransmitter uptake</v>
      </c>
      <c r="E221" s="1" t="s">
        <v>2</v>
      </c>
      <c r="F221" s="1" t="s">
        <v>218</v>
      </c>
      <c r="G221" s="8"/>
    </row>
    <row r="222" spans="1:7" ht="24.75" customHeight="1" x14ac:dyDescent="0.2">
      <c r="A222" s="6">
        <v>227</v>
      </c>
      <c r="B222" s="7" t="str">
        <f>HYPERLINK("https://www.ebi.ac.uk/QuickGO/GTerm?id=GO:1901937","GO:1901937 beta-caryophyllene biosynthetic process")</f>
        <v>GO:1901937 beta-caryophyllene biosynthetic process</v>
      </c>
      <c r="C222" s="1" t="s">
        <v>1</v>
      </c>
      <c r="D222" s="7" t="str">
        <f>HYPERLINK("https://www.ebi.ac.uk/QuickGO/GTerm?id=GO:0097384","GO:0097384 cellular lipid biosynthetic process")</f>
        <v>GO:0097384 cellular lipid biosynthetic process</v>
      </c>
      <c r="E222" s="1" t="s">
        <v>2</v>
      </c>
      <c r="F222" s="1" t="s">
        <v>219</v>
      </c>
      <c r="G222" s="8"/>
    </row>
    <row r="223" spans="1:7" ht="24.75" customHeight="1" x14ac:dyDescent="0.2">
      <c r="A223" s="6">
        <v>229</v>
      </c>
      <c r="B223" s="7" t="str">
        <f>HYPERLINK("https://www.ebi.ac.uk/QuickGO/GTerm?id=GO:2000944","GO:2000944 positive regulation of amylopectin metabolic process")</f>
        <v>GO:2000944 positive regulation of amylopectin metabolic process</v>
      </c>
      <c r="C223" s="1" t="s">
        <v>1</v>
      </c>
      <c r="D223" s="7" t="str">
        <f>HYPERLINK("https://www.ebi.ac.uk/QuickGO/GTerm?id=GO:2000906","GO:2000906 positive regulation of starch metabolic process")</f>
        <v>GO:2000906 positive regulation of starch metabolic process</v>
      </c>
      <c r="E223" s="1" t="s">
        <v>2</v>
      </c>
      <c r="F223" s="1" t="s">
        <v>220</v>
      </c>
      <c r="G223" s="8"/>
    </row>
    <row r="224" spans="1:7" ht="24.75" customHeight="1" x14ac:dyDescent="0.2">
      <c r="A224" s="6">
        <v>230</v>
      </c>
      <c r="B224" s="7" t="str">
        <f>HYPERLINK("https://www.ebi.ac.uk/QuickGO/GTerm?id=GO:1900817","GO:1900817 ochratoxin A catabolic process")</f>
        <v>GO:1900817 ochratoxin A catabolic process</v>
      </c>
      <c r="C224" s="1" t="s">
        <v>1</v>
      </c>
      <c r="D224" s="7" t="str">
        <f>HYPERLINK("https://www.ebi.ac.uk/QuickGO/GTerm?id=GO:0043605","GO:0043605 cellular amide catabolic process")</f>
        <v>GO:0043605 cellular amide catabolic process</v>
      </c>
      <c r="E224" s="1" t="s">
        <v>2</v>
      </c>
      <c r="F224" s="1" t="s">
        <v>221</v>
      </c>
      <c r="G224" s="8"/>
    </row>
    <row r="225" spans="1:7" ht="24.75" customHeight="1" x14ac:dyDescent="0.2">
      <c r="A225" s="6">
        <v>231</v>
      </c>
      <c r="B225" s="7" t="str">
        <f>HYPERLINK("https://www.ebi.ac.uk/QuickGO/GTerm?id=GO:1990709","GO:1990709 presynaptic active zone organization")</f>
        <v>GO:1990709 presynaptic active zone organization</v>
      </c>
      <c r="C225" s="1" t="s">
        <v>4</v>
      </c>
      <c r="D225" s="7" t="str">
        <f>HYPERLINK("https://www.ebi.ac.uk/QuickGO/GTerm?id=GO:0099172","GO:0099172 presynapse organization")</f>
        <v>GO:0099172 presynapse organization</v>
      </c>
      <c r="E225" s="1" t="s">
        <v>2</v>
      </c>
      <c r="F225" s="1" t="s">
        <v>222</v>
      </c>
      <c r="G225" s="8"/>
    </row>
    <row r="226" spans="1:7" ht="24.75" customHeight="1" x14ac:dyDescent="0.2">
      <c r="A226" s="6">
        <v>233</v>
      </c>
      <c r="B226" s="7" t="str">
        <f>HYPERLINK("https://www.ebi.ac.uk/QuickGO/GTerm?id=GO:0046267","GO:0046267 triethanolamine catabolic process")</f>
        <v>GO:0046267 triethanolamine catabolic process</v>
      </c>
      <c r="C226" s="1" t="s">
        <v>1</v>
      </c>
      <c r="D226" s="7" t="str">
        <f>HYPERLINK("https://www.ebi.ac.uk/QuickGO/GTerm?id=GO:0009310","GO:0009310 amine catabolic process")</f>
        <v>GO:0009310 amine catabolic process</v>
      </c>
      <c r="E226" s="1" t="s">
        <v>2</v>
      </c>
      <c r="F226" s="1" t="s">
        <v>223</v>
      </c>
      <c r="G226" s="8"/>
    </row>
    <row r="227" spans="1:7" ht="24.75" customHeight="1" x14ac:dyDescent="0.2">
      <c r="A227" s="6">
        <v>234</v>
      </c>
      <c r="B227" s="7" t="str">
        <f>HYPERLINK("https://www.ebi.ac.uk/QuickGO/GTerm?id=GO:0060464","GO:0060464 lung lobe formation")</f>
        <v>GO:0060464 lung lobe formation</v>
      </c>
      <c r="C227" s="1" t="s">
        <v>4</v>
      </c>
      <c r="D227" s="7" t="str">
        <f>HYPERLINK("https://www.ebi.ac.uk/QuickGO/GTerm?id=GO:0035148","GO:0035148 tube formation")</f>
        <v>GO:0035148 tube formation</v>
      </c>
      <c r="E227" s="1" t="s">
        <v>2</v>
      </c>
      <c r="F227" s="1" t="s">
        <v>224</v>
      </c>
      <c r="G227" s="8"/>
    </row>
    <row r="228" spans="1:7" ht="24.75" customHeight="1" x14ac:dyDescent="0.2">
      <c r="A228" s="6">
        <v>235</v>
      </c>
      <c r="B228" s="7" t="str">
        <f>HYPERLINK("https://www.ebi.ac.uk/QuickGO/GTerm?id=GO:0036100","GO:0036100 leukotriene catabolic process")</f>
        <v>GO:0036100 leukotriene catabolic process</v>
      </c>
      <c r="C228" s="1" t="s">
        <v>1</v>
      </c>
      <c r="D228" s="7" t="str">
        <f>HYPERLINK("https://www.ebi.ac.uk/QuickGO/GTerm?id=GO:1901523","GO:1901523 icosanoid catabolic process")</f>
        <v>GO:1901523 icosanoid catabolic process</v>
      </c>
      <c r="E228" s="1" t="s">
        <v>2</v>
      </c>
      <c r="F228" s="1" t="s">
        <v>225</v>
      </c>
      <c r="G228" s="8"/>
    </row>
    <row r="229" spans="1:7" ht="24.75" customHeight="1" x14ac:dyDescent="0.2">
      <c r="A229" s="6">
        <v>236</v>
      </c>
      <c r="B229" s="7" t="str">
        <f>HYPERLINK("https://www.ebi.ac.uk/QuickGO/GTerm?id=GO:0042160","GO:0042160 lipoprotein modification")</f>
        <v>GO:0042160 lipoprotein modification</v>
      </c>
      <c r="C229" s="1" t="s">
        <v>1</v>
      </c>
      <c r="D229" s="7" t="str">
        <f>HYPERLINK("https://www.ebi.ac.uk/QuickGO/GTerm?id=GO:0043412","GO:0043412 macromolecule modification")</f>
        <v>GO:0043412 macromolecule modification</v>
      </c>
      <c r="E229" s="1" t="s">
        <v>2</v>
      </c>
      <c r="F229" s="1" t="s">
        <v>226</v>
      </c>
      <c r="G229" s="8"/>
    </row>
    <row r="230" spans="1:7" ht="24.75" customHeight="1" x14ac:dyDescent="0.2">
      <c r="A230" s="6">
        <v>237</v>
      </c>
      <c r="B230" s="7" t="str">
        <f>HYPERLINK("https://www.ebi.ac.uk/QuickGO/GTerm?id=GO:0043280","GO:0043280 positive regulation of cysteine-type endopeptidase activity involved in apoptotic process")</f>
        <v>GO:0043280 positive regulation of cysteine-type endopeptidase activity involved in apoptotic process</v>
      </c>
      <c r="C230" s="1" t="s">
        <v>1</v>
      </c>
      <c r="D230" s="7" t="str">
        <f>HYPERLINK("https://www.ebi.ac.uk/QuickGO/GTerm?id=GO:0010942","GO:0010942 positive regulation of cell death")</f>
        <v>GO:0010942 positive regulation of cell death</v>
      </c>
      <c r="E230" s="1" t="s">
        <v>2</v>
      </c>
      <c r="F230" s="1" t="s">
        <v>227</v>
      </c>
      <c r="G230" s="8"/>
    </row>
    <row r="231" spans="1:7" ht="24.75" customHeight="1" x14ac:dyDescent="0.2">
      <c r="A231" s="6">
        <v>238</v>
      </c>
      <c r="B231" s="7" t="str">
        <f>HYPERLINK("https://www.ebi.ac.uk/QuickGO/GTerm?id=GO:2000752","GO:2000752 regulation of glucosylceramide catabolic process")</f>
        <v>GO:2000752 regulation of glucosylceramide catabolic process</v>
      </c>
      <c r="C231" s="1" t="s">
        <v>20</v>
      </c>
      <c r="D231" s="7" t="str">
        <f>HYPERLINK("https://www.ebi.ac.uk/QuickGO/GTerm?id=GO:0009057","GO:0009057 macromolecule catabolic process")</f>
        <v>GO:0009057 macromolecule catabolic process</v>
      </c>
      <c r="E231" s="1" t="s">
        <v>2</v>
      </c>
      <c r="F231" s="1" t="s">
        <v>228</v>
      </c>
      <c r="G231" s="8"/>
    </row>
    <row r="232" spans="1:7" ht="24.75" customHeight="1" x14ac:dyDescent="0.2">
      <c r="A232" s="6">
        <v>239</v>
      </c>
      <c r="B232" s="7" t="str">
        <f>HYPERLINK("https://www.ebi.ac.uk/QuickGO/GTerm?id=GO:0009691","GO:0009691 cytokinin biosynthetic process")</f>
        <v>GO:0009691 cytokinin biosynthetic process</v>
      </c>
      <c r="C232" s="1" t="s">
        <v>1</v>
      </c>
      <c r="D232" s="7" t="str">
        <f>HYPERLINK("https://www.ebi.ac.uk/QuickGO/GTerm?id=GO:0009309","GO:0009309 amine biosynthetic process")</f>
        <v>GO:0009309 amine biosynthetic process</v>
      </c>
      <c r="E232" s="1" t="s">
        <v>2</v>
      </c>
      <c r="F232" s="1" t="s">
        <v>229</v>
      </c>
      <c r="G232" s="8"/>
    </row>
    <row r="233" spans="1:7" ht="24.75" customHeight="1" x14ac:dyDescent="0.2">
      <c r="A233" s="6">
        <v>240</v>
      </c>
      <c r="B233" s="7" t="str">
        <f>HYPERLINK("https://www.ebi.ac.uk/QuickGO/GTerm?id=GO:0046034","GO:0046034 ATP metabolic process")</f>
        <v>GO:0046034 ATP metabolic process</v>
      </c>
      <c r="C233" s="1" t="s">
        <v>1</v>
      </c>
      <c r="D233" s="7" t="str">
        <f>HYPERLINK("https://www.ebi.ac.uk/QuickGO/GTerm?id=GO:0009150","GO:0009150 purine ribonucleotide metabolic process")</f>
        <v>GO:0009150 purine ribonucleotide metabolic process</v>
      </c>
      <c r="E233" s="1" t="s">
        <v>2</v>
      </c>
      <c r="F233" s="1" t="s">
        <v>230</v>
      </c>
      <c r="G233" s="8"/>
    </row>
    <row r="234" spans="1:7" ht="24.75" customHeight="1" x14ac:dyDescent="0.2">
      <c r="A234" s="6">
        <v>241</v>
      </c>
      <c r="B234" s="7" t="str">
        <f>HYPERLINK("https://www.ebi.ac.uk/QuickGO/GTerm?id=GO:1901940","GO:1901940 (-)-exo-alpha-bergamotene biosynthetic process")</f>
        <v>GO:1901940 (-)-exo-alpha-bergamotene biosynthetic process</v>
      </c>
      <c r="C234" s="1" t="s">
        <v>1</v>
      </c>
      <c r="D234" s="7" t="str">
        <f>HYPERLINK("https://www.ebi.ac.uk/QuickGO/GTerm?id=GO:0097384","GO:0097384 cellular lipid biosynthetic process")</f>
        <v>GO:0097384 cellular lipid biosynthetic process</v>
      </c>
      <c r="E234" s="1" t="s">
        <v>2</v>
      </c>
      <c r="F234" s="1" t="s">
        <v>231</v>
      </c>
      <c r="G234" s="8"/>
    </row>
    <row r="235" spans="1:7" ht="24.75" customHeight="1" x14ac:dyDescent="0.2">
      <c r="A235" s="6">
        <v>242</v>
      </c>
      <c r="B235" s="7" t="str">
        <f>HYPERLINK("https://www.ebi.ac.uk/QuickGO/GTerm?id=GO:2001014","GO:2001014 regulation of skeletal muscle cell differentiation")</f>
        <v>GO:2001014 regulation of skeletal muscle cell differentiation</v>
      </c>
      <c r="C235" s="1" t="s">
        <v>1</v>
      </c>
      <c r="D235" s="7" t="str">
        <f>HYPERLINK("https://www.ebi.ac.uk/QuickGO/GTerm?id=GO:0051153","GO:0051153 regulation of striated muscle cell differentiation")</f>
        <v>GO:0051153 regulation of striated muscle cell differentiation</v>
      </c>
      <c r="E235" s="1" t="s">
        <v>2</v>
      </c>
      <c r="F235" s="1" t="s">
        <v>232</v>
      </c>
      <c r="G235" s="8"/>
    </row>
    <row r="236" spans="1:7" ht="24.75" customHeight="1" x14ac:dyDescent="0.2">
      <c r="A236" s="6">
        <v>243</v>
      </c>
      <c r="B236" s="7" t="str">
        <f>HYPERLINK("https://www.ebi.ac.uk/QuickGO/GTerm?id=GO:0070663","GO:0070663 regulation of leukocyte proliferation")</f>
        <v>GO:0070663 regulation of leukocyte proliferation</v>
      </c>
      <c r="C236" s="1" t="s">
        <v>1</v>
      </c>
      <c r="D236" s="7" t="str">
        <f>HYPERLINK("https://www.ebi.ac.uk/QuickGO/GTerm?id=GO:0002694","GO:0002694 regulation of leukocyte activation")</f>
        <v>GO:0002694 regulation of leukocyte activation</v>
      </c>
      <c r="E236" s="1" t="s">
        <v>2</v>
      </c>
      <c r="F236" s="1" t="s">
        <v>233</v>
      </c>
      <c r="G236" s="8"/>
    </row>
    <row r="237" spans="1:7" ht="24.75" customHeight="1" x14ac:dyDescent="0.2">
      <c r="A237" s="6">
        <v>244</v>
      </c>
      <c r="B237" s="7" t="str">
        <f>HYPERLINK("https://www.ebi.ac.uk/QuickGO/GTerm?id=GO:0030154","GO:0030154 cell differentiation")</f>
        <v>GO:0030154 cell differentiation</v>
      </c>
      <c r="C237" s="1" t="s">
        <v>1</v>
      </c>
      <c r="D237" s="7" t="str">
        <f>HYPERLINK("https://www.ebi.ac.uk/QuickGO/GTerm?id=GO:0001775","GO:0001775 cell activation")</f>
        <v>GO:0001775 cell activation</v>
      </c>
      <c r="E237" s="1" t="s">
        <v>2</v>
      </c>
      <c r="F237" s="1" t="s">
        <v>234</v>
      </c>
      <c r="G237" s="8"/>
    </row>
    <row r="238" spans="1:7" ht="24.75" customHeight="1" x14ac:dyDescent="0.2">
      <c r="A238" s="6">
        <v>245</v>
      </c>
      <c r="B238" s="7" t="str">
        <f>HYPERLINK("https://www.ebi.ac.uk/QuickGO/GTerm?id=GO:0046226","GO:0046226 coumarin catabolic process")</f>
        <v>GO:0046226 coumarin catabolic process</v>
      </c>
      <c r="C238" s="1" t="s">
        <v>1</v>
      </c>
      <c r="D238" s="7" t="str">
        <f>HYPERLINK("https://www.ebi.ac.uk/QuickGO/GTerm?id=GO:0090487","GO:0090487 secondary metabolite catabolic process")</f>
        <v>GO:0090487 secondary metabolite catabolic process</v>
      </c>
      <c r="E238" s="1" t="s">
        <v>2</v>
      </c>
      <c r="F238" s="1" t="s">
        <v>235</v>
      </c>
      <c r="G238" s="8"/>
    </row>
    <row r="239" spans="1:7" ht="24.75" customHeight="1" x14ac:dyDescent="0.2">
      <c r="A239" s="6">
        <v>246</v>
      </c>
      <c r="B239" s="7" t="str">
        <f>HYPERLINK("https://www.ebi.ac.uk/QuickGO/GTerm?id=GO:0071110","GO:0071110 histone biotinylation")</f>
        <v>GO:0071110 histone biotinylation</v>
      </c>
      <c r="C239" s="1" t="s">
        <v>1</v>
      </c>
      <c r="D239" s="7" t="str">
        <f>HYPERLINK("https://www.ebi.ac.uk/QuickGO/GTerm?id=GO:0018054","GO:0018054 peptidyl-lysine biotinylation")</f>
        <v>GO:0018054 peptidyl-lysine biotinylation</v>
      </c>
      <c r="E239" s="1" t="s">
        <v>2</v>
      </c>
      <c r="F239" s="1" t="s">
        <v>236</v>
      </c>
      <c r="G239" s="8"/>
    </row>
    <row r="240" spans="1:7" ht="24.75" customHeight="1" x14ac:dyDescent="0.2">
      <c r="A240" s="6">
        <v>248</v>
      </c>
      <c r="B240" s="7" t="str">
        <f>HYPERLINK("https://www.ebi.ac.uk/QuickGO/GTerm?id=GO:0005952","GO:0005952 cAMP-dependent protein kinase complex")</f>
        <v>GO:0005952 cAMP-dependent protein kinase complex</v>
      </c>
      <c r="C240" s="1" t="s">
        <v>1</v>
      </c>
      <c r="D240" s="7" t="str">
        <f>HYPERLINK("https://www.ebi.ac.uk/QuickGO/GTerm?id=GO:1902494","GO:1902494 catalytic complex")</f>
        <v>GO:1902494 catalytic complex</v>
      </c>
      <c r="E240" s="1" t="s">
        <v>2</v>
      </c>
      <c r="F240" s="1" t="s">
        <v>237</v>
      </c>
      <c r="G240" s="8"/>
    </row>
    <row r="241" spans="1:7" ht="24.75" customHeight="1" x14ac:dyDescent="0.2">
      <c r="A241" s="6">
        <v>249</v>
      </c>
      <c r="B241" s="7" t="str">
        <f>HYPERLINK("https://www.ebi.ac.uk/QuickGO/GTerm?id=GO:0033600","GO:0033600 negative regulation of mammary gland epithelial cell proliferation")</f>
        <v>GO:0033600 negative regulation of mammary gland epithelial cell proliferation</v>
      </c>
      <c r="C241" s="1" t="s">
        <v>1</v>
      </c>
      <c r="D241" s="7" t="str">
        <f>HYPERLINK("https://www.ebi.ac.uk/QuickGO/GTerm?id=GO:0051093","GO:0051093 negative regulation of developmental process")</f>
        <v>GO:0051093 negative regulation of developmental process</v>
      </c>
      <c r="E241" s="13" t="s">
        <v>2</v>
      </c>
      <c r="F241" s="13" t="s">
        <v>238</v>
      </c>
      <c r="G241" s="8"/>
    </row>
    <row r="242" spans="1:7" ht="24.75" customHeight="1" x14ac:dyDescent="0.2">
      <c r="A242" s="6">
        <v>250</v>
      </c>
      <c r="B242" s="7" t="str">
        <f>HYPERLINK("https://www.ebi.ac.uk/QuickGO/GTerm?id=GO:0060214","GO:0060214 endocardium formation")</f>
        <v>GO:0060214 endocardium formation</v>
      </c>
      <c r="C242" s="1" t="s">
        <v>4</v>
      </c>
      <c r="D242" s="7" t="str">
        <f>HYPERLINK("https://www.ebi.ac.uk/QuickGO/GTerm?id=GO:0060914","GO:0060914 heart formation")</f>
        <v>GO:0060914 heart formation</v>
      </c>
      <c r="E242" s="1" t="s">
        <v>2</v>
      </c>
      <c r="F242" s="1" t="s">
        <v>239</v>
      </c>
      <c r="G242" s="8"/>
    </row>
    <row r="243" spans="1:7" ht="24.75" customHeight="1" x14ac:dyDescent="0.2">
      <c r="A243" s="6">
        <v>251</v>
      </c>
      <c r="B243" s="7" t="str">
        <f>HYPERLINK("https://www.ebi.ac.uk/QuickGO/GTerm?id=GO:0046209","GO:0046209 nitric oxide metabolic process")</f>
        <v>GO:0046209 nitric oxide metabolic process</v>
      </c>
      <c r="C243" s="1" t="s">
        <v>1</v>
      </c>
      <c r="D243" s="7" t="str">
        <f>HYPERLINK("https://www.ebi.ac.uk/QuickGO/GTerm?id=GO:0034641","GO:0034641 cellular nitrogen compound metabolic process")</f>
        <v>GO:0034641 cellular nitrogen compound metabolic process</v>
      </c>
      <c r="E243" s="1" t="s">
        <v>2</v>
      </c>
      <c r="F243" s="1" t="s">
        <v>240</v>
      </c>
      <c r="G243" s="8"/>
    </row>
    <row r="244" spans="1:7" ht="24.75" customHeight="1" x14ac:dyDescent="0.2">
      <c r="A244" s="10">
        <v>252</v>
      </c>
      <c r="B244" s="11" t="str">
        <f>HYPERLINK("https://www.ebi.ac.uk/QuickGO/GTerm?id=GO:1902991","GO:1902991 regulation of amyloid precursor protein catabolic process")</f>
        <v>GO:1902991 regulation of amyloid precursor protein catabolic process</v>
      </c>
      <c r="C244" s="12" t="s">
        <v>20</v>
      </c>
      <c r="D244" s="11" t="str">
        <f>HYPERLINK("https://www.ebi.ac.uk/QuickGO/GTerm?id=GO:0006516","GO:0006516 glycoprotein catabolic process")</f>
        <v>GO:0006516 glycoprotein catabolic process</v>
      </c>
      <c r="E244" s="12" t="s">
        <v>2</v>
      </c>
      <c r="F244" s="12" t="s">
        <v>241</v>
      </c>
      <c r="G244" s="8"/>
    </row>
    <row r="245" spans="1:7" ht="24.75" customHeight="1" x14ac:dyDescent="0.2">
      <c r="A245" s="6">
        <v>253</v>
      </c>
      <c r="B245" s="7" t="str">
        <f>HYPERLINK("https://www.ebi.ac.uk/QuickGO/GTerm?id=GO:0000228","GO:0000228 nuclear chromosome")</f>
        <v>GO:0000228 nuclear chromosome</v>
      </c>
      <c r="C245" s="1" t="s">
        <v>4</v>
      </c>
      <c r="D245" s="7" t="str">
        <f>HYPERLINK("https://www.ebi.ac.uk/QuickGO/GTerm?id=GO:0016363","GO:0016363 nuclear matrix")</f>
        <v>GO:0016363 nuclear matrix</v>
      </c>
      <c r="E245" s="1" t="s">
        <v>2</v>
      </c>
      <c r="F245" s="1" t="s">
        <v>242</v>
      </c>
      <c r="G245" s="8"/>
    </row>
    <row r="246" spans="1:7" ht="24.75" customHeight="1" x14ac:dyDescent="0.2">
      <c r="A246" s="6">
        <v>254</v>
      </c>
      <c r="B246" s="7" t="str">
        <f>HYPERLINK("https://www.ebi.ac.uk/QuickGO/GTerm?id=GO:0106305","GO:0106305 mannogen catabolic process")</f>
        <v>GO:0106305 mannogen catabolic process</v>
      </c>
      <c r="C246" s="1" t="s">
        <v>1</v>
      </c>
      <c r="D246" s="7" t="str">
        <f>HYPERLINK("https://www.ebi.ac.uk/QuickGO/GTerm?id=GO:0044247","GO:0044247 cellular polysaccharide catabolic process")</f>
        <v>GO:0044247 cellular polysaccharide catabolic process</v>
      </c>
      <c r="E246" s="1" t="s">
        <v>2</v>
      </c>
      <c r="F246" s="1" t="s">
        <v>90</v>
      </c>
      <c r="G246" s="8"/>
    </row>
    <row r="247" spans="1:7" ht="24.75" customHeight="1" x14ac:dyDescent="0.2">
      <c r="A247" s="6">
        <v>255</v>
      </c>
      <c r="B247" s="7" t="str">
        <f>HYPERLINK("https://www.ebi.ac.uk/QuickGO/GTerm?id=GO:0034592","GO:0034592 synaptic vesicle lumen")</f>
        <v>GO:0034592 synaptic vesicle lumen</v>
      </c>
      <c r="C247" s="1" t="s">
        <v>1</v>
      </c>
      <c r="D247" s="7" t="str">
        <f>HYPERLINK("https://www.ebi.ac.uk/QuickGO/GTerm?id=GO:0062246","GO:0062246 exocytic vesicle lumen")</f>
        <v>GO:0062246 exocytic vesicle lumen</v>
      </c>
      <c r="E247" s="1" t="s">
        <v>2</v>
      </c>
      <c r="F247" s="1" t="s">
        <v>243</v>
      </c>
      <c r="G247" s="8"/>
    </row>
    <row r="248" spans="1:7" ht="24.75" customHeight="1" x14ac:dyDescent="0.2">
      <c r="A248" s="6">
        <v>256</v>
      </c>
      <c r="B248" s="7" t="str">
        <f>HYPERLINK("https://www.ebi.ac.uk/QuickGO/GTerm?id=GO:0031647","GO:0031647 regulation of protein stability")</f>
        <v>GO:0031647 regulation of protein stability</v>
      </c>
      <c r="C248" s="1" t="s">
        <v>1</v>
      </c>
      <c r="D248" s="7" t="str">
        <f>HYPERLINK("https://www.ebi.ac.uk/QuickGO/GTerm?id=GO:0042176","GO:0042176 regulation of protein catabolic process")</f>
        <v>GO:0042176 regulation of protein catabolic process</v>
      </c>
      <c r="E248" s="1" t="s">
        <v>2</v>
      </c>
      <c r="F248" s="1" t="s">
        <v>244</v>
      </c>
      <c r="G248" s="8"/>
    </row>
    <row r="249" spans="1:7" ht="24.75" customHeight="1" x14ac:dyDescent="0.2">
      <c r="A249" s="6">
        <v>257</v>
      </c>
      <c r="B249" s="7" t="str">
        <f>HYPERLINK("https://www.ebi.ac.uk/QuickGO/GTerm?id=GO:0046434","GO:0046434 organophosphate catabolic process")</f>
        <v>GO:0046434 organophosphate catabolic process</v>
      </c>
      <c r="C249" s="1" t="s">
        <v>1</v>
      </c>
      <c r="D249" s="7" t="str">
        <f>HYPERLINK("https://www.ebi.ac.uk/QuickGO/GTerm?id=GO:0044248","GO:0044248 cellular catabolic process")</f>
        <v>GO:0044248 cellular catabolic process</v>
      </c>
      <c r="E249" s="1" t="s">
        <v>2</v>
      </c>
      <c r="F249" s="1" t="s">
        <v>245</v>
      </c>
      <c r="G249" s="8"/>
    </row>
    <row r="250" spans="1:7" ht="24.75" customHeight="1" x14ac:dyDescent="0.2">
      <c r="A250" s="6">
        <v>258</v>
      </c>
      <c r="B250" s="7" t="str">
        <f>HYPERLINK("https://www.ebi.ac.uk/QuickGO/GTerm?id=GO:0045973","GO:0045973 positive regulation of juvenile hormone secretion")</f>
        <v>GO:0045973 positive regulation of juvenile hormone secretion</v>
      </c>
      <c r="C250" s="1" t="s">
        <v>1</v>
      </c>
      <c r="D250" s="7" t="str">
        <f>HYPERLINK("https://www.ebi.ac.uk/QuickGO/GTerm?id=GO:0051240","GO:0051240 positive regulation of multicellular organismal process")</f>
        <v>GO:0051240 positive regulation of multicellular organismal process</v>
      </c>
      <c r="E250" s="1" t="s">
        <v>2</v>
      </c>
      <c r="F250" s="1" t="s">
        <v>246</v>
      </c>
      <c r="G250" s="8"/>
    </row>
    <row r="251" spans="1:7" ht="24.75" customHeight="1" x14ac:dyDescent="0.2">
      <c r="A251" s="6">
        <v>259</v>
      </c>
      <c r="B251" s="7" t="str">
        <f>HYPERLINK("https://www.ebi.ac.uk/QuickGO/GTerm?id=GO:0018960","GO:0018960 4-nitrophenol metabolic process")</f>
        <v>GO:0018960 4-nitrophenol metabolic process</v>
      </c>
      <c r="C251" s="1" t="s">
        <v>1</v>
      </c>
      <c r="D251" s="7" t="str">
        <f>HYPERLINK("https://www.ebi.ac.uk/QuickGO/GTerm?id=GO:0006805","GO:0006805 xenobiotic metabolic process")</f>
        <v>GO:0006805 xenobiotic metabolic process</v>
      </c>
      <c r="E251" s="1" t="s">
        <v>2</v>
      </c>
      <c r="F251" s="1" t="s">
        <v>247</v>
      </c>
      <c r="G251" s="8"/>
    </row>
    <row r="252" spans="1:7" ht="24.75" customHeight="1" x14ac:dyDescent="0.2">
      <c r="A252" s="6">
        <v>260</v>
      </c>
      <c r="B252" s="7" t="str">
        <f>HYPERLINK("https://www.ebi.ac.uk/QuickGO/GTerm?id=GO:1900245","GO:1900245 positive regulation of MDA-5 signaling pathway")</f>
        <v>GO:1900245 positive regulation of MDA-5 signaling pathway</v>
      </c>
      <c r="C252" s="1" t="s">
        <v>1</v>
      </c>
      <c r="D252" s="7" t="str">
        <f>HYPERLINK("https://www.ebi.ac.uk/QuickGO/GTerm?id=GO:0031349","GO:0031349 positive regulation of defense response")</f>
        <v>GO:0031349 positive regulation of defense response</v>
      </c>
      <c r="E252" s="1" t="s">
        <v>2</v>
      </c>
      <c r="F252" s="1" t="s">
        <v>248</v>
      </c>
      <c r="G252" s="8"/>
    </row>
    <row r="253" spans="1:7" ht="24.75" customHeight="1" x14ac:dyDescent="0.2">
      <c r="A253" s="6">
        <v>261</v>
      </c>
      <c r="B253" s="7" t="str">
        <f>HYPERLINK("https://www.ebi.ac.uk/QuickGO/GTerm?id=GO:1903255","GO:1903255 hercynylselenocysteine biosynthetic process")</f>
        <v>GO:1903255 hercynylselenocysteine biosynthetic process</v>
      </c>
      <c r="C253" s="1" t="s">
        <v>1</v>
      </c>
      <c r="D253" s="7" t="str">
        <f>HYPERLINK("https://www.ebi.ac.uk/QuickGO/GTerm?id=GO:0044249","GO:0044249 cellular biosynthetic process")</f>
        <v>GO:0044249 cellular biosynthetic process</v>
      </c>
      <c r="E253" s="1" t="s">
        <v>2</v>
      </c>
      <c r="F253" s="1" t="s">
        <v>249</v>
      </c>
      <c r="G253" s="8"/>
    </row>
    <row r="254" spans="1:7" ht="24.75" customHeight="1" x14ac:dyDescent="0.2">
      <c r="A254" s="6">
        <v>262</v>
      </c>
      <c r="B254" s="7" t="str">
        <f>HYPERLINK("https://www.ebi.ac.uk/QuickGO/GTerm?id=GO:0004860","GO:0004860 protein kinase inhibitor activity")</f>
        <v>GO:0004860 protein kinase inhibitor activity</v>
      </c>
      <c r="C254" s="1" t="s">
        <v>4</v>
      </c>
      <c r="D254" s="7" t="str">
        <f>HYPERLINK("https://www.ebi.ac.uk/QuickGO/GTerm?id=GO:0006469","GO:0006469 negative regulation of protein kinase activity")</f>
        <v>GO:0006469 negative regulation of protein kinase activity</v>
      </c>
      <c r="E254" s="1" t="s">
        <v>2</v>
      </c>
      <c r="F254" s="1" t="s">
        <v>250</v>
      </c>
      <c r="G254" s="8"/>
    </row>
    <row r="255" spans="1:7" ht="24.75" customHeight="1" x14ac:dyDescent="0.2">
      <c r="A255" s="6">
        <v>263</v>
      </c>
      <c r="B255" s="7" t="str">
        <f>HYPERLINK("https://www.ebi.ac.uk/QuickGO/GTerm?id=GO:0046285","GO:0046285 flavonoid phytoalexin metabolic process")</f>
        <v>GO:0046285 flavonoid phytoalexin metabolic process</v>
      </c>
      <c r="C255" s="1" t="s">
        <v>1</v>
      </c>
      <c r="D255" s="7" t="str">
        <f>HYPERLINK("https://www.ebi.ac.uk/QuickGO/GTerm?id=GO:0052314","GO:0052314 phytoalexin metabolic process")</f>
        <v>GO:0052314 phytoalexin metabolic process</v>
      </c>
      <c r="E255" s="1" t="s">
        <v>2</v>
      </c>
      <c r="F255" s="1" t="s">
        <v>251</v>
      </c>
      <c r="G255" s="8"/>
    </row>
    <row r="256" spans="1:7" ht="24.75" customHeight="1" x14ac:dyDescent="0.2">
      <c r="A256" s="6">
        <v>264</v>
      </c>
      <c r="B256" s="7" t="str">
        <f>HYPERLINK("https://www.ebi.ac.uk/QuickGO/GTerm?id=GO:0089704","GO:0089704 L-glutamate transmembrane export from vacuole")</f>
        <v>GO:0089704 L-glutamate transmembrane export from vacuole</v>
      </c>
      <c r="C256" s="1" t="s">
        <v>1</v>
      </c>
      <c r="D256" s="7" t="str">
        <f>HYPERLINK("https://www.ebi.ac.uk/QuickGO/GTerm?id=GO:0015813","GO:0015813 L-glutamate transmembrane transport")</f>
        <v>GO:0015813 L-glutamate transmembrane transport</v>
      </c>
      <c r="E256" s="1" t="s">
        <v>2</v>
      </c>
      <c r="F256" s="1" t="s">
        <v>252</v>
      </c>
      <c r="G256" s="8"/>
    </row>
    <row r="257" spans="1:7" ht="24.75" customHeight="1" x14ac:dyDescent="0.2">
      <c r="A257" s="6">
        <v>265</v>
      </c>
      <c r="B257" s="7" t="str">
        <f>HYPERLINK("https://www.ebi.ac.uk/QuickGO/GTerm?id=GO:0045805","GO:0045805 positive regulation of eclosion")</f>
        <v>GO:0045805 positive regulation of eclosion</v>
      </c>
      <c r="C257" s="1" t="s">
        <v>1</v>
      </c>
      <c r="D257" s="7" t="str">
        <f>HYPERLINK("https://www.ebi.ac.uk/QuickGO/GTerm?id=GO:0051094","GO:0051094 positive regulation of developmental process")</f>
        <v>GO:0051094 positive regulation of developmental process</v>
      </c>
      <c r="E257" s="1" t="s">
        <v>2</v>
      </c>
      <c r="F257" s="1" t="s">
        <v>253</v>
      </c>
      <c r="G257" s="8"/>
    </row>
    <row r="258" spans="1:7" ht="24.75" customHeight="1" x14ac:dyDescent="0.2">
      <c r="A258" s="6">
        <v>266</v>
      </c>
      <c r="B258" s="7" t="str">
        <f>HYPERLINK("https://www.ebi.ac.uk/QuickGO/GTerm?id=GO:0048744","GO:0048744 negative regulation of skeletal muscle fiber development")</f>
        <v>GO:0048744 negative regulation of skeletal muscle fiber development</v>
      </c>
      <c r="C258" s="1" t="s">
        <v>1</v>
      </c>
      <c r="D258" s="7" t="str">
        <f>HYPERLINK("https://www.ebi.ac.uk/QuickGO/GTerm?id=GO:1901862","GO:1901862 negative regulation of muscle tissue development")</f>
        <v>GO:1901862 negative regulation of muscle tissue development</v>
      </c>
      <c r="E258" s="1" t="s">
        <v>2</v>
      </c>
      <c r="F258" s="1" t="s">
        <v>254</v>
      </c>
      <c r="G258" s="8"/>
    </row>
    <row r="259" spans="1:7" ht="24.75" customHeight="1" x14ac:dyDescent="0.2">
      <c r="A259" s="6">
        <v>267</v>
      </c>
      <c r="B259" s="7" t="str">
        <f>HYPERLINK("https://www.ebi.ac.uk/QuickGO/GTerm?id=GO:0048441","GO:0048441 petal development")</f>
        <v>GO:0048441 petal development</v>
      </c>
      <c r="C259" s="1" t="s">
        <v>1</v>
      </c>
      <c r="D259" s="7" t="str">
        <f>HYPERLINK("https://www.ebi.ac.uk/QuickGO/GTerm?id=GO:0090696","GO:0090696 post-embryonic plant organ development")</f>
        <v>GO:0090696 post-embryonic plant organ development</v>
      </c>
      <c r="E259" s="1" t="s">
        <v>2</v>
      </c>
      <c r="F259" s="1" t="s">
        <v>255</v>
      </c>
      <c r="G259" s="8"/>
    </row>
    <row r="260" spans="1:7" ht="24.75" customHeight="1" x14ac:dyDescent="0.2">
      <c r="A260" s="6">
        <v>268</v>
      </c>
      <c r="B260" s="7" t="str">
        <f>HYPERLINK("https://www.ebi.ac.uk/QuickGO/GTerm?id=GO:0036336","GO:0036336 dendritic cell migration")</f>
        <v>GO:0036336 dendritic cell migration</v>
      </c>
      <c r="C260" s="1" t="s">
        <v>1</v>
      </c>
      <c r="D260" s="7" t="str">
        <f>HYPERLINK("https://www.ebi.ac.uk/QuickGO/GTerm?id=GO:0072676","GO:0072676 lymphocyte migration")</f>
        <v>GO:0072676 lymphocyte migration</v>
      </c>
      <c r="E260" s="1" t="s">
        <v>2</v>
      </c>
      <c r="F260" s="1" t="s">
        <v>256</v>
      </c>
      <c r="G260" s="8"/>
    </row>
    <row r="261" spans="1:7" ht="24.75" customHeight="1" x14ac:dyDescent="0.2">
      <c r="A261" s="6">
        <v>270</v>
      </c>
      <c r="B261" s="7" t="str">
        <f>HYPERLINK("https://www.ebi.ac.uk/QuickGO/GTerm?id=GO:0021688","GO:0021688 cerebellar molecular layer formation")</f>
        <v>GO:0021688 cerebellar molecular layer formation</v>
      </c>
      <c r="C261" s="1" t="s">
        <v>4</v>
      </c>
      <c r="D261" s="7" t="str">
        <f>HYPERLINK("https://www.ebi.ac.uk/QuickGO/GTerm?id=GO:0048645","GO:0048645 animal organ formation")</f>
        <v>GO:0048645 animal organ formation</v>
      </c>
      <c r="E261" s="1" t="s">
        <v>2</v>
      </c>
      <c r="F261" s="1" t="s">
        <v>257</v>
      </c>
      <c r="G261" s="8"/>
    </row>
    <row r="262" spans="1:7" ht="24.75" customHeight="1" x14ac:dyDescent="0.2">
      <c r="A262" s="6">
        <v>271</v>
      </c>
      <c r="B262" s="7" t="str">
        <f>HYPERLINK("https://www.ebi.ac.uk/QuickGO/GTerm?id=GO:2000234","GO:2000234 positive regulation of rRNA processing")</f>
        <v>GO:2000234 positive regulation of rRNA processing</v>
      </c>
      <c r="C262" s="1" t="s">
        <v>1</v>
      </c>
      <c r="D262" s="7" t="str">
        <f>HYPERLINK("https://www.ebi.ac.uk/QuickGO/GTerm?id=GO:0090070","GO:0090070 positive regulation of ribosome biogenesis")</f>
        <v>GO:0090070 positive regulation of ribosome biogenesis</v>
      </c>
      <c r="E262" s="1" t="s">
        <v>2</v>
      </c>
      <c r="F262" s="1" t="s">
        <v>258</v>
      </c>
      <c r="G262" s="8"/>
    </row>
    <row r="263" spans="1:7" ht="24.75" customHeight="1" x14ac:dyDescent="0.2">
      <c r="A263" s="6">
        <v>272</v>
      </c>
      <c r="B263" s="7" t="str">
        <f>HYPERLINK("https://www.ebi.ac.uk/QuickGO/GTerm?id=GO:0030731","GO:0030731 guanidinoacetate N-methyltransferase activity")</f>
        <v>GO:0030731 guanidinoacetate N-methyltransferase activity</v>
      </c>
      <c r="C263" s="1" t="s">
        <v>1</v>
      </c>
      <c r="D263" s="7" t="str">
        <f>HYPERLINK("https://www.ebi.ac.uk/QuickGO/GTerm?id=GO:0008170","GO:0008170 N-methyltransferase activity")</f>
        <v>GO:0008170 N-methyltransferase activity</v>
      </c>
      <c r="E263" s="1" t="s">
        <v>2</v>
      </c>
      <c r="F263" s="1" t="s">
        <v>259</v>
      </c>
      <c r="G263" s="8"/>
    </row>
    <row r="264" spans="1:7" ht="24.75" customHeight="1" x14ac:dyDescent="0.2">
      <c r="A264" s="6">
        <v>275</v>
      </c>
      <c r="B264" s="7" t="str">
        <f>HYPERLINK("https://www.ebi.ac.uk/QuickGO/GTerm?id=GO:0010433","GO:0010433 bract morphogenesis")</f>
        <v>GO:0010433 bract morphogenesis</v>
      </c>
      <c r="C264" s="1" t="s">
        <v>4</v>
      </c>
      <c r="D264" s="7" t="str">
        <f>HYPERLINK("https://www.ebi.ac.uk/QuickGO/GTerm?id=GO:0010016","GO:0010016 shoot system morphogenesis")</f>
        <v>GO:0010016 shoot system morphogenesis</v>
      </c>
      <c r="E264" s="1" t="s">
        <v>2</v>
      </c>
      <c r="F264" s="1" t="s">
        <v>260</v>
      </c>
      <c r="G264" s="8"/>
    </row>
    <row r="265" spans="1:7" ht="24.75" customHeight="1" x14ac:dyDescent="0.2">
      <c r="A265" s="6">
        <v>276</v>
      </c>
      <c r="B265" s="7" t="str">
        <f>HYPERLINK("https://www.ebi.ac.uk/QuickGO/GTerm?id=GO:0062248","GO:0062248 cleistothecium formation")</f>
        <v>GO:0062248 cleistothecium formation</v>
      </c>
      <c r="C265" s="1" t="s">
        <v>1</v>
      </c>
      <c r="D265" s="7" t="str">
        <f>HYPERLINK("https://www.ebi.ac.uk/QuickGO/GTerm?id=GO:0097751","GO:0097751 spore-bearing structure formation")</f>
        <v>GO:0097751 spore-bearing structure formation</v>
      </c>
      <c r="E265" s="1" t="s">
        <v>2</v>
      </c>
      <c r="F265" s="1" t="s">
        <v>261</v>
      </c>
      <c r="G265" s="8"/>
    </row>
    <row r="266" spans="1:7" ht="24.75" customHeight="1" x14ac:dyDescent="0.2">
      <c r="A266" s="6">
        <v>278</v>
      </c>
      <c r="B266" s="7" t="str">
        <f>HYPERLINK("https://www.ebi.ac.uk/QuickGO/GTerm?id=GO:1903482","GO:1903482 positive regulation of actin filament organization involved in mitotic actomyosin contractile ring assembly")</f>
        <v>GO:1903482 positive regulation of actin filament organization involved in mitotic actomyosin contractile ring assembly</v>
      </c>
      <c r="C266" s="1" t="s">
        <v>1</v>
      </c>
      <c r="D266" s="7" t="str">
        <f>HYPERLINK("https://www.ebi.ac.uk/QuickGO/GTerm?id=GO:0051781","GO:0051781 positive regulation of cell division")</f>
        <v>GO:0051781 positive regulation of cell division</v>
      </c>
      <c r="E266" s="1" t="s">
        <v>2</v>
      </c>
      <c r="F266" s="1" t="s">
        <v>262</v>
      </c>
      <c r="G266" s="8"/>
    </row>
    <row r="267" spans="1:7" ht="24.75" customHeight="1" x14ac:dyDescent="0.2">
      <c r="A267" s="6">
        <v>279</v>
      </c>
      <c r="B267" s="7" t="str">
        <f>HYPERLINK("https://www.ebi.ac.uk/QuickGO/GTerm?id=GO:0046514","GO:0046514 ceramide catabolic process")</f>
        <v>GO:0046514 ceramide catabolic process</v>
      </c>
      <c r="C267" s="1" t="s">
        <v>1</v>
      </c>
      <c r="D267" s="7" t="str">
        <f>HYPERLINK("https://www.ebi.ac.uk/QuickGO/GTerm?id=GO:0043605","GO:0043605 cellular amide catabolic process")</f>
        <v>GO:0043605 cellular amide catabolic process</v>
      </c>
      <c r="E267" s="1" t="s">
        <v>2</v>
      </c>
      <c r="F267" s="1" t="s">
        <v>263</v>
      </c>
      <c r="G267" s="8"/>
    </row>
    <row r="268" spans="1:7" ht="24.75" customHeight="1" x14ac:dyDescent="0.2">
      <c r="A268" s="6">
        <v>280</v>
      </c>
      <c r="B268" s="7" t="str">
        <f>HYPERLINK("https://www.ebi.ac.uk/QuickGO/GTerm?id=GO:0042558","GO:0042558 pteridine-containing compound metabolic process")</f>
        <v>GO:0042558 pteridine-containing compound metabolic process</v>
      </c>
      <c r="C268" s="1" t="s">
        <v>1</v>
      </c>
      <c r="D268" s="7" t="str">
        <f>HYPERLINK("https://www.ebi.ac.uk/QuickGO/GTerm?id=GO:0034641","GO:0034641 cellular nitrogen compound metabolic process")</f>
        <v>GO:0034641 cellular nitrogen compound metabolic process</v>
      </c>
      <c r="E268" s="1" t="s">
        <v>2</v>
      </c>
      <c r="F268" s="1" t="s">
        <v>264</v>
      </c>
      <c r="G268" s="8"/>
    </row>
    <row r="269" spans="1:7" ht="24.75" customHeight="1" x14ac:dyDescent="0.2">
      <c r="A269" s="6">
        <v>281</v>
      </c>
      <c r="B269" s="7" t="str">
        <f>HYPERLINK("https://www.ebi.ac.uk/QuickGO/GTerm?id=GO:0048849","GO:0048849 neurohypophysis formation")</f>
        <v>GO:0048849 neurohypophysis formation</v>
      </c>
      <c r="C269" s="1" t="s">
        <v>4</v>
      </c>
      <c r="D269" s="7" t="str">
        <f>HYPERLINK("https://www.ebi.ac.uk/QuickGO/GTerm?id=GO:0048851","GO:0048851 hypophysis formation")</f>
        <v>GO:0048851 hypophysis formation</v>
      </c>
      <c r="E269" s="1" t="s">
        <v>2</v>
      </c>
      <c r="F269" s="1" t="s">
        <v>265</v>
      </c>
      <c r="G269" s="8"/>
    </row>
    <row r="270" spans="1:7" ht="24.75" customHeight="1" x14ac:dyDescent="0.2">
      <c r="A270" s="10">
        <v>282</v>
      </c>
      <c r="B270" s="11" t="str">
        <f>HYPERLINK("https://www.ebi.ac.uk/QuickGO/GTerm?id=GO:0032939","GO:0032939 positive regulation of translation in response to oxidative stress")</f>
        <v>GO:0032939 positive regulation of translation in response to oxidative stress</v>
      </c>
      <c r="C270" s="12" t="s">
        <v>1</v>
      </c>
      <c r="D270" s="11" t="str">
        <f>HYPERLINK("https://www.ebi.ac.uk/QuickGO/GTerm?id=GO:0043556","GO:0043556 regulation of translation in response to oxidative stress")</f>
        <v>GO:0043556 regulation of translation in response to oxidative stress</v>
      </c>
      <c r="E270" s="12" t="s">
        <v>2</v>
      </c>
      <c r="F270" s="12" t="s">
        <v>266</v>
      </c>
      <c r="G270" s="8"/>
    </row>
    <row r="271" spans="1:7" ht="24.75" customHeight="1" x14ac:dyDescent="0.2">
      <c r="A271" s="6">
        <v>283</v>
      </c>
      <c r="B271" s="7" t="str">
        <f>HYPERLINK("https://www.ebi.ac.uk/QuickGO/GTerm?id=GO:0001930","GO:0001930 positive regulation of exocyst assembly")</f>
        <v>GO:0001930 positive regulation of exocyst assembly</v>
      </c>
      <c r="C271" s="1" t="s">
        <v>1</v>
      </c>
      <c r="D271" s="7" t="str">
        <f>HYPERLINK("https://www.ebi.ac.uk/QuickGO/GTerm?id=GO:0045921","GO:0045921 positive regulation of exocytosis")</f>
        <v>GO:0045921 positive regulation of exocytosis</v>
      </c>
      <c r="E271" s="1" t="s">
        <v>2</v>
      </c>
      <c r="F271" s="1" t="s">
        <v>267</v>
      </c>
      <c r="G271" s="8"/>
    </row>
    <row r="272" spans="1:7" ht="24.75" customHeight="1" x14ac:dyDescent="0.2">
      <c r="A272" s="6">
        <v>284</v>
      </c>
      <c r="B272" s="7" t="str">
        <f>HYPERLINK("https://www.ebi.ac.uk/QuickGO/GTerm?id=GO:0072289","GO:0072289 metanephric nephron tubule formation")</f>
        <v>GO:0072289 metanephric nephron tubule formation</v>
      </c>
      <c r="C272" s="1" t="s">
        <v>4</v>
      </c>
      <c r="D272" s="7" t="str">
        <f>HYPERLINK("https://www.ebi.ac.uk/QuickGO/GTerm?id=GO:0048645","GO:0048645 animal organ formation")</f>
        <v>GO:0048645 animal organ formation</v>
      </c>
      <c r="E272" s="1" t="s">
        <v>2</v>
      </c>
      <c r="F272" s="1" t="s">
        <v>268</v>
      </c>
      <c r="G272" s="8"/>
    </row>
    <row r="273" spans="1:7" ht="24.75" customHeight="1" x14ac:dyDescent="0.2">
      <c r="A273" s="6">
        <v>285</v>
      </c>
      <c r="B273" s="7" t="str">
        <f>HYPERLINK("https://www.ebi.ac.uk/QuickGO/GTerm?id=GO:0140457","GO:0140457 protein demethylase activity")</f>
        <v>GO:0140457 protein demethylase activity</v>
      </c>
      <c r="C273" s="1" t="s">
        <v>4</v>
      </c>
      <c r="D273" s="7" t="str">
        <f>HYPERLINK("https://www.ebi.ac.uk/QuickGO/GTerm?id=GO:0006482","GO:0006482 protein demethylation")</f>
        <v>GO:0006482 protein demethylation</v>
      </c>
      <c r="E273" s="1" t="s">
        <v>2</v>
      </c>
      <c r="F273" s="1" t="s">
        <v>269</v>
      </c>
      <c r="G273" s="8"/>
    </row>
    <row r="274" spans="1:7" ht="24.75" customHeight="1" x14ac:dyDescent="0.2">
      <c r="A274" s="6">
        <v>286</v>
      </c>
      <c r="B274" s="7" t="str">
        <f>HYPERLINK("https://www.ebi.ac.uk/QuickGO/GTerm?id=GO:0016049","GO:0016049 cell growth")</f>
        <v>GO:0016049 cell growth</v>
      </c>
      <c r="C274" s="1" t="s">
        <v>4</v>
      </c>
      <c r="D274" s="7" t="str">
        <f>HYPERLINK("https://www.ebi.ac.uk/QuickGO/GTerm?id=GO:0048468","GO:0048468 cell development")</f>
        <v>GO:0048468 cell development</v>
      </c>
      <c r="E274" s="1" t="s">
        <v>2</v>
      </c>
      <c r="F274" s="1" t="s">
        <v>270</v>
      </c>
      <c r="G274" s="8"/>
    </row>
    <row r="275" spans="1:7" ht="24.75" customHeight="1" x14ac:dyDescent="0.2">
      <c r="A275" s="6">
        <v>287</v>
      </c>
      <c r="B275" s="7" t="str">
        <f>HYPERLINK("https://www.ebi.ac.uk/QuickGO/GTerm?id=GO:2000907","GO:2000907 negative regulation of glucomannan catabolic process")</f>
        <v>GO:2000907 negative regulation of glucomannan catabolic process</v>
      </c>
      <c r="C275" s="1" t="s">
        <v>1</v>
      </c>
      <c r="D275" s="7" t="str">
        <f>HYPERLINK("https://www.ebi.ac.uk/QuickGO/GTerm?id=GO:2000995","GO:2000995 negative regulation of mannan catabolic process")</f>
        <v>GO:2000995 negative regulation of mannan catabolic process</v>
      </c>
      <c r="E275" s="9" t="s">
        <v>2</v>
      </c>
      <c r="F275" s="1" t="s">
        <v>271</v>
      </c>
      <c r="G275" s="8"/>
    </row>
    <row r="276" spans="1:7" ht="24.75" customHeight="1" x14ac:dyDescent="0.2">
      <c r="A276" s="6">
        <v>288</v>
      </c>
      <c r="B276" s="7" t="str">
        <f>HYPERLINK("https://www.ebi.ac.uk/QuickGO/GTerm?id=GO:0044344","GO:0044344 cellular response to fibroblast growth factor stimulus")</f>
        <v>GO:0044344 cellular response to fibroblast growth factor stimulus</v>
      </c>
      <c r="C276" s="1" t="s">
        <v>1</v>
      </c>
      <c r="D276" s="7" t="str">
        <f>HYPERLINK("https://www.ebi.ac.uk/QuickGO/GTerm?id=GO:0071345","GO:0071345 cellular response to cytokine stimulus")</f>
        <v>GO:0071345 cellular response to cytokine stimulus</v>
      </c>
      <c r="E276" s="1" t="s">
        <v>2</v>
      </c>
      <c r="F276" s="1" t="s">
        <v>272</v>
      </c>
      <c r="G276" s="8"/>
    </row>
    <row r="277" spans="1:7" ht="24.75" customHeight="1" x14ac:dyDescent="0.2">
      <c r="A277" s="6">
        <v>289</v>
      </c>
      <c r="B277" s="7" t="str">
        <f>HYPERLINK("https://www.ebi.ac.uk/QuickGO/GTerm?id=GO:1900030","GO:1900030 regulation of pectin biosynthetic process")</f>
        <v>GO:1900030 regulation of pectin biosynthetic process</v>
      </c>
      <c r="C277" s="1" t="s">
        <v>20</v>
      </c>
      <c r="D277" s="7" t="str">
        <f>HYPERLINK("https://www.ebi.ac.uk/QuickGO/GTerm?id=GO:0034637","GO:0034637 cellular carbohydrate biosynthetic process")</f>
        <v>GO:0034637 cellular carbohydrate biosynthetic process</v>
      </c>
      <c r="E277" s="1" t="s">
        <v>2</v>
      </c>
      <c r="F277" s="1" t="s">
        <v>273</v>
      </c>
      <c r="G277" s="8"/>
    </row>
    <row r="278" spans="1:7" ht="24.75" customHeight="1" x14ac:dyDescent="0.2">
      <c r="A278" s="6">
        <v>290</v>
      </c>
      <c r="B278" s="7" t="str">
        <f>HYPERLINK("https://www.ebi.ac.uk/QuickGO/GTerm?id=GO:0046513","GO:0046513 ceramide biosynthetic process")</f>
        <v>GO:0046513 ceramide biosynthetic process</v>
      </c>
      <c r="C278" s="1" t="s">
        <v>1</v>
      </c>
      <c r="D278" s="7" t="str">
        <f>HYPERLINK("https://www.ebi.ac.uk/QuickGO/GTerm?id=GO:0097384","GO:0097384 cellular lipid biosynthetic process")</f>
        <v>GO:0097384 cellular lipid biosynthetic process</v>
      </c>
      <c r="E278" s="1" t="s">
        <v>2</v>
      </c>
      <c r="F278" s="1" t="s">
        <v>274</v>
      </c>
      <c r="G278" s="8"/>
    </row>
    <row r="279" spans="1:7" ht="24.75" customHeight="1" x14ac:dyDescent="0.2">
      <c r="A279" s="6">
        <v>291</v>
      </c>
      <c r="B279" s="7" t="str">
        <f>HYPERLINK("https://www.ebi.ac.uk/QuickGO/GTerm?id=GO:0000712","GO:0000712 resolution of meiotic recombination intermediates")</f>
        <v>GO:0000712 resolution of meiotic recombination intermediates</v>
      </c>
      <c r="C279" s="1" t="s">
        <v>1</v>
      </c>
      <c r="D279" s="7" t="str">
        <f>HYPERLINK("https://www.ebi.ac.uk/QuickGO/GTerm?id=GO:0071139","GO:0071139 resolution of recombination intermediates")</f>
        <v>GO:0071139 resolution of recombination intermediates</v>
      </c>
      <c r="E279" s="1" t="s">
        <v>2</v>
      </c>
      <c r="F279" s="1" t="s">
        <v>275</v>
      </c>
      <c r="G279" s="8"/>
    </row>
    <row r="280" spans="1:7" ht="24.75" customHeight="1" x14ac:dyDescent="0.2">
      <c r="A280" s="6">
        <v>292</v>
      </c>
      <c r="B280" s="7" t="str">
        <f>HYPERLINK("https://www.ebi.ac.uk/QuickGO/GTerm?id=GO:0045649","GO:0045649 regulation of macrophage differentiation")</f>
        <v>GO:0045649 regulation of macrophage differentiation</v>
      </c>
      <c r="C280" s="1" t="s">
        <v>1</v>
      </c>
      <c r="D280" s="7" t="str">
        <f>HYPERLINK("https://www.ebi.ac.uk/QuickGO/GTerm?id=GO:0043030","GO:0043030 regulation of macrophage activation")</f>
        <v>GO:0043030 regulation of macrophage activation</v>
      </c>
      <c r="E280" s="1" t="s">
        <v>2</v>
      </c>
      <c r="F280" s="1" t="s">
        <v>276</v>
      </c>
      <c r="G280" s="8"/>
    </row>
    <row r="281" spans="1:7" ht="24.75" customHeight="1" x14ac:dyDescent="0.2">
      <c r="A281" s="6">
        <v>293</v>
      </c>
      <c r="B281" s="7" t="str">
        <f>HYPERLINK("https://www.ebi.ac.uk/QuickGO/GTerm?id=GO:0043507","GO:0043507 positive regulation of JUN kinase activity")</f>
        <v>GO:0043507 positive regulation of JUN kinase activity</v>
      </c>
      <c r="C281" s="1" t="s">
        <v>1</v>
      </c>
      <c r="D281" s="7" t="str">
        <f>HYPERLINK("https://www.ebi.ac.uk/QuickGO/GTerm?id=GO:0032874","GO:0032874 positive regulation of stress-activated MAPK cascade")</f>
        <v>GO:0032874 positive regulation of stress-activated MAPK cascade</v>
      </c>
      <c r="E281" s="9" t="s">
        <v>2</v>
      </c>
      <c r="F281" s="9" t="s">
        <v>749</v>
      </c>
      <c r="G281" s="8"/>
    </row>
    <row r="282" spans="1:7" ht="24.75" customHeight="1" x14ac:dyDescent="0.2">
      <c r="A282" s="6">
        <v>294</v>
      </c>
      <c r="B282" s="7" t="str">
        <f>HYPERLINK("https://www.ebi.ac.uk/QuickGO/GTerm?id=GO:0009082","GO:0009082 branched-chain amino acid biosynthetic process")</f>
        <v>GO:0009082 branched-chain amino acid biosynthetic process</v>
      </c>
      <c r="C282" s="1" t="s">
        <v>1</v>
      </c>
      <c r="D282" s="7" t="str">
        <f>HYPERLINK("https://www.ebi.ac.uk/QuickGO/GTerm?id=GO:0046394","GO:0046394 carboxylic acid biosynthetic process")</f>
        <v>GO:0046394 carboxylic acid biosynthetic process</v>
      </c>
      <c r="E282" s="1" t="s">
        <v>2</v>
      </c>
      <c r="F282" s="1" t="s">
        <v>277</v>
      </c>
      <c r="G282" s="8"/>
    </row>
    <row r="283" spans="1:7" ht="24.75" customHeight="1" x14ac:dyDescent="0.2">
      <c r="A283" s="6">
        <v>295</v>
      </c>
      <c r="B283" s="7" t="str">
        <f>HYPERLINK("https://www.ebi.ac.uk/QuickGO/GTerm?id=GO:1903061","GO:1903061 positive regulation of protein lipidation")</f>
        <v>GO:1903061 positive regulation of protein lipidation</v>
      </c>
      <c r="C283" s="1" t="s">
        <v>1</v>
      </c>
      <c r="D283" s="7" t="str">
        <f>HYPERLINK("https://www.ebi.ac.uk/QuickGO/GTerm?id=GO:0010557","GO:0010557 positive regulation of macromolecule biosynthetic process")</f>
        <v>GO:0010557 positive regulation of macromolecule biosynthetic process</v>
      </c>
      <c r="E283" s="1" t="s">
        <v>2</v>
      </c>
      <c r="F283" s="1" t="s">
        <v>278</v>
      </c>
      <c r="G283" s="8"/>
    </row>
    <row r="284" spans="1:7" ht="24.75" customHeight="1" x14ac:dyDescent="0.2">
      <c r="A284" s="6">
        <v>296</v>
      </c>
      <c r="B284" s="7" t="str">
        <f>HYPERLINK("https://www.ebi.ac.uk/QuickGO/GTerm?id=GO:0000052","GO:0000052 citrulline metabolic process")</f>
        <v>GO:0000052 citrulline metabolic process</v>
      </c>
      <c r="C284" s="1" t="s">
        <v>1</v>
      </c>
      <c r="D284" s="7" t="str">
        <f>HYPERLINK("https://www.ebi.ac.uk/QuickGO/GTerm?id=GO:0034641","GO:0034641 cellular nitrogen compound metabolic process")</f>
        <v>GO:0034641 cellular nitrogen compound metabolic process</v>
      </c>
      <c r="E284" s="1" t="s">
        <v>2</v>
      </c>
      <c r="F284" s="1" t="s">
        <v>279</v>
      </c>
      <c r="G284" s="8"/>
    </row>
    <row r="285" spans="1:7" ht="24.75" customHeight="1" x14ac:dyDescent="0.2">
      <c r="A285" s="6">
        <v>297</v>
      </c>
      <c r="B285" s="7" t="str">
        <f>HYPERLINK("https://www.ebi.ac.uk/QuickGO/GTerm?id=GO:0018868","GO:0018868 2-aminobenzenesulfonate metabolic process")</f>
        <v>GO:0018868 2-aminobenzenesulfonate metabolic process</v>
      </c>
      <c r="C285" s="1" t="s">
        <v>1</v>
      </c>
      <c r="D285" s="7" t="str">
        <f>HYPERLINK("https://www.ebi.ac.uk/QuickGO/GTerm?id=GO:0006805","GO:0006805 xenobiotic metabolic process")</f>
        <v>GO:0006805 xenobiotic metabolic process</v>
      </c>
      <c r="E285" s="1" t="s">
        <v>2</v>
      </c>
      <c r="F285" s="1" t="s">
        <v>280</v>
      </c>
      <c r="G285" s="8"/>
    </row>
    <row r="286" spans="1:7" ht="24.75" customHeight="1" x14ac:dyDescent="0.2">
      <c r="A286" s="6">
        <v>298</v>
      </c>
      <c r="B286" s="7" t="str">
        <f>HYPERLINK("https://www.ebi.ac.uk/QuickGO/GTerm?id=GO:1990535","GO:1990535 neuron projection maintenance")</f>
        <v>GO:1990535 neuron projection maintenance</v>
      </c>
      <c r="C286" s="1" t="s">
        <v>1</v>
      </c>
      <c r="D286" s="7" t="str">
        <f>HYPERLINK("https://www.ebi.ac.uk/QuickGO/GTerm?id=GO:0043954","GO:0043954 cellular component maintenance")</f>
        <v>GO:0043954 cellular component maintenance</v>
      </c>
      <c r="E286" s="1" t="s">
        <v>2</v>
      </c>
      <c r="F286" s="1" t="s">
        <v>281</v>
      </c>
      <c r="G286" s="8"/>
    </row>
    <row r="287" spans="1:7" ht="24.75" customHeight="1" x14ac:dyDescent="0.2">
      <c r="A287" s="6">
        <v>299</v>
      </c>
      <c r="B287" s="7" t="str">
        <f>HYPERLINK("https://www.ebi.ac.uk/QuickGO/GTerm?id=GO:0003300","GO:0003300 cardiac muscle hypertrophy")</f>
        <v>GO:0003300 cardiac muscle hypertrophy</v>
      </c>
      <c r="C287" s="1" t="s">
        <v>1</v>
      </c>
      <c r="D287" s="7" t="str">
        <f>HYPERLINK("https://www.ebi.ac.uk/QuickGO/GTerm?id=GO:0014887","GO:0014887 cardiac muscle adaptation")</f>
        <v>GO:0014887 cardiac muscle adaptation</v>
      </c>
      <c r="E287" s="1" t="s">
        <v>2</v>
      </c>
      <c r="F287" s="1" t="s">
        <v>282</v>
      </c>
      <c r="G287" s="8"/>
    </row>
    <row r="288" spans="1:7" ht="24.75" customHeight="1" x14ac:dyDescent="0.2">
      <c r="A288" s="6">
        <v>300</v>
      </c>
      <c r="B288" s="7" t="str">
        <f>HYPERLINK("https://www.ebi.ac.uk/QuickGO/GTerm?id=GO:0048744","GO:0048744 negative regulation of skeletal muscle fiber development")</f>
        <v>GO:0048744 negative regulation of skeletal muscle fiber development</v>
      </c>
      <c r="C288" s="1" t="s">
        <v>1</v>
      </c>
      <c r="D288" s="7" t="str">
        <f>HYPERLINK("https://www.ebi.ac.uk/QuickGO/GTerm?id=GO:0048635","GO:0048635 negative regulation of muscle organ development")</f>
        <v>GO:0048635 negative regulation of muscle organ development</v>
      </c>
      <c r="E288" s="1" t="s">
        <v>2</v>
      </c>
      <c r="F288" s="1" t="s">
        <v>283</v>
      </c>
      <c r="G288" s="8"/>
    </row>
    <row r="289" spans="1:7" ht="24.75" customHeight="1" x14ac:dyDescent="0.2">
      <c r="A289" s="6">
        <v>302</v>
      </c>
      <c r="B289" s="7" t="str">
        <f>HYPERLINK("https://www.ebi.ac.uk/QuickGO/GTerm?id=GO:0019082","GO:0019082 viral protein processing")</f>
        <v>GO:0019082 viral protein processing</v>
      </c>
      <c r="C289" s="1" t="s">
        <v>1</v>
      </c>
      <c r="D289" s="7" t="str">
        <f>HYPERLINK("https://www.ebi.ac.uk/QuickGO/GTerm?id=GO:0016485","GO:0016485 protein processing")</f>
        <v>GO:0016485 protein processing</v>
      </c>
      <c r="E289" s="1" t="s">
        <v>2</v>
      </c>
      <c r="F289" s="1" t="s">
        <v>284</v>
      </c>
      <c r="G289" s="8"/>
    </row>
    <row r="290" spans="1:7" ht="24.75" customHeight="1" x14ac:dyDescent="0.2">
      <c r="A290" s="6">
        <v>303</v>
      </c>
      <c r="B290" s="7" t="str">
        <f>HYPERLINK("https://www.ebi.ac.uk/QuickGO/GTerm?id=GO:0072265","GO:0072265 metanephric capsule morphogenesis")</f>
        <v>GO:0072265 metanephric capsule morphogenesis</v>
      </c>
      <c r="C290" s="1" t="s">
        <v>4</v>
      </c>
      <c r="D290" s="7" t="str">
        <f>HYPERLINK("https://www.ebi.ac.uk/QuickGO/GTerm?id=GO:0003338","GO:0003338 metanephros morphogenesis")</f>
        <v>GO:0003338 metanephros morphogenesis</v>
      </c>
      <c r="E290" s="1" t="s">
        <v>2</v>
      </c>
      <c r="F290" s="1" t="s">
        <v>285</v>
      </c>
      <c r="G290" s="8"/>
    </row>
    <row r="291" spans="1:7" ht="24.75" customHeight="1" x14ac:dyDescent="0.2">
      <c r="A291" s="6">
        <v>305</v>
      </c>
      <c r="B291" s="7" t="str">
        <f>HYPERLINK("https://www.ebi.ac.uk/QuickGO/GTerm?id=GO:0035775","GO:0035775 pronephric glomerulus morphogenesis")</f>
        <v>GO:0035775 pronephric glomerulus morphogenesis</v>
      </c>
      <c r="C291" s="1" t="s">
        <v>4</v>
      </c>
      <c r="D291" s="7" t="str">
        <f>HYPERLINK("https://www.ebi.ac.uk/QuickGO/GTerm?id=GO:0072114","GO:0072114 pronephros morphogenesis")</f>
        <v>GO:0072114 pronephros morphogenesis</v>
      </c>
      <c r="E291" s="1" t="s">
        <v>2</v>
      </c>
      <c r="F291" s="1" t="s">
        <v>286</v>
      </c>
      <c r="G291" s="8"/>
    </row>
    <row r="292" spans="1:7" ht="24.75" customHeight="1" x14ac:dyDescent="0.2">
      <c r="A292" s="6">
        <v>306</v>
      </c>
      <c r="B292" s="7" t="str">
        <f>HYPERLINK("https://www.ebi.ac.uk/QuickGO/GTerm?id=GO:0048449","GO:0048449 floral organ formation")</f>
        <v>GO:0048449 floral organ formation</v>
      </c>
      <c r="C292" s="1" t="s">
        <v>4</v>
      </c>
      <c r="D292" s="7" t="str">
        <f>HYPERLINK("https://www.ebi.ac.uk/QuickGO/GTerm?id=GO:0048460","GO:0048460 flower formation")</f>
        <v>GO:0048460 flower formation</v>
      </c>
      <c r="E292" s="1" t="s">
        <v>2</v>
      </c>
      <c r="F292" s="1" t="s">
        <v>287</v>
      </c>
      <c r="G292" s="8"/>
    </row>
    <row r="293" spans="1:7" ht="24.75" customHeight="1" x14ac:dyDescent="0.2">
      <c r="A293" s="6">
        <v>307</v>
      </c>
      <c r="B293" s="7" t="str">
        <f>HYPERLINK("https://www.ebi.ac.uk/QuickGO/GTerm?id=GO:1903579","GO:1903579 negative regulation of ATP metabolic process")</f>
        <v>GO:1903579 negative regulation of ATP metabolic process</v>
      </c>
      <c r="C293" s="1" t="s">
        <v>1</v>
      </c>
      <c r="D293" s="7" t="str">
        <f>HYPERLINK("https://www.ebi.ac.uk/QuickGO/GTerm?id=GO:0045980","GO:0045980 negative regulation of nucleotide metabolic process")</f>
        <v>GO:0045980 negative regulation of nucleotide metabolic process</v>
      </c>
      <c r="E293" s="1" t="s">
        <v>2</v>
      </c>
      <c r="F293" s="1" t="s">
        <v>288</v>
      </c>
      <c r="G293" s="8"/>
    </row>
    <row r="294" spans="1:7" ht="24.75" customHeight="1" x14ac:dyDescent="0.2">
      <c r="A294" s="6">
        <v>308</v>
      </c>
      <c r="B294" s="7" t="str">
        <f>HYPERLINK("https://www.ebi.ac.uk/QuickGO/GTerm?id=GO:0009074","GO:0009074 aromatic amino acid family catabolic process")</f>
        <v>GO:0009074 aromatic amino acid family catabolic process</v>
      </c>
      <c r="C294" s="1" t="s">
        <v>1</v>
      </c>
      <c r="D294" s="7" t="str">
        <f>HYPERLINK("https://www.ebi.ac.uk/QuickGO/GTerm?id=GO:0046395","GO:0046395 carboxylic acid catabolic process")</f>
        <v>GO:0046395 carboxylic acid catabolic process</v>
      </c>
      <c r="E294" s="1" t="s">
        <v>2</v>
      </c>
      <c r="F294" s="1" t="s">
        <v>289</v>
      </c>
      <c r="G294" s="8"/>
    </row>
    <row r="295" spans="1:7" ht="24.75" customHeight="1" x14ac:dyDescent="0.2">
      <c r="A295" s="6">
        <v>310</v>
      </c>
      <c r="B295" s="7" t="str">
        <f>HYPERLINK("https://www.ebi.ac.uk/QuickGO/GTerm?id=GO:0070309","GO:0070309 lens fiber cell morphogenesis")</f>
        <v>GO:0070309 lens fiber cell morphogenesis</v>
      </c>
      <c r="C295" s="1" t="s">
        <v>4</v>
      </c>
      <c r="D295" s="7" t="str">
        <f>HYPERLINK("https://www.ebi.ac.uk/QuickGO/GTerm?id=GO:0048729","GO:0048729 tissue morphogenesis")</f>
        <v>GO:0048729 tissue morphogenesis</v>
      </c>
      <c r="E295" s="1" t="s">
        <v>2</v>
      </c>
      <c r="F295" s="1" t="s">
        <v>290</v>
      </c>
      <c r="G295" s="8"/>
    </row>
    <row r="296" spans="1:7" ht="24.75" customHeight="1" x14ac:dyDescent="0.2">
      <c r="A296" s="6">
        <v>311</v>
      </c>
      <c r="B296" s="7" t="str">
        <f>HYPERLINK("https://www.ebi.ac.uk/QuickGO/GTerm?id=GO:0089718","GO:0089718 amino acid import across plasma membrane")</f>
        <v>GO:0089718 amino acid import across plasma membrane</v>
      </c>
      <c r="C296" s="1" t="s">
        <v>1</v>
      </c>
      <c r="D296" s="7" t="str">
        <f>HYPERLINK("https://www.ebi.ac.uk/QuickGO/GTerm?id=GO:0080144","GO:0080144 amino acid homeostasis")</f>
        <v>GO:0080144 amino acid homeostasis</v>
      </c>
      <c r="E296" s="1" t="s">
        <v>2</v>
      </c>
      <c r="F296" s="1" t="s">
        <v>291</v>
      </c>
      <c r="G296" s="8"/>
    </row>
    <row r="297" spans="1:7" ht="24.75" customHeight="1" x14ac:dyDescent="0.2">
      <c r="A297" s="6">
        <v>312</v>
      </c>
      <c r="B297" s="7" t="str">
        <f>HYPERLINK("https://www.ebi.ac.uk/QuickGO/GTerm?id=GO:0046159","GO:0046159 ocellus pigment catabolic process")</f>
        <v>GO:0046159 ocellus pigment catabolic process</v>
      </c>
      <c r="C297" s="1" t="s">
        <v>1</v>
      </c>
      <c r="D297" s="7" t="str">
        <f>HYPERLINK("https://www.ebi.ac.uk/QuickGO/GTerm?id=GO:0090487","GO:0090487 secondary metabolite catabolic process")</f>
        <v>GO:0090487 secondary metabolite catabolic process</v>
      </c>
      <c r="E297" s="1" t="s">
        <v>2</v>
      </c>
      <c r="F297" s="1" t="s">
        <v>292</v>
      </c>
      <c r="G297" s="8"/>
    </row>
    <row r="298" spans="1:7" ht="24.75" customHeight="1" x14ac:dyDescent="0.2">
      <c r="A298" s="6">
        <v>313</v>
      </c>
      <c r="B298" s="7" t="str">
        <f>HYPERLINK("https://www.ebi.ac.uk/QuickGO/GTerm?id=GO:1901030","GO:1901030 positive regulation of mitochondrial outer membrane permeabilization involved in apoptotic signaling pathway")</f>
        <v>GO:1901030 positive regulation of mitochondrial outer membrane permeabilization involved in apoptotic signaling pathway</v>
      </c>
      <c r="C298" s="1" t="s">
        <v>1</v>
      </c>
      <c r="D298" s="7" t="str">
        <f>HYPERLINK("https://www.ebi.ac.uk/QuickGO/GTerm?id=GO:0009967","GO:0009967 positive regulation of signal transduction")</f>
        <v>GO:0009967 positive regulation of signal transduction</v>
      </c>
      <c r="E298" s="1" t="s">
        <v>2</v>
      </c>
      <c r="F298" s="1" t="s">
        <v>293</v>
      </c>
      <c r="G298" s="8"/>
    </row>
    <row r="299" spans="1:7" ht="24.75" customHeight="1" x14ac:dyDescent="0.2">
      <c r="A299" s="6">
        <v>314</v>
      </c>
      <c r="B299" s="7" t="str">
        <f>HYPERLINK("https://www.ebi.ac.uk/QuickGO/GTerm?id=GO:0044842","GO:0044842 gut granule lumen")</f>
        <v>GO:0044842 gut granule lumen</v>
      </c>
      <c r="C299" s="1" t="s">
        <v>1</v>
      </c>
      <c r="D299" s="7" t="str">
        <f>HYPERLINK("https://www.ebi.ac.uk/QuickGO/GTerm?id=GO:0060205","GO:0060205 cytoplasmic vesicle lumen")</f>
        <v>GO:0060205 cytoplasmic vesicle lumen</v>
      </c>
      <c r="E299" s="1" t="s">
        <v>2</v>
      </c>
      <c r="F299" s="1" t="s">
        <v>294</v>
      </c>
      <c r="G299" s="8"/>
    </row>
    <row r="300" spans="1:7" ht="24.75" customHeight="1" x14ac:dyDescent="0.2">
      <c r="A300" s="6">
        <v>315</v>
      </c>
      <c r="B300" s="7" t="str">
        <f>HYPERLINK("https://www.ebi.ac.uk/QuickGO/GTerm?id=GO:0045650","GO:0045650 negative regulation of macrophage differentiation")</f>
        <v>GO:0045650 negative regulation of macrophage differentiation</v>
      </c>
      <c r="C300" s="1" t="s">
        <v>1</v>
      </c>
      <c r="D300" s="7" t="str">
        <f>HYPERLINK("https://www.ebi.ac.uk/QuickGO/GTerm?id=GO:0043031","GO:0043031 negative regulation of macrophage activation")</f>
        <v>GO:0043031 negative regulation of macrophage activation</v>
      </c>
      <c r="E300" s="1" t="s">
        <v>2</v>
      </c>
      <c r="F300" s="1" t="s">
        <v>276</v>
      </c>
      <c r="G300" s="8"/>
    </row>
    <row r="301" spans="1:7" ht="24.75" customHeight="1" x14ac:dyDescent="0.2">
      <c r="A301" s="6">
        <v>316</v>
      </c>
      <c r="B301" s="7" t="str">
        <f>HYPERLINK("https://www.ebi.ac.uk/QuickGO/GTerm?id=GO:0043420","GO:0043420 anthranilate metabolic process")</f>
        <v>GO:0043420 anthranilate metabolic process</v>
      </c>
      <c r="C301" s="1" t="s">
        <v>1</v>
      </c>
      <c r="D301" s="7" t="str">
        <f>HYPERLINK("https://www.ebi.ac.uk/QuickGO/GTerm?id=GO:0006805","GO:0006805 xenobiotic metabolic process")</f>
        <v>GO:0006805 xenobiotic metabolic process</v>
      </c>
      <c r="E301" s="1" t="s">
        <v>2</v>
      </c>
      <c r="F301" s="1" t="s">
        <v>295</v>
      </c>
      <c r="G301" s="8"/>
    </row>
    <row r="302" spans="1:7" ht="24.75" customHeight="1" x14ac:dyDescent="0.2">
      <c r="A302" s="6">
        <v>317</v>
      </c>
      <c r="B302" s="7" t="str">
        <f>HYPERLINK("https://www.ebi.ac.uk/QuickGO/GTerm?id=GO:0046543","GO:0046543 development of secondary female sexual characteristics")</f>
        <v>GO:0046543 development of secondary female sexual characteristics</v>
      </c>
      <c r="C302" s="1" t="s">
        <v>4</v>
      </c>
      <c r="D302" s="7" t="str">
        <f>HYPERLINK("https://www.ebi.ac.uk/QuickGO/GTerm?id=GO:0046660","GO:0046660 female sex differentiation")</f>
        <v>GO:0046660 female sex differentiation</v>
      </c>
      <c r="E302" s="1" t="s">
        <v>2</v>
      </c>
      <c r="F302" s="1" t="s">
        <v>296</v>
      </c>
      <c r="G302" s="8"/>
    </row>
    <row r="303" spans="1:7" ht="24.75" customHeight="1" x14ac:dyDescent="0.2">
      <c r="A303" s="6">
        <v>318</v>
      </c>
      <c r="B303" s="7" t="str">
        <f>HYPERLINK("https://www.ebi.ac.uk/QuickGO/GTerm?id=GO:2000854","GO:2000854 positive regulation of corticosterone secretion")</f>
        <v>GO:2000854 positive regulation of corticosterone secretion</v>
      </c>
      <c r="C303" s="1" t="s">
        <v>1</v>
      </c>
      <c r="D303" s="7" t="str">
        <f>HYPERLINK("https://www.ebi.ac.uk/QuickGO/GTerm?id=GO:2000857","GO:2000857 positive regulation of mineralocorticoid secretion")</f>
        <v>GO:2000857 positive regulation of mineralocorticoid secretion</v>
      </c>
      <c r="E303" s="1" t="s">
        <v>2</v>
      </c>
      <c r="F303" s="1" t="s">
        <v>297</v>
      </c>
      <c r="G303" s="8"/>
    </row>
    <row r="304" spans="1:7" ht="24.75" customHeight="1" x14ac:dyDescent="0.2">
      <c r="A304" s="6">
        <v>319</v>
      </c>
      <c r="B304" s="7" t="str">
        <f>HYPERLINK("https://www.ebi.ac.uk/QuickGO/GTerm?id=GO:0048445","GO:0048445 carpel morphogenesis")</f>
        <v>GO:0048445 carpel morphogenesis</v>
      </c>
      <c r="C304" s="1" t="s">
        <v>4</v>
      </c>
      <c r="D304" s="7" t="str">
        <f>HYPERLINK("https://www.ebi.ac.uk/QuickGO/GTerm?id=GO:0048457","GO:0048457 floral whorl morphogenesis")</f>
        <v>GO:0048457 floral whorl morphogenesis</v>
      </c>
      <c r="E304" s="1" t="s">
        <v>2</v>
      </c>
      <c r="F304" s="1" t="s">
        <v>298</v>
      </c>
      <c r="G304" s="8"/>
    </row>
    <row r="305" spans="1:7" ht="24.75" customHeight="1" x14ac:dyDescent="0.2">
      <c r="A305" s="6">
        <v>320</v>
      </c>
      <c r="B305" s="7" t="str">
        <f>HYPERLINK("https://www.ebi.ac.uk/QuickGO/GTerm?id=GO:1905306","GO:1905306 positive regulation of cardiac myofibril assembly")</f>
        <v>GO:1905306 positive regulation of cardiac myofibril assembly</v>
      </c>
      <c r="C305" s="1" t="s">
        <v>1</v>
      </c>
      <c r="D305" s="7" t="str">
        <f>HYPERLINK("https://www.ebi.ac.uk/QuickGO/GTerm?id=GO:1905209","GO:1905209 positive regulation of cardiocyte differentiation")</f>
        <v>GO:1905209 positive regulation of cardiocyte differentiation</v>
      </c>
      <c r="E305" s="1" t="s">
        <v>2</v>
      </c>
      <c r="F305" s="1" t="s">
        <v>299</v>
      </c>
      <c r="G305" s="8"/>
    </row>
    <row r="306" spans="1:7" ht="24.75" customHeight="1" x14ac:dyDescent="0.2">
      <c r="A306" s="6">
        <v>321</v>
      </c>
      <c r="B306" s="7" t="str">
        <f>HYPERLINK("https://www.ebi.ac.uk/QuickGO/GTerm?id=GO:0046474","GO:0046474 glycerophospholipid biosynthetic process")</f>
        <v>GO:0046474 glycerophospholipid biosynthetic process</v>
      </c>
      <c r="C306" s="1" t="s">
        <v>1</v>
      </c>
      <c r="D306" s="7" t="str">
        <f>HYPERLINK("https://www.ebi.ac.uk/QuickGO/GTerm?id=GO:0097384","GO:0097384 cellular lipid biosynthetic process")</f>
        <v>GO:0097384 cellular lipid biosynthetic process</v>
      </c>
      <c r="E306" s="1" t="s">
        <v>2</v>
      </c>
      <c r="F306" s="1" t="s">
        <v>300</v>
      </c>
      <c r="G306" s="8"/>
    </row>
    <row r="307" spans="1:7" ht="24.75" customHeight="1" x14ac:dyDescent="0.2">
      <c r="A307" s="6">
        <v>322</v>
      </c>
      <c r="B307" s="7" t="str">
        <f>HYPERLINK("https://www.ebi.ac.uk/QuickGO/GTerm?id=GO:1901943","GO:1901943 (+)-epi-alpha-bisabolol biosynthetic process")</f>
        <v>GO:1901943 (+)-epi-alpha-bisabolol biosynthetic process</v>
      </c>
      <c r="C307" s="1" t="s">
        <v>1</v>
      </c>
      <c r="D307" s="7" t="str">
        <f>HYPERLINK("https://www.ebi.ac.uk/QuickGO/GTerm?id=GO:0097384","GO:0097384 cellular lipid biosynthetic process")</f>
        <v>GO:0097384 cellular lipid biosynthetic process</v>
      </c>
      <c r="E307" s="1" t="s">
        <v>2</v>
      </c>
      <c r="F307" s="1" t="s">
        <v>301</v>
      </c>
      <c r="G307" s="8"/>
    </row>
    <row r="308" spans="1:7" ht="24.75" customHeight="1" x14ac:dyDescent="0.2">
      <c r="A308" s="6">
        <v>323</v>
      </c>
      <c r="B308" s="7" t="str">
        <f>HYPERLINK("https://www.ebi.ac.uk/QuickGO/GTerm?id=GO:2000504","GO:2000504 positive regulation of blood vessel remodeling")</f>
        <v>GO:2000504 positive regulation of blood vessel remodeling</v>
      </c>
      <c r="C308" s="1" t="s">
        <v>1</v>
      </c>
      <c r="D308" s="7" t="str">
        <f>HYPERLINK("https://www.ebi.ac.uk/QuickGO/GTerm?id=GO:0051094","GO:0051094 positive regulation of developmental process")</f>
        <v>GO:0051094 positive regulation of developmental process</v>
      </c>
      <c r="E308" s="1" t="s">
        <v>2</v>
      </c>
      <c r="F308" s="1" t="s">
        <v>302</v>
      </c>
      <c r="G308" s="8"/>
    </row>
    <row r="309" spans="1:7" ht="24.75" customHeight="1" x14ac:dyDescent="0.2">
      <c r="A309" s="6">
        <v>324</v>
      </c>
      <c r="B309" s="7" t="str">
        <f>HYPERLINK("https://www.ebi.ac.uk/QuickGO/GTerm?id=GO:0021684","GO:0021684 cerebellar granular layer formation")</f>
        <v>GO:0021684 cerebellar granular layer formation</v>
      </c>
      <c r="C309" s="1" t="s">
        <v>4</v>
      </c>
      <c r="D309" s="7" t="str">
        <f>HYPERLINK("https://www.ebi.ac.uk/QuickGO/GTerm?id=GO:0048645","GO:0048645 animal organ formation")</f>
        <v>GO:0048645 animal organ formation</v>
      </c>
      <c r="E309" s="1" t="s">
        <v>2</v>
      </c>
      <c r="F309" s="1" t="s">
        <v>303</v>
      </c>
      <c r="G309" s="8"/>
    </row>
    <row r="310" spans="1:7" ht="24.75" customHeight="1" x14ac:dyDescent="0.2">
      <c r="A310" s="6">
        <v>325</v>
      </c>
      <c r="B310" s="7" t="str">
        <f>HYPERLINK("https://www.ebi.ac.uk/QuickGO/GTerm?id=GO:0018930","GO:0018930 3-methylquinoline metabolic process")</f>
        <v>GO:0018930 3-methylquinoline metabolic process</v>
      </c>
      <c r="C310" s="1" t="s">
        <v>1</v>
      </c>
      <c r="D310" s="7" t="str">
        <f>HYPERLINK("https://www.ebi.ac.uk/QuickGO/GTerm?id=GO:0006805","GO:0006805 xenobiotic metabolic process")</f>
        <v>GO:0006805 xenobiotic metabolic process</v>
      </c>
      <c r="E310" s="1" t="s">
        <v>2</v>
      </c>
      <c r="F310" s="1" t="s">
        <v>304</v>
      </c>
      <c r="G310" s="8"/>
    </row>
    <row r="311" spans="1:7" ht="24" customHeight="1" x14ac:dyDescent="0.2">
      <c r="A311" s="6">
        <v>326</v>
      </c>
      <c r="B311" s="7" t="str">
        <f>HYPERLINK("https://www.ebi.ac.uk/QuickGO/GTerm?id=GO:0021643","GO:0021643 vagus nerve maturation")</f>
        <v>GO:0021643 vagus nerve maturation</v>
      </c>
      <c r="C311" s="1" t="s">
        <v>4</v>
      </c>
      <c r="D311" s="7" t="str">
        <f>HYPERLINK("https://www.ebi.ac.uk/QuickGO/GTerm?id=GO:0021626","GO:0021626 central nervous system maturation")</f>
        <v>GO:0021626 central nervous system maturation</v>
      </c>
      <c r="E311" s="1" t="s">
        <v>2</v>
      </c>
      <c r="F311" s="1" t="s">
        <v>305</v>
      </c>
      <c r="G311" s="8"/>
    </row>
    <row r="312" spans="1:7" ht="24.75" customHeight="1" x14ac:dyDescent="0.2">
      <c r="A312" s="6">
        <v>327</v>
      </c>
      <c r="B312" s="7" t="str">
        <f>HYPERLINK("https://www.ebi.ac.uk/QuickGO/GTerm?id=GO:2000943","GO:2000943 negative regulation of amylopectin metabolic process")</f>
        <v>GO:2000943 negative regulation of amylopectin metabolic process</v>
      </c>
      <c r="C312" s="1" t="s">
        <v>1</v>
      </c>
      <c r="D312" s="7" t="str">
        <f>HYPERLINK("https://www.ebi.ac.uk/QuickGO/GTerm?id=GO:2000905","GO:2000905 negative regulation of starch metabolic process")</f>
        <v>GO:2000905 negative regulation of starch metabolic process</v>
      </c>
      <c r="E312" s="1" t="s">
        <v>2</v>
      </c>
      <c r="F312" s="1" t="s">
        <v>220</v>
      </c>
      <c r="G312" s="8"/>
    </row>
    <row r="313" spans="1:7" ht="24.75" customHeight="1" x14ac:dyDescent="0.2">
      <c r="A313" s="6">
        <v>328</v>
      </c>
      <c r="B313" s="7" t="str">
        <f>HYPERLINK("https://www.ebi.ac.uk/QuickGO/GTerm?id=GO:0042047","GO:0042047 W-molybdopterin cofactor biosynthetic process")</f>
        <v>GO:0042047 W-molybdopterin cofactor biosynthetic process</v>
      </c>
      <c r="C313" s="1" t="s">
        <v>1</v>
      </c>
      <c r="D313" s="7" t="str">
        <f>HYPERLINK("https://www.ebi.ac.uk/QuickGO/GTerm?id=GO:0051191","GO:0051191 prosthetic group biosynthetic process")</f>
        <v>GO:0051191 prosthetic group biosynthetic process</v>
      </c>
      <c r="E313" s="1" t="s">
        <v>2</v>
      </c>
      <c r="F313" s="1" t="s">
        <v>306</v>
      </c>
      <c r="G313" s="8"/>
    </row>
    <row r="314" spans="1:7" ht="24.75" customHeight="1" x14ac:dyDescent="0.2">
      <c r="A314" s="6">
        <v>329</v>
      </c>
      <c r="B314" s="7" t="str">
        <f>HYPERLINK("https://www.ebi.ac.uk/QuickGO/GTerm?id=GO:0045651","GO:0045651 positive regulation of macrophage differentiation")</f>
        <v>GO:0045651 positive regulation of macrophage differentiation</v>
      </c>
      <c r="C314" s="1" t="s">
        <v>1</v>
      </c>
      <c r="D314" s="7" t="str">
        <f>HYPERLINK("https://www.ebi.ac.uk/QuickGO/GTerm?id=GO:0043032","GO:0043032 positive regulation of macrophage activation")</f>
        <v>GO:0043032 positive regulation of macrophage activation</v>
      </c>
      <c r="E314" s="1" t="s">
        <v>2</v>
      </c>
      <c r="F314" s="1" t="s">
        <v>276</v>
      </c>
      <c r="G314" s="8"/>
    </row>
    <row r="315" spans="1:7" ht="24.75" customHeight="1" x14ac:dyDescent="0.2">
      <c r="A315" s="6">
        <v>330</v>
      </c>
      <c r="B315" s="7" t="str">
        <f>HYPERLINK("https://www.ebi.ac.uk/QuickGO/GTerm?id=GO:1990818","GO:1990818 L-arginine transmembrane export from vacuole")</f>
        <v>GO:1990818 L-arginine transmembrane export from vacuole</v>
      </c>
      <c r="C315" s="1" t="s">
        <v>1</v>
      </c>
      <c r="D315" s="7" t="str">
        <f>HYPERLINK("https://www.ebi.ac.uk/QuickGO/GTerm?id=GO:1903826","GO:1903826 L-arginine transmembrane transport")</f>
        <v>GO:1903826 L-arginine transmembrane transport</v>
      </c>
      <c r="E315" s="1" t="s">
        <v>2</v>
      </c>
      <c r="F315" s="1" t="s">
        <v>307</v>
      </c>
      <c r="G315" s="8"/>
    </row>
    <row r="316" spans="1:7" ht="24.75" customHeight="1" x14ac:dyDescent="0.2">
      <c r="A316" s="6">
        <v>331</v>
      </c>
      <c r="B316" s="7" t="str">
        <f>HYPERLINK("https://www.ebi.ac.uk/QuickGO/GTerm?id=GO:0070665","GO:0070665 positive regulation of leukocyte proliferation")</f>
        <v>GO:0070665 positive regulation of leukocyte proliferation</v>
      </c>
      <c r="C316" s="1" t="s">
        <v>1</v>
      </c>
      <c r="D316" s="7" t="str">
        <f>HYPERLINK("https://www.ebi.ac.uk/QuickGO/GTerm?id=GO:0002696","GO:0002696 positive regulation of leukocyte activation")</f>
        <v>GO:0002696 positive regulation of leukocyte activation</v>
      </c>
      <c r="E316" s="1" t="s">
        <v>2</v>
      </c>
      <c r="F316" s="1" t="s">
        <v>308</v>
      </c>
      <c r="G316" s="8"/>
    </row>
    <row r="317" spans="1:7" ht="24.75" customHeight="1" x14ac:dyDescent="0.2">
      <c r="A317" s="6">
        <v>332</v>
      </c>
      <c r="B317" s="7" t="str">
        <f>HYPERLINK("https://www.ebi.ac.uk/QuickGO/GTerm?id=GO:0046828","GO:0046828 regulation of RNA import into nucleus")</f>
        <v>GO:0046828 regulation of RNA import into nucleus</v>
      </c>
      <c r="C317" s="1" t="s">
        <v>20</v>
      </c>
      <c r="D317" s="7" t="str">
        <f>HYPERLINK("https://www.ebi.ac.uk/QuickGO/GTerm?id=GO:0006403","GO:0006403 RNA localization")</f>
        <v>GO:0006403 RNA localization</v>
      </c>
      <c r="E317" s="1" t="s">
        <v>2</v>
      </c>
      <c r="F317" s="1" t="s">
        <v>309</v>
      </c>
      <c r="G317" s="8"/>
    </row>
    <row r="318" spans="1:7" ht="24.75" customHeight="1" x14ac:dyDescent="0.2">
      <c r="A318" s="6">
        <v>333</v>
      </c>
      <c r="B318" s="7" t="str">
        <f>HYPERLINK("https://www.ebi.ac.uk/QuickGO/GTerm?id=GO:0106090","GO:0106090 positive regulation of cell adhesion involved in sprouting angiogenesis")</f>
        <v>GO:0106090 positive regulation of cell adhesion involved in sprouting angiogenesis</v>
      </c>
      <c r="C318" s="1" t="s">
        <v>1</v>
      </c>
      <c r="D318" s="7" t="str">
        <f>HYPERLINK("https://www.ebi.ac.uk/QuickGO/GTerm?id=GO:0051094","GO:0051094 positive regulation of developmental process")</f>
        <v>GO:0051094 positive regulation of developmental process</v>
      </c>
      <c r="E318" s="1" t="s">
        <v>2</v>
      </c>
      <c r="F318" s="1" t="s">
        <v>310</v>
      </c>
      <c r="G318" s="8"/>
    </row>
    <row r="319" spans="1:7" ht="24.75" customHeight="1" x14ac:dyDescent="0.2">
      <c r="A319" s="6">
        <v>334</v>
      </c>
      <c r="B319" s="7" t="str">
        <f>HYPERLINK("https://www.ebi.ac.uk/QuickGO/GTerm?id=GO:0090593","GO:0090593 peptidyl-histidine autophosphorylation")</f>
        <v>GO:0090593 peptidyl-histidine autophosphorylation</v>
      </c>
      <c r="C319" s="1" t="s">
        <v>1</v>
      </c>
      <c r="D319" s="7" t="str">
        <f>HYPERLINK("https://www.ebi.ac.uk/QuickGO/GTerm?id=GO:0018106","GO:0018106 peptidyl-histidine phosphorylation")</f>
        <v>GO:0018106 peptidyl-histidine phosphorylation</v>
      </c>
      <c r="E319" s="1" t="s">
        <v>2</v>
      </c>
      <c r="F319" s="1" t="s">
        <v>311</v>
      </c>
      <c r="G319" s="8"/>
    </row>
    <row r="320" spans="1:7" ht="24.75" customHeight="1" x14ac:dyDescent="0.2">
      <c r="A320" s="6">
        <v>335</v>
      </c>
      <c r="B320" s="7" t="str">
        <f>HYPERLINK("https://www.ebi.ac.uk/QuickGO/GTerm?id=GO:0097692","GO:0097692 histone H3-K4 monomethylation")</f>
        <v>GO:0097692 histone H3-K4 monomethylation</v>
      </c>
      <c r="C320" s="1" t="s">
        <v>1</v>
      </c>
      <c r="D320" s="7" t="str">
        <f>HYPERLINK("https://www.ebi.ac.uk/QuickGO/GTerm?id=GO:0018026","GO:0018026 peptidyl-lysine monomethylation")</f>
        <v>GO:0018026 peptidyl-lysine monomethylation</v>
      </c>
      <c r="E320" s="1" t="s">
        <v>2</v>
      </c>
      <c r="F320" s="1" t="s">
        <v>312</v>
      </c>
      <c r="G320" s="8"/>
    </row>
    <row r="321" spans="1:7" ht="24.75" customHeight="1" x14ac:dyDescent="0.2">
      <c r="A321" s="6">
        <v>336</v>
      </c>
      <c r="B321" s="7" t="str">
        <f>HYPERLINK("https://www.ebi.ac.uk/QuickGO/GTerm?id=GO:1902735","GO:1902735 negative regulation of receptor-mediated virion attachment to host cell")</f>
        <v>GO:1902735 negative regulation of receptor-mediated virion attachment to host cell</v>
      </c>
      <c r="C321" s="1" t="s">
        <v>1</v>
      </c>
      <c r="D321" s="7" t="str">
        <f>HYPERLINK("https://www.ebi.ac.uk/QuickGO/GTerm?id=GO:0048525","GO:0048525 negative regulation of viral process")</f>
        <v>GO:0048525 negative regulation of viral process</v>
      </c>
      <c r="E321" s="1" t="s">
        <v>2</v>
      </c>
      <c r="F321" s="1" t="s">
        <v>313</v>
      </c>
      <c r="G321" s="8"/>
    </row>
    <row r="322" spans="1:7" ht="24.75" customHeight="1" x14ac:dyDescent="0.2">
      <c r="A322" s="6">
        <v>337</v>
      </c>
      <c r="B322" s="7" t="str">
        <f>HYPERLINK("https://www.ebi.ac.uk/QuickGO/GTerm?id=GO:0051713","GO:0051713 negative regulation of cytolysis in another organism")</f>
        <v>GO:0051713 negative regulation of cytolysis in another organism</v>
      </c>
      <c r="C322" s="1" t="s">
        <v>1</v>
      </c>
      <c r="D322" s="7" t="str">
        <f>HYPERLINK("https://www.ebi.ac.uk/QuickGO/GTerm?id=GO:0060548","GO:0060548 negative regulation of cell death")</f>
        <v>GO:0060548 negative regulation of cell death</v>
      </c>
      <c r="E322" s="1" t="s">
        <v>2</v>
      </c>
      <c r="F322" s="1" t="s">
        <v>314</v>
      </c>
      <c r="G322" s="8"/>
    </row>
    <row r="323" spans="1:7" ht="24.75" customHeight="1" x14ac:dyDescent="0.2">
      <c r="A323" s="6">
        <v>338</v>
      </c>
      <c r="B323" s="7" t="str">
        <f>HYPERLINK("https://www.ebi.ac.uk/QuickGO/GTerm?id=GO:0042494","GO:0042494 detection of bacterial lipoprotein")</f>
        <v>GO:0042494 detection of bacterial lipoprotein</v>
      </c>
      <c r="C323" s="1" t="s">
        <v>1</v>
      </c>
      <c r="D323" s="7" t="str">
        <f>HYPERLINK("https://www.ebi.ac.uk/QuickGO/GTerm?id=GO:0071703","GO:0071703 detection of organic substance")</f>
        <v>GO:0071703 detection of organic substance</v>
      </c>
      <c r="E323" s="1" t="s">
        <v>2</v>
      </c>
      <c r="F323" s="1" t="s">
        <v>315</v>
      </c>
      <c r="G323" s="8"/>
    </row>
    <row r="324" spans="1:7" ht="24.75" customHeight="1" x14ac:dyDescent="0.2">
      <c r="A324" s="6">
        <v>339</v>
      </c>
      <c r="B324" s="7" t="str">
        <f>HYPERLINK("https://www.ebi.ac.uk/QuickGO/GTerm?id=GO:0032499","GO:0032499 detection of peptidoglycan")</f>
        <v>GO:0032499 detection of peptidoglycan</v>
      </c>
      <c r="C324" s="1" t="s">
        <v>1</v>
      </c>
      <c r="D324" s="7" t="str">
        <f>HYPERLINK("https://www.ebi.ac.uk/QuickGO/GTerm?id=GO:0071703","GO:0071703 detection of organic substance")</f>
        <v>GO:0071703 detection of organic substance</v>
      </c>
      <c r="E324" s="1" t="s">
        <v>2</v>
      </c>
      <c r="F324" s="1" t="s">
        <v>316</v>
      </c>
      <c r="G324" s="8"/>
    </row>
    <row r="325" spans="1:7" ht="24.75" customHeight="1" x14ac:dyDescent="0.2">
      <c r="A325" s="6">
        <v>340</v>
      </c>
      <c r="B325" s="7" t="str">
        <f>HYPERLINK("https://www.ebi.ac.uk/QuickGO/GTerm?id=GO:0016575","GO:0016575 histone deacetylation")</f>
        <v>GO:0016575 histone deacetylation</v>
      </c>
      <c r="C325" s="1" t="s">
        <v>1</v>
      </c>
      <c r="D325" s="7" t="str">
        <f>HYPERLINK("https://www.ebi.ac.uk/QuickGO/GTerm?id=GO:0034983","GO:0034983 peptidyl-lysine deacetylation")</f>
        <v>GO:0034983 peptidyl-lysine deacetylation</v>
      </c>
      <c r="E325" s="1" t="s">
        <v>2</v>
      </c>
      <c r="F325" s="1" t="s">
        <v>317</v>
      </c>
      <c r="G325" s="8"/>
    </row>
    <row r="326" spans="1:7" ht="24.75" customHeight="1" x14ac:dyDescent="0.2">
      <c r="A326" s="6">
        <v>341</v>
      </c>
      <c r="B326" s="7" t="str">
        <f>HYPERLINK("https://www.ebi.ac.uk/QuickGO/GTerm?id=GO:0032324","GO:0032324 molybdopterin cofactor biosynthetic process")</f>
        <v>GO:0032324 molybdopterin cofactor biosynthetic process</v>
      </c>
      <c r="C326" s="1" t="s">
        <v>1</v>
      </c>
      <c r="D326" s="7" t="str">
        <f>HYPERLINK("https://www.ebi.ac.uk/QuickGO/GTerm?id=GO:0051191","GO:0051191 prosthetic group biosynthetic process")</f>
        <v>GO:0051191 prosthetic group biosynthetic process</v>
      </c>
      <c r="E326" s="1" t="s">
        <v>2</v>
      </c>
      <c r="F326" s="1" t="s">
        <v>318</v>
      </c>
      <c r="G326" s="8"/>
    </row>
    <row r="327" spans="1:7" ht="24.75" customHeight="1" x14ac:dyDescent="0.2">
      <c r="A327" s="6">
        <v>342</v>
      </c>
      <c r="B327" s="7" t="str">
        <f>HYPERLINK("https://www.ebi.ac.uk/QuickGO/GTerm?id=GO:0010856","GO:0010856 adenylate cyclase activator activity")</f>
        <v>GO:0010856 adenylate cyclase activator activity</v>
      </c>
      <c r="C327" s="1" t="s">
        <v>1</v>
      </c>
      <c r="D327" s="7" t="str">
        <f>HYPERLINK("https://www.ebi.ac.uk/QuickGO/GTerm?id=GO:0010853","GO:0010853 cyclase activator activity")</f>
        <v>GO:0010853 cyclase activator activity</v>
      </c>
      <c r="E327" s="1" t="s">
        <v>2</v>
      </c>
      <c r="F327" s="1" t="s">
        <v>319</v>
      </c>
      <c r="G327" s="8"/>
    </row>
    <row r="328" spans="1:7" ht="24.75" customHeight="1" x14ac:dyDescent="0.2">
      <c r="A328" s="6">
        <v>343</v>
      </c>
      <c r="B328" s="7" t="str">
        <f>HYPERLINK("https://www.ebi.ac.uk/QuickGO/GTerm?id=GO:0044348","GO:0044348 plant-type cell wall cellulose catabolic process")</f>
        <v>GO:0044348 plant-type cell wall cellulose catabolic process</v>
      </c>
      <c r="C328" s="1" t="s">
        <v>1</v>
      </c>
      <c r="D328" s="7" t="str">
        <f>HYPERLINK("https://www.ebi.ac.uk/QuickGO/GTerm?id=GO:0044247","GO:0044247 cellular polysaccharide catabolic process")</f>
        <v>GO:0044247 cellular polysaccharide catabolic process</v>
      </c>
      <c r="E328" s="1" t="s">
        <v>2</v>
      </c>
      <c r="F328" s="1" t="s">
        <v>320</v>
      </c>
      <c r="G328" s="8"/>
    </row>
    <row r="329" spans="1:7" ht="24.75" customHeight="1" x14ac:dyDescent="0.2">
      <c r="A329" s="6">
        <v>344</v>
      </c>
      <c r="B329" s="7" t="str">
        <f>HYPERLINK("https://www.ebi.ac.uk/QuickGO/GTerm?id=GO:0043032","GO:0043032 positive regulation of macrophage activation")</f>
        <v>GO:0043032 positive regulation of macrophage activation</v>
      </c>
      <c r="C329" s="1" t="s">
        <v>20</v>
      </c>
      <c r="D329" s="7" t="str">
        <f>HYPERLINK("https://www.ebi.ac.uk/QuickGO/GTerm?id=GO:0036230","GO:0036230 granulocyte activation")</f>
        <v>GO:0036230 granulocyte activation</v>
      </c>
      <c r="E329" s="1" t="s">
        <v>2</v>
      </c>
      <c r="F329" s="1" t="s">
        <v>321</v>
      </c>
      <c r="G329" s="8"/>
    </row>
    <row r="330" spans="1:7" ht="24.75" customHeight="1" x14ac:dyDescent="0.2">
      <c r="A330" s="6">
        <v>345</v>
      </c>
      <c r="B330" s="7" t="str">
        <f>HYPERLINK("https://www.ebi.ac.uk/QuickGO/GTerm?id=GO:0045325","GO:0045325 peptidyl-tryptophan hydroxylation")</f>
        <v>GO:0045325 peptidyl-tryptophan hydroxylation</v>
      </c>
      <c r="C330" s="1" t="s">
        <v>1</v>
      </c>
      <c r="D330" s="7" t="str">
        <f>HYPERLINK("https://www.ebi.ac.uk/QuickGO/GTerm?id=GO:0018126","GO:0018126 protein hydroxylation")</f>
        <v>GO:0018126 protein hydroxylation</v>
      </c>
      <c r="E330" s="1" t="s">
        <v>2</v>
      </c>
      <c r="F330" s="1" t="s">
        <v>322</v>
      </c>
      <c r="G330" s="8"/>
    </row>
    <row r="331" spans="1:7" ht="24.75" customHeight="1" x14ac:dyDescent="0.2">
      <c r="A331" s="6">
        <v>346</v>
      </c>
      <c r="B331" s="7" t="str">
        <f>HYPERLINK("https://www.ebi.ac.uk/QuickGO/GTerm?id=GO:0098868","GO:0098868 bone growth")</f>
        <v>GO:0098868 bone growth</v>
      </c>
      <c r="C331" s="1" t="s">
        <v>4</v>
      </c>
      <c r="D331" s="7" t="str">
        <f>HYPERLINK("https://www.ebi.ac.uk/QuickGO/GTerm?id=GO:0060348","GO:0060348 bone development")</f>
        <v>GO:0060348 bone development</v>
      </c>
      <c r="E331" s="1" t="s">
        <v>2</v>
      </c>
      <c r="F331" s="1" t="s">
        <v>270</v>
      </c>
      <c r="G331" s="8"/>
    </row>
    <row r="332" spans="1:7" ht="24.75" customHeight="1" x14ac:dyDescent="0.2">
      <c r="A332" s="6">
        <v>347</v>
      </c>
      <c r="B332" s="7" t="str">
        <f>HYPERLINK("https://www.ebi.ac.uk/QuickGO/GTerm?id=GO:0007277","GO:0007277 pole cell development")</f>
        <v>GO:0007277 pole cell development</v>
      </c>
      <c r="C332" s="1" t="s">
        <v>1</v>
      </c>
      <c r="D332" s="7" t="str">
        <f>HYPERLINK("https://www.ebi.ac.uk/QuickGO/GTerm?id=GO:0007281","GO:0007281 germ cell development")</f>
        <v>GO:0007281 germ cell development</v>
      </c>
      <c r="E332" s="1" t="s">
        <v>2</v>
      </c>
      <c r="F332" s="1" t="s">
        <v>323</v>
      </c>
      <c r="G332" s="8"/>
    </row>
    <row r="333" spans="1:7" ht="24.75" customHeight="1" x14ac:dyDescent="0.2">
      <c r="A333" s="6">
        <v>348</v>
      </c>
      <c r="B333" s="7" t="str">
        <f>HYPERLINK("https://www.ebi.ac.uk/QuickGO/GTerm?id=GO:1901731","GO:1901731 positive regulation of platelet aggregation")</f>
        <v>GO:1901731 positive regulation of platelet aggregation</v>
      </c>
      <c r="C333" s="1" t="s">
        <v>1</v>
      </c>
      <c r="D333" s="7" t="str">
        <f>HYPERLINK("https://www.ebi.ac.uk/QuickGO/GTerm?id=GO:0050867","GO:0050867 positive regulation of cell activation")</f>
        <v>GO:0050867 positive regulation of cell activation</v>
      </c>
      <c r="E333" s="1" t="s">
        <v>2</v>
      </c>
      <c r="F333" s="1" t="s">
        <v>324</v>
      </c>
      <c r="G333" s="8"/>
    </row>
    <row r="334" spans="1:7" ht="24.75" customHeight="1" x14ac:dyDescent="0.2">
      <c r="A334" s="6">
        <v>349</v>
      </c>
      <c r="B334" s="7" t="str">
        <f>HYPERLINK("https://www.ebi.ac.uk/QuickGO/GTerm?id=GO:1905686","GO:1905686 positive regulation of plasma membrane repair")</f>
        <v>GO:1905686 positive regulation of plasma membrane repair</v>
      </c>
      <c r="C334" s="1" t="s">
        <v>1</v>
      </c>
      <c r="D334" s="7" t="str">
        <f>HYPERLINK("https://www.ebi.ac.uk/QuickGO/GTerm?id=GO:0090303","GO:0090303 positive regulation of wound healing")</f>
        <v>GO:0090303 positive regulation of wound healing</v>
      </c>
      <c r="E334" s="1" t="s">
        <v>2</v>
      </c>
      <c r="F334" s="1" t="s">
        <v>325</v>
      </c>
      <c r="G334" s="8"/>
    </row>
    <row r="335" spans="1:7" ht="24.75" customHeight="1" x14ac:dyDescent="0.2">
      <c r="A335" s="6">
        <v>350</v>
      </c>
      <c r="B335" s="7" t="str">
        <f>HYPERLINK("https://www.ebi.ac.uk/QuickGO/GTerm?id=GO:0003031","GO:0003031 detection of carbon dioxide")</f>
        <v>GO:0003031 detection of carbon dioxide</v>
      </c>
      <c r="C335" s="1" t="s">
        <v>1</v>
      </c>
      <c r="D335" s="7" t="str">
        <f>HYPERLINK("https://www.ebi.ac.uk/QuickGO/GTerm?id=GO:0071703","GO:0071703 detection of organic substance")</f>
        <v>GO:0071703 detection of organic substance</v>
      </c>
      <c r="E335" s="1" t="s">
        <v>2</v>
      </c>
      <c r="F335" s="1" t="s">
        <v>326</v>
      </c>
      <c r="G335" s="8"/>
    </row>
    <row r="336" spans="1:7" ht="24.75" customHeight="1" x14ac:dyDescent="0.2">
      <c r="A336" s="6">
        <v>351</v>
      </c>
      <c r="B336" s="7" t="str">
        <f>HYPERLINK("https://www.ebi.ac.uk/QuickGO/GTerm?id=GO:0007485","GO:0007485 imaginal disc-derived male genitalia development")</f>
        <v>GO:0007485 imaginal disc-derived male genitalia development</v>
      </c>
      <c r="C336" s="1" t="s">
        <v>4</v>
      </c>
      <c r="D336" s="7" t="str">
        <f>HYPERLINK("https://www.ebi.ac.uk/QuickGO/GTerm?id=GO:0046661","GO:0046661 male sex differentiation")</f>
        <v>GO:0046661 male sex differentiation</v>
      </c>
      <c r="E336" s="1" t="s">
        <v>2</v>
      </c>
      <c r="F336" s="1" t="s">
        <v>327</v>
      </c>
      <c r="G336" s="8"/>
    </row>
    <row r="337" spans="1:7" ht="24.75" customHeight="1" x14ac:dyDescent="0.2">
      <c r="A337" s="6">
        <v>352</v>
      </c>
      <c r="B337" s="7" t="str">
        <f>HYPERLINK("https://www.ebi.ac.uk/QuickGO/GTerm?id=GO:0036021","GO:0036021 endolysosome lumen")</f>
        <v>GO:0036021 endolysosome lumen</v>
      </c>
      <c r="C337" s="1" t="s">
        <v>1</v>
      </c>
      <c r="D337" s="7" t="str">
        <f>HYPERLINK("https://www.ebi.ac.uk/QuickGO/GTerm?id=GO:0060205","GO:0060205 cytoplasmic vesicle lumen")</f>
        <v>GO:0060205 cytoplasmic vesicle lumen</v>
      </c>
      <c r="E337" s="1" t="s">
        <v>2</v>
      </c>
      <c r="F337" s="1" t="s">
        <v>328</v>
      </c>
      <c r="G337" s="8"/>
    </row>
    <row r="338" spans="1:7" ht="24.75" customHeight="1" x14ac:dyDescent="0.2">
      <c r="A338" s="6">
        <v>353</v>
      </c>
      <c r="B338" s="7" t="str">
        <f>HYPERLINK("https://www.ebi.ac.uk/QuickGO/GTerm?id=GO:0045820","GO:0045820 negative regulation of glycolytic process")</f>
        <v>GO:0045820 negative regulation of glycolytic process</v>
      </c>
      <c r="C338" s="1" t="s">
        <v>1</v>
      </c>
      <c r="D338" s="7" t="str">
        <f>HYPERLINK("https://www.ebi.ac.uk/QuickGO/GTerm?id=GO:0031330","GO:0031330 negative regulation of cellular catabolic process")</f>
        <v>GO:0031330 negative regulation of cellular catabolic process</v>
      </c>
      <c r="E338" s="1" t="s">
        <v>2</v>
      </c>
      <c r="F338" s="1" t="s">
        <v>329</v>
      </c>
      <c r="G338" s="8"/>
    </row>
    <row r="339" spans="1:7" ht="24.75" customHeight="1" x14ac:dyDescent="0.2">
      <c r="A339" s="6">
        <v>354</v>
      </c>
      <c r="B339" s="7" t="str">
        <f>HYPERLINK("https://www.ebi.ac.uk/QuickGO/GTerm?id=GO:0030655","GO:0030655 beta-lactam antibiotic catabolic process")</f>
        <v>GO:0030655 beta-lactam antibiotic catabolic process</v>
      </c>
      <c r="C339" s="1" t="s">
        <v>1</v>
      </c>
      <c r="D339" s="7" t="str">
        <f>HYPERLINK("https://www.ebi.ac.uk/QuickGO/GTerm?id=GO:0009310","GO:0009310 amine catabolic process")</f>
        <v>GO:0009310 amine catabolic process</v>
      </c>
      <c r="E339" s="1" t="s">
        <v>2</v>
      </c>
      <c r="F339" s="1" t="s">
        <v>330</v>
      </c>
      <c r="G339" s="8"/>
    </row>
    <row r="340" spans="1:7" ht="24.75" customHeight="1" x14ac:dyDescent="0.2">
      <c r="A340" s="6">
        <v>355</v>
      </c>
      <c r="B340" s="7" t="str">
        <f>HYPERLINK("https://www.ebi.ac.uk/QuickGO/GTerm?id=GO:0048734","GO:0048734 proboscis morphogenesis")</f>
        <v>GO:0048734 proboscis morphogenesis</v>
      </c>
      <c r="C340" s="1" t="s">
        <v>4</v>
      </c>
      <c r="D340" s="7" t="str">
        <f>HYPERLINK("https://www.ebi.ac.uk/QuickGO/GTerm?id=GO:0007453","GO:0007453 clypeo-labral disc morphogenesis")</f>
        <v>GO:0007453 clypeo-labral disc morphogenesis</v>
      </c>
      <c r="E340" s="1" t="s">
        <v>2</v>
      </c>
      <c r="F340" s="1" t="s">
        <v>331</v>
      </c>
      <c r="G340" s="8"/>
    </row>
    <row r="341" spans="1:7" ht="24.75" customHeight="1" x14ac:dyDescent="0.2">
      <c r="A341" s="6">
        <v>356</v>
      </c>
      <c r="B341" s="7" t="str">
        <f>HYPERLINK("https://www.ebi.ac.uk/QuickGO/GTerm?id=GO:1902380","GO:1902380 positive regulation of endoribonuclease activity")</f>
        <v>GO:1902380 positive regulation of endoribonuclease activity</v>
      </c>
      <c r="C341" s="1" t="s">
        <v>1</v>
      </c>
      <c r="D341" s="7" t="str">
        <f>HYPERLINK("https://www.ebi.ac.uk/QuickGO/GTerm?id=GO:0051254","GO:0051254 positive regulation of RNA metabolic process")</f>
        <v>GO:0051254 positive regulation of RNA metabolic process</v>
      </c>
      <c r="E341" s="1" t="s">
        <v>2</v>
      </c>
      <c r="F341" s="1" t="s">
        <v>332</v>
      </c>
      <c r="G341" s="8"/>
    </row>
    <row r="342" spans="1:7" ht="24.75" customHeight="1" x14ac:dyDescent="0.2">
      <c r="A342" s="6">
        <v>357</v>
      </c>
      <c r="B342" s="7" t="str">
        <f>HYPERLINK("https://www.ebi.ac.uk/QuickGO/GTerm?id=GO:0031069","GO:0031069 hair follicle morphogenesis")</f>
        <v>GO:0031069 hair follicle morphogenesis</v>
      </c>
      <c r="C342" s="1" t="s">
        <v>4</v>
      </c>
      <c r="D342" s="7" t="str">
        <f>HYPERLINK("https://www.ebi.ac.uk/QuickGO/GTerm?id=GO:0043589","GO:0043589 skin morphogenesis")</f>
        <v>GO:0043589 skin morphogenesis</v>
      </c>
      <c r="E342" s="1" t="s">
        <v>2</v>
      </c>
      <c r="F342" s="1" t="s">
        <v>333</v>
      </c>
      <c r="G342" s="8"/>
    </row>
    <row r="343" spans="1:7" ht="24.75" customHeight="1" x14ac:dyDescent="0.2">
      <c r="A343" s="6">
        <v>358</v>
      </c>
      <c r="B343" s="7" t="str">
        <f>HYPERLINK("https://www.ebi.ac.uk/QuickGO/GTerm?id=GO:1901671","GO:1901671 positive regulation of superoxide dismutase activity")</f>
        <v>GO:1901671 positive regulation of superoxide dismutase activity</v>
      </c>
      <c r="C343" s="1" t="s">
        <v>1</v>
      </c>
      <c r="D343" s="7" t="str">
        <f>HYPERLINK("https://www.ebi.ac.uk/QuickGO/GTerm?id=GO:2000379","GO:2000379 positive regulation of reactive oxygen species metabolic process")</f>
        <v>GO:2000379 positive regulation of reactive oxygen species metabolic process</v>
      </c>
      <c r="E343" s="1" t="s">
        <v>2</v>
      </c>
      <c r="F343" s="1" t="s">
        <v>334</v>
      </c>
      <c r="G343" s="8"/>
    </row>
    <row r="344" spans="1:7" ht="24.75" customHeight="1" x14ac:dyDescent="0.2">
      <c r="A344" s="6">
        <v>359</v>
      </c>
      <c r="B344" s="7" t="str">
        <f>HYPERLINK("https://www.ebi.ac.uk/QuickGO/GTerm?id=GO:0016070","GO:0016070 RNA metabolic process")</f>
        <v>GO:0016070 RNA metabolic process</v>
      </c>
      <c r="C344" s="1" t="s">
        <v>1</v>
      </c>
      <c r="D344" s="7" t="str">
        <f>HYPERLINK("https://www.ebi.ac.uk/QuickGO/GTerm?id=GO:0044260","GO:0044260 cellular macromolecule metabolic process")</f>
        <v>GO:0044260 cellular macromolecule metabolic process</v>
      </c>
      <c r="E344" s="1" t="s">
        <v>2</v>
      </c>
      <c r="F344" s="1" t="s">
        <v>335</v>
      </c>
      <c r="G344" s="8"/>
    </row>
    <row r="345" spans="1:7" ht="24.75" customHeight="1" x14ac:dyDescent="0.2">
      <c r="A345" s="6">
        <v>360</v>
      </c>
      <c r="B345" s="7" t="str">
        <f>HYPERLINK("https://www.ebi.ac.uk/QuickGO/GTerm?id=GO:1901065","GO:1901065 syringal lignin catabolic process")</f>
        <v>GO:1901065 syringal lignin catabolic process</v>
      </c>
      <c r="C345" s="1" t="s">
        <v>1</v>
      </c>
      <c r="D345" s="7" t="str">
        <f>HYPERLINK("https://www.ebi.ac.uk/QuickGO/GTerm?id=GO:0090487","GO:0090487 secondary metabolite catabolic process")</f>
        <v>GO:0090487 secondary metabolite catabolic process</v>
      </c>
      <c r="E345" s="1" t="s">
        <v>2</v>
      </c>
      <c r="F345" s="1" t="s">
        <v>336</v>
      </c>
      <c r="G345" s="8"/>
    </row>
    <row r="346" spans="1:7" ht="24.75" customHeight="1" x14ac:dyDescent="0.2">
      <c r="A346" s="6">
        <v>361</v>
      </c>
      <c r="B346" s="7" t="str">
        <f>HYPERLINK("https://www.ebi.ac.uk/QuickGO/GTerm?id=GO:0007228","GO:0007228 positive regulation of hh target transcription factor activity")</f>
        <v>GO:0007228 positive regulation of hh target transcription factor activity</v>
      </c>
      <c r="C346" s="1" t="s">
        <v>1</v>
      </c>
      <c r="D346" s="7" t="str">
        <f>HYPERLINK("https://www.ebi.ac.uk/QuickGO/GTerm?id=GO:0009967","GO:0009967 positive regulation of signal transduction")</f>
        <v>GO:0009967 positive regulation of signal transduction</v>
      </c>
      <c r="E346" s="1" t="s">
        <v>2</v>
      </c>
      <c r="F346" s="1" t="s">
        <v>337</v>
      </c>
      <c r="G346" s="8"/>
    </row>
    <row r="347" spans="1:7" ht="24.75" customHeight="1" x14ac:dyDescent="0.2">
      <c r="A347" s="6">
        <v>362</v>
      </c>
      <c r="B347" s="7" t="str">
        <f>HYPERLINK("https://www.ebi.ac.uk/QuickGO/GTerm?id=GO:0070393","GO:0070393 teichoic acid catabolic process")</f>
        <v>GO:0070393 teichoic acid catabolic process</v>
      </c>
      <c r="C347" s="1" t="s">
        <v>1</v>
      </c>
      <c r="D347" s="7" t="str">
        <f>HYPERLINK("https://www.ebi.ac.uk/QuickGO/GTerm?id=GO:0016054","GO:0016054 organic acid catabolic process")</f>
        <v>GO:0016054 organic acid catabolic process</v>
      </c>
      <c r="E347" s="1" t="s">
        <v>2</v>
      </c>
      <c r="F347" s="1" t="s">
        <v>338</v>
      </c>
      <c r="G347" s="8"/>
    </row>
    <row r="348" spans="1:7" ht="24.75" customHeight="1" x14ac:dyDescent="0.2">
      <c r="A348" s="6">
        <v>363</v>
      </c>
      <c r="B348" s="7" t="str">
        <f>HYPERLINK("https://www.ebi.ac.uk/QuickGO/GTerm?id=GO:0062232","GO:0062232 prostanoid catabolic process")</f>
        <v>GO:0062232 prostanoid catabolic process</v>
      </c>
      <c r="C348" s="1" t="s">
        <v>1</v>
      </c>
      <c r="D348" s="7" t="str">
        <f>HYPERLINK("https://www.ebi.ac.uk/QuickGO/GTerm?id=GO:0009062","GO:0009062 fatty acid catabolic process")</f>
        <v>GO:0009062 fatty acid catabolic process</v>
      </c>
      <c r="E348" s="1" t="s">
        <v>2</v>
      </c>
      <c r="F348" s="1" t="s">
        <v>339</v>
      </c>
      <c r="G348" s="8"/>
    </row>
    <row r="349" spans="1:7" ht="24.75" customHeight="1" x14ac:dyDescent="0.2">
      <c r="A349" s="6">
        <v>364</v>
      </c>
      <c r="B349" s="7" t="str">
        <f>HYPERLINK("https://www.ebi.ac.uk/QuickGO/GTerm?id=GO:0060536","GO:0060536 cartilage morphogenesis")</f>
        <v>GO:0060536 cartilage morphogenesis</v>
      </c>
      <c r="C349" s="1" t="s">
        <v>4</v>
      </c>
      <c r="D349" s="7" t="str">
        <f>HYPERLINK("https://www.ebi.ac.uk/QuickGO/GTerm?id=GO:0048705","GO:0048705 skeletal system morphogenesis")</f>
        <v>GO:0048705 skeletal system morphogenesis</v>
      </c>
      <c r="E349" s="1" t="s">
        <v>2</v>
      </c>
      <c r="F349" s="1" t="s">
        <v>340</v>
      </c>
      <c r="G349" s="8"/>
    </row>
    <row r="350" spans="1:7" ht="24.75" customHeight="1" x14ac:dyDescent="0.2">
      <c r="A350" s="6">
        <v>365</v>
      </c>
      <c r="B350" s="7" t="str">
        <f>HYPERLINK("https://www.ebi.ac.uk/QuickGO/GTerm?id=GO:0097384","GO:0097384 cellular lipid biosynthetic process")</f>
        <v>GO:0097384 cellular lipid biosynthetic process</v>
      </c>
      <c r="C350" s="1" t="s">
        <v>1</v>
      </c>
      <c r="D350" s="7" t="str">
        <f>HYPERLINK("https://www.ebi.ac.uk/QuickGO/GTerm?id=GO:0044249","GO:0044249 cellular biosynthetic process")</f>
        <v>GO:0044249 cellular biosynthetic process</v>
      </c>
      <c r="E350" s="1" t="s">
        <v>2</v>
      </c>
      <c r="F350" s="1" t="s">
        <v>341</v>
      </c>
      <c r="G350" s="8"/>
    </row>
    <row r="351" spans="1:7" ht="24.75" customHeight="1" x14ac:dyDescent="0.2">
      <c r="A351" s="6">
        <v>366</v>
      </c>
      <c r="B351" s="7" t="str">
        <f>HYPERLINK("https://www.ebi.ac.uk/QuickGO/GTerm?id=GO:0106077","GO:0106077 histone succinylation")</f>
        <v>GO:0106077 histone succinylation</v>
      </c>
      <c r="C351" s="1" t="s">
        <v>1</v>
      </c>
      <c r="D351" s="7" t="str">
        <f>HYPERLINK("https://www.ebi.ac.uk/QuickGO/GTerm?id=GO:0016570","GO:0016570 histone modification")</f>
        <v>GO:0016570 histone modification</v>
      </c>
      <c r="E351" s="1" t="s">
        <v>2</v>
      </c>
      <c r="F351" s="1" t="s">
        <v>342</v>
      </c>
      <c r="G351" s="8"/>
    </row>
    <row r="352" spans="1:7" ht="24.75" customHeight="1" x14ac:dyDescent="0.2">
      <c r="A352" s="6">
        <v>367</v>
      </c>
      <c r="B352" s="7" t="str">
        <f>HYPERLINK("https://www.ebi.ac.uk/QuickGO/GTerm?id=GO:0018895","GO:0018895 dibenzothiophene metabolic process")</f>
        <v>GO:0018895 dibenzothiophene metabolic process</v>
      </c>
      <c r="C352" s="1" t="s">
        <v>1</v>
      </c>
      <c r="D352" s="7" t="str">
        <f>HYPERLINK("https://www.ebi.ac.uk/QuickGO/GTerm?id=GO:0006805","GO:0006805 xenobiotic metabolic process")</f>
        <v>GO:0006805 xenobiotic metabolic process</v>
      </c>
      <c r="E352" s="1" t="s">
        <v>2</v>
      </c>
      <c r="F352" s="1" t="s">
        <v>343</v>
      </c>
      <c r="G352" s="8"/>
    </row>
    <row r="353" spans="1:7" ht="24.75" customHeight="1" x14ac:dyDescent="0.2">
      <c r="A353" s="6">
        <v>368</v>
      </c>
      <c r="B353" s="7" t="str">
        <f>HYPERLINK("https://www.ebi.ac.uk/QuickGO/GTerm?id=GO:0010032","GO:0010032 meiotic chromosome condensation")</f>
        <v>GO:0010032 meiotic chromosome condensation</v>
      </c>
      <c r="C353" s="1" t="s">
        <v>4</v>
      </c>
      <c r="D353" s="7" t="str">
        <f>HYPERLINK("https://www.ebi.ac.uk/QuickGO/GTerm?id=GO:0045144","GO:0045144 meiotic sister chromatid segregation")</f>
        <v>GO:0045144 meiotic sister chromatid segregation</v>
      </c>
      <c r="E353" s="1" t="s">
        <v>2</v>
      </c>
      <c r="F353" s="1" t="s">
        <v>344</v>
      </c>
      <c r="G353" s="8"/>
    </row>
    <row r="354" spans="1:7" ht="24.75" customHeight="1" x14ac:dyDescent="0.2">
      <c r="A354" s="6">
        <v>369</v>
      </c>
      <c r="B354" s="7" t="str">
        <f>HYPERLINK("https://www.ebi.ac.uk/QuickGO/GTerm?id=GO:0006712","GO:0006712 mineralocorticoid catabolic process")</f>
        <v>GO:0006712 mineralocorticoid catabolic process</v>
      </c>
      <c r="C354" s="1" t="s">
        <v>1</v>
      </c>
      <c r="D354" s="7" t="str">
        <f>HYPERLINK("https://www.ebi.ac.uk/QuickGO/GTerm?id=GO:0044248","GO:0044248 cellular catabolic process")</f>
        <v>GO:0044248 cellular catabolic process</v>
      </c>
      <c r="E354" s="9" t="s">
        <v>2</v>
      </c>
      <c r="F354" s="1" t="s">
        <v>345</v>
      </c>
      <c r="G354" s="8"/>
    </row>
    <row r="355" spans="1:7" ht="24.75" customHeight="1" x14ac:dyDescent="0.2">
      <c r="A355" s="6">
        <v>370</v>
      </c>
      <c r="B355" s="7" t="str">
        <f>HYPERLINK("https://www.ebi.ac.uk/QuickGO/GTerm?id=GO:0019262","GO:0019262 N-acetylneuraminate catabolic process")</f>
        <v>GO:0019262 N-acetylneuraminate catabolic process</v>
      </c>
      <c r="C355" s="1" t="s">
        <v>1</v>
      </c>
      <c r="D355" s="7" t="str">
        <f>HYPERLINK("https://www.ebi.ac.uk/QuickGO/GTerm?id=GO:0043605","GO:0043605 cellular amide catabolic process")</f>
        <v>GO:0043605 cellular amide catabolic process</v>
      </c>
      <c r="E355" s="1" t="s">
        <v>2</v>
      </c>
      <c r="F355" s="1" t="s">
        <v>346</v>
      </c>
      <c r="G355" s="8"/>
    </row>
    <row r="356" spans="1:7" ht="24.75" customHeight="1" x14ac:dyDescent="0.2">
      <c r="A356" s="6">
        <v>371</v>
      </c>
      <c r="B356" s="7" t="str">
        <f>HYPERLINK("https://www.ebi.ac.uk/QuickGO/GTerm?id=GO:1901606","GO:1901606 alpha-amino acid catabolic process")</f>
        <v>GO:1901606 alpha-amino acid catabolic process</v>
      </c>
      <c r="C356" s="1" t="s">
        <v>1</v>
      </c>
      <c r="D356" s="7" t="str">
        <f>HYPERLINK("https://www.ebi.ac.uk/QuickGO/GTerm?id=GO:0009063","GO:0009063 cellular amino acid catabolic process")</f>
        <v>GO:0009063 cellular amino acid catabolic process</v>
      </c>
      <c r="E356" s="1" t="s">
        <v>2</v>
      </c>
      <c r="F356" s="1" t="s">
        <v>347</v>
      </c>
      <c r="G356" s="8"/>
    </row>
    <row r="357" spans="1:7" ht="24.75" customHeight="1" x14ac:dyDescent="0.2">
      <c r="A357" s="6">
        <v>372</v>
      </c>
      <c r="B357" s="7" t="str">
        <f>HYPERLINK("https://www.ebi.ac.uk/QuickGO/GTerm?id=GO:0071071","GO:0071071 regulation of phospholipid biosynthetic process")</f>
        <v>GO:0071071 regulation of phospholipid biosynthetic process</v>
      </c>
      <c r="C357" s="1" t="s">
        <v>20</v>
      </c>
      <c r="D357" s="7" t="str">
        <f>HYPERLINK("https://www.ebi.ac.uk/QuickGO/GTerm?id=GO:0097384","GO:0097384 cellular lipid biosynthetic process")</f>
        <v>GO:0097384 cellular lipid biosynthetic process</v>
      </c>
      <c r="E357" s="1" t="s">
        <v>2</v>
      </c>
      <c r="F357" s="1" t="s">
        <v>348</v>
      </c>
      <c r="G357" s="8"/>
    </row>
    <row r="358" spans="1:7" ht="24.75" customHeight="1" x14ac:dyDescent="0.2">
      <c r="A358" s="6">
        <v>373</v>
      </c>
      <c r="B358" s="7" t="str">
        <f>HYPERLINK("https://www.ebi.ac.uk/QuickGO/GTerm?id=GO:0010130","GO:0010130 anaerobic ethylbenzene catabolic process")</f>
        <v>GO:0010130 anaerobic ethylbenzene catabolic process</v>
      </c>
      <c r="C358" s="1" t="s">
        <v>1</v>
      </c>
      <c r="D358" s="7" t="str">
        <f>HYPERLINK("https://www.ebi.ac.uk/QuickGO/GTerm?id=GO:0044248","GO:0044248 cellular catabolic process")</f>
        <v>GO:0044248 cellular catabolic process</v>
      </c>
      <c r="E358" s="1" t="s">
        <v>2</v>
      </c>
      <c r="F358" s="1" t="s">
        <v>349</v>
      </c>
      <c r="G358" s="8"/>
    </row>
    <row r="359" spans="1:7" ht="24.75" customHeight="1" x14ac:dyDescent="0.2">
      <c r="A359" s="6">
        <v>374</v>
      </c>
      <c r="B359" s="7" t="str">
        <f>HYPERLINK("https://www.ebi.ac.uk/QuickGO/GTerm?id=GO:1905448","GO:1905448 positive regulation of mitochondrial ATP synthesis coupled electron transport")</f>
        <v>GO:1905448 positive regulation of mitochondrial ATP synthesis coupled electron transport</v>
      </c>
      <c r="C359" s="1" t="s">
        <v>1</v>
      </c>
      <c r="D359" s="7" t="str">
        <f>HYPERLINK("https://www.ebi.ac.uk/QuickGO/GTerm?id=GO:1903862","GO:1903862 positive regulation of oxidative phosphorylation")</f>
        <v>GO:1903862 positive regulation of oxidative phosphorylation</v>
      </c>
      <c r="E359" s="1" t="s">
        <v>2</v>
      </c>
      <c r="F359" s="1" t="s">
        <v>350</v>
      </c>
      <c r="G359" s="8"/>
    </row>
    <row r="360" spans="1:7" ht="24.75" customHeight="1" x14ac:dyDescent="0.2">
      <c r="A360" s="6">
        <v>375</v>
      </c>
      <c r="B360" s="7" t="str">
        <f>HYPERLINK("https://www.ebi.ac.uk/QuickGO/GTerm?id=GO:0030225","GO:0030225 macrophage differentiation")</f>
        <v>GO:0030225 macrophage differentiation</v>
      </c>
      <c r="C360" s="1" t="s">
        <v>1</v>
      </c>
      <c r="D360" s="7" t="str">
        <f>HYPERLINK("https://www.ebi.ac.uk/QuickGO/GTerm?id=GO:0042116","GO:0042116 macrophage activation")</f>
        <v>GO:0042116 macrophage activation</v>
      </c>
      <c r="E360" s="1" t="s">
        <v>2</v>
      </c>
      <c r="F360" s="1" t="s">
        <v>351</v>
      </c>
      <c r="G360" s="8"/>
    </row>
    <row r="361" spans="1:7" ht="24.75" customHeight="1" x14ac:dyDescent="0.2">
      <c r="A361" s="6">
        <v>376</v>
      </c>
      <c r="B361" s="7" t="str">
        <f>HYPERLINK("https://www.ebi.ac.uk/QuickGO/GTerm?id=GO:0035675","GO:0035675 neuromast hair cell development")</f>
        <v>GO:0035675 neuromast hair cell development</v>
      </c>
      <c r="C361" s="1" t="s">
        <v>1</v>
      </c>
      <c r="D361" s="7" t="str">
        <f>HYPERLINK("https://www.ebi.ac.uk/QuickGO/GTerm?id=GO:0002064","GO:0002064 epithelial cell development")</f>
        <v>GO:0002064 epithelial cell development</v>
      </c>
      <c r="E361" s="1" t="s">
        <v>2</v>
      </c>
      <c r="F361" s="1" t="s">
        <v>352</v>
      </c>
      <c r="G361" s="8"/>
    </row>
    <row r="362" spans="1:7" ht="24.75" customHeight="1" x14ac:dyDescent="0.2">
      <c r="A362" s="6">
        <v>377</v>
      </c>
      <c r="B362" s="7" t="str">
        <f>HYPERLINK("https://www.ebi.ac.uk/QuickGO/GTerm?id=GO:0001821","GO:0001821 histamine secretion")</f>
        <v>GO:0001821 histamine secretion</v>
      </c>
      <c r="C362" s="1" t="s">
        <v>1</v>
      </c>
      <c r="D362" s="7" t="str">
        <f>HYPERLINK("https://www.ebi.ac.uk/QuickGO/GTerm?id=GO:0007269","GO:0007269 neurotransmitter secretion")</f>
        <v>GO:0007269 neurotransmitter secretion</v>
      </c>
      <c r="E362" s="1" t="s">
        <v>2</v>
      </c>
      <c r="F362" s="1" t="s">
        <v>353</v>
      </c>
      <c r="G362" s="8"/>
    </row>
    <row r="363" spans="1:7" ht="24.75" customHeight="1" x14ac:dyDescent="0.2">
      <c r="A363" s="6">
        <v>378</v>
      </c>
      <c r="B363" s="7" t="str">
        <f>HYPERLINK("https://www.ebi.ac.uk/QuickGO/GTerm?id=GO:0036306","GO:0036306 embryonic heart tube elongation")</f>
        <v>GO:0036306 embryonic heart tube elongation</v>
      </c>
      <c r="C363" s="1" t="s">
        <v>4</v>
      </c>
      <c r="D363" s="7" t="str">
        <f>HYPERLINK("https://www.ebi.ac.uk/QuickGO/GTerm?id=GO:0003143","GO:0003143 embryonic heart tube morphogenesis")</f>
        <v>GO:0003143 embryonic heart tube morphogenesis</v>
      </c>
      <c r="E363" s="1" t="s">
        <v>2</v>
      </c>
      <c r="F363" s="1" t="s">
        <v>354</v>
      </c>
      <c r="G363" s="8"/>
    </row>
    <row r="364" spans="1:7" ht="24.75" customHeight="1" x14ac:dyDescent="0.2">
      <c r="A364" s="6">
        <v>379</v>
      </c>
      <c r="B364" s="7" t="str">
        <f>HYPERLINK("https://www.ebi.ac.uk/QuickGO/GTerm?id=GO:0009416","GO:0009416 response to light stimulus")</f>
        <v>GO:0009416 response to light stimulus</v>
      </c>
      <c r="C364" s="1" t="s">
        <v>1</v>
      </c>
      <c r="D364" s="7" t="str">
        <f>HYPERLINK("https://www.ebi.ac.uk/QuickGO/GTerm?id=GO:0009605","GO:0009605 response to external stimulus")</f>
        <v>GO:0009605 response to external stimulus</v>
      </c>
      <c r="E364" s="1" t="s">
        <v>2</v>
      </c>
      <c r="F364" s="1" t="s">
        <v>355</v>
      </c>
      <c r="G364" s="8"/>
    </row>
    <row r="365" spans="1:7" ht="24.75" customHeight="1" x14ac:dyDescent="0.2">
      <c r="A365" s="6">
        <v>380</v>
      </c>
      <c r="B365" s="7" t="str">
        <f>HYPERLINK("https://www.ebi.ac.uk/QuickGO/GTerm?id=GO:0097752","GO:0097752 regulation of DNA stability")</f>
        <v>GO:0097752 regulation of DNA stability</v>
      </c>
      <c r="C365" s="1" t="s">
        <v>1</v>
      </c>
      <c r="D365" s="7" t="str">
        <f>HYPERLINK("https://www.ebi.ac.uk/QuickGO/GTerm?id=GO:1903624","GO:1903624 regulation of DNA catabolic process")</f>
        <v>GO:1903624 regulation of DNA catabolic process</v>
      </c>
      <c r="E365" s="1" t="s">
        <v>2</v>
      </c>
      <c r="F365" s="1" t="s">
        <v>356</v>
      </c>
      <c r="G365" s="8"/>
    </row>
    <row r="366" spans="1:7" ht="24.75" customHeight="1" x14ac:dyDescent="0.2">
      <c r="A366" s="6">
        <v>381</v>
      </c>
      <c r="B366" s="7" t="str">
        <f>HYPERLINK("https://www.ebi.ac.uk/QuickGO/GTerm?id=GO:2000951","GO:2000951 regulation of xyloglucan catabolic process")</f>
        <v>GO:2000951 regulation of xyloglucan catabolic process</v>
      </c>
      <c r="C366" s="1" t="s">
        <v>1</v>
      </c>
      <c r="D366" s="7" t="str">
        <f>HYPERLINK("https://www.ebi.ac.uk/QuickGO/GTerm?id=GO:0043471","GO:0043471 regulation of cellular carbohydrate catabolic process")</f>
        <v>GO:0043471 regulation of cellular carbohydrate catabolic process</v>
      </c>
      <c r="E366" s="1" t="s">
        <v>2</v>
      </c>
      <c r="F366" s="1" t="s">
        <v>357</v>
      </c>
      <c r="G366" s="8"/>
    </row>
    <row r="367" spans="1:7" ht="24.75" customHeight="1" x14ac:dyDescent="0.2">
      <c r="A367" s="6">
        <v>382</v>
      </c>
      <c r="B367" s="7" t="str">
        <f>HYPERLINK("https://www.ebi.ac.uk/QuickGO/GTerm?id=GO:0014856","GO:0014856 skeletal muscle cell proliferation")</f>
        <v>GO:0014856 skeletal muscle cell proliferation</v>
      </c>
      <c r="C367" s="1" t="s">
        <v>4</v>
      </c>
      <c r="D367" s="7" t="str">
        <f>HYPERLINK("https://www.ebi.ac.uk/QuickGO/GTerm?id=GO:0048630","GO:0048630 skeletal muscle tissue growth")</f>
        <v>GO:0048630 skeletal muscle tissue growth</v>
      </c>
      <c r="E367" s="1" t="s">
        <v>2</v>
      </c>
      <c r="F367" s="1" t="s">
        <v>358</v>
      </c>
      <c r="G367" s="8"/>
    </row>
    <row r="368" spans="1:7" ht="24.75" customHeight="1" x14ac:dyDescent="0.2">
      <c r="A368" s="6">
        <v>383</v>
      </c>
      <c r="B368" s="7" t="str">
        <f>HYPERLINK("https://www.ebi.ac.uk/QuickGO/GTerm?id=GO:0060658","GO:0060658 nipple morphogenesis")</f>
        <v>GO:0060658 nipple morphogenesis</v>
      </c>
      <c r="C368" s="1" t="s">
        <v>4</v>
      </c>
      <c r="D368" s="7" t="str">
        <f>HYPERLINK("https://www.ebi.ac.uk/QuickGO/GTerm?id=GO:0060443","GO:0060443 mammary gland morphogenesis")</f>
        <v>GO:0060443 mammary gland morphogenesis</v>
      </c>
      <c r="E368" s="1" t="s">
        <v>2</v>
      </c>
      <c r="F368" s="1" t="s">
        <v>359</v>
      </c>
      <c r="G368" s="8"/>
    </row>
    <row r="369" spans="1:7" ht="24.75" customHeight="1" x14ac:dyDescent="0.2">
      <c r="A369" s="6">
        <v>384</v>
      </c>
      <c r="B369" s="7" t="str">
        <f>HYPERLINK("https://www.ebi.ac.uk/QuickGO/GTerm?id=GO:0070486","GO:0070486 leukocyte aggregation")</f>
        <v>GO:0070486 leukocyte aggregation</v>
      </c>
      <c r="C369" s="1" t="s">
        <v>1</v>
      </c>
      <c r="D369" s="7" t="str">
        <f>HYPERLINK("https://www.ebi.ac.uk/QuickGO/GTerm?id=GO:0098743","GO:0098743 cell aggregation")</f>
        <v>GO:0098743 cell aggregation</v>
      </c>
      <c r="E369" s="1" t="s">
        <v>2</v>
      </c>
      <c r="F369" s="1" t="s">
        <v>360</v>
      </c>
      <c r="G369" s="8"/>
    </row>
    <row r="370" spans="1:7" ht="24.75" customHeight="1" x14ac:dyDescent="0.2">
      <c r="A370" s="6">
        <v>385</v>
      </c>
      <c r="B370" s="7" t="str">
        <f>HYPERLINK("https://www.ebi.ac.uk/QuickGO/GTerm?id=GO:0048382","GO:0048382 mesendoderm development")</f>
        <v>GO:0048382 mesendoderm development</v>
      </c>
      <c r="C370" s="1" t="s">
        <v>1</v>
      </c>
      <c r="D370" s="7" t="str">
        <f>HYPERLINK("https://www.ebi.ac.uk/QuickGO/GTerm?id=GO:0060429","GO:0060429 epithelium development")</f>
        <v>GO:0060429 epithelium development</v>
      </c>
      <c r="E370" s="1" t="s">
        <v>2</v>
      </c>
      <c r="F370" s="1" t="s">
        <v>361</v>
      </c>
      <c r="G370" s="8"/>
    </row>
    <row r="371" spans="1:7" ht="24.75" customHeight="1" x14ac:dyDescent="0.2">
      <c r="A371" s="6">
        <v>386</v>
      </c>
      <c r="B371" s="7" t="str">
        <f>HYPERLINK("https://www.ebi.ac.uk/QuickGO/GTerm?id=GO:1904417","GO:1904417 positive regulation of xenophagy")</f>
        <v>GO:1904417 positive regulation of xenophagy</v>
      </c>
      <c r="C371" s="1" t="s">
        <v>1</v>
      </c>
      <c r="D371" s="7" t="str">
        <f>HYPERLINK("https://www.ebi.ac.uk/QuickGO/GTerm?id=GO:0002833","GO:0002833 positive regulation of response to biotic stimulus")</f>
        <v>GO:0002833 positive regulation of response to biotic stimulus</v>
      </c>
      <c r="E371" s="1" t="s">
        <v>2</v>
      </c>
      <c r="F371" s="1" t="s">
        <v>362</v>
      </c>
      <c r="G371" s="8"/>
    </row>
    <row r="372" spans="1:7" ht="24.75" customHeight="1" x14ac:dyDescent="0.2">
      <c r="A372" s="6">
        <v>387</v>
      </c>
      <c r="B372" s="7" t="str">
        <f>HYPERLINK("https://www.ebi.ac.uk/QuickGO/GTerm?id=GO:0046463","GO:0046463 acylglycerol biosynthetic process")</f>
        <v>GO:0046463 acylglycerol biosynthetic process</v>
      </c>
      <c r="C372" s="1" t="s">
        <v>1</v>
      </c>
      <c r="D372" s="7" t="str">
        <f>HYPERLINK("https://www.ebi.ac.uk/QuickGO/GTerm?id=GO:0097384","GO:0097384 cellular lipid biosynthetic process")</f>
        <v>GO:0097384 cellular lipid biosynthetic process</v>
      </c>
      <c r="E372" s="1" t="s">
        <v>2</v>
      </c>
      <c r="F372" s="1" t="s">
        <v>363</v>
      </c>
      <c r="G372" s="8"/>
    </row>
    <row r="373" spans="1:7" ht="24.75" customHeight="1" x14ac:dyDescent="0.2">
      <c r="A373" s="6">
        <v>388</v>
      </c>
      <c r="B373" s="7" t="str">
        <f>HYPERLINK("https://www.ebi.ac.uk/QuickGO/GTerm?id=GO:1901886","GO:1901886 2-hydroxybenzoyl-CoA catabolic process")</f>
        <v>GO:1901886 2-hydroxybenzoyl-CoA catabolic process</v>
      </c>
      <c r="C373" s="1" t="s">
        <v>1</v>
      </c>
      <c r="D373" s="7" t="str">
        <f>HYPERLINK("https://www.ebi.ac.uk/QuickGO/GTerm?id=GO:0043605","GO:0043605 cellular amide catabolic process")</f>
        <v>GO:0043605 cellular amide catabolic process</v>
      </c>
      <c r="E373" s="1" t="s">
        <v>2</v>
      </c>
      <c r="F373" s="1" t="s">
        <v>364</v>
      </c>
      <c r="G373" s="8"/>
    </row>
    <row r="374" spans="1:7" ht="24.75" customHeight="1" x14ac:dyDescent="0.2">
      <c r="A374" s="6">
        <v>389</v>
      </c>
      <c r="B374" s="7" t="str">
        <f>HYPERLINK("https://www.ebi.ac.uk/QuickGO/GTerm?id=GO:0003165","GO:0003165 Purkinje myocyte development")</f>
        <v>GO:0003165 Purkinje myocyte development</v>
      </c>
      <c r="C374" s="1" t="s">
        <v>1</v>
      </c>
      <c r="D374" s="7" t="str">
        <f>HYPERLINK("https://www.ebi.ac.uk/QuickGO/GTerm?id=GO:0055001","GO:0055001 muscle cell development")</f>
        <v>GO:0055001 muscle cell development</v>
      </c>
      <c r="E374" s="1" t="s">
        <v>2</v>
      </c>
      <c r="F374" s="1" t="s">
        <v>365</v>
      </c>
      <c r="G374" s="8"/>
    </row>
    <row r="375" spans="1:7" ht="24.75" customHeight="1" x14ac:dyDescent="0.2">
      <c r="A375" s="6">
        <v>390</v>
      </c>
      <c r="B375" s="7" t="str">
        <f>HYPERLINK("https://www.ebi.ac.uk/QuickGO/GTerm?id=GO:1990573","GO:1990573 potassium ion import across plasma membrane")</f>
        <v>GO:1990573 potassium ion import across plasma membrane</v>
      </c>
      <c r="C375" s="1" t="s">
        <v>1</v>
      </c>
      <c r="D375" s="7" t="str">
        <f>HYPERLINK("https://www.ebi.ac.uk/QuickGO/GTerm?id=GO:0055075","GO:0055075 potassium ion homeostasis")</f>
        <v>GO:0055075 potassium ion homeostasis</v>
      </c>
      <c r="E375" s="1" t="s">
        <v>2</v>
      </c>
      <c r="F375" s="1" t="s">
        <v>366</v>
      </c>
      <c r="G375" s="8"/>
    </row>
    <row r="376" spans="1:7" ht="24.75" customHeight="1" x14ac:dyDescent="0.2">
      <c r="A376" s="6">
        <v>391</v>
      </c>
      <c r="B376" s="7" t="str">
        <f>HYPERLINK("https://www.ebi.ac.uk/QuickGO/GTerm?id=GO:0009852","GO:0009852 auxin catabolic process")</f>
        <v>GO:0009852 auxin catabolic process</v>
      </c>
      <c r="C376" s="1" t="s">
        <v>1</v>
      </c>
      <c r="D376" s="7" t="str">
        <f>HYPERLINK("https://www.ebi.ac.uk/QuickGO/GTerm?id=GO:0044248","GO:0044248 cellular catabolic process")</f>
        <v>GO:0044248 cellular catabolic process</v>
      </c>
      <c r="E376" s="1" t="s">
        <v>2</v>
      </c>
      <c r="F376" s="1" t="s">
        <v>367</v>
      </c>
      <c r="G376" s="8"/>
    </row>
    <row r="377" spans="1:7" ht="24.75" customHeight="1" x14ac:dyDescent="0.2">
      <c r="A377" s="6">
        <v>392</v>
      </c>
      <c r="B377" s="7" t="str">
        <f>HYPERLINK("https://www.ebi.ac.uk/QuickGO/GTerm?id=GO:0042987","GO:0042987 amyloid precursor protein catabolic process")</f>
        <v>GO:0042987 amyloid precursor protein catabolic process</v>
      </c>
      <c r="C377" s="1" t="s">
        <v>1</v>
      </c>
      <c r="D377" s="7" t="str">
        <f>HYPERLINK("https://www.ebi.ac.uk/QuickGO/GTerm?id=GO:0009057","GO:0009057 macromolecule catabolic process")</f>
        <v>GO:0009057 macromolecule catabolic process</v>
      </c>
      <c r="E377" s="1" t="s">
        <v>2</v>
      </c>
      <c r="F377" s="1" t="s">
        <v>368</v>
      </c>
      <c r="G377" s="8"/>
    </row>
    <row r="378" spans="1:7" ht="24.75" customHeight="1" x14ac:dyDescent="0.2">
      <c r="A378" s="6">
        <v>393</v>
      </c>
      <c r="B378" s="7" t="str">
        <f>HYPERLINK("https://www.ebi.ac.uk/QuickGO/GTerm?id=GO:1901541","GO:1901541 ent-pimara-8(14),15-diene biosynthetic process")</f>
        <v>GO:1901541 ent-pimara-8(14),15-diene biosynthetic process</v>
      </c>
      <c r="C378" s="1" t="s">
        <v>1</v>
      </c>
      <c r="D378" s="7" t="str">
        <f>HYPERLINK("https://www.ebi.ac.uk/QuickGO/GTerm?id=GO:0097384","GO:0097384 cellular lipid biosynthetic process")</f>
        <v>GO:0097384 cellular lipid biosynthetic process</v>
      </c>
      <c r="E378" s="1" t="s">
        <v>2</v>
      </c>
      <c r="F378" s="1" t="s">
        <v>369</v>
      </c>
      <c r="G378" s="8"/>
    </row>
    <row r="379" spans="1:7" ht="24.75" customHeight="1" x14ac:dyDescent="0.2">
      <c r="A379" s="6">
        <v>394</v>
      </c>
      <c r="B379" s="7" t="str">
        <f>HYPERLINK("https://www.ebi.ac.uk/QuickGO/GTerm?id=GO:0072102","GO:0072102 glomerulus morphogenesis")</f>
        <v>GO:0072102 glomerulus morphogenesis</v>
      </c>
      <c r="C379" s="1" t="s">
        <v>4</v>
      </c>
      <c r="D379" s="7" t="str">
        <f>HYPERLINK("https://www.ebi.ac.uk/QuickGO/GTerm?id=GO:0072028","GO:0072028 nephron morphogenesis")</f>
        <v>GO:0072028 nephron morphogenesis</v>
      </c>
      <c r="E379" s="1" t="s">
        <v>2</v>
      </c>
      <c r="F379" s="1" t="s">
        <v>370</v>
      </c>
      <c r="G379" s="8"/>
    </row>
    <row r="380" spans="1:7" ht="24.75" customHeight="1" x14ac:dyDescent="0.2">
      <c r="A380" s="6">
        <v>395</v>
      </c>
      <c r="B380" s="7" t="str">
        <f>HYPERLINK("https://www.ebi.ac.uk/QuickGO/GTerm?id=GO:0051138","GO:0051138 positive regulation of NK T cell differentiation")</f>
        <v>GO:0051138 positive regulation of NK T cell differentiation</v>
      </c>
      <c r="C380" s="1" t="s">
        <v>1</v>
      </c>
      <c r="D380" s="7" t="str">
        <f>HYPERLINK("https://www.ebi.ac.uk/QuickGO/GTerm?id=GO:0051135","GO:0051135 positive regulation of NK T cell activation")</f>
        <v>GO:0051135 positive regulation of NK T cell activation</v>
      </c>
      <c r="E380" s="1" t="s">
        <v>2</v>
      </c>
      <c r="F380" s="1" t="s">
        <v>351</v>
      </c>
      <c r="G380" s="8"/>
    </row>
    <row r="381" spans="1:7" ht="24.75" customHeight="1" x14ac:dyDescent="0.2">
      <c r="A381" s="6">
        <v>396</v>
      </c>
      <c r="B381" s="7" t="str">
        <f>HYPERLINK("https://www.ebi.ac.uk/QuickGO/GTerm?id=GO:0035138","GO:0035138 pectoral fin morphogenesis")</f>
        <v>GO:0035138 pectoral fin morphogenesis</v>
      </c>
      <c r="C381" s="1" t="s">
        <v>1</v>
      </c>
      <c r="D381" s="7" t="str">
        <f>HYPERLINK("https://www.ebi.ac.uk/QuickGO/GTerm?id=GO:0035108","GO:0035108 limb morphogenesis")</f>
        <v>GO:0035108 limb morphogenesis</v>
      </c>
      <c r="E381" s="1" t="s">
        <v>2</v>
      </c>
      <c r="F381" s="1" t="s">
        <v>371</v>
      </c>
      <c r="G381" s="8"/>
    </row>
    <row r="382" spans="1:7" ht="24.75" customHeight="1" x14ac:dyDescent="0.2">
      <c r="A382" s="6">
        <v>397</v>
      </c>
      <c r="B382" s="7" t="str">
        <f>HYPERLINK("https://www.ebi.ac.uk/QuickGO/GTerm?id=GO:0005244","GO:0005244 voltage-gated ion channel activity")</f>
        <v>GO:0005244 voltage-gated ion channel activity</v>
      </c>
      <c r="C382" s="1" t="s">
        <v>1</v>
      </c>
      <c r="D382" s="7" t="str">
        <f>HYPERLINK("https://www.ebi.ac.uk/QuickGO/GTerm?id=GO:0005216","GO:0005216 ion channel activity")</f>
        <v>GO:0005216 ion channel activity</v>
      </c>
      <c r="E382" s="9" t="s">
        <v>2</v>
      </c>
      <c r="F382" s="1" t="s">
        <v>372</v>
      </c>
      <c r="G382" s="8"/>
    </row>
    <row r="383" spans="1:7" ht="24.75" customHeight="1" x14ac:dyDescent="0.2">
      <c r="A383" s="6">
        <v>398</v>
      </c>
      <c r="B383" s="7" t="str">
        <f>HYPERLINK("https://www.ebi.ac.uk/QuickGO/GTerm?id=GO:1901788","GO:1901788 benzoyl-CoA catabolic process")</f>
        <v>GO:1901788 benzoyl-CoA catabolic process</v>
      </c>
      <c r="C383" s="1" t="s">
        <v>1</v>
      </c>
      <c r="D383" s="7" t="str">
        <f>HYPERLINK("https://www.ebi.ac.uk/QuickGO/GTerm?id=GO:0043605","GO:0043605 cellular amide catabolic process")</f>
        <v>GO:0043605 cellular amide catabolic process</v>
      </c>
      <c r="E383" s="1" t="s">
        <v>2</v>
      </c>
      <c r="F383" s="1" t="s">
        <v>373</v>
      </c>
      <c r="G383" s="8"/>
    </row>
    <row r="384" spans="1:7" ht="24.75" customHeight="1" x14ac:dyDescent="0.2">
      <c r="A384" s="6">
        <v>399</v>
      </c>
      <c r="B384" s="7" t="str">
        <f>HYPERLINK("https://www.ebi.ac.uk/QuickGO/GTerm?id=GO:0071682","GO:0071682 endocytic vesicle lumen")</f>
        <v>GO:0071682 endocytic vesicle lumen</v>
      </c>
      <c r="C384" s="1" t="s">
        <v>1</v>
      </c>
      <c r="D384" s="7" t="str">
        <f>HYPERLINK("https://www.ebi.ac.uk/QuickGO/GTerm?id=GO:0060205","GO:0060205 cytoplasmic vesicle lumen")</f>
        <v>GO:0060205 cytoplasmic vesicle lumen</v>
      </c>
      <c r="E384" s="1" t="s">
        <v>2</v>
      </c>
      <c r="F384" s="1" t="s">
        <v>374</v>
      </c>
      <c r="G384" s="8"/>
    </row>
    <row r="385" spans="1:7" ht="24.75" customHeight="1" x14ac:dyDescent="0.2">
      <c r="A385" s="6">
        <v>400</v>
      </c>
      <c r="B385" s="7" t="str">
        <f>HYPERLINK("https://www.ebi.ac.uk/QuickGO/GTerm?id=GO:0052553","GO:0052553 modulation by symbiont of host immune response")</f>
        <v>GO:0052553 modulation by symbiont of host immune response</v>
      </c>
      <c r="C385" s="1" t="s">
        <v>1</v>
      </c>
      <c r="D385" s="7" t="str">
        <f>HYPERLINK("https://www.ebi.ac.uk/QuickGO/GTerm?id=GO:0044068","GO:0044068 modulation by symbiont of host cellular process")</f>
        <v>GO:0044068 modulation by symbiont of host cellular process</v>
      </c>
      <c r="E385" s="1" t="s">
        <v>2</v>
      </c>
      <c r="F385" s="1" t="s">
        <v>375</v>
      </c>
      <c r="G385" s="8"/>
    </row>
    <row r="386" spans="1:7" ht="24.75" customHeight="1" x14ac:dyDescent="0.2">
      <c r="A386" s="6">
        <v>401</v>
      </c>
      <c r="B386" s="7" t="str">
        <f>HYPERLINK("https://www.ebi.ac.uk/QuickGO/GTerm?id=GO:0071391","GO:0071391 cellular response to estrogen stimulus")</f>
        <v>GO:0071391 cellular response to estrogen stimulus</v>
      </c>
      <c r="C386" s="1" t="s">
        <v>1</v>
      </c>
      <c r="D386" s="7" t="str">
        <f>HYPERLINK("https://www.ebi.ac.uk/QuickGO/GTerm?id=GO:0071383","GO:0071383 cellular response to steroid hormone stimulus")</f>
        <v>GO:0071383 cellular response to steroid hormone stimulus</v>
      </c>
      <c r="E386" s="1" t="s">
        <v>2</v>
      </c>
      <c r="F386" s="1" t="s">
        <v>376</v>
      </c>
      <c r="G386" s="8"/>
    </row>
    <row r="387" spans="1:7" ht="24.75" customHeight="1" x14ac:dyDescent="0.2">
      <c r="A387" s="6">
        <v>402</v>
      </c>
      <c r="B387" s="7" t="str">
        <f>HYPERLINK("https://www.ebi.ac.uk/QuickGO/GTerm?id=GO:0003160","GO:0003160 endocardium morphogenesis")</f>
        <v>GO:0003160 endocardium morphogenesis</v>
      </c>
      <c r="C387" s="1" t="s">
        <v>4</v>
      </c>
      <c r="D387" s="7" t="str">
        <f>HYPERLINK("https://www.ebi.ac.uk/QuickGO/GTerm?id=GO:0003007","GO:0003007 heart morphogenesis")</f>
        <v>GO:0003007 heart morphogenesis</v>
      </c>
      <c r="E387" s="1" t="s">
        <v>2</v>
      </c>
      <c r="F387" s="1" t="s">
        <v>377</v>
      </c>
      <c r="G387" s="8"/>
    </row>
    <row r="388" spans="1:7" ht="24.75" customHeight="1" x14ac:dyDescent="0.2">
      <c r="A388" s="6">
        <v>403</v>
      </c>
      <c r="B388" s="7" t="str">
        <f>HYPERLINK("https://www.ebi.ac.uk/QuickGO/GTerm?id=GO:0006739","GO:0006739 NADP metabolic process")</f>
        <v>GO:0006739 NADP metabolic process</v>
      </c>
      <c r="C388" s="1" t="s">
        <v>1</v>
      </c>
      <c r="D388" s="7" t="str">
        <f>HYPERLINK("https://www.ebi.ac.uk/QuickGO/GTerm?id=GO:0046496","GO:0046496 nicotinamide nucleotide metabolic process")</f>
        <v>GO:0046496 nicotinamide nucleotide metabolic process</v>
      </c>
      <c r="E388" s="1" t="s">
        <v>2</v>
      </c>
      <c r="F388" s="1" t="s">
        <v>378</v>
      </c>
      <c r="G388" s="8"/>
    </row>
    <row r="389" spans="1:7" ht="24.75" customHeight="1" x14ac:dyDescent="0.2">
      <c r="A389" s="6">
        <v>404</v>
      </c>
      <c r="B389" s="7" t="str">
        <f>HYPERLINK("https://www.ebi.ac.uk/QuickGO/GTerm?id=GO:0043300","GO:0043300 regulation of leukocyte degranulation")</f>
        <v>GO:0043300 regulation of leukocyte degranulation</v>
      </c>
      <c r="C389" s="1" t="s">
        <v>1</v>
      </c>
      <c r="D389" s="7" t="str">
        <f>HYPERLINK("https://www.ebi.ac.uk/QuickGO/GTerm?id=GO:0002694","GO:0002694 regulation of leukocyte activation")</f>
        <v>GO:0002694 regulation of leukocyte activation</v>
      </c>
      <c r="E389" s="1" t="s">
        <v>2</v>
      </c>
      <c r="F389" s="1" t="s">
        <v>379</v>
      </c>
      <c r="G389" s="8"/>
    </row>
    <row r="390" spans="1:7" ht="24.75" customHeight="1" x14ac:dyDescent="0.2">
      <c r="A390" s="6">
        <v>405</v>
      </c>
      <c r="B390" s="7" t="str">
        <f>HYPERLINK("https://www.ebi.ac.uk/QuickGO/GTerm?id=GO:0075041","GO:0075041 positive regulation of establishment of turgor in appressorium")</f>
        <v>GO:0075041 positive regulation of establishment of turgor in appressorium</v>
      </c>
      <c r="C390" s="1" t="s">
        <v>1</v>
      </c>
      <c r="D390" s="7" t="str">
        <f>HYPERLINK("https://www.ebi.ac.uk/QuickGO/GTerm?id=GO:0075037","GO:0075037 positive regulation of appressorium maturation")</f>
        <v>GO:0075037 positive regulation of appressorium maturation</v>
      </c>
      <c r="E390" s="1" t="s">
        <v>2</v>
      </c>
      <c r="F390" s="1" t="s">
        <v>380</v>
      </c>
      <c r="G390" s="8"/>
    </row>
    <row r="391" spans="1:7" ht="24.75" customHeight="1" x14ac:dyDescent="0.2">
      <c r="A391" s="6">
        <v>406</v>
      </c>
      <c r="B391" s="7" t="str">
        <f>HYPERLINK("https://www.ebi.ac.uk/QuickGO/GTerm?id=GO:2001015","GO:2001015 negative regulation of skeletal muscle cell differentiation")</f>
        <v>GO:2001015 negative regulation of skeletal muscle cell differentiation</v>
      </c>
      <c r="C391" s="1" t="s">
        <v>1</v>
      </c>
      <c r="D391" s="7" t="str">
        <f>HYPERLINK("https://www.ebi.ac.uk/QuickGO/GTerm?id=GO:0051154","GO:0051154 negative regulation of striated muscle cell differentiation")</f>
        <v>GO:0051154 negative regulation of striated muscle cell differentiation</v>
      </c>
      <c r="E391" s="1" t="s">
        <v>2</v>
      </c>
      <c r="F391" s="1" t="s">
        <v>381</v>
      </c>
      <c r="G391" s="8"/>
    </row>
    <row r="392" spans="1:7" ht="24.75" customHeight="1" x14ac:dyDescent="0.2">
      <c r="A392" s="6">
        <v>407</v>
      </c>
      <c r="B392" s="7" t="str">
        <f>HYPERLINK("https://www.ebi.ac.uk/QuickGO/GTerm?id=GO:1902005","GO:1902005 regulation of proline biosynthetic process")</f>
        <v>GO:1902005 regulation of proline biosynthetic process</v>
      </c>
      <c r="C392" s="1" t="s">
        <v>20</v>
      </c>
      <c r="D392" s="7" t="str">
        <f>HYPERLINK("https://www.ebi.ac.uk/QuickGO/GTerm?id=GO:0009309","GO:0009309 amine biosynthetic process")</f>
        <v>GO:0009309 amine biosynthetic process</v>
      </c>
      <c r="E392" s="1" t="s">
        <v>2</v>
      </c>
      <c r="F392" s="1" t="s">
        <v>382</v>
      </c>
      <c r="G392" s="8"/>
    </row>
    <row r="393" spans="1:7" ht="24.75" customHeight="1" x14ac:dyDescent="0.2">
      <c r="A393" s="6">
        <v>408</v>
      </c>
      <c r="B393" s="7" t="str">
        <f>HYPERLINK("https://www.ebi.ac.uk/QuickGO/GTerm?id=GO:0035971","GO:0035971 peptidyl-histidine dephosphorylation")</f>
        <v>GO:0035971 peptidyl-histidine dephosphorylation</v>
      </c>
      <c r="C393" s="1" t="s">
        <v>1</v>
      </c>
      <c r="D393" s="7" t="str">
        <f>HYPERLINK("https://www.ebi.ac.uk/QuickGO/GTerm?id=GO:0018202","GO:0018202 peptidyl-histidine modification")</f>
        <v>GO:0018202 peptidyl-histidine modification</v>
      </c>
      <c r="E393" s="1" t="s">
        <v>2</v>
      </c>
      <c r="F393" s="1" t="s">
        <v>383</v>
      </c>
      <c r="G393" s="8"/>
    </row>
    <row r="394" spans="1:7" ht="24.75" customHeight="1" x14ac:dyDescent="0.2">
      <c r="A394" s="6">
        <v>409</v>
      </c>
      <c r="B394" s="7" t="str">
        <f>HYPERLINK("https://www.ebi.ac.uk/QuickGO/GTerm?id=GO:0032822","GO:0032822 positive regulation of natural killer cell proliferation involved in immune response")</f>
        <v>GO:0032822 positive regulation of natural killer cell proliferation involved in immune response</v>
      </c>
      <c r="C394" s="1" t="s">
        <v>1</v>
      </c>
      <c r="D394" s="7" t="str">
        <f>HYPERLINK("https://www.ebi.ac.uk/QuickGO/GTerm?id=GO:0050778","GO:0050778 positive regulation of immune response")</f>
        <v>GO:0050778 positive regulation of immune response</v>
      </c>
      <c r="E394" s="1" t="s">
        <v>2</v>
      </c>
      <c r="F394" s="1" t="s">
        <v>384</v>
      </c>
      <c r="G394" s="8"/>
    </row>
    <row r="395" spans="1:7" ht="24.75" customHeight="1" x14ac:dyDescent="0.2">
      <c r="A395" s="6">
        <v>410</v>
      </c>
      <c r="B395" s="7" t="str">
        <f>HYPERLINK("https://www.ebi.ac.uk/QuickGO/GTerm?id=GO:0006710","GO:0006710 androgen catabolic process")</f>
        <v>GO:0006710 androgen catabolic process</v>
      </c>
      <c r="C395" s="1" t="s">
        <v>1</v>
      </c>
      <c r="D395" s="7" t="str">
        <f>HYPERLINK("https://www.ebi.ac.uk/QuickGO/GTerm?id=GO:0044248","GO:0044248 cellular catabolic process")</f>
        <v>GO:0044248 cellular catabolic process</v>
      </c>
      <c r="E395" s="1" t="s">
        <v>2</v>
      </c>
      <c r="F395" s="1" t="s">
        <v>385</v>
      </c>
      <c r="G395" s="8"/>
    </row>
    <row r="396" spans="1:7" ht="24.75" customHeight="1" x14ac:dyDescent="0.2">
      <c r="A396" s="6">
        <v>411</v>
      </c>
      <c r="B396" s="7" t="str">
        <f>HYPERLINK("https://www.ebi.ac.uk/QuickGO/GTerm?id=GO:0043306","GO:0043306 positive regulation of mast cell degranulation")</f>
        <v>GO:0043306 positive regulation of mast cell degranulation</v>
      </c>
      <c r="C396" s="1" t="s">
        <v>1</v>
      </c>
      <c r="D396" s="7" t="str">
        <f>HYPERLINK("https://www.ebi.ac.uk/QuickGO/GTerm?id=GO:0002888","GO:0002888 positive regulation of myeloid leukocyte mediated immunity")</f>
        <v>GO:0002888 positive regulation of myeloid leukocyte mediated immunity</v>
      </c>
      <c r="E396" s="1" t="s">
        <v>2</v>
      </c>
      <c r="F396" s="1" t="s">
        <v>386</v>
      </c>
      <c r="G396" s="8"/>
    </row>
    <row r="397" spans="1:7" ht="24.75" customHeight="1" x14ac:dyDescent="0.2">
      <c r="A397" s="6">
        <v>412</v>
      </c>
      <c r="B397" s="7" t="str">
        <f>HYPERLINK("https://www.ebi.ac.uk/QuickGO/GTerm?id=GO:1902701","GO:1902701 pentose catabolic process to propan-2-ol")</f>
        <v>GO:1902701 pentose catabolic process to propan-2-ol</v>
      </c>
      <c r="C397" s="1" t="s">
        <v>1</v>
      </c>
      <c r="D397" s="7" t="str">
        <f>HYPERLINK("https://www.ebi.ac.uk/QuickGO/GTerm?id=GO:1902640","GO:1902640 propan-2-ol biosynthetic process")</f>
        <v>GO:1902640 propan-2-ol biosynthetic process</v>
      </c>
      <c r="E397" s="1" t="s">
        <v>2</v>
      </c>
      <c r="F397" s="1" t="s">
        <v>387</v>
      </c>
      <c r="G397" s="8"/>
    </row>
    <row r="398" spans="1:7" ht="24.75" customHeight="1" x14ac:dyDescent="0.2">
      <c r="A398" s="6">
        <v>413</v>
      </c>
      <c r="B398" s="7" t="str">
        <f>HYPERLINK("https://www.ebi.ac.uk/QuickGO/GTerm?id=GO:2000895","GO:2000895 hemicellulose catabolic process")</f>
        <v>GO:2000895 hemicellulose catabolic process</v>
      </c>
      <c r="C398" s="1" t="s">
        <v>1</v>
      </c>
      <c r="D398" s="7" t="str">
        <f>HYPERLINK("https://www.ebi.ac.uk/QuickGO/GTerm?id=GO:0044247","GO:0044247 cellular polysaccharide catabolic process")</f>
        <v>GO:0044247 cellular polysaccharide catabolic process</v>
      </c>
      <c r="E398" s="1" t="s">
        <v>2</v>
      </c>
      <c r="F398" s="1" t="s">
        <v>388</v>
      </c>
      <c r="G398" s="8"/>
    </row>
    <row r="399" spans="1:7" ht="24.75" customHeight="1" x14ac:dyDescent="0.2">
      <c r="A399" s="6">
        <v>414</v>
      </c>
      <c r="B399" s="7" t="str">
        <f>HYPERLINK("https://www.ebi.ac.uk/QuickGO/GTerm?id=GO:0030647","GO:0030647 aminoglycoside antibiotic metabolic process")</f>
        <v>GO:0030647 aminoglycoside antibiotic metabolic process</v>
      </c>
      <c r="C399" s="1" t="s">
        <v>1</v>
      </c>
      <c r="D399" s="7" t="str">
        <f>HYPERLINK("https://www.ebi.ac.uk/QuickGO/GTerm?id=GO:0016999","GO:0016999 antibiotic metabolic process")</f>
        <v>GO:0016999 antibiotic metabolic process</v>
      </c>
      <c r="E399" s="1" t="s">
        <v>2</v>
      </c>
      <c r="F399" s="1" t="s">
        <v>389</v>
      </c>
      <c r="G399" s="8"/>
    </row>
    <row r="400" spans="1:7" ht="24.75" customHeight="1" x14ac:dyDescent="0.2">
      <c r="A400" s="6">
        <v>415</v>
      </c>
      <c r="B400" s="7" t="str">
        <f>HYPERLINK("https://www.ebi.ac.uk/QuickGO/GTerm?id=GO:0018029","GO:0018029 peptidyl-lysine palmitoylation")</f>
        <v>GO:0018029 peptidyl-lysine palmitoylation</v>
      </c>
      <c r="C400" s="1" t="s">
        <v>1</v>
      </c>
      <c r="D400" s="7" t="str">
        <f>HYPERLINK("https://www.ebi.ac.uk/QuickGO/GTerm?id=GO:0018345","GO:0018345 protein palmitoylation")</f>
        <v>GO:0018345 protein palmitoylation</v>
      </c>
      <c r="E400" s="1" t="s">
        <v>2</v>
      </c>
      <c r="F400" s="1" t="s">
        <v>390</v>
      </c>
      <c r="G400" s="8"/>
    </row>
    <row r="401" spans="1:7" ht="24.75" customHeight="1" x14ac:dyDescent="0.2">
      <c r="A401" s="6">
        <v>416</v>
      </c>
      <c r="B401" s="7" t="str">
        <f>HYPERLINK("https://www.ebi.ac.uk/QuickGO/GTerm?id=GO:0090460","GO:0090460 threonine homeostasis")</f>
        <v>GO:0090460 threonine homeostasis</v>
      </c>
      <c r="C401" s="1" t="s">
        <v>1</v>
      </c>
      <c r="D401" s="7" t="str">
        <f>HYPERLINK("https://www.ebi.ac.uk/QuickGO/GTerm?id=GO:0055081","GO:0055081 anion homeostasis")</f>
        <v>GO:0055081 anion homeostasis</v>
      </c>
      <c r="E401" s="1" t="s">
        <v>2</v>
      </c>
      <c r="F401" s="1" t="s">
        <v>391</v>
      </c>
      <c r="G401" s="8"/>
    </row>
    <row r="402" spans="1:7" ht="24.75" customHeight="1" x14ac:dyDescent="0.2">
      <c r="A402" s="6">
        <v>417</v>
      </c>
      <c r="B402" s="7" t="str">
        <f>HYPERLINK("https://www.ebi.ac.uk/QuickGO/GTerm?id=GO:0019200","GO:0019200 carbohydrate kinase activity")</f>
        <v>GO:0019200 carbohydrate kinase activity</v>
      </c>
      <c r="C402" s="1" t="s">
        <v>4</v>
      </c>
      <c r="D402" s="7" t="str">
        <f>HYPERLINK("https://www.ebi.ac.uk/QuickGO/GTerm?id=GO:0016051","GO:0016051 carbohydrate biosynthetic process")</f>
        <v>GO:0016051 carbohydrate biosynthetic process</v>
      </c>
      <c r="E402" s="1" t="s">
        <v>2</v>
      </c>
      <c r="F402" s="1" t="s">
        <v>392</v>
      </c>
      <c r="G402" s="8"/>
    </row>
    <row r="403" spans="1:7" ht="24.75" customHeight="1" x14ac:dyDescent="0.2">
      <c r="A403" s="6">
        <v>418</v>
      </c>
      <c r="B403" s="7" t="str">
        <f>HYPERLINK("https://www.ebi.ac.uk/QuickGO/GTerm?id=GO:0018607","GO:0018607 1-indanone monooxygenase activity")</f>
        <v>GO:0018607 1-indanone monooxygenase activity</v>
      </c>
      <c r="C403" s="1" t="s">
        <v>1</v>
      </c>
      <c r="D403" s="7" t="str">
        <f>HYPERLINK("https://www.ebi.ac.uk/QuickGO/GTerm?id=GO:0004497","GO:0004497 monooxygenase activity")</f>
        <v>GO:0004497 monooxygenase activity</v>
      </c>
      <c r="E403" s="1" t="s">
        <v>2</v>
      </c>
      <c r="F403" s="1" t="s">
        <v>393</v>
      </c>
      <c r="G403" s="8"/>
    </row>
    <row r="404" spans="1:7" ht="24.75" customHeight="1" x14ac:dyDescent="0.2">
      <c r="A404" s="6">
        <v>419</v>
      </c>
      <c r="B404" s="7" t="str">
        <f>HYPERLINK("https://www.ebi.ac.uk/QuickGO/GTerm?id=GO:0042442","GO:0042442 melatonin catabolic process")</f>
        <v>GO:0042442 melatonin catabolic process</v>
      </c>
      <c r="C404" s="1" t="s">
        <v>1</v>
      </c>
      <c r="D404" s="7" t="str">
        <f>HYPERLINK("https://www.ebi.ac.uk/QuickGO/GTerm?id=GO:0043605","GO:0043605 cellular amide catabolic process")</f>
        <v>GO:0043605 cellular amide catabolic process</v>
      </c>
      <c r="E404" s="1" t="s">
        <v>2</v>
      </c>
      <c r="F404" s="1" t="s">
        <v>394</v>
      </c>
      <c r="G404" s="8"/>
    </row>
    <row r="405" spans="1:7" ht="24.75" customHeight="1" x14ac:dyDescent="0.2">
      <c r="A405" s="6">
        <v>420</v>
      </c>
      <c r="B405" s="7" t="str">
        <f>HYPERLINK("https://www.ebi.ac.uk/QuickGO/GTerm?id=GO:0060118","GO:0060118 vestibular receptor cell development")</f>
        <v>GO:0060118 vestibular receptor cell development</v>
      </c>
      <c r="C405" s="1" t="s">
        <v>1</v>
      </c>
      <c r="D405" s="7" t="str">
        <f>HYPERLINK("https://www.ebi.ac.uk/QuickGO/GTerm?id=GO:0002064","GO:0002064 epithelial cell development")</f>
        <v>GO:0002064 epithelial cell development</v>
      </c>
      <c r="E405" s="1" t="s">
        <v>2</v>
      </c>
      <c r="F405" s="1" t="s">
        <v>395</v>
      </c>
      <c r="G405" s="8"/>
    </row>
    <row r="406" spans="1:7" ht="24.75" customHeight="1" x14ac:dyDescent="0.2">
      <c r="A406" s="6">
        <v>421</v>
      </c>
      <c r="B406" s="7" t="str">
        <f>HYPERLINK("https://www.ebi.ac.uk/QuickGO/GTerm?id=GO:0045780","GO:0045780 positive regulation of bone resorption")</f>
        <v>GO:0045780 positive regulation of bone resorption</v>
      </c>
      <c r="C406" s="1" t="s">
        <v>1</v>
      </c>
      <c r="D406" s="7" t="str">
        <f>HYPERLINK("https://www.ebi.ac.uk/QuickGO/GTerm?id=GO:0034105","GO:0034105 positive regulation of tissue remodeling")</f>
        <v>GO:0034105 positive regulation of tissue remodeling</v>
      </c>
      <c r="E406" s="1" t="s">
        <v>2</v>
      </c>
      <c r="F406" s="1" t="s">
        <v>396</v>
      </c>
      <c r="G406" s="8"/>
    </row>
    <row r="407" spans="1:7" ht="24.75" customHeight="1" x14ac:dyDescent="0.2">
      <c r="A407" s="6">
        <v>422</v>
      </c>
      <c r="B407" s="7" t="str">
        <f>HYPERLINK("https://www.ebi.ac.uk/QuickGO/GTerm?id=GO:0009270","GO:0009270 response to humidity")</f>
        <v>GO:0009270 response to humidity</v>
      </c>
      <c r="C407" s="1" t="s">
        <v>1</v>
      </c>
      <c r="D407" s="7" t="str">
        <f>HYPERLINK("https://www.ebi.ac.uk/QuickGO/GTerm?id=GO:0009605","GO:0009605 response to external stimulus")</f>
        <v>GO:0009605 response to external stimulus</v>
      </c>
      <c r="E407" s="1" t="s">
        <v>2</v>
      </c>
      <c r="F407" s="1" t="s">
        <v>397</v>
      </c>
      <c r="G407" s="8"/>
    </row>
    <row r="408" spans="1:7" ht="24.75" customHeight="1" x14ac:dyDescent="0.2">
      <c r="A408" s="6">
        <v>423</v>
      </c>
      <c r="B408" s="7" t="str">
        <f>HYPERLINK("https://www.ebi.ac.uk/QuickGO/GTerm?id=GO:1903594","GO:1903594 negative regulation of histamine secretion by mast cell")</f>
        <v>GO:1903594 negative regulation of histamine secretion by mast cell</v>
      </c>
      <c r="C408" s="1" t="s">
        <v>1</v>
      </c>
      <c r="D408" s="7" t="str">
        <f>HYPERLINK("https://www.ebi.ac.uk/QuickGO/GTerm?id=GO:0043301","GO:0043301 negative regulation of leukocyte degranulation")</f>
        <v>GO:0043301 negative regulation of leukocyte degranulation</v>
      </c>
      <c r="E408" s="1" t="s">
        <v>2</v>
      </c>
      <c r="F408" s="1" t="s">
        <v>398</v>
      </c>
      <c r="G408" s="8"/>
    </row>
    <row r="409" spans="1:7" ht="24.75" customHeight="1" x14ac:dyDescent="0.2">
      <c r="A409" s="6">
        <v>424</v>
      </c>
      <c r="B409" s="7" t="str">
        <f>HYPERLINK("https://www.ebi.ac.uk/QuickGO/GTerm?id=GO:1902035","GO:1902035 positive regulation of hematopoietic stem cell proliferation")</f>
        <v>GO:1902035 positive regulation of hematopoietic stem cell proliferation</v>
      </c>
      <c r="C409" s="1" t="s">
        <v>1</v>
      </c>
      <c r="D409" s="7" t="str">
        <f>HYPERLINK("https://www.ebi.ac.uk/QuickGO/GTerm?id=GO:1903708","GO:1903708 positive regulation of hemopoiesis")</f>
        <v>GO:1903708 positive regulation of hemopoiesis</v>
      </c>
      <c r="E409" s="1" t="s">
        <v>2</v>
      </c>
      <c r="F409" s="1" t="s">
        <v>399</v>
      </c>
      <c r="G409" s="8"/>
    </row>
    <row r="410" spans="1:7" ht="24.75" customHeight="1" x14ac:dyDescent="0.2">
      <c r="A410" s="6">
        <v>425</v>
      </c>
      <c r="B410" s="7" t="str">
        <f>HYPERLINK("https://www.ebi.ac.uk/QuickGO/GTerm?id=GO:1902859","GO:1902859 propionyl-CoA catabolic process")</f>
        <v>GO:1902859 propionyl-CoA catabolic process</v>
      </c>
      <c r="C410" s="1" t="s">
        <v>1</v>
      </c>
      <c r="D410" s="7" t="str">
        <f>HYPERLINK("https://www.ebi.ac.uk/QuickGO/GTerm?id=GO:0043605","GO:0043605 cellular amide catabolic process")</f>
        <v>GO:0043605 cellular amide catabolic process</v>
      </c>
      <c r="E410" s="1" t="s">
        <v>2</v>
      </c>
      <c r="F410" s="1" t="s">
        <v>400</v>
      </c>
      <c r="G410" s="8"/>
    </row>
    <row r="411" spans="1:7" ht="24.75" customHeight="1" x14ac:dyDescent="0.2">
      <c r="A411" s="6">
        <v>426</v>
      </c>
      <c r="B411" s="7" t="str">
        <f>HYPERLINK("https://www.ebi.ac.uk/QuickGO/GTerm?id=GO:0009310","GO:0009310 amine catabolic process")</f>
        <v>GO:0009310 amine catabolic process</v>
      </c>
      <c r="C411" s="1" t="s">
        <v>1</v>
      </c>
      <c r="D411" s="7" t="str">
        <f>HYPERLINK("https://www.ebi.ac.uk/QuickGO/GTerm?id=GO:0044270","GO:0044270 cellular nitrogen compound catabolic process")</f>
        <v>GO:0044270 cellular nitrogen compound catabolic process</v>
      </c>
      <c r="E411" s="1" t="s">
        <v>2</v>
      </c>
      <c r="F411" s="1" t="s">
        <v>401</v>
      </c>
      <c r="G411" s="8"/>
    </row>
    <row r="412" spans="1:7" ht="24.75" customHeight="1" x14ac:dyDescent="0.2">
      <c r="A412" s="6">
        <v>427</v>
      </c>
      <c r="B412" s="7" t="str">
        <f>HYPERLINK("https://www.ebi.ac.uk/QuickGO/GTerm?id=GO:0009594","GO:0009594 detection of nutrient")</f>
        <v>GO:0009594 detection of nutrient</v>
      </c>
      <c r="C412" s="1" t="s">
        <v>1</v>
      </c>
      <c r="D412" s="7" t="str">
        <f>HYPERLINK("https://www.ebi.ac.uk/QuickGO/GTerm?id=GO:0009581","GO:0009581 detection of external stimulus")</f>
        <v>GO:0009581 detection of external stimulus</v>
      </c>
      <c r="E412" s="1" t="s">
        <v>2</v>
      </c>
      <c r="F412" s="1" t="s">
        <v>402</v>
      </c>
      <c r="G412" s="8"/>
    </row>
    <row r="413" spans="1:7" ht="24.75" customHeight="1" x14ac:dyDescent="0.2">
      <c r="A413" s="6">
        <v>428</v>
      </c>
      <c r="B413" s="7" t="str">
        <f>HYPERLINK("https://www.ebi.ac.uk/QuickGO/GTerm?id=GO:0001755","GO:0001755 neural crest cell migration")</f>
        <v>GO:0001755 neural crest cell migration</v>
      </c>
      <c r="C413" s="1" t="s">
        <v>1</v>
      </c>
      <c r="D413" s="7" t="str">
        <f>HYPERLINK("https://www.ebi.ac.uk/QuickGO/GTerm?id=GO:0090497","GO:0090497 mesenchymal cell migration")</f>
        <v>GO:0090497 mesenchymal cell migration</v>
      </c>
      <c r="E413" s="1" t="s">
        <v>2</v>
      </c>
      <c r="F413" s="1" t="s">
        <v>403</v>
      </c>
      <c r="G413" s="8"/>
    </row>
    <row r="414" spans="1:7" ht="24.75" customHeight="1" x14ac:dyDescent="0.2">
      <c r="A414" s="6">
        <v>429</v>
      </c>
      <c r="B414" s="7" t="str">
        <f>HYPERLINK("https://www.ebi.ac.uk/QuickGO/GTerm?id=GO:0035287","GO:0035287 head segmentation")</f>
        <v>GO:0035287 head segmentation</v>
      </c>
      <c r="C414" s="1" t="s">
        <v>4</v>
      </c>
      <c r="D414" s="7" t="str">
        <f>HYPERLINK("https://www.ebi.ac.uk/QuickGO/GTerm?id=GO:0060323","GO:0060323 head morphogenesis")</f>
        <v>GO:0060323 head morphogenesis</v>
      </c>
      <c r="E414" s="1" t="s">
        <v>2</v>
      </c>
      <c r="F414" s="1" t="s">
        <v>404</v>
      </c>
      <c r="G414" s="8"/>
    </row>
    <row r="415" spans="1:7" ht="24.75" customHeight="1" x14ac:dyDescent="0.2">
      <c r="A415" s="6">
        <v>430</v>
      </c>
      <c r="B415" s="7" t="str">
        <f>HYPERLINK("https://www.ebi.ac.uk/QuickGO/GTerm?id=GO:0003181","GO:0003181 atrioventricular valve morphogenesis")</f>
        <v>GO:0003181 atrioventricular valve morphogenesis</v>
      </c>
      <c r="C415" s="1" t="s">
        <v>4</v>
      </c>
      <c r="D415" s="7" t="str">
        <f>HYPERLINK("https://www.ebi.ac.uk/QuickGO/GTerm?id=GO:0003007","GO:0003007 heart morphogenesis")</f>
        <v>GO:0003007 heart morphogenesis</v>
      </c>
      <c r="E415" s="1" t="s">
        <v>2</v>
      </c>
      <c r="F415" s="1" t="s">
        <v>405</v>
      </c>
      <c r="G415" s="8"/>
    </row>
    <row r="416" spans="1:7" ht="24.75" customHeight="1" x14ac:dyDescent="0.2">
      <c r="A416" s="6">
        <v>431</v>
      </c>
      <c r="B416" s="7" t="str">
        <f>HYPERLINK("https://www.ebi.ac.uk/QuickGO/GTerm?id=GO:0060344","GO:0060344 liver trabecula formation")</f>
        <v>GO:0060344 liver trabecula formation</v>
      </c>
      <c r="C416" s="1" t="s">
        <v>4</v>
      </c>
      <c r="D416" s="7" t="str">
        <f>HYPERLINK("https://www.ebi.ac.uk/QuickGO/GTerm?id=GO:0072576","GO:0072576 liver morphogenesis")</f>
        <v>GO:0072576 liver morphogenesis</v>
      </c>
      <c r="E416" s="1" t="s">
        <v>2</v>
      </c>
      <c r="F416" s="1" t="s">
        <v>406</v>
      </c>
      <c r="G416" s="8"/>
    </row>
    <row r="417" spans="1:7" ht="24.75" customHeight="1" x14ac:dyDescent="0.2">
      <c r="A417" s="6">
        <v>432</v>
      </c>
      <c r="B417" s="7" t="str">
        <f>HYPERLINK("https://www.ebi.ac.uk/QuickGO/GTerm?id=GO:1905653","GO:1905653 positive regulation of artery morphogenesis")</f>
        <v>GO:1905653 positive regulation of artery morphogenesis</v>
      </c>
      <c r="C417" s="1" t="s">
        <v>1</v>
      </c>
      <c r="D417" s="7" t="str">
        <f>HYPERLINK("https://www.ebi.ac.uk/QuickGO/GTerm?id=GO:1904018","GO:1904018 positive regulation of vasculature development")</f>
        <v>GO:1904018 positive regulation of vasculature development</v>
      </c>
      <c r="E417" s="1" t="s">
        <v>2</v>
      </c>
      <c r="F417" s="1" t="s">
        <v>407</v>
      </c>
      <c r="G417" s="8"/>
    </row>
    <row r="418" spans="1:7" ht="24.75" customHeight="1" x14ac:dyDescent="0.2">
      <c r="A418" s="6">
        <v>433</v>
      </c>
      <c r="B418" s="7" t="str">
        <f>HYPERLINK("https://www.ebi.ac.uk/QuickGO/GTerm?id=GO:0021594","GO:0021594 rhombomere formation")</f>
        <v>GO:0021594 rhombomere formation</v>
      </c>
      <c r="C418" s="1" t="s">
        <v>4</v>
      </c>
      <c r="D418" s="7" t="str">
        <f>HYPERLINK("https://www.ebi.ac.uk/QuickGO/GTerm?id=GO:0021576","GO:0021576 hindbrain formation")</f>
        <v>GO:0021576 hindbrain formation</v>
      </c>
      <c r="E418" s="1" t="s">
        <v>2</v>
      </c>
      <c r="F418" s="1" t="s">
        <v>408</v>
      </c>
      <c r="G418" s="8"/>
    </row>
    <row r="419" spans="1:7" ht="24.75" customHeight="1" x14ac:dyDescent="0.2">
      <c r="A419" s="6">
        <v>434</v>
      </c>
      <c r="B419" s="7" t="str">
        <f>HYPERLINK("https://www.ebi.ac.uk/QuickGO/GTerm?id=GO:0106046","GO:0106046 guanine deglycation, glyoxal removal")</f>
        <v>GO:0106046 guanine deglycation, glyoxal removal</v>
      </c>
      <c r="C419" s="1" t="s">
        <v>1</v>
      </c>
      <c r="D419" s="7" t="str">
        <f>HYPERLINK("https://www.ebi.ac.uk/QuickGO/GTerm?id=GO:1903189","GO:1903189 glyoxal metabolic process")</f>
        <v>GO:1903189 glyoxal metabolic process</v>
      </c>
      <c r="E419" s="1" t="s">
        <v>2</v>
      </c>
      <c r="F419" s="1" t="s">
        <v>409</v>
      </c>
      <c r="G419" s="8"/>
    </row>
    <row r="420" spans="1:7" ht="24.75" customHeight="1" x14ac:dyDescent="0.2">
      <c r="A420" s="6">
        <v>435</v>
      </c>
      <c r="B420" s="7" t="str">
        <f>HYPERLINK("https://www.ebi.ac.uk/QuickGO/GTerm?id=GO:0106012","GO:0106012 positive regulation of protein localization to medial cortex")</f>
        <v>GO:0106012 positive regulation of protein localization to medial cortex</v>
      </c>
      <c r="C420" s="1" t="s">
        <v>1</v>
      </c>
      <c r="D420" s="7" t="str">
        <f>HYPERLINK("https://www.ebi.ac.uk/QuickGO/GTerm?id=GO:1903078","GO:1903078 positive regulation of protein localization to plasma membrane")</f>
        <v>GO:1903078 positive regulation of protein localization to plasma membrane</v>
      </c>
      <c r="E420" s="1" t="s">
        <v>2</v>
      </c>
      <c r="F420" s="1" t="s">
        <v>410</v>
      </c>
      <c r="G420" s="8"/>
    </row>
    <row r="421" spans="1:7" ht="24.75" customHeight="1" x14ac:dyDescent="0.2">
      <c r="A421" s="6">
        <v>436</v>
      </c>
      <c r="B421" s="7" t="str">
        <f>HYPERLINK("https://www.ebi.ac.uk/QuickGO/GTerm?id=GO:1901773","GO:1901773 lincomycin catabolic process")</f>
        <v>GO:1901773 lincomycin catabolic process</v>
      </c>
      <c r="C421" s="1" t="s">
        <v>1</v>
      </c>
      <c r="D421" s="7" t="str">
        <f>HYPERLINK("https://www.ebi.ac.uk/QuickGO/GTerm?id=GO:0043605","GO:0043605 cellular amide catabolic process")</f>
        <v>GO:0043605 cellular amide catabolic process</v>
      </c>
      <c r="E421" s="1" t="s">
        <v>2</v>
      </c>
      <c r="F421" s="1" t="s">
        <v>411</v>
      </c>
      <c r="G421" s="8"/>
    </row>
    <row r="422" spans="1:7" ht="24.75" customHeight="1" x14ac:dyDescent="0.2">
      <c r="A422" s="6">
        <v>437</v>
      </c>
      <c r="B422" s="7" t="str">
        <f>HYPERLINK("https://www.ebi.ac.uk/QuickGO/GTerm?id=GO:0098734","GO:0098734 macromolecule depalmitoylation")</f>
        <v>GO:0098734 macromolecule depalmitoylation</v>
      </c>
      <c r="C422" s="1" t="s">
        <v>1</v>
      </c>
      <c r="D422" s="7" t="str">
        <f>HYPERLINK("https://www.ebi.ac.uk/QuickGO/GTerm?id=GO:0009057","GO:0009057 macromolecule catabolic process")</f>
        <v>GO:0009057 macromolecule catabolic process</v>
      </c>
      <c r="E422" s="1" t="s">
        <v>2</v>
      </c>
      <c r="F422" s="1" t="s">
        <v>412</v>
      </c>
      <c r="G422" s="8"/>
    </row>
    <row r="423" spans="1:7" ht="24.75" customHeight="1" x14ac:dyDescent="0.2">
      <c r="A423" s="6">
        <v>438</v>
      </c>
      <c r="B423" s="7" t="str">
        <f>HYPERLINK("https://www.ebi.ac.uk/QuickGO/GTerm?id=GO:0061565","GO:0061565 dAMP phosphorylation")</f>
        <v>GO:0061565 dAMP phosphorylation</v>
      </c>
      <c r="C423" s="1" t="s">
        <v>1</v>
      </c>
      <c r="D423" s="7" t="str">
        <f>HYPERLINK("https://www.ebi.ac.uk/QuickGO/GTerm?id=GO:0016310","GO:0016310 phosphorylation")</f>
        <v>GO:0016310 phosphorylation</v>
      </c>
      <c r="E423" s="1" t="s">
        <v>2</v>
      </c>
      <c r="F423" s="1" t="s">
        <v>413</v>
      </c>
      <c r="G423" s="8"/>
    </row>
    <row r="424" spans="1:7" ht="24.75" customHeight="1" x14ac:dyDescent="0.2">
      <c r="A424" s="6">
        <v>439</v>
      </c>
      <c r="B424" s="7" t="str">
        <f>HYPERLINK("https://www.ebi.ac.uk/QuickGO/GTerm?id=GO:0030851","GO:0030851 granulocyte differentiation")</f>
        <v>GO:0030851 granulocyte differentiation</v>
      </c>
      <c r="C424" s="1" t="s">
        <v>1</v>
      </c>
      <c r="D424" s="7" t="str">
        <f>HYPERLINK("https://www.ebi.ac.uk/QuickGO/GTerm?id=GO:0036230","GO:0036230 granulocyte activation")</f>
        <v>GO:0036230 granulocyte activation</v>
      </c>
      <c r="E424" s="1" t="s">
        <v>2</v>
      </c>
      <c r="F424" s="1" t="s">
        <v>414</v>
      </c>
      <c r="G424" s="8"/>
    </row>
    <row r="425" spans="1:7" ht="24.75" customHeight="1" x14ac:dyDescent="0.2">
      <c r="A425" s="6">
        <v>440</v>
      </c>
      <c r="B425" s="7" t="str">
        <f>HYPERLINK("https://www.ebi.ac.uk/QuickGO/GTerm?id=GO:0009308","GO:0009308 amine metabolic process")</f>
        <v>GO:0009308 amine metabolic process</v>
      </c>
      <c r="C425" s="1" t="s">
        <v>1</v>
      </c>
      <c r="D425" s="7" t="str">
        <f>HYPERLINK("https://www.ebi.ac.uk/QuickGO/GTerm?id=GO:0034641","GO:0034641 cellular nitrogen compound metabolic process")</f>
        <v>GO:0034641 cellular nitrogen compound metabolic process</v>
      </c>
      <c r="E425" s="1" t="s">
        <v>2</v>
      </c>
      <c r="F425" s="1" t="s">
        <v>401</v>
      </c>
      <c r="G425" s="8"/>
    </row>
    <row r="426" spans="1:7" ht="24.75" customHeight="1" x14ac:dyDescent="0.2">
      <c r="A426" s="6">
        <v>441</v>
      </c>
      <c r="B426" s="7" t="str">
        <f>HYPERLINK("https://www.ebi.ac.uk/QuickGO/GTerm?id=GO:0090014","GO:0090014 leaflet formation")</f>
        <v>GO:0090014 leaflet formation</v>
      </c>
      <c r="C426" s="1" t="s">
        <v>4</v>
      </c>
      <c r="D426" s="7" t="str">
        <f>HYPERLINK("https://www.ebi.ac.uk/QuickGO/GTerm?id=GO:0010338","GO:0010338 leaf formation")</f>
        <v>GO:0010338 leaf formation</v>
      </c>
      <c r="E426" s="1" t="s">
        <v>2</v>
      </c>
      <c r="F426" s="1" t="s">
        <v>415</v>
      </c>
      <c r="G426" s="8"/>
    </row>
    <row r="427" spans="1:7" ht="24.75" customHeight="1" x14ac:dyDescent="0.2">
      <c r="A427" s="6">
        <v>442</v>
      </c>
      <c r="B427" s="7" t="str">
        <f>HYPERLINK("https://www.ebi.ac.uk/QuickGO/GTerm?id=GO:0043171","GO:0043171 peptide catabolic process")</f>
        <v>GO:0043171 peptide catabolic process</v>
      </c>
      <c r="C427" s="1" t="s">
        <v>1</v>
      </c>
      <c r="D427" s="7" t="str">
        <f>HYPERLINK("https://www.ebi.ac.uk/QuickGO/GTerm?id=GO:0043605","GO:0043605 cellular amide catabolic process")</f>
        <v>GO:0043605 cellular amide catabolic process</v>
      </c>
      <c r="E427" s="1" t="s">
        <v>2</v>
      </c>
      <c r="F427" s="1" t="s">
        <v>416</v>
      </c>
      <c r="G427" s="8"/>
    </row>
    <row r="428" spans="1:7" ht="24.75" customHeight="1" x14ac:dyDescent="0.2">
      <c r="A428" s="6">
        <v>443</v>
      </c>
      <c r="B428" s="7" t="str">
        <f>HYPERLINK("https://www.ebi.ac.uk/QuickGO/GTerm?id=GO:1901601","GO:1901601 strigolactone biosynthetic process")</f>
        <v>GO:1901601 strigolactone biosynthetic process</v>
      </c>
      <c r="C428" s="1" t="s">
        <v>1</v>
      </c>
      <c r="D428" s="7" t="str">
        <f>HYPERLINK("https://www.ebi.ac.uk/QuickGO/GTerm?id=GO:0097384","GO:0097384 cellular lipid biosynthetic process")</f>
        <v>GO:0097384 cellular lipid biosynthetic process</v>
      </c>
      <c r="E428" s="1" t="s">
        <v>2</v>
      </c>
      <c r="F428" s="1" t="s">
        <v>417</v>
      </c>
      <c r="G428" s="8"/>
    </row>
    <row r="429" spans="1:7" ht="24.75" customHeight="1" x14ac:dyDescent="0.2">
      <c r="A429" s="6">
        <v>444</v>
      </c>
      <c r="B429" s="7" t="str">
        <f>HYPERLINK("https://www.ebi.ac.uk/QuickGO/GTerm?id=GO:0051232","GO:0051232 meiotic spindle elongation")</f>
        <v>GO:0051232 meiotic spindle elongation</v>
      </c>
      <c r="C429" s="1" t="s">
        <v>4</v>
      </c>
      <c r="D429" s="7" t="str">
        <f>HYPERLINK("https://www.ebi.ac.uk/QuickGO/GTerm?id=GO:0045144","GO:0045144 meiotic sister chromatid segregation")</f>
        <v>GO:0045144 meiotic sister chromatid segregation</v>
      </c>
      <c r="E429" s="1" t="s">
        <v>2</v>
      </c>
      <c r="F429" s="1" t="s">
        <v>418</v>
      </c>
      <c r="G429" s="8"/>
    </row>
    <row r="430" spans="1:7" ht="24.75" customHeight="1" x14ac:dyDescent="0.2">
      <c r="A430" s="6">
        <v>445</v>
      </c>
      <c r="B430" s="7" t="str">
        <f>HYPERLINK("https://www.ebi.ac.uk/QuickGO/GTerm?id=GO:0042212","GO:0042212 cresol metabolic process")</f>
        <v>GO:0042212 cresol metabolic process</v>
      </c>
      <c r="C430" s="1" t="s">
        <v>1</v>
      </c>
      <c r="D430" s="7" t="str">
        <f>HYPERLINK("https://www.ebi.ac.uk/QuickGO/GTerm?id=GO:0006805","GO:0006805 xenobiotic metabolic process")</f>
        <v>GO:0006805 xenobiotic metabolic process</v>
      </c>
      <c r="E430" s="1" t="s">
        <v>2</v>
      </c>
      <c r="F430" s="1" t="s">
        <v>419</v>
      </c>
      <c r="G430" s="8"/>
    </row>
    <row r="431" spans="1:7" ht="24.75" customHeight="1" x14ac:dyDescent="0.2">
      <c r="A431" s="6">
        <v>446</v>
      </c>
      <c r="B431" s="7" t="str">
        <f>HYPERLINK("https://www.ebi.ac.uk/QuickGO/GTerm?id=GO:0019408","GO:0019408 dolichol biosynthetic process")</f>
        <v>GO:0019408 dolichol biosynthetic process</v>
      </c>
      <c r="C431" s="1" t="s">
        <v>1</v>
      </c>
      <c r="D431" s="7" t="str">
        <f>HYPERLINK("https://www.ebi.ac.uk/QuickGO/GTerm?id=GO:0097384","GO:0097384 cellular lipid biosynthetic process")</f>
        <v>GO:0097384 cellular lipid biosynthetic process</v>
      </c>
      <c r="E431" s="1" t="s">
        <v>2</v>
      </c>
      <c r="F431" s="1" t="s">
        <v>420</v>
      </c>
      <c r="G431" s="8"/>
    </row>
    <row r="432" spans="1:7" ht="24.75" customHeight="1" x14ac:dyDescent="0.2">
      <c r="A432" s="6">
        <v>447</v>
      </c>
      <c r="B432" s="7" t="str">
        <f>HYPERLINK("https://www.ebi.ac.uk/QuickGO/GTerm?id=GO:1901548","GO:1901548 positive regulation of synaptic vesicle lumen acidification")</f>
        <v>GO:1901548 positive regulation of synaptic vesicle lumen acidification</v>
      </c>
      <c r="C432" s="1" t="s">
        <v>1</v>
      </c>
      <c r="D432" s="7" t="str">
        <f>HYPERLINK("https://www.ebi.ac.uk/QuickGO/GTerm?id=GO:0051094","GO:0051094 positive regulation of developmental process")</f>
        <v>GO:0051094 positive regulation of developmental process</v>
      </c>
      <c r="E432" s="1" t="s">
        <v>2</v>
      </c>
      <c r="F432" s="1" t="s">
        <v>421</v>
      </c>
      <c r="G432" s="8"/>
    </row>
    <row r="433" spans="1:7" ht="24.75" customHeight="1" x14ac:dyDescent="0.2">
      <c r="A433" s="6">
        <v>449</v>
      </c>
      <c r="B433" s="7" t="str">
        <f>HYPERLINK("https://www.ebi.ac.uk/QuickGO/GTerm?id=GO:0009247","GO:0009247 glycolipid biosynthetic process")</f>
        <v>GO:0009247 glycolipid biosynthetic process</v>
      </c>
      <c r="C433" s="1" t="s">
        <v>1</v>
      </c>
      <c r="D433" s="7" t="str">
        <f>HYPERLINK("https://www.ebi.ac.uk/QuickGO/GTerm?id=GO:0097384","GO:0097384 cellular lipid biosynthetic process")</f>
        <v>GO:0097384 cellular lipid biosynthetic process</v>
      </c>
      <c r="E433" s="1" t="s">
        <v>2</v>
      </c>
      <c r="F433" s="1" t="s">
        <v>422</v>
      </c>
      <c r="G433" s="8"/>
    </row>
    <row r="434" spans="1:7" ht="24.75" customHeight="1" x14ac:dyDescent="0.2">
      <c r="A434" s="6">
        <v>450</v>
      </c>
      <c r="B434" s="7" t="str">
        <f>HYPERLINK("https://www.ebi.ac.uk/QuickGO/GTerm?id=GO:0046215","GO:0046215 siderophore catabolic process")</f>
        <v>GO:0046215 siderophore catabolic process</v>
      </c>
      <c r="C434" s="1" t="s">
        <v>1</v>
      </c>
      <c r="D434" s="7" t="str">
        <f>HYPERLINK("https://www.ebi.ac.uk/QuickGO/GTerm?id=GO:0043171","GO:0043171 peptide catabolic process")</f>
        <v>GO:0043171 peptide catabolic process</v>
      </c>
      <c r="E434" s="1" t="s">
        <v>2</v>
      </c>
      <c r="F434" s="1" t="s">
        <v>423</v>
      </c>
      <c r="G434" s="8"/>
    </row>
    <row r="435" spans="1:7" ht="24.75" customHeight="1" x14ac:dyDescent="0.2">
      <c r="A435" s="6">
        <v>451</v>
      </c>
      <c r="B435" s="7" t="str">
        <f>HYPERLINK("https://www.ebi.ac.uk/QuickGO/GTerm?id=GO:0002376","GO:0002376 immune system process")</f>
        <v>GO:0002376 immune system process</v>
      </c>
      <c r="C435" s="1" t="s">
        <v>1</v>
      </c>
      <c r="D435" s="7" t="str">
        <f>HYPERLINK("https://www.ebi.ac.uk/QuickGO/GTerm?id=GO:0003008","GO:0003008 system process")</f>
        <v>GO:0003008 system process</v>
      </c>
      <c r="E435" s="1" t="s">
        <v>2</v>
      </c>
      <c r="F435" s="1" t="s">
        <v>424</v>
      </c>
      <c r="G435" s="8"/>
    </row>
    <row r="436" spans="1:7" ht="24.75" customHeight="1" x14ac:dyDescent="0.2">
      <c r="A436" s="6">
        <v>452</v>
      </c>
      <c r="B436" s="7" t="str">
        <f>HYPERLINK("https://www.ebi.ac.uk/QuickGO/GTerm?id=GO:0018879","GO:0018879 biphenyl metabolic process")</f>
        <v>GO:0018879 biphenyl metabolic process</v>
      </c>
      <c r="C436" s="1" t="s">
        <v>1</v>
      </c>
      <c r="D436" s="7" t="str">
        <f>HYPERLINK("https://www.ebi.ac.uk/QuickGO/GTerm?id=GO:0006805","GO:0006805 xenobiotic metabolic process")</f>
        <v>GO:0006805 xenobiotic metabolic process</v>
      </c>
      <c r="E436" s="1" t="s">
        <v>2</v>
      </c>
      <c r="F436" s="1" t="s">
        <v>425</v>
      </c>
      <c r="G436" s="8"/>
    </row>
    <row r="437" spans="1:7" ht="24.75" customHeight="1" x14ac:dyDescent="0.2">
      <c r="A437" s="6">
        <v>453</v>
      </c>
      <c r="B437" s="7" t="str">
        <f>HYPERLINK("https://www.ebi.ac.uk/QuickGO/GTerm?id=GO:1903947","GO:1903947 positive regulation of ventricular cardiac muscle cell action potential")</f>
        <v>GO:1903947 positive regulation of ventricular cardiac muscle cell action potential</v>
      </c>
      <c r="C437" s="1" t="s">
        <v>1</v>
      </c>
      <c r="D437" s="7" t="str">
        <f>HYPERLINK("https://www.ebi.ac.uk/QuickGO/GTerm?id=GO:0045823","GO:0045823 positive regulation of heart contraction")</f>
        <v>GO:0045823 positive regulation of heart contraction</v>
      </c>
      <c r="E437" s="1" t="s">
        <v>2</v>
      </c>
      <c r="F437" s="1" t="s">
        <v>426</v>
      </c>
      <c r="G437" s="8"/>
    </row>
    <row r="438" spans="1:7" ht="24.75" customHeight="1" x14ac:dyDescent="0.2">
      <c r="A438" s="6">
        <v>454</v>
      </c>
      <c r="B438" s="7" t="str">
        <f>HYPERLINK("https://www.ebi.ac.uk/QuickGO/GTerm?id=GO:0010246","GO:0010246 rhamnogalacturonan I biosynthetic process")</f>
        <v>GO:0010246 rhamnogalacturonan I biosynthetic process</v>
      </c>
      <c r="C438" s="1" t="s">
        <v>1</v>
      </c>
      <c r="D438" s="7" t="str">
        <f>HYPERLINK("https://www.ebi.ac.uk/QuickGO/GTerm?id=GO:0052325","GO:0052325 cell wall pectin biosynthetic process")</f>
        <v>GO:0052325 cell wall pectin biosynthetic process</v>
      </c>
      <c r="E438" s="1" t="s">
        <v>2</v>
      </c>
      <c r="F438" s="1" t="s">
        <v>427</v>
      </c>
      <c r="G438" s="8"/>
    </row>
    <row r="439" spans="1:7" ht="24.75" customHeight="1" x14ac:dyDescent="0.2">
      <c r="A439" s="6">
        <v>456</v>
      </c>
      <c r="B439" s="7" t="str">
        <f>HYPERLINK("https://www.ebi.ac.uk/QuickGO/GTerm?id=GO:0051191","GO:0051191 prosthetic group biosynthetic process")</f>
        <v>GO:0051191 prosthetic group biosynthetic process</v>
      </c>
      <c r="C439" s="1" t="s">
        <v>4</v>
      </c>
      <c r="D439" s="7" t="str">
        <f>HYPERLINK("https://www.ebi.ac.uk/QuickGO/GTerm?id=GO:0034645","GO:0034645 cellular macromolecule biosynthetic process")</f>
        <v>GO:0034645 cellular macromolecule biosynthetic process</v>
      </c>
      <c r="E439" s="1" t="s">
        <v>2</v>
      </c>
      <c r="F439" s="1" t="s">
        <v>428</v>
      </c>
      <c r="G439" s="8"/>
    </row>
    <row r="440" spans="1:7" ht="24.75" customHeight="1" x14ac:dyDescent="0.2">
      <c r="A440" s="6">
        <v>457</v>
      </c>
      <c r="B440" s="7" t="str">
        <f>HYPERLINK("https://www.ebi.ac.uk/QuickGO/GTerm?id=GO:0033521","GO:0033521 phytyl diphosphate biosynthetic process")</f>
        <v>GO:0033521 phytyl diphosphate biosynthetic process</v>
      </c>
      <c r="C440" s="1" t="s">
        <v>1</v>
      </c>
      <c r="D440" s="7" t="str">
        <f>HYPERLINK("https://www.ebi.ac.uk/QuickGO/GTerm?id=GO:0097384","GO:0097384 cellular lipid biosynthetic process")</f>
        <v>GO:0097384 cellular lipid biosynthetic process</v>
      </c>
      <c r="E440" s="1" t="s">
        <v>2</v>
      </c>
      <c r="F440" s="1" t="s">
        <v>429</v>
      </c>
      <c r="G440" s="8"/>
    </row>
    <row r="441" spans="1:7" ht="24.75" customHeight="1" x14ac:dyDescent="0.2">
      <c r="A441" s="6">
        <v>458</v>
      </c>
      <c r="B441" s="7" t="str">
        <f>HYPERLINK("https://www.ebi.ac.uk/QuickGO/GTerm?id=GO:0046148","GO:0046148 pigment biosynthetic process")</f>
        <v>GO:0046148 pigment biosynthetic process</v>
      </c>
      <c r="C441" s="1" t="s">
        <v>1</v>
      </c>
      <c r="D441" s="7" t="str">
        <f>HYPERLINK("https://www.ebi.ac.uk/QuickGO/GTerm?id=GO:0009058","GO:0009058 biosynthetic process")</f>
        <v>GO:0009058 biosynthetic process</v>
      </c>
      <c r="E441" s="1" t="s">
        <v>2</v>
      </c>
      <c r="F441" s="1" t="s">
        <v>430</v>
      </c>
      <c r="G441" s="8"/>
    </row>
    <row r="442" spans="1:7" ht="24.75" customHeight="1" x14ac:dyDescent="0.2">
      <c r="A442" s="6">
        <v>459</v>
      </c>
      <c r="B442" s="7" t="str">
        <f>HYPERLINK("https://www.ebi.ac.uk/QuickGO/GTerm?id=GO:0021720","GO:0021720 superior olivary nucleus formation")</f>
        <v>GO:0021720 superior olivary nucleus formation</v>
      </c>
      <c r="C442" s="1" t="s">
        <v>4</v>
      </c>
      <c r="D442" s="7" t="str">
        <f>HYPERLINK("https://www.ebi.ac.uk/QuickGO/GTerm?id=GO:0048645","GO:0048645 animal organ formation")</f>
        <v>GO:0048645 animal organ formation</v>
      </c>
      <c r="E442" s="1" t="s">
        <v>2</v>
      </c>
      <c r="F442" s="1" t="s">
        <v>431</v>
      </c>
      <c r="G442" s="8"/>
    </row>
    <row r="443" spans="1:7" ht="24.75" customHeight="1" x14ac:dyDescent="0.2">
      <c r="A443" s="6">
        <v>460</v>
      </c>
      <c r="B443" s="7" t="str">
        <f>HYPERLINK("https://www.ebi.ac.uk/QuickGO/GTerm?id=GO:0042480","GO:0042480 negative regulation of eye photoreceptor cell development")</f>
        <v>GO:0042480 negative regulation of eye photoreceptor cell development</v>
      </c>
      <c r="C443" s="1" t="s">
        <v>1</v>
      </c>
      <c r="D443" s="7" t="str">
        <f>HYPERLINK("https://www.ebi.ac.uk/QuickGO/GTerm?id=GO:0051241","GO:0051241 negative regulation of multicellular organismal process")</f>
        <v>GO:0051241 negative regulation of multicellular organismal process</v>
      </c>
      <c r="E443" s="1" t="s">
        <v>2</v>
      </c>
      <c r="F443" s="1" t="s">
        <v>432</v>
      </c>
      <c r="G443" s="8"/>
    </row>
    <row r="444" spans="1:7" ht="24.75" customHeight="1" x14ac:dyDescent="0.2">
      <c r="A444" s="6">
        <v>461</v>
      </c>
      <c r="B444" s="7" t="str">
        <f>HYPERLINK("https://www.ebi.ac.uk/QuickGO/GTerm?id=GO:0031904","GO:0031904 endosome lumen")</f>
        <v>GO:0031904 endosome lumen</v>
      </c>
      <c r="C444" s="1" t="s">
        <v>1</v>
      </c>
      <c r="D444" s="7" t="str">
        <f>HYPERLINK("https://www.ebi.ac.uk/QuickGO/GTerm?id=GO:0031983","GO:0031983 vesicle lumen")</f>
        <v>GO:0031983 vesicle lumen</v>
      </c>
      <c r="E444" s="1" t="s">
        <v>2</v>
      </c>
      <c r="F444" s="1" t="s">
        <v>433</v>
      </c>
      <c r="G444" s="8"/>
    </row>
    <row r="445" spans="1:7" ht="24.75" customHeight="1" x14ac:dyDescent="0.2">
      <c r="A445" s="6">
        <v>462</v>
      </c>
      <c r="B445" s="7" t="str">
        <f>HYPERLINK("https://www.ebi.ac.uk/QuickGO/GTerm?id=GO:0019759","GO:0019759 glycosinolate catabolic process")</f>
        <v>GO:0019759 glycosinolate catabolic process</v>
      </c>
      <c r="C445" s="1" t="s">
        <v>1</v>
      </c>
      <c r="D445" s="7" t="str">
        <f>HYPERLINK("https://www.ebi.ac.uk/QuickGO/GTerm?id=GO:0090487","GO:0090487 secondary metabolite catabolic process")</f>
        <v>GO:0090487 secondary metabolite catabolic process</v>
      </c>
      <c r="E445" s="1" t="s">
        <v>2</v>
      </c>
      <c r="F445" s="1" t="s">
        <v>434</v>
      </c>
      <c r="G445" s="8"/>
    </row>
    <row r="446" spans="1:7" ht="24.75" customHeight="1" x14ac:dyDescent="0.2">
      <c r="A446" s="6">
        <v>463</v>
      </c>
      <c r="B446" s="7" t="str">
        <f>HYPERLINK("https://www.ebi.ac.uk/QuickGO/GTerm?id=GO:1903594","GO:1903594 negative regulation of histamine secretion by mast cell")</f>
        <v>GO:1903594 negative regulation of histamine secretion by mast cell</v>
      </c>
      <c r="C446" s="1" t="s">
        <v>1</v>
      </c>
      <c r="D446" s="7" t="str">
        <f>HYPERLINK("https://www.ebi.ac.uk/QuickGO/GTerm?id=GO:0051241","GO:0051241 negative regulation of multicellular organismal process")</f>
        <v>GO:0051241 negative regulation of multicellular organismal process</v>
      </c>
      <c r="E446" s="1" t="s">
        <v>2</v>
      </c>
      <c r="F446" s="1" t="s">
        <v>435</v>
      </c>
      <c r="G446" s="8"/>
    </row>
    <row r="447" spans="1:7" ht="24.75" customHeight="1" x14ac:dyDescent="0.2">
      <c r="A447" s="6">
        <v>464</v>
      </c>
      <c r="B447" s="7" t="str">
        <f>HYPERLINK("https://www.ebi.ac.uk/QuickGO/GTerm?id=GO:0001694","GO:0001694 histamine biosynthetic process")</f>
        <v>GO:0001694 histamine biosynthetic process</v>
      </c>
      <c r="C447" s="1" t="s">
        <v>1</v>
      </c>
      <c r="D447" s="7" t="str">
        <f>HYPERLINK("https://www.ebi.ac.uk/QuickGO/GTerm?id=GO:0042136","GO:0042136 neurotransmitter biosynthetic process")</f>
        <v>GO:0042136 neurotransmitter biosynthetic process</v>
      </c>
      <c r="E447" s="1" t="s">
        <v>2</v>
      </c>
      <c r="F447" s="1" t="s">
        <v>436</v>
      </c>
      <c r="G447" s="8"/>
    </row>
    <row r="448" spans="1:7" ht="24.75" customHeight="1" x14ac:dyDescent="0.2">
      <c r="A448" s="6">
        <v>465</v>
      </c>
      <c r="B448" s="7" t="str">
        <f>HYPERLINK("https://www.ebi.ac.uk/QuickGO/GTerm?id=GO:1905701","GO:1905701 positive regulation of xenobiotic detoxification by transmembrane export across the plasma membrane")</f>
        <v>GO:1905701 positive regulation of xenobiotic detoxification by transmembrane export across the plasma membrane</v>
      </c>
      <c r="C448" s="1" t="s">
        <v>1</v>
      </c>
      <c r="D448" s="7" t="str">
        <f>HYPERLINK("https://www.ebi.ac.uk/QuickGO/GTerm?id=GO:2001025","GO:2001025 positive regulation of response to drug")</f>
        <v>GO:2001025 positive regulation of response to drug</v>
      </c>
      <c r="E448" s="1" t="s">
        <v>2</v>
      </c>
      <c r="F448" s="1" t="s">
        <v>437</v>
      </c>
      <c r="G448" s="8"/>
    </row>
    <row r="449" spans="1:7" ht="24.75" customHeight="1" x14ac:dyDescent="0.2">
      <c r="A449" s="6">
        <v>466</v>
      </c>
      <c r="B449" s="7" t="str">
        <f>HYPERLINK("https://www.ebi.ac.uk/QuickGO/GTerm?id=GO:0048448","GO:0048448 stamen morphogenesis")</f>
        <v>GO:0048448 stamen morphogenesis</v>
      </c>
      <c r="C449" s="1" t="s">
        <v>4</v>
      </c>
      <c r="D449" s="7" t="str">
        <f>HYPERLINK("https://www.ebi.ac.uk/QuickGO/GTerm?id=GO:0048457","GO:0048457 floral whorl morphogenesis")</f>
        <v>GO:0048457 floral whorl morphogenesis</v>
      </c>
      <c r="E449" s="1" t="s">
        <v>2</v>
      </c>
      <c r="F449" s="1" t="s">
        <v>438</v>
      </c>
      <c r="G449" s="8"/>
    </row>
    <row r="450" spans="1:7" ht="24.75" customHeight="1" x14ac:dyDescent="0.2">
      <c r="A450" s="6">
        <v>467</v>
      </c>
      <c r="B450" s="7" t="str">
        <f>HYPERLINK("https://www.ebi.ac.uk/QuickGO/GTerm?id=GO:0042211","GO:0042211 dimethylsilanediol catabolic process")</f>
        <v>GO:0042211 dimethylsilanediol catabolic process</v>
      </c>
      <c r="C450" s="1" t="s">
        <v>1</v>
      </c>
      <c r="D450" s="7" t="str">
        <f>HYPERLINK("https://www.ebi.ac.uk/QuickGO/GTerm?id=GO:0044282","GO:0044282 small molecule catabolic process")</f>
        <v>GO:0044282 small molecule catabolic process</v>
      </c>
      <c r="E450" s="1" t="s">
        <v>2</v>
      </c>
      <c r="F450" s="1" t="s">
        <v>439</v>
      </c>
      <c r="G450" s="8"/>
    </row>
    <row r="451" spans="1:7" ht="24.75" customHeight="1" x14ac:dyDescent="0.2">
      <c r="A451" s="6">
        <v>468</v>
      </c>
      <c r="B451" s="7" t="str">
        <f>HYPERLINK("https://www.ebi.ac.uk/QuickGO/GTerm?id=GO:0030291","GO:0030291 protein serine/threonine kinase inhibitor activity")</f>
        <v>GO:0030291 protein serine/threonine kinase inhibitor activity</v>
      </c>
      <c r="C451" s="1" t="s">
        <v>4</v>
      </c>
      <c r="D451" s="7" t="str">
        <f>HYPERLINK("https://www.ebi.ac.uk/QuickGO/GTerm?id=GO:0071901","GO:0071901 negative regulation of protein serine/threonine kinase activity")</f>
        <v>GO:0071901 negative regulation of protein serine/threonine kinase activity</v>
      </c>
      <c r="E451" s="1" t="s">
        <v>2</v>
      </c>
      <c r="F451" s="1" t="s">
        <v>440</v>
      </c>
      <c r="G451" s="8"/>
    </row>
    <row r="452" spans="1:7" ht="24.75" customHeight="1" x14ac:dyDescent="0.2">
      <c r="A452" s="6">
        <v>469</v>
      </c>
      <c r="B452" s="7" t="str">
        <f>HYPERLINK("https://www.ebi.ac.uk/QuickGO/GTerm?id=GO:0045627","GO:0045627 positive regulation of T-helper 1 cell differentiation")</f>
        <v>GO:0045627 positive regulation of T-helper 1 cell differentiation</v>
      </c>
      <c r="C452" s="1" t="s">
        <v>1</v>
      </c>
      <c r="D452" s="7" t="str">
        <f>HYPERLINK("https://www.ebi.ac.uk/QuickGO/GTerm?id=GO:0002824","GO:0002824 positive regulation of adaptive immune response based on somatic recombination of immune receptors built from immunoglobulin superfamily domains")</f>
        <v>GO:0002824 positive regulation of adaptive immune response based on somatic recombination of immune receptors built from immunoglobulin superfamily domains</v>
      </c>
      <c r="E452" s="1" t="s">
        <v>2</v>
      </c>
      <c r="F452" s="1" t="s">
        <v>441</v>
      </c>
      <c r="G452" s="8"/>
    </row>
    <row r="453" spans="1:7" ht="24.75" customHeight="1" x14ac:dyDescent="0.2">
      <c r="A453" s="6">
        <v>470</v>
      </c>
      <c r="B453" s="7" t="str">
        <f>HYPERLINK("https://www.ebi.ac.uk/QuickGO/GTerm?id=GO:0018884","GO:0018884 carbazole metabolic process")</f>
        <v>GO:0018884 carbazole metabolic process</v>
      </c>
      <c r="C453" s="1" t="s">
        <v>1</v>
      </c>
      <c r="D453" s="7" t="str">
        <f>HYPERLINK("https://www.ebi.ac.uk/QuickGO/GTerm?id=GO:0006805","GO:0006805 xenobiotic metabolic process")</f>
        <v>GO:0006805 xenobiotic metabolic process</v>
      </c>
      <c r="E453" s="1" t="s">
        <v>2</v>
      </c>
      <c r="F453" s="1" t="s">
        <v>442</v>
      </c>
      <c r="G453" s="8"/>
    </row>
    <row r="454" spans="1:7" ht="24.75" customHeight="1" x14ac:dyDescent="0.2">
      <c r="A454" s="6">
        <v>471</v>
      </c>
      <c r="B454" s="7" t="str">
        <f>HYPERLINK("https://www.ebi.ac.uk/QuickGO/GTerm?id=GO:0016344","GO:0016344 meiotic chromosome movement towards spindle pole")</f>
        <v>GO:0016344 meiotic chromosome movement towards spindle pole</v>
      </c>
      <c r="C454" s="1" t="s">
        <v>4</v>
      </c>
      <c r="D454" s="7" t="str">
        <f>HYPERLINK("https://www.ebi.ac.uk/QuickGO/GTerm?id=GO:0045144","GO:0045144 meiotic sister chromatid segregation")</f>
        <v>GO:0045144 meiotic sister chromatid segregation</v>
      </c>
      <c r="E454" s="1" t="s">
        <v>2</v>
      </c>
      <c r="F454" s="1" t="s">
        <v>443</v>
      </c>
      <c r="G454" s="8"/>
    </row>
    <row r="455" spans="1:7" ht="24.75" customHeight="1" x14ac:dyDescent="0.2">
      <c r="A455" s="6">
        <v>472</v>
      </c>
      <c r="B455" s="7" t="str">
        <f>HYPERLINK("https://www.ebi.ac.uk/QuickGO/GTerm?id=GO:0019210","GO:0019210 kinase inhibitor activity")</f>
        <v>GO:0019210 kinase inhibitor activity</v>
      </c>
      <c r="C455" s="1" t="s">
        <v>4</v>
      </c>
      <c r="D455" s="7" t="str">
        <f>HYPERLINK("https://www.ebi.ac.uk/QuickGO/GTerm?id=GO:0033673","GO:0033673 negative regulation of kinase activity")</f>
        <v>GO:0033673 negative regulation of kinase activity</v>
      </c>
      <c r="E455" s="1" t="s">
        <v>2</v>
      </c>
      <c r="F455" s="1" t="s">
        <v>444</v>
      </c>
      <c r="G455" s="8"/>
    </row>
    <row r="456" spans="1:7" ht="24.75" customHeight="1" x14ac:dyDescent="0.2">
      <c r="A456" s="6">
        <v>473</v>
      </c>
      <c r="B456" s="7" t="str">
        <f>HYPERLINK("https://www.ebi.ac.uk/QuickGO/GTerm?id=GO:0048706","GO:0048706 embryonic skeletal system development")</f>
        <v>GO:0048706 embryonic skeletal system development</v>
      </c>
      <c r="C456" s="1" t="s">
        <v>1</v>
      </c>
      <c r="D456" s="7" t="str">
        <f>HYPERLINK("https://www.ebi.ac.uk/QuickGO/GTerm?id=GO:0048568","GO:0048568 embryonic organ development")</f>
        <v>GO:0048568 embryonic organ development</v>
      </c>
      <c r="E456" s="1" t="s">
        <v>2</v>
      </c>
      <c r="F456" s="1" t="s">
        <v>445</v>
      </c>
      <c r="G456" s="8"/>
    </row>
    <row r="457" spans="1:7" ht="24.75" customHeight="1" x14ac:dyDescent="0.2">
      <c r="A457" s="6">
        <v>475</v>
      </c>
      <c r="B457" s="7" t="str">
        <f>HYPERLINK("https://www.ebi.ac.uk/QuickGO/GTerm?id=GO:0018059","GO:0018059 N-terminal peptidyl-serine deamination")</f>
        <v>GO:0018059 N-terminal peptidyl-serine deamination</v>
      </c>
      <c r="C457" s="1" t="s">
        <v>1</v>
      </c>
      <c r="D457" s="7" t="str">
        <f>HYPERLINK("https://www.ebi.ac.uk/QuickGO/GTerm?id=GO:0018209","GO:0018209 peptidyl-serine modification")</f>
        <v>GO:0018209 peptidyl-serine modification</v>
      </c>
      <c r="E457" s="1" t="s">
        <v>2</v>
      </c>
      <c r="F457" s="1" t="s">
        <v>446</v>
      </c>
      <c r="G457" s="8"/>
    </row>
    <row r="458" spans="1:7" ht="24.75" customHeight="1" x14ac:dyDescent="0.2">
      <c r="A458" s="6">
        <v>476</v>
      </c>
      <c r="B458" s="7" t="str">
        <f>HYPERLINK("https://www.ebi.ac.uk/QuickGO/GTerm?id=GO:0019635","GO:0019635 2-aminoethylphosphonate catabolic process")</f>
        <v>GO:0019635 2-aminoethylphosphonate catabolic process</v>
      </c>
      <c r="C458" s="1" t="s">
        <v>1</v>
      </c>
      <c r="D458" s="7" t="str">
        <f>HYPERLINK("https://www.ebi.ac.uk/QuickGO/GTerm?id=GO:0044248","GO:0044248 cellular catabolic process")</f>
        <v>GO:0044248 cellular catabolic process</v>
      </c>
      <c r="E458" s="1" t="s">
        <v>2</v>
      </c>
      <c r="F458" s="1" t="s">
        <v>447</v>
      </c>
      <c r="G458" s="8"/>
    </row>
    <row r="459" spans="1:7" ht="24.75" customHeight="1" x14ac:dyDescent="0.2">
      <c r="A459" s="6">
        <v>477</v>
      </c>
      <c r="B459" s="7" t="str">
        <f>HYPERLINK("https://www.ebi.ac.uk/QuickGO/GTerm?id=GO:0022036","GO:0022036 rhombomere cell differentiation")</f>
        <v>GO:0022036 rhombomere cell differentiation</v>
      </c>
      <c r="C459" s="1" t="s">
        <v>4</v>
      </c>
      <c r="D459" s="7" t="str">
        <f>HYPERLINK("https://www.ebi.ac.uk/QuickGO/GTerm?id=GO:0021594","GO:0021594 rhombomere formation")</f>
        <v>GO:0021594 rhombomere formation</v>
      </c>
      <c r="E459" s="1" t="s">
        <v>2</v>
      </c>
      <c r="F459" s="1" t="s">
        <v>448</v>
      </c>
      <c r="G459" s="8"/>
    </row>
    <row r="460" spans="1:7" ht="24.75" customHeight="1" x14ac:dyDescent="0.2">
      <c r="A460" s="6">
        <v>478</v>
      </c>
      <c r="B460" s="7" t="str">
        <f>HYPERLINK("https://www.ebi.ac.uk/QuickGO/GTerm?id=GO:1905766","GO:1905766 positive regulation of protection from non-homologous end joining at telomere")</f>
        <v>GO:1905766 positive regulation of protection from non-homologous end joining at telomere</v>
      </c>
      <c r="C460" s="1" t="s">
        <v>1</v>
      </c>
      <c r="D460" s="7" t="str">
        <f>HYPERLINK("https://www.ebi.ac.uk/QuickGO/GTerm?id=GO:1904355","GO:1904355 positive regulation of telomere capping")</f>
        <v>GO:1904355 positive regulation of telomere capping</v>
      </c>
      <c r="E460" s="1" t="s">
        <v>2</v>
      </c>
      <c r="F460" s="1" t="s">
        <v>449</v>
      </c>
      <c r="G460" s="8"/>
    </row>
    <row r="461" spans="1:7" ht="24.75" customHeight="1" x14ac:dyDescent="0.2">
      <c r="A461" s="6">
        <v>479</v>
      </c>
      <c r="B461" s="7" t="str">
        <f>HYPERLINK("https://www.ebi.ac.uk/QuickGO/GTerm?id=GO:2000729","GO:2000729 positive regulation of mesenchymal cell proliferation involved in ureter development")</f>
        <v>GO:2000729 positive regulation of mesenchymal cell proliferation involved in ureter development</v>
      </c>
      <c r="C461" s="1" t="s">
        <v>1</v>
      </c>
      <c r="D461" s="7" t="str">
        <f>HYPERLINK("https://www.ebi.ac.uk/QuickGO/GTerm?id=GO:0051240","GO:0051240 positive regulation of multicellular organismal process")</f>
        <v>GO:0051240 positive regulation of multicellular organismal process</v>
      </c>
      <c r="E461" s="1" t="s">
        <v>2</v>
      </c>
      <c r="F461" s="1" t="s">
        <v>450</v>
      </c>
      <c r="G461" s="8"/>
    </row>
    <row r="462" spans="1:7" ht="24.75" customHeight="1" x14ac:dyDescent="0.2">
      <c r="A462" s="6">
        <v>480</v>
      </c>
      <c r="B462" s="7" t="str">
        <f>HYPERLINK("https://www.ebi.ac.uk/QuickGO/GTerm?id=GO:0060299","GO:0060299 negative regulation of sarcomere organization")</f>
        <v>GO:0060299 negative regulation of sarcomere organization</v>
      </c>
      <c r="C462" s="1" t="s">
        <v>1</v>
      </c>
      <c r="D462" s="7" t="str">
        <f>HYPERLINK("https://www.ebi.ac.uk/QuickGO/GTerm?id=GO:0051148","GO:0051148 negative regulation of muscle cell differentiation")</f>
        <v>GO:0051148 negative regulation of muscle cell differentiation</v>
      </c>
      <c r="E462" s="1" t="s">
        <v>2</v>
      </c>
      <c r="F462" s="1" t="s">
        <v>451</v>
      </c>
      <c r="G462" s="8"/>
    </row>
    <row r="463" spans="1:7" ht="24.75" customHeight="1" x14ac:dyDescent="0.2">
      <c r="A463" s="6">
        <v>482</v>
      </c>
      <c r="B463" s="7" t="str">
        <f>HYPERLINK("https://www.ebi.ac.uk/QuickGO/GTerm?id=GO:0072315","GO:0072315 metanephric glomerular epithelial cell fate commitment")</f>
        <v>GO:0072315 metanephric glomerular epithelial cell fate commitment</v>
      </c>
      <c r="C463" s="1" t="s">
        <v>4</v>
      </c>
      <c r="D463" s="7" t="str">
        <f>HYPERLINK("https://www.ebi.ac.uk/QuickGO/GTerm?id=GO:0072244","GO:0072244 metanephric glomerular epithelium development")</f>
        <v>GO:0072244 metanephric glomerular epithelium development</v>
      </c>
      <c r="E463" s="1" t="s">
        <v>2</v>
      </c>
      <c r="F463" s="1" t="s">
        <v>452</v>
      </c>
      <c r="G463" s="8"/>
    </row>
    <row r="464" spans="1:7" ht="24.75" customHeight="1" x14ac:dyDescent="0.2">
      <c r="A464" s="6">
        <v>483</v>
      </c>
      <c r="B464" s="7" t="str">
        <f>HYPERLINK("https://www.ebi.ac.uk/QuickGO/GTerm?id=GO:0034117","GO:0034117 erythrocyte aggregation")</f>
        <v>GO:0034117 erythrocyte aggregation</v>
      </c>
      <c r="C464" s="1" t="s">
        <v>1</v>
      </c>
      <c r="D464" s="7" t="str">
        <f>HYPERLINK("https://www.ebi.ac.uk/QuickGO/GTerm?id=GO:0098743","GO:0098743 cell aggregation")</f>
        <v>GO:0098743 cell aggregation</v>
      </c>
      <c r="E464" s="1" t="s">
        <v>2</v>
      </c>
      <c r="F464" s="1" t="s">
        <v>453</v>
      </c>
      <c r="G464" s="8"/>
    </row>
    <row r="465" spans="1:7" ht="24.75" customHeight="1" x14ac:dyDescent="0.2">
      <c r="A465" s="6">
        <v>484</v>
      </c>
      <c r="B465" s="7" t="str">
        <f>HYPERLINK("https://www.ebi.ac.uk/QuickGO/GTerm?id=GO:0045248","GO:0045248 cytosolic oxoglutarate dehydrogenase complex")</f>
        <v>GO:0045248 cytosolic oxoglutarate dehydrogenase complex</v>
      </c>
      <c r="C465" s="1" t="s">
        <v>1</v>
      </c>
      <c r="D465" s="7" t="str">
        <f>HYPERLINK("https://www.ebi.ac.uk/QuickGO/GTerm?id=GO:0045246","GO:0045246 cytosolic tricarboxylic acid cycle enzyme complex")</f>
        <v>GO:0045246 cytosolic tricarboxylic acid cycle enzyme complex</v>
      </c>
      <c r="E465" s="1" t="s">
        <v>2</v>
      </c>
      <c r="F465" s="1" t="s">
        <v>454</v>
      </c>
      <c r="G465" s="8"/>
    </row>
    <row r="466" spans="1:7" ht="24.75" customHeight="1" x14ac:dyDescent="0.2">
      <c r="A466" s="6">
        <v>485</v>
      </c>
      <c r="B466" s="7" t="str">
        <f>HYPERLINK("https://www.ebi.ac.uk/QuickGO/GTerm?id=GO:0061002","GO:0061002 negative regulation of dendritic spine morphogenesis")</f>
        <v>GO:0061002 negative regulation of dendritic spine morphogenesis</v>
      </c>
      <c r="C466" s="1" t="s">
        <v>1</v>
      </c>
      <c r="D466" s="7" t="str">
        <f>HYPERLINK("https://www.ebi.ac.uk/QuickGO/GTerm?id=GO:0050768","GO:0050768 negative regulation of neurogenesis")</f>
        <v>GO:0050768 negative regulation of neurogenesis</v>
      </c>
      <c r="E466" s="1" t="s">
        <v>2</v>
      </c>
      <c r="F466" s="1" t="s">
        <v>455</v>
      </c>
      <c r="G466" s="8"/>
    </row>
    <row r="467" spans="1:7" ht="24.75" customHeight="1" x14ac:dyDescent="0.2">
      <c r="A467" s="6">
        <v>486</v>
      </c>
      <c r="B467" s="7" t="str">
        <f>HYPERLINK("https://www.ebi.ac.uk/QuickGO/GTerm?id=GO:1903755","GO:1903755 positive regulation of SUMO transferase activity")</f>
        <v>GO:1903755 positive regulation of SUMO transferase activity</v>
      </c>
      <c r="C467" s="1" t="s">
        <v>1</v>
      </c>
      <c r="D467" s="7" t="str">
        <f>HYPERLINK("https://www.ebi.ac.uk/QuickGO/GTerm?id=GO:0033235","GO:0033235 positive regulation of protein sumoylation")</f>
        <v>GO:0033235 positive regulation of protein sumoylation</v>
      </c>
      <c r="E467" s="1" t="s">
        <v>2</v>
      </c>
      <c r="F467" s="1" t="s">
        <v>456</v>
      </c>
      <c r="G467" s="8"/>
    </row>
    <row r="468" spans="1:7" ht="24.75" customHeight="1" x14ac:dyDescent="0.2">
      <c r="A468" s="6">
        <v>487</v>
      </c>
      <c r="B468" s="7" t="str">
        <f>HYPERLINK("https://www.ebi.ac.uk/QuickGO/GTerm?id=GO:0009789","GO:0009789 positive regulation of abscisic acid-activated signaling pathway")</f>
        <v>GO:0009789 positive regulation of abscisic acid-activated signaling pathway</v>
      </c>
      <c r="C468" s="1" t="s">
        <v>1</v>
      </c>
      <c r="D468" s="7" t="str">
        <f>HYPERLINK("https://www.ebi.ac.uk/QuickGO/GTerm?id=GO:1901421","GO:1901421 positive regulation of response to alcohol")</f>
        <v>GO:1901421 positive regulation of response to alcohol</v>
      </c>
      <c r="E468" s="1" t="s">
        <v>2</v>
      </c>
      <c r="F468" s="1" t="s">
        <v>457</v>
      </c>
      <c r="G468" s="8"/>
    </row>
    <row r="469" spans="1:7" ht="24.75" customHeight="1" x14ac:dyDescent="0.2">
      <c r="A469" s="6">
        <v>488</v>
      </c>
      <c r="B469" s="7" t="str">
        <f>HYPERLINK("https://www.ebi.ac.uk/QuickGO/GTerm?id=GO:0071767","GO:0071767 mycolic acid metabolic process")</f>
        <v>GO:0071767 mycolic acid metabolic process</v>
      </c>
      <c r="C469" s="1" t="s">
        <v>1</v>
      </c>
      <c r="D469" s="7" t="str">
        <f>HYPERLINK("https://www.ebi.ac.uk/QuickGO/GTerm?id=GO:0044036","GO:0044036 cell wall macromolecule metabolic process")</f>
        <v>GO:0044036 cell wall macromolecule metabolic process</v>
      </c>
      <c r="E469" s="1" t="s">
        <v>2</v>
      </c>
      <c r="F469" s="1" t="s">
        <v>458</v>
      </c>
      <c r="G469" s="8"/>
    </row>
    <row r="470" spans="1:7" ht="24.75" customHeight="1" x14ac:dyDescent="0.2">
      <c r="A470" s="6">
        <v>489</v>
      </c>
      <c r="B470" s="7" t="str">
        <f>HYPERLINK("https://www.ebi.ac.uk/QuickGO/GTerm?id=GO:1902105","GO:1902105 regulation of leukocyte differentiation")</f>
        <v>GO:1902105 regulation of leukocyte differentiation</v>
      </c>
      <c r="C470" s="1" t="s">
        <v>1</v>
      </c>
      <c r="D470" s="7" t="str">
        <f>HYPERLINK("https://www.ebi.ac.uk/QuickGO/GTerm?id=GO:0002694","GO:0002694 regulation of leukocyte activation")</f>
        <v>GO:0002694 regulation of leukocyte activation</v>
      </c>
      <c r="E470" s="1" t="s">
        <v>2</v>
      </c>
      <c r="F470" s="1" t="s">
        <v>459</v>
      </c>
      <c r="G470" s="8"/>
    </row>
    <row r="471" spans="1:7" ht="24.75" customHeight="1" x14ac:dyDescent="0.2">
      <c r="A471" s="6">
        <v>491</v>
      </c>
      <c r="B471" s="7" t="str">
        <f>HYPERLINK("https://www.ebi.ac.uk/QuickGO/GTerm?id=GO:0051664","GO:0051664 nuclear pore localization")</f>
        <v>GO:0051664 nuclear pore localization</v>
      </c>
      <c r="C471" s="1" t="s">
        <v>1</v>
      </c>
      <c r="D471" s="7" t="str">
        <f>HYPERLINK("https://www.ebi.ac.uk/QuickGO/GTerm?id=GO:0051647","GO:0051647 nucleus localization")</f>
        <v>GO:0051647 nucleus localization</v>
      </c>
      <c r="E471" s="1" t="s">
        <v>2</v>
      </c>
      <c r="F471" s="1" t="s">
        <v>460</v>
      </c>
      <c r="G471" s="8"/>
    </row>
    <row r="472" spans="1:7" ht="24.75" customHeight="1" x14ac:dyDescent="0.2">
      <c r="A472" s="6">
        <v>492</v>
      </c>
      <c r="B472" s="7" t="str">
        <f>HYPERLINK("https://www.ebi.ac.uk/QuickGO/GTerm?id=GO:0051473","GO:0051473 glucosylglycerol biosynthetic process")</f>
        <v>GO:0051473 glucosylglycerol biosynthetic process</v>
      </c>
      <c r="C472" s="1" t="s">
        <v>1</v>
      </c>
      <c r="D472" s="7" t="str">
        <f>HYPERLINK("https://www.ebi.ac.uk/QuickGO/GTerm?id=GO:0033692","GO:0033692 cellular polysaccharide biosynthetic process")</f>
        <v>GO:0033692 cellular polysaccharide biosynthetic process</v>
      </c>
      <c r="E472" s="1" t="s">
        <v>2</v>
      </c>
      <c r="F472" s="1" t="s">
        <v>461</v>
      </c>
      <c r="G472" s="8"/>
    </row>
    <row r="473" spans="1:7" ht="24.75" customHeight="1" x14ac:dyDescent="0.2">
      <c r="A473" s="6">
        <v>493</v>
      </c>
      <c r="B473" s="7" t="str">
        <f>HYPERLINK("https://www.ebi.ac.uk/QuickGO/GTerm?id=GO:0070504","GO:0070504 selenium-containing prosthetic group biosynthetic process")</f>
        <v>GO:0070504 selenium-containing prosthetic group biosynthetic process</v>
      </c>
      <c r="C473" s="1" t="s">
        <v>4</v>
      </c>
      <c r="D473" s="7" t="str">
        <f>HYPERLINK("https://www.ebi.ac.uk/QuickGO/GTerm?id=GO:1901566","GO:1901566 organonitrogen compound biosynthetic process")</f>
        <v>GO:1901566 organonitrogen compound biosynthetic process</v>
      </c>
      <c r="E473" s="1" t="s">
        <v>2</v>
      </c>
      <c r="F473" s="1" t="s">
        <v>462</v>
      </c>
      <c r="G473" s="8"/>
    </row>
    <row r="474" spans="1:7" ht="24.75" customHeight="1" x14ac:dyDescent="0.2">
      <c r="A474" s="6">
        <v>494</v>
      </c>
      <c r="B474" s="7" t="str">
        <f>HYPERLINK("https://www.ebi.ac.uk/QuickGO/GTerm?id=GO:0072275","GO:0072275 metanephric glomerulus morphogenesis")</f>
        <v>GO:0072275 metanephric glomerulus morphogenesis</v>
      </c>
      <c r="C474" s="1" t="s">
        <v>4</v>
      </c>
      <c r="D474" s="7" t="str">
        <f>HYPERLINK("https://www.ebi.ac.uk/QuickGO/GTerm?id=GO:0003338","GO:0003338 metanephros morphogenesis")</f>
        <v>GO:0003338 metanephros morphogenesis</v>
      </c>
      <c r="E474" s="1" t="s">
        <v>2</v>
      </c>
      <c r="F474" s="1" t="s">
        <v>463</v>
      </c>
      <c r="G474" s="8"/>
    </row>
    <row r="475" spans="1:7" ht="24.75" customHeight="1" x14ac:dyDescent="0.2">
      <c r="A475" s="6">
        <v>495</v>
      </c>
      <c r="B475" s="7" t="str">
        <f>HYPERLINK("https://www.ebi.ac.uk/QuickGO/GTerm?id=GO:1905425","GO:1905425 negative regulation of Wnt-mediated midbrain dopaminergic neuron differentiation")</f>
        <v>GO:1905425 negative regulation of Wnt-mediated midbrain dopaminergic neuron differentiation</v>
      </c>
      <c r="C475" s="1" t="s">
        <v>1</v>
      </c>
      <c r="D475" s="7" t="str">
        <f>HYPERLINK("https://www.ebi.ac.uk/QuickGO/GTerm?id=GO:0051093","GO:0051093 negative regulation of developmental process")</f>
        <v>GO:0051093 negative regulation of developmental process</v>
      </c>
      <c r="E475" s="1" t="s">
        <v>2</v>
      </c>
      <c r="F475" s="1" t="s">
        <v>464</v>
      </c>
      <c r="G475" s="8"/>
    </row>
    <row r="476" spans="1:7" ht="24.75" customHeight="1" x14ac:dyDescent="0.2">
      <c r="A476" s="6">
        <v>496</v>
      </c>
      <c r="B476" s="7" t="str">
        <f>HYPERLINK("https://www.ebi.ac.uk/QuickGO/GTerm?id=GO:0006528","GO:0006528 asparagine metabolic process")</f>
        <v>GO:0006528 asparagine metabolic process</v>
      </c>
      <c r="C476" s="1" t="s">
        <v>1</v>
      </c>
      <c r="D476" s="7" t="str">
        <f>HYPERLINK("https://www.ebi.ac.uk/QuickGO/GTerm?id=GO:0009064","GO:0009064 glutamine family amino acid metabolic process")</f>
        <v>GO:0009064 glutamine family amino acid metabolic process</v>
      </c>
      <c r="E476" s="1" t="s">
        <v>2</v>
      </c>
      <c r="F476" s="1" t="s">
        <v>465</v>
      </c>
      <c r="G476" s="8"/>
    </row>
    <row r="477" spans="1:7" ht="24.75" customHeight="1" x14ac:dyDescent="0.2">
      <c r="A477" s="6">
        <v>497</v>
      </c>
      <c r="B477" s="7" t="str">
        <f>HYPERLINK("https://www.ebi.ac.uk/QuickGO/GTerm?id=GO:0021688","GO:0021688 cerebellar molecular layer formation")</f>
        <v>GO:0021688 cerebellar molecular layer formation</v>
      </c>
      <c r="C477" s="1" t="s">
        <v>4</v>
      </c>
      <c r="D477" s="7" t="str">
        <f>HYPERLINK("https://www.ebi.ac.uk/QuickGO/GTerm?id=GO:0021576","GO:0021576 hindbrain formation")</f>
        <v>GO:0021576 hindbrain formation</v>
      </c>
      <c r="E477" s="1" t="s">
        <v>2</v>
      </c>
      <c r="F477" s="1" t="s">
        <v>466</v>
      </c>
      <c r="G477" s="8"/>
    </row>
    <row r="478" spans="1:7" ht="24.75" customHeight="1" x14ac:dyDescent="0.2">
      <c r="A478" s="6">
        <v>498</v>
      </c>
      <c r="B478" s="7" t="str">
        <f>HYPERLINK("https://www.ebi.ac.uk/QuickGO/GTerm?id=GO:0098716","GO:0098716 nickel cation import across plasma membrane")</f>
        <v>GO:0098716 nickel cation import across plasma membrane</v>
      </c>
      <c r="C478" s="1" t="s">
        <v>1</v>
      </c>
      <c r="D478" s="7" t="str">
        <f>HYPERLINK("https://www.ebi.ac.uk/QuickGO/GTerm?id=GO:0035784","GO:0035784 nickel cation homeostasis")</f>
        <v>GO:0035784 nickel cation homeostasis</v>
      </c>
      <c r="E478" s="1" t="s">
        <v>2</v>
      </c>
      <c r="F478" s="1" t="s">
        <v>467</v>
      </c>
      <c r="G478" s="8"/>
    </row>
    <row r="479" spans="1:7" ht="24.75" customHeight="1" x14ac:dyDescent="0.2">
      <c r="A479" s="6">
        <v>499</v>
      </c>
      <c r="B479" s="7" t="str">
        <f>HYPERLINK("https://www.ebi.ac.uk/QuickGO/GTerm?id=GO:0009608","GO:0009608 response to symbiont")</f>
        <v>GO:0009608 response to symbiont</v>
      </c>
      <c r="C479" s="1" t="s">
        <v>1</v>
      </c>
      <c r="D479" s="7" t="str">
        <f>HYPERLINK("https://www.ebi.ac.uk/QuickGO/GTerm?id=GO:0051702","GO:0051702 biological process involved in interaction with symbiont")</f>
        <v>GO:0051702 biological process involved in interaction with symbiont</v>
      </c>
      <c r="E479" s="1" t="s">
        <v>2</v>
      </c>
      <c r="F479" s="1" t="s">
        <v>468</v>
      </c>
      <c r="G479" s="8"/>
    </row>
    <row r="480" spans="1:7" ht="24.75" customHeight="1" x14ac:dyDescent="0.2">
      <c r="A480" s="6">
        <v>500</v>
      </c>
      <c r="B480" s="7" t="str">
        <f>HYPERLINK("https://www.ebi.ac.uk/QuickGO/GTerm?id=GO:0070399","GO:0070399 wall teichoic acid catabolic process")</f>
        <v>GO:0070399 wall teichoic acid catabolic process</v>
      </c>
      <c r="C480" s="1" t="s">
        <v>1</v>
      </c>
      <c r="D480" s="7" t="str">
        <f>HYPERLINK("https://www.ebi.ac.uk/QuickGO/GTerm?id=GO:0044265","GO:0044265 cellular macromolecule catabolic process")</f>
        <v>GO:0044265 cellular macromolecule catabolic process</v>
      </c>
      <c r="E480" s="1" t="s">
        <v>2</v>
      </c>
      <c r="F480" s="1" t="s">
        <v>469</v>
      </c>
      <c r="G480" s="8"/>
    </row>
    <row r="481" spans="1:7" ht="24.75" customHeight="1" x14ac:dyDescent="0.2">
      <c r="A481" s="6">
        <v>501</v>
      </c>
      <c r="B481" s="7" t="str">
        <f>HYPERLINK("https://www.ebi.ac.uk/QuickGO/GTerm?id=GO:0061286","GO:0061286 mesonephric capsule morphogenesis")</f>
        <v>GO:0061286 mesonephric capsule morphogenesis</v>
      </c>
      <c r="C481" s="1" t="s">
        <v>4</v>
      </c>
      <c r="D481" s="7" t="str">
        <f>HYPERLINK("https://www.ebi.ac.uk/QuickGO/GTerm?id=GO:0061206","GO:0061206 mesonephros morphogenesis")</f>
        <v>GO:0061206 mesonephros morphogenesis</v>
      </c>
      <c r="E481" s="1" t="s">
        <v>2</v>
      </c>
      <c r="F481" s="1" t="s">
        <v>470</v>
      </c>
      <c r="G481" s="8"/>
    </row>
    <row r="482" spans="1:7" ht="24.75" customHeight="1" x14ac:dyDescent="0.2">
      <c r="A482" s="6">
        <v>502</v>
      </c>
      <c r="B482" s="7" t="str">
        <f>HYPERLINK("https://www.ebi.ac.uk/QuickGO/GTerm?id=GO:0120159","GO:0120159 rRNA pseudouridine synthase activity")</f>
        <v>GO:0120159 rRNA pseudouridine synthase activity</v>
      </c>
      <c r="C482" s="1" t="s">
        <v>1</v>
      </c>
      <c r="D482" s="7" t="str">
        <f>HYPERLINK("https://www.ebi.ac.uk/QuickGO/GTerm?id=GO:0140102","GO:0140102 catalytic activity, acting on a rRNA")</f>
        <v>GO:0140102 catalytic activity, acting on a rRNA</v>
      </c>
      <c r="E482" s="1" t="s">
        <v>2</v>
      </c>
      <c r="F482" s="1" t="s">
        <v>471</v>
      </c>
      <c r="G482" s="8"/>
    </row>
    <row r="483" spans="1:7" ht="24.75" customHeight="1" x14ac:dyDescent="0.2">
      <c r="A483" s="6">
        <v>504</v>
      </c>
      <c r="B483" s="7" t="str">
        <f>HYPERLINK("https://www.ebi.ac.uk/QuickGO/GTerm?id=GO:0003382","GO:0003382 epithelial cell morphogenesis")</f>
        <v>GO:0003382 epithelial cell morphogenesis</v>
      </c>
      <c r="C483" s="1" t="s">
        <v>4</v>
      </c>
      <c r="D483" s="7" t="str">
        <f>HYPERLINK("https://www.ebi.ac.uk/QuickGO/GTerm?id=GO:0048729","GO:0048729 tissue morphogenesis")</f>
        <v>GO:0048729 tissue morphogenesis</v>
      </c>
      <c r="E483" s="1" t="s">
        <v>2</v>
      </c>
      <c r="F483" s="1" t="s">
        <v>472</v>
      </c>
      <c r="G483" s="8"/>
    </row>
    <row r="484" spans="1:7" ht="24.75" customHeight="1" x14ac:dyDescent="0.2">
      <c r="A484" s="6">
        <v>505</v>
      </c>
      <c r="B484" s="7" t="str">
        <f>HYPERLINK("https://www.ebi.ac.uk/QuickGO/GTerm?id=GO:1905935","GO:1905935 positive regulation of cell fate determination")</f>
        <v>GO:1905935 positive regulation of cell fate determination</v>
      </c>
      <c r="C484" s="1" t="s">
        <v>1</v>
      </c>
      <c r="D484" s="7" t="str">
        <f>HYPERLINK("https://www.ebi.ac.uk/QuickGO/GTerm?id=GO:0010455","GO:0010455 positive regulation of cell fate commitment")</f>
        <v>GO:0010455 positive regulation of cell fate commitment</v>
      </c>
      <c r="E484" s="1" t="s">
        <v>2</v>
      </c>
      <c r="F484" s="1" t="s">
        <v>473</v>
      </c>
      <c r="G484" s="8"/>
    </row>
    <row r="485" spans="1:7" ht="24.75" customHeight="1" x14ac:dyDescent="0.2">
      <c r="A485" s="6">
        <v>506</v>
      </c>
      <c r="B485" s="7" t="str">
        <f>HYPERLINK("https://www.ebi.ac.uk/QuickGO/GTerm?id=GO:0042987","GO:0042987 amyloid precursor protein catabolic process")</f>
        <v>GO:0042987 amyloid precursor protein catabolic process</v>
      </c>
      <c r="C485" s="1" t="s">
        <v>1</v>
      </c>
      <c r="D485" s="7" t="str">
        <f>HYPERLINK("https://www.ebi.ac.uk/QuickGO/GTerm?id=GO:1901565","GO:1901565 organonitrogen compound catabolic process")</f>
        <v>GO:1901565 organonitrogen compound catabolic process</v>
      </c>
      <c r="E485" s="1" t="s">
        <v>2</v>
      </c>
      <c r="F485" s="1" t="s">
        <v>474</v>
      </c>
      <c r="G485" s="8"/>
    </row>
    <row r="486" spans="1:7" ht="24.75" customHeight="1" x14ac:dyDescent="0.2">
      <c r="A486" s="6">
        <v>507</v>
      </c>
      <c r="B486" s="7" t="str">
        <f>HYPERLINK("https://www.ebi.ac.uk/QuickGO/GTerm?id=GO:0044348","GO:0044348 plant-type cell wall cellulose catabolic process")</f>
        <v>GO:0044348 plant-type cell wall cellulose catabolic process</v>
      </c>
      <c r="C486" s="1" t="s">
        <v>1</v>
      </c>
      <c r="D486" s="7" t="str">
        <f>HYPERLINK("https://www.ebi.ac.uk/QuickGO/GTerm?id=GO:0009251","GO:0009251 glucan catabolic process")</f>
        <v>GO:0009251 glucan catabolic process</v>
      </c>
      <c r="E486" s="1" t="s">
        <v>2</v>
      </c>
      <c r="F486" s="1" t="s">
        <v>475</v>
      </c>
      <c r="G486" s="8"/>
    </row>
    <row r="487" spans="1:7" ht="24.75" customHeight="1" x14ac:dyDescent="0.2">
      <c r="A487" s="6">
        <v>508</v>
      </c>
      <c r="B487" s="7" t="str">
        <f>HYPERLINK("https://www.ebi.ac.uk/QuickGO/GTerm?id=GO:0070956","GO:0070956 negative regulation of neutrophil mediated killing of bacterium")</f>
        <v>GO:0070956 negative regulation of neutrophil mediated killing of bacterium</v>
      </c>
      <c r="C487" s="1" t="s">
        <v>1</v>
      </c>
      <c r="D487" s="7" t="str">
        <f>HYPERLINK("https://www.ebi.ac.uk/QuickGO/GTerm?id=GO:1900424","GO:1900424 regulation of defense response to bacterium")</f>
        <v>GO:1900424 regulation of defense response to bacterium</v>
      </c>
      <c r="E487" s="1" t="s">
        <v>2</v>
      </c>
      <c r="F487" s="1" t="s">
        <v>476</v>
      </c>
      <c r="G487" s="8"/>
    </row>
    <row r="488" spans="1:7" ht="24.75" customHeight="1" x14ac:dyDescent="0.2">
      <c r="A488" s="6">
        <v>509</v>
      </c>
      <c r="B488" s="7" t="str">
        <f>HYPERLINK("https://www.ebi.ac.uk/QuickGO/GTerm?id=GO:0046150","GO:0046150 melanin catabolic process")</f>
        <v>GO:0046150 melanin catabolic process</v>
      </c>
      <c r="C488" s="1" t="s">
        <v>1</v>
      </c>
      <c r="D488" s="7" t="str">
        <f>HYPERLINK("https://www.ebi.ac.uk/QuickGO/GTerm?id=GO:0090487","GO:0090487 secondary metabolite catabolic process")</f>
        <v>GO:0090487 secondary metabolite catabolic process</v>
      </c>
      <c r="E488" s="1" t="s">
        <v>2</v>
      </c>
      <c r="F488" s="1" t="s">
        <v>477</v>
      </c>
      <c r="G488" s="8"/>
    </row>
    <row r="489" spans="1:7" ht="24.75" customHeight="1" x14ac:dyDescent="0.2">
      <c r="A489" s="6">
        <v>510</v>
      </c>
      <c r="B489" s="7" t="str">
        <f>HYPERLINK("https://www.ebi.ac.uk/QuickGO/GTerm?id=GO:0019128","GO:0019128 peptidyl-tryptophan racemization")</f>
        <v>GO:0019128 peptidyl-tryptophan racemization</v>
      </c>
      <c r="C489" s="1" t="s">
        <v>1</v>
      </c>
      <c r="D489" s="7" t="str">
        <f>HYPERLINK("https://www.ebi.ac.uk/QuickGO/GTerm?id=GO:0018211","GO:0018211 peptidyl-tryptophan modification")</f>
        <v>GO:0018211 peptidyl-tryptophan modification</v>
      </c>
      <c r="E489" s="1" t="s">
        <v>2</v>
      </c>
      <c r="F489" s="1" t="s">
        <v>478</v>
      </c>
      <c r="G489" s="8"/>
    </row>
    <row r="490" spans="1:7" ht="24.75" customHeight="1" x14ac:dyDescent="0.2">
      <c r="A490" s="6">
        <v>511</v>
      </c>
      <c r="B490" s="7" t="str">
        <f>HYPERLINK("https://www.ebi.ac.uk/QuickGO/GTerm?id=GO:0070994","GO:0070994 detection of oxidative stress")</f>
        <v>GO:0070994 detection of oxidative stress</v>
      </c>
      <c r="C490" s="1" t="s">
        <v>1</v>
      </c>
      <c r="D490" s="7" t="str">
        <f>HYPERLINK("https://www.ebi.ac.uk/QuickGO/GTerm?id=GO:0051606","GO:0051606 detection of stimulus")</f>
        <v>GO:0051606 detection of stimulus</v>
      </c>
      <c r="E490" s="1" t="s">
        <v>2</v>
      </c>
      <c r="F490" s="1" t="s">
        <v>479</v>
      </c>
      <c r="G490" s="8"/>
    </row>
    <row r="491" spans="1:7" ht="24.75" customHeight="1" x14ac:dyDescent="0.2">
      <c r="A491" s="6">
        <v>512</v>
      </c>
      <c r="B491" s="7" t="str">
        <f>HYPERLINK("https://www.ebi.ac.uk/QuickGO/GTerm?id=GO:1905220","GO:1905220 negative regulation of platelet formation")</f>
        <v>GO:1905220 negative regulation of platelet formation</v>
      </c>
      <c r="C491" s="1" t="s">
        <v>1</v>
      </c>
      <c r="D491" s="7" t="str">
        <f>HYPERLINK("https://www.ebi.ac.uk/QuickGO/GTerm?id=GO:0010721","GO:0010721 negative regulation of cell development")</f>
        <v>GO:0010721 negative regulation of cell development</v>
      </c>
      <c r="E491" s="1" t="s">
        <v>2</v>
      </c>
      <c r="F491" s="1" t="s">
        <v>480</v>
      </c>
      <c r="G491" s="8"/>
    </row>
    <row r="492" spans="1:7" ht="24.75" customHeight="1" x14ac:dyDescent="0.2">
      <c r="A492" s="6">
        <v>513</v>
      </c>
      <c r="B492" s="7" t="str">
        <f>HYPERLINK("https://www.ebi.ac.uk/QuickGO/GTerm?id=GO:1902128","GO:1902128 (-)-lariciresinol catabolic process")</f>
        <v>GO:1902128 (-)-lariciresinol catabolic process</v>
      </c>
      <c r="C492" s="1" t="s">
        <v>1</v>
      </c>
      <c r="D492" s="7" t="str">
        <f>HYPERLINK("https://www.ebi.ac.uk/QuickGO/GTerm?id=GO:0090487","GO:0090487 secondary metabolite catabolic process")</f>
        <v>GO:0090487 secondary metabolite catabolic process</v>
      </c>
      <c r="E492" s="1" t="s">
        <v>2</v>
      </c>
      <c r="F492" s="1" t="s">
        <v>481</v>
      </c>
      <c r="G492" s="8"/>
    </row>
    <row r="493" spans="1:7" ht="24.75" customHeight="1" x14ac:dyDescent="0.2">
      <c r="A493" s="6">
        <v>514</v>
      </c>
      <c r="B493" s="7" t="str">
        <f>HYPERLINK("https://www.ebi.ac.uk/QuickGO/GTerm?id=GO:0031632","GO:0031632 positive regulation of synaptic vesicle fusion to presynaptic active zone membrane")</f>
        <v>GO:0031632 positive regulation of synaptic vesicle fusion to presynaptic active zone membrane</v>
      </c>
      <c r="C493" s="1" t="s">
        <v>1</v>
      </c>
      <c r="D493" s="7" t="str">
        <f>HYPERLINK("https://www.ebi.ac.uk/QuickGO/GTerm?id=GO:0045921","GO:0045921 positive regulation of exocytosis")</f>
        <v>GO:0045921 positive regulation of exocytosis</v>
      </c>
      <c r="E493" s="1" t="s">
        <v>2</v>
      </c>
      <c r="F493" s="1" t="s">
        <v>482</v>
      </c>
      <c r="G493" s="8"/>
    </row>
    <row r="494" spans="1:7" ht="24.75" customHeight="1" x14ac:dyDescent="0.2">
      <c r="A494" s="6">
        <v>515</v>
      </c>
      <c r="B494" s="7" t="str">
        <f>HYPERLINK("https://www.ebi.ac.uk/QuickGO/GTerm?id=GO:1990817","GO:1990817 RNA adenylyltransferase activity")</f>
        <v>GO:1990817 RNA adenylyltransferase activity</v>
      </c>
      <c r="C494" s="1" t="s">
        <v>4</v>
      </c>
      <c r="D494" s="7" t="str">
        <f>HYPERLINK("https://www.ebi.ac.uk/QuickGO/GTerm?id=GO:0016070","GO:0016070 RNA metabolic process")</f>
        <v>GO:0016070 RNA metabolic process</v>
      </c>
      <c r="E494" s="1" t="s">
        <v>2</v>
      </c>
      <c r="F494" s="1" t="s">
        <v>483</v>
      </c>
      <c r="G494" s="8"/>
    </row>
    <row r="495" spans="1:7" ht="24.75" customHeight="1" x14ac:dyDescent="0.2">
      <c r="A495" s="6">
        <v>516</v>
      </c>
      <c r="B495" s="7" t="str">
        <f>HYPERLINK("https://www.ebi.ac.uk/QuickGO/GTerm?id=GO:0060425","GO:0060425 lung morphogenesis")</f>
        <v>GO:0060425 lung morphogenesis</v>
      </c>
      <c r="C495" s="1" t="s">
        <v>4</v>
      </c>
      <c r="D495" s="7" t="str">
        <f>HYPERLINK("https://www.ebi.ac.uk/QuickGO/GTerm?id=GO:0035239","GO:0035239 tube morphogenesis")</f>
        <v>GO:0035239 tube morphogenesis</v>
      </c>
      <c r="E495" s="1" t="s">
        <v>2</v>
      </c>
      <c r="F495" s="1" t="s">
        <v>484</v>
      </c>
      <c r="G495" s="8"/>
    </row>
    <row r="496" spans="1:7" ht="24.75" customHeight="1" x14ac:dyDescent="0.2">
      <c r="A496" s="6">
        <v>517</v>
      </c>
      <c r="B496" s="7" t="str">
        <f>HYPERLINK("https://www.ebi.ac.uk/QuickGO/GTerm?id=GO:1904724","GO:1904724 tertiary granule lumen")</f>
        <v>GO:1904724 tertiary granule lumen</v>
      </c>
      <c r="C496" s="1" t="s">
        <v>1</v>
      </c>
      <c r="D496" s="7" t="str">
        <f>HYPERLINK("https://www.ebi.ac.uk/QuickGO/GTerm?id=GO:0034774","GO:0034774 secretory granule lumen")</f>
        <v>GO:0034774 secretory granule lumen</v>
      </c>
      <c r="E496" s="1" t="s">
        <v>2</v>
      </c>
      <c r="F496" s="1" t="s">
        <v>485</v>
      </c>
      <c r="G496" s="8"/>
    </row>
    <row r="497" spans="1:7" ht="24.75" customHeight="1" x14ac:dyDescent="0.2">
      <c r="A497" s="6">
        <v>518</v>
      </c>
      <c r="B497" s="7" t="str">
        <f>HYPERLINK("https://www.ebi.ac.uk/QuickGO/GTerm?id=GO:0061517","GO:0061517 macrophage proliferation")</f>
        <v>GO:0061517 macrophage proliferation</v>
      </c>
      <c r="C497" s="1" t="s">
        <v>1</v>
      </c>
      <c r="D497" s="7" t="str">
        <f>HYPERLINK("https://www.ebi.ac.uk/QuickGO/GTerm?id=GO:0042116","GO:0042116 macrophage activation")</f>
        <v>GO:0042116 macrophage activation</v>
      </c>
      <c r="E497" s="1" t="s">
        <v>2</v>
      </c>
      <c r="F497" s="1" t="s">
        <v>486</v>
      </c>
      <c r="G497" s="8"/>
    </row>
    <row r="498" spans="1:7" ht="24.75" customHeight="1" x14ac:dyDescent="0.2">
      <c r="A498" s="6">
        <v>519</v>
      </c>
      <c r="B498" s="7" t="str">
        <f>HYPERLINK("https://www.ebi.ac.uk/QuickGO/GTerm?id=GO:0072178","GO:0072178 nephric duct morphogenesis")</f>
        <v>GO:0072178 nephric duct morphogenesis</v>
      </c>
      <c r="C498" s="1" t="s">
        <v>4</v>
      </c>
      <c r="D498" s="7" t="str">
        <f>HYPERLINK("https://www.ebi.ac.uk/QuickGO/GTerm?id=GO:0060993","GO:0060993 kidney morphogenesis")</f>
        <v>GO:0060993 kidney morphogenesis</v>
      </c>
      <c r="E498" s="1" t="s">
        <v>2</v>
      </c>
      <c r="F498" s="1" t="s">
        <v>487</v>
      </c>
      <c r="G498" s="8"/>
    </row>
    <row r="499" spans="1:7" ht="24.75" customHeight="1" x14ac:dyDescent="0.2">
      <c r="A499" s="6">
        <v>520</v>
      </c>
      <c r="B499" s="7" t="str">
        <f>HYPERLINK("https://www.ebi.ac.uk/QuickGO/GTerm?id=GO:0046302","GO:0046302 2-chloro-N-isopropylacetanilide catabolic process")</f>
        <v>GO:0046302 2-chloro-N-isopropylacetanilide catabolic process</v>
      </c>
      <c r="C499" s="1" t="s">
        <v>1</v>
      </c>
      <c r="D499" s="7" t="str">
        <f>HYPERLINK("https://www.ebi.ac.uk/QuickGO/GTerm?id=GO:0043605","GO:0043605 cellular amide catabolic process")</f>
        <v>GO:0043605 cellular amide catabolic process</v>
      </c>
      <c r="E499" s="1" t="s">
        <v>2</v>
      </c>
      <c r="F499" s="1" t="s">
        <v>488</v>
      </c>
      <c r="G499" s="8"/>
    </row>
    <row r="500" spans="1:7" ht="24.75" customHeight="1" x14ac:dyDescent="0.2">
      <c r="A500" s="6">
        <v>521</v>
      </c>
      <c r="B500" s="7" t="str">
        <f>HYPERLINK("https://www.ebi.ac.uk/QuickGO/GTerm?id=GO:1905306","GO:1905306 positive regulation of cardiac myofibril assembly")</f>
        <v>GO:1905306 positive regulation of cardiac myofibril assembly</v>
      </c>
      <c r="C500" s="1" t="s">
        <v>1</v>
      </c>
      <c r="D500" s="7" t="str">
        <f>HYPERLINK("https://www.ebi.ac.uk/QuickGO/GTerm?id=GO:0051149","GO:0051149 positive regulation of muscle cell differentiation")</f>
        <v>GO:0051149 positive regulation of muscle cell differentiation</v>
      </c>
      <c r="E500" s="1" t="s">
        <v>2</v>
      </c>
      <c r="F500" s="1" t="s">
        <v>489</v>
      </c>
      <c r="G500" s="8"/>
    </row>
    <row r="501" spans="1:7" ht="24.75" customHeight="1" x14ac:dyDescent="0.2">
      <c r="A501" s="6">
        <v>522</v>
      </c>
      <c r="B501" s="7" t="str">
        <f>HYPERLINK("https://www.ebi.ac.uk/QuickGO/GTerm?id=GO:0046374","GO:0046374 teichoic acid metabolic process")</f>
        <v>GO:0046374 teichoic acid metabolic process</v>
      </c>
      <c r="C501" s="1" t="s">
        <v>1</v>
      </c>
      <c r="D501" s="7" t="str">
        <f>HYPERLINK("https://www.ebi.ac.uk/QuickGO/GTerm?id=GO:0006082","GO:0006082 organic acid metabolic process")</f>
        <v>GO:0006082 organic acid metabolic process</v>
      </c>
      <c r="E501" s="1" t="s">
        <v>2</v>
      </c>
      <c r="F501" s="1" t="s">
        <v>490</v>
      </c>
      <c r="G501" s="8"/>
    </row>
    <row r="502" spans="1:7" ht="24.75" customHeight="1" x14ac:dyDescent="0.2">
      <c r="A502" s="6">
        <v>523</v>
      </c>
      <c r="B502" s="7" t="str">
        <f>HYPERLINK("https://www.ebi.ac.uk/QuickGO/GTerm?id=GO:0120248","GO:0120248 acetylenic compound catabolic process")</f>
        <v>GO:0120248 acetylenic compound catabolic process</v>
      </c>
      <c r="C502" s="1" t="s">
        <v>1</v>
      </c>
      <c r="D502" s="7" t="str">
        <f>HYPERLINK("https://www.ebi.ac.uk/QuickGO/GTerm?id=GO:1901575","GO:1901575 organic substance catabolic process")</f>
        <v>GO:1901575 organic substance catabolic process</v>
      </c>
      <c r="E502" s="1" t="s">
        <v>2</v>
      </c>
      <c r="F502" s="1" t="s">
        <v>491</v>
      </c>
      <c r="G502" s="8"/>
    </row>
    <row r="503" spans="1:7" ht="24.75" customHeight="1" x14ac:dyDescent="0.2">
      <c r="A503" s="6">
        <v>524</v>
      </c>
      <c r="B503" s="7" t="str">
        <f>HYPERLINK("https://www.ebi.ac.uk/QuickGO/GTerm?id=GO:0033332","GO:0033332 ent-kaurene biosynthetic process")</f>
        <v>GO:0033332 ent-kaurene biosynthetic process</v>
      </c>
      <c r="C503" s="1" t="s">
        <v>1</v>
      </c>
      <c r="D503" s="7" t="str">
        <f>HYPERLINK("https://www.ebi.ac.uk/QuickGO/GTerm?id=GO:0097384","GO:0097384 cellular lipid biosynthetic process")</f>
        <v>GO:0097384 cellular lipid biosynthetic process</v>
      </c>
      <c r="E503" s="1" t="s">
        <v>2</v>
      </c>
      <c r="F503" s="1" t="s">
        <v>492</v>
      </c>
      <c r="G503" s="8"/>
    </row>
    <row r="504" spans="1:7" ht="24.75" customHeight="1" x14ac:dyDescent="0.2">
      <c r="A504" s="6">
        <v>525</v>
      </c>
      <c r="B504" s="7" t="str">
        <f>HYPERLINK("https://www.ebi.ac.uk/QuickGO/GTerm?id=GO:0021613","GO:0021613 facial nerve maturation")</f>
        <v>GO:0021613 facial nerve maturation</v>
      </c>
      <c r="C504" s="1" t="s">
        <v>4</v>
      </c>
      <c r="D504" s="7" t="str">
        <f>HYPERLINK("https://www.ebi.ac.uk/QuickGO/GTerm?id=GO:0021626","GO:0021626 central nervous system maturation")</f>
        <v>GO:0021626 central nervous system maturation</v>
      </c>
      <c r="E504" s="1" t="s">
        <v>2</v>
      </c>
      <c r="F504" s="1" t="s">
        <v>493</v>
      </c>
      <c r="G504" s="8"/>
    </row>
    <row r="505" spans="1:7" ht="24.75" customHeight="1" x14ac:dyDescent="0.2">
      <c r="A505" s="6">
        <v>526</v>
      </c>
      <c r="B505" s="7" t="str">
        <f>HYPERLINK("https://www.ebi.ac.uk/QuickGO/GTerm?id=GO:0046453","GO:0046453 dipyrrin metabolic process")</f>
        <v>GO:0046453 dipyrrin metabolic process</v>
      </c>
      <c r="C505" s="1" t="s">
        <v>1</v>
      </c>
      <c r="D505" s="7" t="str">
        <f>HYPERLINK("https://www.ebi.ac.uk/QuickGO/GTerm?id=GO:0034641","GO:0034641 cellular nitrogen compound metabolic process")</f>
        <v>GO:0034641 cellular nitrogen compound metabolic process</v>
      </c>
      <c r="E505" s="1" t="s">
        <v>2</v>
      </c>
      <c r="F505" s="1" t="s">
        <v>494</v>
      </c>
      <c r="G505" s="8"/>
    </row>
    <row r="506" spans="1:7" ht="24.75" customHeight="1" x14ac:dyDescent="0.2">
      <c r="A506" s="6">
        <v>527</v>
      </c>
      <c r="B506" s="7" t="str">
        <f>HYPERLINK("https://www.ebi.ac.uk/QuickGO/GTerm?id=GO:0061221","GO:0061221 mesonephric mesenchyme morphogenesis")</f>
        <v>GO:0061221 mesonephric mesenchyme morphogenesis</v>
      </c>
      <c r="C506" s="1" t="s">
        <v>4</v>
      </c>
      <c r="D506" s="7" t="str">
        <f>HYPERLINK("https://www.ebi.ac.uk/QuickGO/GTerm?id=GO:0061206","GO:0061206 mesonephros morphogenesis")</f>
        <v>GO:0061206 mesonephros morphogenesis</v>
      </c>
      <c r="E506" s="1" t="s">
        <v>2</v>
      </c>
      <c r="F506" s="1" t="s">
        <v>495</v>
      </c>
      <c r="G506" s="8"/>
    </row>
    <row r="507" spans="1:7" ht="24.75" customHeight="1" x14ac:dyDescent="0.2">
      <c r="A507" s="6">
        <v>528</v>
      </c>
      <c r="B507" s="7" t="str">
        <f>HYPERLINK("https://www.ebi.ac.uk/QuickGO/GTerm?id=GO:0030573","GO:0030573 bile acid catabolic process")</f>
        <v>GO:0030573 bile acid catabolic process</v>
      </c>
      <c r="C507" s="1" t="s">
        <v>1</v>
      </c>
      <c r="D507" s="7" t="str">
        <f>HYPERLINK("https://www.ebi.ac.uk/QuickGO/GTerm?id=GO:0006706","GO:0006706 steroid catabolic process")</f>
        <v>GO:0006706 steroid catabolic process</v>
      </c>
      <c r="E507" s="1" t="s">
        <v>2</v>
      </c>
      <c r="F507" s="1" t="s">
        <v>496</v>
      </c>
      <c r="G507" s="8"/>
    </row>
    <row r="508" spans="1:7" ht="24.75" customHeight="1" x14ac:dyDescent="0.2">
      <c r="A508" s="6">
        <v>529</v>
      </c>
      <c r="B508" s="7" t="str">
        <f>HYPERLINK("https://www.ebi.ac.uk/QuickGO/GTerm?id=GO:0046211","GO:0046211 (+)-camphor biosynthetic process")</f>
        <v>GO:0046211 (+)-camphor biosynthetic process</v>
      </c>
      <c r="C508" s="1" t="s">
        <v>1</v>
      </c>
      <c r="D508" s="7" t="str">
        <f>HYPERLINK("https://www.ebi.ac.uk/QuickGO/GTerm?id=GO:0097384","GO:0097384 cellular lipid biosynthetic process")</f>
        <v>GO:0097384 cellular lipid biosynthetic process</v>
      </c>
      <c r="E508" s="1" t="s">
        <v>2</v>
      </c>
      <c r="F508" s="1" t="s">
        <v>497</v>
      </c>
      <c r="G508" s="8"/>
    </row>
    <row r="509" spans="1:7" ht="24.75" customHeight="1" x14ac:dyDescent="0.2">
      <c r="A509" s="6">
        <v>530</v>
      </c>
      <c r="B509" s="7" t="str">
        <f>HYPERLINK("https://www.ebi.ac.uk/QuickGO/GTerm?id=GO:0021555","GO:0021555 midbrain-hindbrain boundary morphogenesis")</f>
        <v>GO:0021555 midbrain-hindbrain boundary morphogenesis</v>
      </c>
      <c r="C509" s="1" t="s">
        <v>4</v>
      </c>
      <c r="D509" s="7" t="str">
        <f>HYPERLINK("https://www.ebi.ac.uk/QuickGO/GTerm?id=GO:0035239","GO:0035239 tube morphogenesis")</f>
        <v>GO:0035239 tube morphogenesis</v>
      </c>
      <c r="E509" s="1" t="s">
        <v>2</v>
      </c>
      <c r="F509" s="1" t="s">
        <v>498</v>
      </c>
      <c r="G509" s="8"/>
    </row>
    <row r="510" spans="1:7" ht="24.75" customHeight="1" x14ac:dyDescent="0.2">
      <c r="A510" s="6">
        <v>531</v>
      </c>
      <c r="B510" s="7" t="str">
        <f>HYPERLINK("https://www.ebi.ac.uk/QuickGO/GTerm?id=GO:0019578","GO:0019578 aldaric acid biosynthetic process")</f>
        <v>GO:0019578 aldaric acid biosynthetic process</v>
      </c>
      <c r="C510" s="1" t="s">
        <v>1</v>
      </c>
      <c r="D510" s="7" t="str">
        <f>HYPERLINK("https://www.ebi.ac.uk/QuickGO/GTerm?id=GO:0016051","GO:0016051 carbohydrate biosynthetic process")</f>
        <v>GO:0016051 carbohydrate biosynthetic process</v>
      </c>
      <c r="E510" s="1" t="s">
        <v>2</v>
      </c>
      <c r="F510" s="1" t="s">
        <v>499</v>
      </c>
      <c r="G510" s="8"/>
    </row>
    <row r="511" spans="1:7" ht="24.75" customHeight="1" x14ac:dyDescent="0.2">
      <c r="A511" s="6">
        <v>532</v>
      </c>
      <c r="B511" s="7" t="str">
        <f>HYPERLINK("https://www.ebi.ac.uk/QuickGO/GTerm?id=GO:0043299","GO:0043299 leukocyte degranulation")</f>
        <v>GO:0043299 leukocyte degranulation</v>
      </c>
      <c r="C511" s="1" t="s">
        <v>1</v>
      </c>
      <c r="D511" s="7" t="str">
        <f>HYPERLINK("https://www.ebi.ac.uk/QuickGO/GTerm?id=GO:0045321","GO:0045321 leukocyte activation")</f>
        <v>GO:0045321 leukocyte activation</v>
      </c>
      <c r="E511" s="1" t="s">
        <v>2</v>
      </c>
      <c r="F511" s="1" t="s">
        <v>379</v>
      </c>
      <c r="G511" s="8"/>
    </row>
    <row r="512" spans="1:7" ht="24.75" customHeight="1" x14ac:dyDescent="0.2">
      <c r="A512" s="6">
        <v>534</v>
      </c>
      <c r="B512" s="7" t="str">
        <f>HYPERLINK("https://www.ebi.ac.uk/QuickGO/GTerm?id=GO:1904813","GO:1904813 ficolin-1-rich granule lumen")</f>
        <v>GO:1904813 ficolin-1-rich granule lumen</v>
      </c>
      <c r="C512" s="1" t="s">
        <v>1</v>
      </c>
      <c r="D512" s="7" t="str">
        <f>HYPERLINK("https://www.ebi.ac.uk/QuickGO/GTerm?id=GO:0034774","GO:0034774 secretory granule lumen")</f>
        <v>GO:0034774 secretory granule lumen</v>
      </c>
      <c r="E512" s="1" t="s">
        <v>2</v>
      </c>
      <c r="F512" s="1" t="s">
        <v>500</v>
      </c>
      <c r="G512" s="8"/>
    </row>
    <row r="513" spans="1:7" ht="24.75" customHeight="1" x14ac:dyDescent="0.2">
      <c r="A513" s="6">
        <v>535</v>
      </c>
      <c r="B513" s="7" t="str">
        <f>HYPERLINK("https://www.ebi.ac.uk/QuickGO/GTerm?id=GO:0043301","GO:0043301 negative regulation of leukocyte degranulation")</f>
        <v>GO:0043301 negative regulation of leukocyte degranulation</v>
      </c>
      <c r="C513" s="1" t="s">
        <v>1</v>
      </c>
      <c r="D513" s="7" t="str">
        <f>HYPERLINK("https://www.ebi.ac.uk/QuickGO/GTerm?id=GO:0002695","GO:0002695 negative regulation of leukocyte activation")</f>
        <v>GO:0002695 negative regulation of leukocyte activation</v>
      </c>
      <c r="E513" s="1" t="s">
        <v>2</v>
      </c>
      <c r="F513" s="1" t="s">
        <v>379</v>
      </c>
      <c r="G513" s="8"/>
    </row>
    <row r="514" spans="1:7" ht="24.75" customHeight="1" x14ac:dyDescent="0.2">
      <c r="A514" s="6">
        <v>536</v>
      </c>
      <c r="B514" s="7" t="str">
        <f>HYPERLINK("https://www.ebi.ac.uk/QuickGO/GTerm?id=GO:0033092","GO:0033092 positive regulation of immature T cell proliferation in thymus")</f>
        <v>GO:0033092 positive regulation of immature T cell proliferation in thymus</v>
      </c>
      <c r="C514" s="1" t="s">
        <v>1</v>
      </c>
      <c r="D514" s="7" t="str">
        <f>HYPERLINK("https://www.ebi.ac.uk/QuickGO/GTerm?id=GO:0045582","GO:0045582 positive regulation of T cell differentiation")</f>
        <v>GO:0045582 positive regulation of T cell differentiation</v>
      </c>
      <c r="E514" s="1" t="s">
        <v>2</v>
      </c>
      <c r="F514" s="1" t="s">
        <v>501</v>
      </c>
      <c r="G514" s="8"/>
    </row>
    <row r="515" spans="1:7" ht="24.75" customHeight="1" x14ac:dyDescent="0.2">
      <c r="A515" s="6">
        <v>537</v>
      </c>
      <c r="B515" s="7" t="str">
        <f>HYPERLINK("https://www.ebi.ac.uk/QuickGO/GTerm?id=GO:0018040","GO:0018040 C-terminal peptidyl-glutamic acid amidation")</f>
        <v>GO:0018040 C-terminal peptidyl-glutamic acid amidation</v>
      </c>
      <c r="C515" s="1" t="s">
        <v>1</v>
      </c>
      <c r="D515" s="7" t="str">
        <f>HYPERLINK("https://www.ebi.ac.uk/QuickGO/GTerm?id=GO:0018200","GO:0018200 peptidyl-glutamic acid modification")</f>
        <v>GO:0018200 peptidyl-glutamic acid modification</v>
      </c>
      <c r="E515" s="1" t="s">
        <v>2</v>
      </c>
      <c r="F515" s="1" t="s">
        <v>502</v>
      </c>
      <c r="G515" s="8"/>
    </row>
    <row r="516" spans="1:7" ht="24.75" customHeight="1" x14ac:dyDescent="0.2">
      <c r="A516" s="6">
        <v>538</v>
      </c>
      <c r="B516" s="7" t="str">
        <f>HYPERLINK("https://www.ebi.ac.uk/QuickGO/GTerm?id=GO:1903924","GO:1903924 estradiol binding")</f>
        <v>GO:1903924 estradiol binding</v>
      </c>
      <c r="C516" s="1" t="s">
        <v>1</v>
      </c>
      <c r="D516" s="7" t="str">
        <f>HYPERLINK("https://www.ebi.ac.uk/QuickGO/GTerm?id=GO:0042562","GO:0042562 hormone binding")</f>
        <v>GO:0042562 hormone binding</v>
      </c>
      <c r="E516" s="1" t="s">
        <v>2</v>
      </c>
      <c r="F516" s="1" t="s">
        <v>503</v>
      </c>
      <c r="G516" s="8"/>
    </row>
    <row r="517" spans="1:7" ht="24.75" customHeight="1" x14ac:dyDescent="0.2">
      <c r="A517" s="6">
        <v>539</v>
      </c>
      <c r="B517" s="7" t="str">
        <f>HYPERLINK("https://www.ebi.ac.uk/QuickGO/GTerm?id=GO:0048317","GO:0048317 seed morphogenesis")</f>
        <v>GO:0048317 seed morphogenesis</v>
      </c>
      <c r="C517" s="1" t="s">
        <v>4</v>
      </c>
      <c r="D517" s="7" t="str">
        <f>HYPERLINK("https://www.ebi.ac.uk/QuickGO/GTerm?id=GO:0048530","GO:0048530 fruit morphogenesis")</f>
        <v>GO:0048530 fruit morphogenesis</v>
      </c>
      <c r="E517" s="1" t="s">
        <v>2</v>
      </c>
      <c r="F517" s="1" t="s">
        <v>504</v>
      </c>
      <c r="G517" s="8"/>
    </row>
    <row r="518" spans="1:7" ht="24.75" customHeight="1" x14ac:dyDescent="0.2">
      <c r="A518" s="6">
        <v>540</v>
      </c>
      <c r="B518" s="7" t="str">
        <f>HYPERLINK("https://www.ebi.ac.uk/QuickGO/GTerm?id=GO:0006836","GO:0006836 neurotransmitter transport")</f>
        <v>GO:0006836 neurotransmitter transport</v>
      </c>
      <c r="C518" s="1" t="s">
        <v>1</v>
      </c>
      <c r="D518" s="7" t="str">
        <f>HYPERLINK("https://www.ebi.ac.uk/QuickGO/GTerm?id=GO:0001505","GO:0001505 regulation of neurotransmitter levels")</f>
        <v>GO:0001505 regulation of neurotransmitter levels</v>
      </c>
      <c r="E518" s="1" t="s">
        <v>2</v>
      </c>
      <c r="F518" s="1" t="s">
        <v>505</v>
      </c>
      <c r="G518" s="8"/>
    </row>
    <row r="519" spans="1:7" ht="24.75" customHeight="1" x14ac:dyDescent="0.2">
      <c r="A519" s="6">
        <v>541</v>
      </c>
      <c r="B519" s="7" t="str">
        <f>HYPERLINK("https://www.ebi.ac.uk/QuickGO/GTerm?id=GO:1905222","GO:1905222 atrioventricular canal morphogenesis")</f>
        <v>GO:1905222 atrioventricular canal morphogenesis</v>
      </c>
      <c r="C519" s="1" t="s">
        <v>4</v>
      </c>
      <c r="D519" s="7" t="str">
        <f>HYPERLINK("https://www.ebi.ac.uk/QuickGO/GTerm?id=GO:0003007","GO:0003007 heart morphogenesis")</f>
        <v>GO:0003007 heart morphogenesis</v>
      </c>
      <c r="E519" s="1" t="s">
        <v>2</v>
      </c>
      <c r="F519" s="1" t="s">
        <v>506</v>
      </c>
      <c r="G519" s="8"/>
    </row>
    <row r="520" spans="1:7" ht="24.75" customHeight="1" x14ac:dyDescent="0.2">
      <c r="A520" s="6">
        <v>543</v>
      </c>
      <c r="B520" s="7" t="str">
        <f>HYPERLINK("https://www.ebi.ac.uk/QuickGO/GTerm?id=GO:0046112","GO:0046112 nucleobase biosynthetic process")</f>
        <v>GO:0046112 nucleobase biosynthetic process</v>
      </c>
      <c r="C520" s="1" t="s">
        <v>1</v>
      </c>
      <c r="D520" s="7" t="str">
        <f>HYPERLINK("https://www.ebi.ac.uk/QuickGO/GTerm?id=GO:0034404","GO:0034404 nucleobase-containing small molecule biosynthetic process")</f>
        <v>GO:0034404 nucleobase-containing small molecule biosynthetic process</v>
      </c>
      <c r="E520" s="1" t="s">
        <v>2</v>
      </c>
      <c r="F520" s="1" t="s">
        <v>507</v>
      </c>
      <c r="G520" s="8"/>
    </row>
    <row r="521" spans="1:7" ht="24.75" customHeight="1" x14ac:dyDescent="0.2">
      <c r="A521" s="6">
        <v>544</v>
      </c>
      <c r="B521" s="7" t="str">
        <f>HYPERLINK("https://www.ebi.ac.uk/QuickGO/GTerm?id=GO:0070807","GO:0070807 positive regulation of phialide development")</f>
        <v>GO:0070807 positive regulation of phialide development</v>
      </c>
      <c r="C521" s="1" t="s">
        <v>1</v>
      </c>
      <c r="D521" s="7" t="str">
        <f>HYPERLINK("https://www.ebi.ac.uk/QuickGO/GTerm?id=GO:0070795","GO:0070795 positive regulation of conidiophore development")</f>
        <v>GO:0070795 positive regulation of conidiophore development</v>
      </c>
      <c r="E521" s="1" t="s">
        <v>2</v>
      </c>
      <c r="F521" s="1" t="s">
        <v>508</v>
      </c>
      <c r="G521" s="8"/>
    </row>
    <row r="522" spans="1:7" ht="24.75" customHeight="1" x14ac:dyDescent="0.2">
      <c r="A522" s="6">
        <v>545</v>
      </c>
      <c r="B522" s="7" t="str">
        <f>HYPERLINK("https://www.ebi.ac.uk/QuickGO/GTerm?id=GO:0050898","GO:0050898 nitrile metabolic process")</f>
        <v>GO:0050898 nitrile metabolic process</v>
      </c>
      <c r="C522" s="1" t="s">
        <v>1</v>
      </c>
      <c r="D522" s="7" t="str">
        <f>HYPERLINK("https://www.ebi.ac.uk/QuickGO/GTerm?id=GO:0034641","GO:0034641 cellular nitrogen compound metabolic process")</f>
        <v>GO:0034641 cellular nitrogen compound metabolic process</v>
      </c>
      <c r="E522" s="1" t="s">
        <v>2</v>
      </c>
      <c r="F522" s="1" t="s">
        <v>509</v>
      </c>
      <c r="G522" s="8"/>
    </row>
    <row r="523" spans="1:7" ht="24.75" customHeight="1" x14ac:dyDescent="0.2">
      <c r="A523" s="6">
        <v>546</v>
      </c>
      <c r="B523" s="7" t="str">
        <f>HYPERLINK("https://www.ebi.ac.uk/QuickGO/GTerm?id=GO:0016104","GO:0016104 triterpenoid biosynthetic process")</f>
        <v>GO:0016104 triterpenoid biosynthetic process</v>
      </c>
      <c r="C523" s="1" t="s">
        <v>1</v>
      </c>
      <c r="D523" s="7" t="str">
        <f>HYPERLINK("https://www.ebi.ac.uk/QuickGO/GTerm?id=GO:0097384","GO:0097384 cellular lipid biosynthetic process")</f>
        <v>GO:0097384 cellular lipid biosynthetic process</v>
      </c>
      <c r="E523" s="1" t="s">
        <v>2</v>
      </c>
      <c r="F523" s="1" t="s">
        <v>510</v>
      </c>
      <c r="G523" s="8"/>
    </row>
    <row r="524" spans="1:7" ht="24.75" customHeight="1" x14ac:dyDescent="0.2">
      <c r="A524" s="6">
        <v>547</v>
      </c>
      <c r="B524" s="7" t="str">
        <f>HYPERLINK("https://www.ebi.ac.uk/QuickGO/GTerm?id=GO:0009823","GO:0009823 cytokinin catabolic process")</f>
        <v>GO:0009823 cytokinin catabolic process</v>
      </c>
      <c r="C524" s="1" t="s">
        <v>1</v>
      </c>
      <c r="D524" s="7" t="str">
        <f>HYPERLINK("https://www.ebi.ac.uk/QuickGO/GTerm?id=GO:0009310","GO:0009310 amine catabolic process")</f>
        <v>GO:0009310 amine catabolic process</v>
      </c>
      <c r="E524" s="1" t="s">
        <v>2</v>
      </c>
      <c r="F524" s="1" t="s">
        <v>511</v>
      </c>
      <c r="G524" s="8"/>
    </row>
    <row r="525" spans="1:7" ht="24.75" customHeight="1" x14ac:dyDescent="0.2">
      <c r="A525" s="6">
        <v>548</v>
      </c>
      <c r="B525" s="7" t="str">
        <f>HYPERLINK("https://www.ebi.ac.uk/QuickGO/GTerm?id=GO:0003191","GO:0003191 coronary sinus valve formation")</f>
        <v>GO:0003191 coronary sinus valve formation</v>
      </c>
      <c r="C525" s="1" t="s">
        <v>4</v>
      </c>
      <c r="D525" s="7" t="str">
        <f>HYPERLINK("https://www.ebi.ac.uk/QuickGO/GTerm?id=GO:0048645","GO:0048645 animal organ formation")</f>
        <v>GO:0048645 animal organ formation</v>
      </c>
      <c r="E525" s="1" t="s">
        <v>2</v>
      </c>
      <c r="F525" s="1" t="s">
        <v>512</v>
      </c>
      <c r="G525" s="8"/>
    </row>
    <row r="526" spans="1:7" ht="24.75" customHeight="1" x14ac:dyDescent="0.2">
      <c r="A526" s="6">
        <v>549</v>
      </c>
      <c r="B526" s="7" t="str">
        <f>HYPERLINK("https://www.ebi.ac.uk/QuickGO/GTerm?id=GO:0048632","GO:0048632 negative regulation of skeletal muscle tissue growth")</f>
        <v>GO:0048632 negative regulation of skeletal muscle tissue growth</v>
      </c>
      <c r="C526" s="1" t="s">
        <v>1</v>
      </c>
      <c r="D526" s="7" t="str">
        <f>HYPERLINK("https://www.ebi.ac.uk/QuickGO/GTerm?id=GO:0048635","GO:0048635 negative regulation of muscle organ development")</f>
        <v>GO:0048635 negative regulation of muscle organ development</v>
      </c>
      <c r="E526" s="1" t="s">
        <v>2</v>
      </c>
      <c r="F526" s="1" t="s">
        <v>513</v>
      </c>
      <c r="G526" s="8"/>
    </row>
    <row r="527" spans="1:7" ht="24.75" customHeight="1" x14ac:dyDescent="0.2">
      <c r="A527" s="6">
        <v>550</v>
      </c>
      <c r="B527" s="7" t="str">
        <f>HYPERLINK("https://www.ebi.ac.uk/QuickGO/GTerm?id=GO:0045821","GO:0045821 positive regulation of glycolytic process")</f>
        <v>GO:0045821 positive regulation of glycolytic process</v>
      </c>
      <c r="C527" s="1" t="s">
        <v>1</v>
      </c>
      <c r="D527" s="7" t="str">
        <f>HYPERLINK("https://www.ebi.ac.uk/QuickGO/GTerm?id=GO:0010676","GO:0010676 positive regulation of cellular carbohydrate metabolic process")</f>
        <v>GO:0010676 positive regulation of cellular carbohydrate metabolic process</v>
      </c>
      <c r="E527" s="1" t="s">
        <v>2</v>
      </c>
      <c r="F527" s="1" t="s">
        <v>514</v>
      </c>
      <c r="G527" s="8"/>
    </row>
    <row r="528" spans="1:7" ht="24.75" customHeight="1" x14ac:dyDescent="0.2">
      <c r="A528" s="6">
        <v>551</v>
      </c>
      <c r="B528" s="7" t="str">
        <f>HYPERLINK("https://www.ebi.ac.uk/QuickGO/GTerm?id=GO:0006633","GO:0006633 fatty acid biosynthetic process")</f>
        <v>GO:0006633 fatty acid biosynthetic process</v>
      </c>
      <c r="C528" s="1" t="s">
        <v>1</v>
      </c>
      <c r="D528" s="7" t="str">
        <f>HYPERLINK("https://www.ebi.ac.uk/QuickGO/GTerm?id=GO:0097384","GO:0097384 cellular lipid biosynthetic process")</f>
        <v>GO:0097384 cellular lipid biosynthetic process</v>
      </c>
      <c r="E528" s="1" t="s">
        <v>2</v>
      </c>
      <c r="F528" s="1" t="s">
        <v>515</v>
      </c>
      <c r="G528" s="8"/>
    </row>
    <row r="529" spans="1:7" ht="24.75" customHeight="1" x14ac:dyDescent="0.2">
      <c r="A529" s="6">
        <v>553</v>
      </c>
      <c r="B529" s="7" t="str">
        <f>HYPERLINK("https://www.ebi.ac.uk/QuickGO/GTerm?id=GO:0120040","GO:0120040 regulation of macrophage proliferation")</f>
        <v>GO:0120040 regulation of macrophage proliferation</v>
      </c>
      <c r="C529" s="1" t="s">
        <v>1</v>
      </c>
      <c r="D529" s="7" t="str">
        <f>HYPERLINK("https://www.ebi.ac.uk/QuickGO/GTerm?id=GO:0043030","GO:0043030 regulation of macrophage activation")</f>
        <v>GO:0043030 regulation of macrophage activation</v>
      </c>
      <c r="E529" s="1" t="s">
        <v>2</v>
      </c>
      <c r="F529" s="1" t="s">
        <v>486</v>
      </c>
      <c r="G529" s="8"/>
    </row>
    <row r="530" spans="1:7" ht="24.75" customHeight="1" x14ac:dyDescent="0.2">
      <c r="A530" s="6">
        <v>554</v>
      </c>
      <c r="B530" s="7" t="str">
        <f>HYPERLINK("https://www.ebi.ac.uk/QuickGO/GTerm?id=GO:1905090","GO:1905090 negative regulation of parkin-mediated stimulation of mitophagy in response to mitochondrial depolarization")</f>
        <v>GO:1905090 negative regulation of parkin-mediated stimulation of mitophagy in response to mitochondrial depolarization</v>
      </c>
      <c r="C530" s="1" t="s">
        <v>1</v>
      </c>
      <c r="D530" s="7" t="str">
        <f>HYPERLINK("https://www.ebi.ac.uk/QuickGO/GTerm?id=GO:0009895","GO:0009895 negative regulation of catabolic process")</f>
        <v>GO:0009895 negative regulation of catabolic process</v>
      </c>
      <c r="E530" s="1" t="s">
        <v>2</v>
      </c>
      <c r="F530" s="1" t="s">
        <v>516</v>
      </c>
      <c r="G530" s="8"/>
    </row>
    <row r="531" spans="1:7" ht="24.75" customHeight="1" x14ac:dyDescent="0.2">
      <c r="A531" s="6">
        <v>555</v>
      </c>
      <c r="B531" s="7" t="str">
        <f>HYPERLINK("https://www.ebi.ac.uk/QuickGO/GTerm?id=GO:2000969","GO:2000969 positive regulation of AMPA receptor activity")</f>
        <v>GO:2000969 positive regulation of AMPA receptor activity</v>
      </c>
      <c r="C531" s="1" t="s">
        <v>1</v>
      </c>
      <c r="D531" s="7" t="str">
        <f>HYPERLINK("https://www.ebi.ac.uk/QuickGO/GTerm?id=GO:0009967","GO:0009967 positive regulation of signal transduction")</f>
        <v>GO:0009967 positive regulation of signal transduction</v>
      </c>
      <c r="E531" s="1" t="s">
        <v>2</v>
      </c>
      <c r="F531" s="1" t="s">
        <v>517</v>
      </c>
      <c r="G531" s="8"/>
    </row>
    <row r="532" spans="1:7" ht="24.75" customHeight="1" x14ac:dyDescent="0.2">
      <c r="A532" s="6">
        <v>556</v>
      </c>
      <c r="B532" s="7" t="str">
        <f>HYPERLINK("https://www.ebi.ac.uk/QuickGO/GTerm?id=GO:0090200","GO:0090200 positive regulation of release of cytochrome c from mitochondria")</f>
        <v>GO:0090200 positive regulation of release of cytochrome c from mitochondria</v>
      </c>
      <c r="C532" s="1" t="s">
        <v>1</v>
      </c>
      <c r="D532" s="7" t="str">
        <f>HYPERLINK("https://www.ebi.ac.uk/QuickGO/GTerm?id=GO:2001235","GO:2001235 positive regulation of apoptotic signaling pathway")</f>
        <v>GO:2001235 positive regulation of apoptotic signaling pathway</v>
      </c>
      <c r="E532" s="1" t="s">
        <v>2</v>
      </c>
      <c r="F532" s="1" t="s">
        <v>518</v>
      </c>
      <c r="G532" s="8"/>
    </row>
    <row r="533" spans="1:7" ht="24.75" customHeight="1" x14ac:dyDescent="0.2">
      <c r="A533" s="6">
        <v>557</v>
      </c>
      <c r="B533" s="7" t="str">
        <f>HYPERLINK("https://www.ebi.ac.uk/QuickGO/GTerm?id=GO:0048442","GO:0048442 sepal development")</f>
        <v>GO:0048442 sepal development</v>
      </c>
      <c r="C533" s="1" t="s">
        <v>1</v>
      </c>
      <c r="D533" s="7" t="str">
        <f>HYPERLINK("https://www.ebi.ac.uk/QuickGO/GTerm?id=GO:0090696","GO:0090696 post-embryonic plant organ development")</f>
        <v>GO:0090696 post-embryonic plant organ development</v>
      </c>
      <c r="E533" s="1" t="s">
        <v>2</v>
      </c>
      <c r="F533" s="1" t="s">
        <v>519</v>
      </c>
      <c r="G533" s="8"/>
    </row>
    <row r="534" spans="1:7" ht="24.75" customHeight="1" x14ac:dyDescent="0.2">
      <c r="A534" s="6">
        <v>558</v>
      </c>
      <c r="B534" s="7" t="str">
        <f>HYPERLINK("https://www.ebi.ac.uk/QuickGO/GTerm?id=GO:0070527","GO:0070527 platelet aggregation")</f>
        <v>GO:0070527 platelet aggregation</v>
      </c>
      <c r="C534" s="1" t="s">
        <v>1</v>
      </c>
      <c r="D534" s="7" t="str">
        <f>HYPERLINK("https://www.ebi.ac.uk/QuickGO/GTerm?id=GO:0098743","GO:0098743 cell aggregation")</f>
        <v>GO:0098743 cell aggregation</v>
      </c>
      <c r="E534" s="1" t="s">
        <v>2</v>
      </c>
      <c r="F534" s="1" t="s">
        <v>520</v>
      </c>
      <c r="G534" s="8"/>
    </row>
    <row r="535" spans="1:7" ht="24.75" customHeight="1" x14ac:dyDescent="0.2">
      <c r="A535" s="6">
        <v>559</v>
      </c>
      <c r="B535" s="7" t="str">
        <f>HYPERLINK("https://www.ebi.ac.uk/QuickGO/GTerm?id=GO:0034233","GO:0034233 regulation of cell wall chitin catabolic process")</f>
        <v>GO:0034233 regulation of cell wall chitin catabolic process</v>
      </c>
      <c r="C535" s="1" t="s">
        <v>20</v>
      </c>
      <c r="D535" s="7" t="str">
        <f>HYPERLINK("https://www.ebi.ac.uk/QuickGO/GTerm?id=GO:0000272","GO:0000272 polysaccharide catabolic process")</f>
        <v>GO:0000272 polysaccharide catabolic process</v>
      </c>
      <c r="E535" s="1" t="s">
        <v>2</v>
      </c>
      <c r="F535" s="1" t="s">
        <v>521</v>
      </c>
      <c r="G535" s="8"/>
    </row>
    <row r="536" spans="1:7" ht="24.75" customHeight="1" x14ac:dyDescent="0.2">
      <c r="A536" s="6">
        <v>560</v>
      </c>
      <c r="B536" s="7" t="str">
        <f>HYPERLINK("https://www.ebi.ac.uk/QuickGO/GTerm?id=GO:0098732","GO:0098732 macromolecule deacylation")</f>
        <v>GO:0098732 macromolecule deacylation</v>
      </c>
      <c r="C536" s="1" t="s">
        <v>1</v>
      </c>
      <c r="D536" s="7" t="str">
        <f>HYPERLINK("https://www.ebi.ac.uk/QuickGO/GTerm?id=GO:0044260","GO:0044260 cellular macromolecule metabolic process")</f>
        <v>GO:0044260 cellular macromolecule metabolic process</v>
      </c>
      <c r="E536" s="1" t="s">
        <v>2</v>
      </c>
      <c r="F536" s="1" t="s">
        <v>522</v>
      </c>
      <c r="G536" s="8"/>
    </row>
    <row r="537" spans="1:7" ht="24.75" customHeight="1" x14ac:dyDescent="0.2">
      <c r="A537" s="6">
        <v>561</v>
      </c>
      <c r="B537" s="7" t="str">
        <f>HYPERLINK("https://www.ebi.ac.uk/QuickGO/GTerm?id=GO:0070392","GO:0070392 detection of lipoteichoic acid")</f>
        <v>GO:0070392 detection of lipoteichoic acid</v>
      </c>
      <c r="C537" s="1" t="s">
        <v>4</v>
      </c>
      <c r="D537" s="7" t="str">
        <f>HYPERLINK("https://www.ebi.ac.uk/QuickGO/GTerm?id=GO:0016045","GO:0016045 detection of bacterium")</f>
        <v>GO:0016045 detection of bacterium</v>
      </c>
      <c r="E537" s="1" t="s">
        <v>2</v>
      </c>
      <c r="F537" s="1" t="s">
        <v>523</v>
      </c>
      <c r="G537" s="8"/>
    </row>
    <row r="538" spans="1:7" ht="24.75" customHeight="1" x14ac:dyDescent="0.2">
      <c r="A538" s="6">
        <v>562</v>
      </c>
      <c r="B538" s="7" t="str">
        <f>HYPERLINK("https://www.ebi.ac.uk/QuickGO/GTerm?id=GO:0016118","GO:0016118 carotenoid catabolic process")</f>
        <v>GO:0016118 carotenoid catabolic process</v>
      </c>
      <c r="C538" s="1" t="s">
        <v>1</v>
      </c>
      <c r="D538" s="7" t="str">
        <f>HYPERLINK("https://www.ebi.ac.uk/QuickGO/GTerm?id=GO:0046149","GO:0046149 pigment catabolic process")</f>
        <v>GO:0046149 pigment catabolic process</v>
      </c>
      <c r="E538" s="1" t="s">
        <v>2</v>
      </c>
      <c r="F538" s="1" t="s">
        <v>524</v>
      </c>
      <c r="G538" s="8"/>
    </row>
    <row r="539" spans="1:7" ht="24.75" customHeight="1" x14ac:dyDescent="0.2">
      <c r="A539" s="6">
        <v>563</v>
      </c>
      <c r="B539" s="7" t="str">
        <f>HYPERLINK("https://www.ebi.ac.uk/QuickGO/GTerm?id=GO:0042159","GO:0042159 lipoprotein catabolic process")</f>
        <v>GO:0042159 lipoprotein catabolic process</v>
      </c>
      <c r="C539" s="1" t="s">
        <v>1</v>
      </c>
      <c r="D539" s="7" t="str">
        <f>HYPERLINK("https://www.ebi.ac.uk/QuickGO/GTerm?id=GO:0044265","GO:0044265 cellular macromolecule catabolic process")</f>
        <v>GO:0044265 cellular macromolecule catabolic process</v>
      </c>
      <c r="E539" s="1" t="s">
        <v>2</v>
      </c>
      <c r="F539" s="1" t="s">
        <v>525</v>
      </c>
      <c r="G539" s="8"/>
    </row>
    <row r="540" spans="1:7" ht="24.75" customHeight="1" x14ac:dyDescent="0.2">
      <c r="A540" s="6">
        <v>564</v>
      </c>
      <c r="B540" s="7" t="str">
        <f>HYPERLINK("https://www.ebi.ac.uk/QuickGO/GTerm?id=GO:0030414","GO:0030414 peptidase inhibitor activity")</f>
        <v>GO:0030414 peptidase inhibitor activity</v>
      </c>
      <c r="C540" s="1" t="s">
        <v>4</v>
      </c>
      <c r="D540" s="7" t="str">
        <f>HYPERLINK("https://www.ebi.ac.uk/QuickGO/GTerm?id=GO:0010466","GO:0010466 negative regulation of peptidase activity")</f>
        <v>GO:0010466 negative regulation of peptidase activity</v>
      </c>
      <c r="E540" s="1" t="s">
        <v>2</v>
      </c>
      <c r="F540" s="1" t="s">
        <v>526</v>
      </c>
      <c r="G540" s="8"/>
    </row>
    <row r="541" spans="1:7" ht="24.75" customHeight="1" x14ac:dyDescent="0.2">
      <c r="A541" s="6">
        <v>565</v>
      </c>
      <c r="B541" s="7" t="str">
        <f>HYPERLINK("https://www.ebi.ac.uk/QuickGO/GTerm?id=GO:0021732","GO:0021732 midbrain-hindbrain boundary maturation")</f>
        <v>GO:0021732 midbrain-hindbrain boundary maturation</v>
      </c>
      <c r="C541" s="1" t="s">
        <v>4</v>
      </c>
      <c r="D541" s="7" t="str">
        <f>HYPERLINK("https://www.ebi.ac.uk/QuickGO/GTerm?id=GO:0021626","GO:0021626 central nervous system maturation")</f>
        <v>GO:0021626 central nervous system maturation</v>
      </c>
      <c r="E541" s="1" t="s">
        <v>2</v>
      </c>
      <c r="F541" s="1" t="s">
        <v>527</v>
      </c>
      <c r="G541" s="8"/>
    </row>
    <row r="542" spans="1:7" ht="24.75" customHeight="1" x14ac:dyDescent="0.2">
      <c r="A542" s="6">
        <v>566</v>
      </c>
      <c r="B542" s="7" t="str">
        <f>HYPERLINK("https://www.ebi.ac.uk/QuickGO/GTerm?id=GO:0036179","GO:0036179 osteoclast maturation")</f>
        <v>GO:0036179 osteoclast maturation</v>
      </c>
      <c r="C542" s="1" t="s">
        <v>4</v>
      </c>
      <c r="D542" s="7" t="str">
        <f>HYPERLINK("https://www.ebi.ac.uk/QuickGO/GTerm?id=GO:0070977","GO:0070977 bone maturation")</f>
        <v>GO:0070977 bone maturation</v>
      </c>
      <c r="E542" s="1" t="s">
        <v>2</v>
      </c>
      <c r="F542" s="1" t="s">
        <v>528</v>
      </c>
      <c r="G542" s="8"/>
    </row>
    <row r="543" spans="1:7" ht="24.75" customHeight="1" x14ac:dyDescent="0.2">
      <c r="A543" s="6">
        <v>567</v>
      </c>
      <c r="B543" s="7" t="str">
        <f>HYPERLINK("https://www.ebi.ac.uk/QuickGO/GTerm?id=GO:0001775","GO:0001775 cell activation")</f>
        <v>GO:0001775 cell activation</v>
      </c>
      <c r="C543" s="1" t="s">
        <v>4</v>
      </c>
      <c r="D543" s="7" t="str">
        <f>HYPERLINK("https://www.ebi.ac.uk/QuickGO/GTerm?id=GO:0030154","GO:0030154 cell differentiation")</f>
        <v>GO:0030154 cell differentiation</v>
      </c>
      <c r="E543" s="1" t="s">
        <v>2</v>
      </c>
      <c r="F543" s="1" t="s">
        <v>529</v>
      </c>
      <c r="G543" s="8"/>
    </row>
    <row r="544" spans="1:7" ht="24.75" customHeight="1" x14ac:dyDescent="0.2">
      <c r="A544" s="6">
        <v>568</v>
      </c>
      <c r="B544" s="7" t="str">
        <f>HYPERLINK("https://www.ebi.ac.uk/QuickGO/GTerm?id=GO:0006529","GO:0006529 asparagine biosynthetic process")</f>
        <v>GO:0006529 asparagine biosynthetic process</v>
      </c>
      <c r="C544" s="1" t="s">
        <v>1</v>
      </c>
      <c r="D544" s="7" t="str">
        <f>HYPERLINK("https://www.ebi.ac.uk/QuickGO/GTerm?id=GO:0009084","GO:0009084 glutamine family amino acid biosynthetic process")</f>
        <v>GO:0009084 glutamine family amino acid biosynthetic process</v>
      </c>
      <c r="E544" s="1" t="s">
        <v>2</v>
      </c>
      <c r="F544" s="1" t="s">
        <v>465</v>
      </c>
      <c r="G544" s="8"/>
    </row>
    <row r="545" spans="1:7" ht="24.75" customHeight="1" x14ac:dyDescent="0.2">
      <c r="A545" s="6">
        <v>569</v>
      </c>
      <c r="B545" s="7" t="str">
        <f>HYPERLINK("https://www.ebi.ac.uk/QuickGO/GTerm?id=GO:0033386","GO:0033386 geranylgeranyl diphosphate biosynthetic process")</f>
        <v>GO:0033386 geranylgeranyl diphosphate biosynthetic process</v>
      </c>
      <c r="C545" s="1" t="s">
        <v>1</v>
      </c>
      <c r="D545" s="7" t="str">
        <f>HYPERLINK("https://www.ebi.ac.uk/QuickGO/GTerm?id=GO:0097384","GO:0097384 cellular lipid biosynthetic process")</f>
        <v>GO:0097384 cellular lipid biosynthetic process</v>
      </c>
      <c r="E545" s="1" t="s">
        <v>2</v>
      </c>
      <c r="F545" s="1" t="s">
        <v>530</v>
      </c>
      <c r="G545" s="8"/>
    </row>
    <row r="546" spans="1:7" ht="24.75" customHeight="1" x14ac:dyDescent="0.2">
      <c r="A546" s="6">
        <v>570</v>
      </c>
      <c r="B546" s="7" t="str">
        <f>HYPERLINK("https://www.ebi.ac.uk/QuickGO/GTerm?id=GO:1900278","GO:1900278 positive regulation of proteinase activated receptor activity")</f>
        <v>GO:1900278 positive regulation of proteinase activated receptor activity</v>
      </c>
      <c r="C546" s="1" t="s">
        <v>1</v>
      </c>
      <c r="D546" s="7" t="str">
        <f>HYPERLINK("https://www.ebi.ac.uk/QuickGO/GTerm?id=GO:0009967","GO:0009967 positive regulation of signal transduction")</f>
        <v>GO:0009967 positive regulation of signal transduction</v>
      </c>
      <c r="E546" s="1" t="s">
        <v>2</v>
      </c>
      <c r="F546" s="1" t="s">
        <v>531</v>
      </c>
      <c r="G546" s="8"/>
    </row>
    <row r="547" spans="1:7" ht="24.75" customHeight="1" x14ac:dyDescent="0.2">
      <c r="A547" s="6">
        <v>571</v>
      </c>
      <c r="B547" s="7" t="str">
        <f>HYPERLINK("https://www.ebi.ac.uk/QuickGO/GTerm?id=GO:0071560","GO:0071560 cellular response to transforming growth factor beta stimulus")</f>
        <v>GO:0071560 cellular response to transforming growth factor beta stimulus</v>
      </c>
      <c r="C547" s="1" t="s">
        <v>1</v>
      </c>
      <c r="D547" s="7" t="str">
        <f>HYPERLINK("https://www.ebi.ac.uk/QuickGO/GTerm?id=GO:0071345","GO:0071345 cellular response to cytokine stimulus")</f>
        <v>GO:0071345 cellular response to cytokine stimulus</v>
      </c>
      <c r="E547" s="1" t="s">
        <v>2</v>
      </c>
      <c r="F547" s="1" t="s">
        <v>532</v>
      </c>
      <c r="G547" s="8"/>
    </row>
    <row r="548" spans="1:7" ht="24.75" customHeight="1" x14ac:dyDescent="0.2">
      <c r="A548" s="6">
        <v>572</v>
      </c>
      <c r="B548" s="7" t="str">
        <f>HYPERLINK("https://www.ebi.ac.uk/QuickGO/GTerm?id=GO:0030961","GO:0030961 peptidyl-arginine hydroxylation")</f>
        <v>GO:0030961 peptidyl-arginine hydroxylation</v>
      </c>
      <c r="C548" s="1" t="s">
        <v>1</v>
      </c>
      <c r="D548" s="7" t="str">
        <f>HYPERLINK("https://www.ebi.ac.uk/QuickGO/GTerm?id=GO:0018126","GO:0018126 protein hydroxylation")</f>
        <v>GO:0018126 protein hydroxylation</v>
      </c>
      <c r="E548" s="1" t="s">
        <v>2</v>
      </c>
      <c r="F548" s="1" t="s">
        <v>533</v>
      </c>
      <c r="G548" s="8"/>
    </row>
    <row r="549" spans="1:7" ht="24.75" customHeight="1" x14ac:dyDescent="0.2">
      <c r="A549" s="6">
        <v>573</v>
      </c>
      <c r="B549" s="7" t="str">
        <f>HYPERLINK("https://www.ebi.ac.uk/QuickGO/GTerm?id=GO:0046288","GO:0046288 isoflavonoid catabolic process")</f>
        <v>GO:0046288 isoflavonoid catabolic process</v>
      </c>
      <c r="C549" s="1" t="s">
        <v>1</v>
      </c>
      <c r="D549" s="7" t="str">
        <f>HYPERLINK("https://www.ebi.ac.uk/QuickGO/GTerm?id=GO:0090487","GO:0090487 secondary metabolite catabolic process")</f>
        <v>GO:0090487 secondary metabolite catabolic process</v>
      </c>
      <c r="E549" s="1" t="s">
        <v>2</v>
      </c>
      <c r="F549" s="1" t="s">
        <v>534</v>
      </c>
      <c r="G549" s="8"/>
    </row>
    <row r="550" spans="1:7" ht="24.75" customHeight="1" x14ac:dyDescent="0.2">
      <c r="A550" s="6">
        <v>574</v>
      </c>
      <c r="B550" s="7" t="str">
        <f>HYPERLINK("https://www.ebi.ac.uk/QuickGO/GTerm?id=GO:1901059","GO:1901059 p-hydroxyphenyl lignin catabolic process")</f>
        <v>GO:1901059 p-hydroxyphenyl lignin catabolic process</v>
      </c>
      <c r="C550" s="1" t="s">
        <v>1</v>
      </c>
      <c r="D550" s="7" t="str">
        <f>HYPERLINK("https://www.ebi.ac.uk/QuickGO/GTerm?id=GO:0090487","GO:0090487 secondary metabolite catabolic process")</f>
        <v>GO:0090487 secondary metabolite catabolic process</v>
      </c>
      <c r="E550" s="1" t="s">
        <v>2</v>
      </c>
      <c r="F550" s="1" t="s">
        <v>535</v>
      </c>
      <c r="G550" s="8"/>
    </row>
    <row r="551" spans="1:7" ht="24.75" customHeight="1" x14ac:dyDescent="0.2">
      <c r="A551" s="6">
        <v>575</v>
      </c>
      <c r="B551" s="7" t="str">
        <f>HYPERLINK("https://www.ebi.ac.uk/QuickGO/GTerm?id=GO:0043028","GO:0043028 cysteine-type endopeptidase regulator activity involved in apoptotic process")</f>
        <v>GO:0043028 cysteine-type endopeptidase regulator activity involved in apoptotic process</v>
      </c>
      <c r="C551" s="1" t="s">
        <v>1</v>
      </c>
      <c r="D551" s="7" t="str">
        <f>HYPERLINK("https://www.ebi.ac.uk/QuickGO/GTerm?id=GO:0061134","GO:0061134 peptidase regulator activity")</f>
        <v>GO:0061134 peptidase regulator activity</v>
      </c>
      <c r="E551" s="1" t="s">
        <v>2</v>
      </c>
      <c r="F551" s="1" t="s">
        <v>536</v>
      </c>
      <c r="G551" s="8"/>
    </row>
    <row r="552" spans="1:7" ht="24.75" customHeight="1" x14ac:dyDescent="0.2">
      <c r="A552" s="6">
        <v>576</v>
      </c>
      <c r="B552" s="7" t="str">
        <f>HYPERLINK("https://www.ebi.ac.uk/QuickGO/GTerm?id=GO:0001865","GO:0001865 NK T cell differentiation")</f>
        <v>GO:0001865 NK T cell differentiation</v>
      </c>
      <c r="C552" s="1" t="s">
        <v>1</v>
      </c>
      <c r="D552" s="7" t="str">
        <f>HYPERLINK("https://www.ebi.ac.uk/QuickGO/GTerm?id=GO:0051132","GO:0051132 NK T cell activation")</f>
        <v>GO:0051132 NK T cell activation</v>
      </c>
      <c r="E552" s="1" t="s">
        <v>2</v>
      </c>
      <c r="F552" s="1" t="s">
        <v>537</v>
      </c>
      <c r="G552" s="8"/>
    </row>
    <row r="553" spans="1:7" ht="24.75" customHeight="1" x14ac:dyDescent="0.2">
      <c r="A553" s="6">
        <v>577</v>
      </c>
      <c r="B553" s="7" t="str">
        <f>HYPERLINK("https://www.ebi.ac.uk/QuickGO/GTerm?id=GO:0006669","GO:0006669 sphinganine-1-phosphate biosynthetic process")</f>
        <v>GO:0006669 sphinganine-1-phosphate biosynthetic process</v>
      </c>
      <c r="C553" s="1" t="s">
        <v>1</v>
      </c>
      <c r="D553" s="7" t="str">
        <f>HYPERLINK("https://www.ebi.ac.uk/QuickGO/GTerm?id=GO:0097384","GO:0097384 cellular lipid biosynthetic process")</f>
        <v>GO:0097384 cellular lipid biosynthetic process</v>
      </c>
      <c r="E553" s="1" t="s">
        <v>2</v>
      </c>
      <c r="F553" s="1" t="s">
        <v>538</v>
      </c>
      <c r="G553" s="8"/>
    </row>
    <row r="554" spans="1:7" ht="24.75" customHeight="1" x14ac:dyDescent="0.2">
      <c r="A554" s="6">
        <v>578</v>
      </c>
      <c r="B554" s="7" t="str">
        <f>HYPERLINK("https://www.ebi.ac.uk/QuickGO/GTerm?id=GO:0043421","GO:0043421 anthranilate catabolic process")</f>
        <v>GO:0043421 anthranilate catabolic process</v>
      </c>
      <c r="C554" s="1" t="s">
        <v>1</v>
      </c>
      <c r="D554" s="7" t="str">
        <f>HYPERLINK("https://www.ebi.ac.uk/QuickGO/GTerm?id=GO:0009063","GO:0009063 cellular amino acid catabolic process")</f>
        <v>GO:0009063 cellular amino acid catabolic process</v>
      </c>
      <c r="E554" s="1" t="s">
        <v>2</v>
      </c>
      <c r="F554" s="1" t="s">
        <v>539</v>
      </c>
      <c r="G554" s="8"/>
    </row>
    <row r="555" spans="1:7" ht="24.75" customHeight="1" x14ac:dyDescent="0.2">
      <c r="A555" s="6">
        <v>579</v>
      </c>
      <c r="B555" s="7" t="str">
        <f>HYPERLINK("https://www.ebi.ac.uk/QuickGO/GTerm?id=GO:0090130","GO:0090130 tissue migration")</f>
        <v>GO:0090130 tissue migration</v>
      </c>
      <c r="C555" s="1" t="s">
        <v>4</v>
      </c>
      <c r="D555" s="7" t="str">
        <f>HYPERLINK("https://www.ebi.ac.uk/QuickGO/GTerm?id=GO:0048729","GO:0048729 tissue morphogenesis")</f>
        <v>GO:0048729 tissue morphogenesis</v>
      </c>
      <c r="E555" s="1" t="s">
        <v>2</v>
      </c>
      <c r="F555" s="1" t="s">
        <v>540</v>
      </c>
      <c r="G555" s="8"/>
    </row>
    <row r="556" spans="1:7" ht="24.75" customHeight="1" x14ac:dyDescent="0.2">
      <c r="A556" s="6">
        <v>580</v>
      </c>
      <c r="B556" s="7" t="str">
        <f>HYPERLINK("https://www.ebi.ac.uk/QuickGO/GTerm?id=GO:0004810","GO:0004810 tRNA adenylyltransferase activity")</f>
        <v>GO:0004810 tRNA adenylyltransferase activity</v>
      </c>
      <c r="C556" s="1" t="s">
        <v>4</v>
      </c>
      <c r="D556" s="7" t="str">
        <f>HYPERLINK("https://www.ebi.ac.uk/QuickGO/GTerm?id=GO:0006399","GO:0006399 tRNA metabolic process")</f>
        <v>GO:0006399 tRNA metabolic process</v>
      </c>
      <c r="E556" s="1" t="s">
        <v>2</v>
      </c>
      <c r="F556" s="1" t="s">
        <v>541</v>
      </c>
      <c r="G556" s="8"/>
    </row>
    <row r="557" spans="1:7" ht="24.75" customHeight="1" x14ac:dyDescent="0.2">
      <c r="A557" s="6">
        <v>581</v>
      </c>
      <c r="B557" s="7" t="str">
        <f>HYPERLINK("https://www.ebi.ac.uk/QuickGO/GTerm?id=GO:1905797","GO:1905797 negative regulation of intraciliary anterograde transport")</f>
        <v>GO:1905797 negative regulation of intraciliary anterograde transport</v>
      </c>
      <c r="C557" s="1" t="s">
        <v>1</v>
      </c>
      <c r="D557" s="7" t="str">
        <f>HYPERLINK("https://www.ebi.ac.uk/QuickGO/GTerm?id=GO:0010639","GO:0010639 negative regulation of organelle organization")</f>
        <v>GO:0010639 negative regulation of organelle organization</v>
      </c>
      <c r="E557" s="1" t="s">
        <v>2</v>
      </c>
      <c r="F557" s="1" t="s">
        <v>542</v>
      </c>
      <c r="G557" s="8"/>
    </row>
    <row r="558" spans="1:7" ht="24.75" customHeight="1" x14ac:dyDescent="0.2">
      <c r="A558" s="6">
        <v>582</v>
      </c>
      <c r="B558" s="7" t="str">
        <f>HYPERLINK("https://www.ebi.ac.uk/QuickGO/GTerm?id=GO:0032495","GO:0032495 response to muramyl dipeptide")</f>
        <v>GO:0032495 response to muramyl dipeptide</v>
      </c>
      <c r="C558" s="1" t="s">
        <v>1</v>
      </c>
      <c r="D558" s="7" t="str">
        <f>HYPERLINK("https://www.ebi.ac.uk/QuickGO/GTerm?id=GO:0032494","GO:0032494 response to peptidoglycan")</f>
        <v>GO:0032494 response to peptidoglycan</v>
      </c>
      <c r="E558" s="1" t="s">
        <v>2</v>
      </c>
      <c r="F558" s="1" t="s">
        <v>543</v>
      </c>
      <c r="G558" s="8"/>
    </row>
    <row r="559" spans="1:7" ht="24.75" customHeight="1" x14ac:dyDescent="0.2">
      <c r="A559" s="6">
        <v>583</v>
      </c>
      <c r="B559" s="7" t="str">
        <f>HYPERLINK("https://www.ebi.ac.uk/QuickGO/GTerm?id=GO:0072340","GO:0072340 cellular lactam catabolic process")</f>
        <v>GO:0072340 cellular lactam catabolic process</v>
      </c>
      <c r="C559" s="1" t="s">
        <v>1</v>
      </c>
      <c r="D559" s="7" t="str">
        <f>HYPERLINK("https://www.ebi.ac.uk/QuickGO/GTerm?id=GO:0044282","GO:0044282 small molecule catabolic process")</f>
        <v>GO:0044282 small molecule catabolic process</v>
      </c>
      <c r="E559" s="1" t="s">
        <v>2</v>
      </c>
      <c r="F559" s="1" t="s">
        <v>544</v>
      </c>
      <c r="G559" s="8"/>
    </row>
    <row r="560" spans="1:7" ht="24.75" customHeight="1" x14ac:dyDescent="0.2">
      <c r="A560" s="6">
        <v>585</v>
      </c>
      <c r="B560" s="7" t="str">
        <f>HYPERLINK("https://www.ebi.ac.uk/QuickGO/GTerm?id=GO:0043631","GO:0043631 RNA polyadenylation")</f>
        <v>GO:0043631 RNA polyadenylation</v>
      </c>
      <c r="C560" s="1" t="s">
        <v>1</v>
      </c>
      <c r="D560" s="7" t="str">
        <f>HYPERLINK("https://www.ebi.ac.uk/QuickGO/GTerm?id=GO:0006396","GO:0006396 RNA processing")</f>
        <v>GO:0006396 RNA processing</v>
      </c>
      <c r="E560" s="1" t="s">
        <v>2</v>
      </c>
      <c r="F560" s="1" t="s">
        <v>545</v>
      </c>
      <c r="G560" s="8"/>
    </row>
    <row r="561" spans="1:7" ht="24.75" customHeight="1" x14ac:dyDescent="0.2">
      <c r="A561" s="6">
        <v>586</v>
      </c>
      <c r="B561" s="7" t="str">
        <f>HYPERLINK("https://www.ebi.ac.uk/QuickGO/GTerm?id=GO:0045689","GO:0045689 negative regulation of antipodal cell differentiation")</f>
        <v>GO:0045689 negative regulation of antipodal cell differentiation</v>
      </c>
      <c r="C561" s="1" t="s">
        <v>1</v>
      </c>
      <c r="D561" s="7" t="str">
        <f>HYPERLINK("https://www.ebi.ac.uk/QuickGO/GTerm?id=GO:0051241","GO:0051241 negative regulation of multicellular organismal process")</f>
        <v>GO:0051241 negative regulation of multicellular organismal process</v>
      </c>
      <c r="E561" s="1" t="s">
        <v>2</v>
      </c>
      <c r="F561" s="1" t="s">
        <v>546</v>
      </c>
      <c r="G561" s="8"/>
    </row>
    <row r="562" spans="1:7" ht="24.75" customHeight="1" x14ac:dyDescent="0.2">
      <c r="A562" s="6">
        <v>587</v>
      </c>
      <c r="B562" s="7" t="str">
        <f>HYPERLINK("https://www.ebi.ac.uk/QuickGO/GTerm?id=GO:0043413","GO:0043413 macromolecule glycosylation")</f>
        <v>GO:0043413 macromolecule glycosylation</v>
      </c>
      <c r="C562" s="1" t="s">
        <v>1</v>
      </c>
      <c r="D562" s="7" t="str">
        <f>HYPERLINK("https://www.ebi.ac.uk/QuickGO/GTerm?id=GO:0044260","GO:0044260 cellular macromolecule metabolic process")</f>
        <v>GO:0044260 cellular macromolecule metabolic process</v>
      </c>
      <c r="E562" s="1" t="s">
        <v>2</v>
      </c>
      <c r="F562" s="1" t="s">
        <v>547</v>
      </c>
      <c r="G562" s="8"/>
    </row>
    <row r="563" spans="1:7" ht="24.75" customHeight="1" x14ac:dyDescent="0.2">
      <c r="A563" s="6">
        <v>588</v>
      </c>
      <c r="B563" s="7" t="str">
        <f>HYPERLINK("https://www.ebi.ac.uk/QuickGO/GTerm?id=GO:0120247","GO:0120247 acetylenic compound biosynthetic process")</f>
        <v>GO:0120247 acetylenic compound biosynthetic process</v>
      </c>
      <c r="C563" s="1" t="s">
        <v>1</v>
      </c>
      <c r="D563" s="7" t="str">
        <f>HYPERLINK("https://www.ebi.ac.uk/QuickGO/GTerm?id=GO:1901576","GO:1901576 organic substance biosynthetic process")</f>
        <v>GO:1901576 organic substance biosynthetic process</v>
      </c>
      <c r="E563" s="1" t="s">
        <v>2</v>
      </c>
      <c r="F563" s="1" t="s">
        <v>491</v>
      </c>
      <c r="G563" s="8"/>
    </row>
    <row r="564" spans="1:7" ht="24.75" customHeight="1" x14ac:dyDescent="0.2">
      <c r="A564" s="6">
        <v>589</v>
      </c>
      <c r="B564" s="7" t="str">
        <f>HYPERLINK("https://www.ebi.ac.uk/QuickGO/GTerm?id=GO:0048407","GO:0048407 platelet-derived growth factor binding")</f>
        <v>GO:0048407 platelet-derived growth factor binding</v>
      </c>
      <c r="C564" s="1" t="s">
        <v>1</v>
      </c>
      <c r="D564" s="7" t="str">
        <f>HYPERLINK("https://www.ebi.ac.uk/QuickGO/GTerm?id=GO:0019955","GO:0019955 cytokine binding")</f>
        <v>GO:0019955 cytokine binding</v>
      </c>
      <c r="E564" s="1" t="s">
        <v>2</v>
      </c>
      <c r="F564" s="1" t="s">
        <v>548</v>
      </c>
      <c r="G564" s="8"/>
    </row>
    <row r="565" spans="1:7" ht="24.75" customHeight="1" x14ac:dyDescent="0.2">
      <c r="A565" s="6">
        <v>590</v>
      </c>
      <c r="B565" s="7" t="str">
        <f>HYPERLINK("https://www.ebi.ac.uk/QuickGO/GTerm?id=GO:0030654","GO:0030654 beta-lactam antibiotic biosynthetic process")</f>
        <v>GO:0030654 beta-lactam antibiotic biosynthetic process</v>
      </c>
      <c r="C565" s="1" t="s">
        <v>1</v>
      </c>
      <c r="D565" s="7" t="str">
        <f>HYPERLINK("https://www.ebi.ac.uk/QuickGO/GTerm?id=GO:0009309","GO:0009309 amine biosynthetic process")</f>
        <v>GO:0009309 amine biosynthetic process</v>
      </c>
      <c r="E565" s="1" t="s">
        <v>2</v>
      </c>
      <c r="F565" s="1" t="s">
        <v>549</v>
      </c>
      <c r="G565" s="8"/>
    </row>
    <row r="566" spans="1:7" ht="24.75" customHeight="1" x14ac:dyDescent="0.2">
      <c r="A566" s="6">
        <v>591</v>
      </c>
      <c r="B566" s="7" t="str">
        <f>HYPERLINK("https://www.ebi.ac.uk/QuickGO/GTerm?id=GO:0016463","GO:0016463 P-type zinc transporter activity")</f>
        <v>GO:0016463 P-type zinc transporter activity</v>
      </c>
      <c r="C566" s="1" t="s">
        <v>4</v>
      </c>
      <c r="D566" s="7" t="str">
        <f>HYPERLINK("https://www.ebi.ac.uk/QuickGO/GTerm?id=GO:0071577","GO:0071577 zinc ion transmembrane transport")</f>
        <v>GO:0071577 zinc ion transmembrane transport</v>
      </c>
      <c r="E566" s="1" t="s">
        <v>2</v>
      </c>
      <c r="F566" s="1" t="s">
        <v>550</v>
      </c>
      <c r="G566" s="8"/>
    </row>
    <row r="567" spans="1:7" ht="24.75" customHeight="1" x14ac:dyDescent="0.2">
      <c r="A567" s="6">
        <v>592</v>
      </c>
      <c r="B567" s="7" t="str">
        <f>HYPERLINK("https://www.ebi.ac.uk/QuickGO/GTerm?id=GO:0098502","GO:0098502 DNA dephosphorylation")</f>
        <v>GO:0098502 DNA dephosphorylation</v>
      </c>
      <c r="C567" s="1" t="s">
        <v>1</v>
      </c>
      <c r="D567" s="7" t="str">
        <f>HYPERLINK("https://www.ebi.ac.uk/QuickGO/GTerm?id=GO:0006304","GO:0006304 DNA modification")</f>
        <v>GO:0006304 DNA modification</v>
      </c>
      <c r="E567" s="1" t="s">
        <v>2</v>
      </c>
      <c r="F567" s="1" t="s">
        <v>551</v>
      </c>
      <c r="G567" s="8"/>
    </row>
    <row r="568" spans="1:7" ht="24.75" customHeight="1" x14ac:dyDescent="0.2">
      <c r="A568" s="6">
        <v>593</v>
      </c>
      <c r="B568" s="7" t="str">
        <f>HYPERLINK("https://www.ebi.ac.uk/QuickGO/GTerm?id=GO:0050072","GO:0050072 m7G(5')pppN diphosphatase activity")</f>
        <v>GO:0050072 m7G(5')pppN diphosphatase activity</v>
      </c>
      <c r="C568" s="1" t="s">
        <v>1</v>
      </c>
      <c r="D568" s="7" t="str">
        <f>HYPERLINK("https://www.ebi.ac.uk/QuickGO/GTerm?id=GO:0016791","GO:0016791 phosphatase activity")</f>
        <v>GO:0016791 phosphatase activity</v>
      </c>
      <c r="E568" s="1" t="s">
        <v>2</v>
      </c>
      <c r="F568" s="1" t="s">
        <v>552</v>
      </c>
      <c r="G568" s="8"/>
    </row>
    <row r="569" spans="1:7" ht="24.75" customHeight="1" x14ac:dyDescent="0.2">
      <c r="A569" s="6">
        <v>594</v>
      </c>
      <c r="B569" s="7" t="str">
        <f>HYPERLINK("https://www.ebi.ac.uk/QuickGO/GTerm?id=GO:0120083","GO:0120083 rough endoplasmic reticulum cisterna")</f>
        <v>GO:0120083 rough endoplasmic reticulum cisterna</v>
      </c>
      <c r="C569" s="1" t="s">
        <v>4</v>
      </c>
      <c r="D569" s="7" t="str">
        <f>HYPERLINK("https://www.ebi.ac.uk/QuickGO/GTerm?id=GO:0005791","GO:0005791 rough endoplasmic reticulum")</f>
        <v>GO:0005791 rough endoplasmic reticulum</v>
      </c>
      <c r="E569" s="1" t="s">
        <v>2</v>
      </c>
      <c r="F569" s="1" t="s">
        <v>553</v>
      </c>
      <c r="G569" s="8"/>
    </row>
    <row r="570" spans="1:7" ht="24.75" customHeight="1" x14ac:dyDescent="0.2">
      <c r="A570" s="6">
        <v>595</v>
      </c>
      <c r="B570" s="7" t="str">
        <f>HYPERLINK("https://www.ebi.ac.uk/QuickGO/GTerm?id=GO:1905758","GO:1905758 positive regulation of primary cell septum biogenesis")</f>
        <v>GO:1905758 positive regulation of primary cell septum biogenesis</v>
      </c>
      <c r="C570" s="1" t="s">
        <v>1</v>
      </c>
      <c r="D570" s="7" t="str">
        <f>HYPERLINK("https://www.ebi.ac.uk/QuickGO/GTerm?id=GO:0140281","GO:0140281 positive regulation of mitotic division septum assembly")</f>
        <v>GO:0140281 positive regulation of mitotic division septum assembly</v>
      </c>
      <c r="E570" s="1" t="s">
        <v>2</v>
      </c>
      <c r="F570" s="1" t="s">
        <v>554</v>
      </c>
      <c r="G570" s="8"/>
    </row>
    <row r="571" spans="1:7" ht="24.75" customHeight="1" x14ac:dyDescent="0.2">
      <c r="A571" s="6">
        <v>596</v>
      </c>
      <c r="B571" s="7" t="str">
        <f>HYPERLINK("https://www.ebi.ac.uk/QuickGO/GTerm?id=GO:0106022","GO:0106022 positive regulation of vesicle docking")</f>
        <v>GO:0106022 positive regulation of vesicle docking</v>
      </c>
      <c r="C571" s="1" t="s">
        <v>1</v>
      </c>
      <c r="D571" s="7" t="str">
        <f>HYPERLINK("https://www.ebi.ac.uk/QuickGO/GTerm?id=GO:0051050","GO:0051050 positive regulation of transport")</f>
        <v>GO:0051050 positive regulation of transport</v>
      </c>
      <c r="E571" s="1" t="s">
        <v>2</v>
      </c>
      <c r="F571" s="1" t="s">
        <v>555</v>
      </c>
      <c r="G571" s="8"/>
    </row>
    <row r="572" spans="1:7" ht="24.75" customHeight="1" x14ac:dyDescent="0.2">
      <c r="A572" s="6">
        <v>597</v>
      </c>
      <c r="B572" s="7" t="str">
        <f>HYPERLINK("https://www.ebi.ac.uk/QuickGO/GTerm?id=GO:0106253","GO:0106253 positive regulation of DNA strand resection involved in replication fork processing")</f>
        <v>GO:0106253 positive regulation of DNA strand resection involved in replication fork processing</v>
      </c>
      <c r="C572" s="1" t="s">
        <v>1</v>
      </c>
      <c r="D572" s="7" t="str">
        <f>HYPERLINK("https://www.ebi.ac.uk/QuickGO/GTerm?id=GO:0031328","GO:0031328 positive regulation of cellular biosynthetic process")</f>
        <v>GO:0031328 positive regulation of cellular biosynthetic process</v>
      </c>
      <c r="E572" s="1" t="s">
        <v>2</v>
      </c>
      <c r="F572" s="1" t="s">
        <v>556</v>
      </c>
      <c r="G572" s="8"/>
    </row>
    <row r="573" spans="1:7" ht="24.75" customHeight="1" x14ac:dyDescent="0.2">
      <c r="A573" s="6">
        <v>599</v>
      </c>
      <c r="B573" s="7" t="str">
        <f>HYPERLINK("https://www.ebi.ac.uk/QuickGO/GTerm?id=GO:0120042","GO:0120042 negative regulation of macrophage proliferation")</f>
        <v>GO:0120042 negative regulation of macrophage proliferation</v>
      </c>
      <c r="C573" s="1" t="s">
        <v>1</v>
      </c>
      <c r="D573" s="7" t="str">
        <f>HYPERLINK("https://www.ebi.ac.uk/QuickGO/GTerm?id=GO:0043031","GO:0043031 negative regulation of macrophage activation")</f>
        <v>GO:0043031 negative regulation of macrophage activation</v>
      </c>
      <c r="E573" s="1" t="s">
        <v>2</v>
      </c>
      <c r="F573" s="1" t="s">
        <v>486</v>
      </c>
      <c r="G573" s="8"/>
    </row>
    <row r="574" spans="1:7" ht="24.75" customHeight="1" x14ac:dyDescent="0.2">
      <c r="A574" s="6">
        <v>600</v>
      </c>
      <c r="B574" s="7" t="str">
        <f>HYPERLINK("https://www.ebi.ac.uk/QuickGO/GTerm?id=GO:1904944","GO:1904944 positive regulation of cardiac ventricle formation")</f>
        <v>GO:1904944 positive regulation of cardiac ventricle formation</v>
      </c>
      <c r="C574" s="1" t="s">
        <v>1</v>
      </c>
      <c r="D574" s="7" t="str">
        <f>HYPERLINK("https://www.ebi.ac.uk/QuickGO/GTerm?id=GO:0051240","GO:0051240 positive regulation of multicellular organismal process")</f>
        <v>GO:0051240 positive regulation of multicellular organismal process</v>
      </c>
      <c r="E574" s="1" t="s">
        <v>2</v>
      </c>
      <c r="F574" s="1" t="s">
        <v>557</v>
      </c>
      <c r="G574" s="8"/>
    </row>
    <row r="575" spans="1:7" ht="24.75" customHeight="1" x14ac:dyDescent="0.2">
      <c r="A575" s="6">
        <v>601</v>
      </c>
      <c r="B575" s="7" t="str">
        <f>HYPERLINK("https://www.ebi.ac.uk/QuickGO/GTerm?id=GO:0018884","GO:0018884 carbazole metabolic process")</f>
        <v>GO:0018884 carbazole metabolic process</v>
      </c>
      <c r="C575" s="1" t="s">
        <v>1</v>
      </c>
      <c r="D575" s="7" t="str">
        <f>HYPERLINK("https://www.ebi.ac.uk/QuickGO/GTerm?id=GO:0034641","GO:0034641 cellular nitrogen compound metabolic process")</f>
        <v>GO:0034641 cellular nitrogen compound metabolic process</v>
      </c>
      <c r="E575" s="1" t="s">
        <v>2</v>
      </c>
      <c r="F575" s="1" t="s">
        <v>558</v>
      </c>
      <c r="G575" s="8"/>
    </row>
    <row r="576" spans="1:7" ht="24.75" customHeight="1" x14ac:dyDescent="0.2">
      <c r="A576" s="6">
        <v>602</v>
      </c>
      <c r="B576" s="7" t="str">
        <f>HYPERLINK("https://www.ebi.ac.uk/QuickGO/GTerm?id=GO:1902760","GO:1902760 Mo(VI)-molybdopterin cytosine dinucleotide biosynthetic process")</f>
        <v>GO:1902760 Mo(VI)-molybdopterin cytosine dinucleotide biosynthetic process</v>
      </c>
      <c r="C576" s="1" t="s">
        <v>1</v>
      </c>
      <c r="D576" s="7" t="str">
        <f>HYPERLINK("https://www.ebi.ac.uk/QuickGO/GTerm?id=GO:0032324","GO:0032324 molybdopterin cofactor biosynthetic process")</f>
        <v>GO:0032324 molybdopterin cofactor biosynthetic process</v>
      </c>
      <c r="E576" s="1" t="s">
        <v>2</v>
      </c>
      <c r="F576" s="1" t="s">
        <v>559</v>
      </c>
      <c r="G576" s="8"/>
    </row>
    <row r="577" spans="1:7" ht="24.75" customHeight="1" x14ac:dyDescent="0.2">
      <c r="A577" s="6">
        <v>603</v>
      </c>
      <c r="B577" s="7" t="str">
        <f>HYPERLINK("https://www.ebi.ac.uk/QuickGO/GTerm?id=GO:2001269","GO:2001269 positive regulation of cysteine-type endopeptidase activity involved in apoptotic signaling pathway")</f>
        <v>GO:2001269 positive regulation of cysteine-type endopeptidase activity involved in apoptotic signaling pathway</v>
      </c>
      <c r="C577" s="1" t="s">
        <v>1</v>
      </c>
      <c r="D577" s="7" t="str">
        <f>HYPERLINK("https://www.ebi.ac.uk/QuickGO/GTerm?id=GO:0009967","GO:0009967 positive regulation of signal transduction")</f>
        <v>GO:0009967 positive regulation of signal transduction</v>
      </c>
      <c r="E577" s="1" t="s">
        <v>2</v>
      </c>
      <c r="F577" s="1" t="s">
        <v>560</v>
      </c>
      <c r="G577" s="8"/>
    </row>
    <row r="578" spans="1:7" ht="24.75" customHeight="1" x14ac:dyDescent="0.2">
      <c r="A578" s="6">
        <v>604</v>
      </c>
      <c r="B578" s="7" t="str">
        <f>HYPERLINK("https://www.ebi.ac.uk/QuickGO/GTerm?id=GO:0090464","GO:0090464 histidine homeostasis")</f>
        <v>GO:0090464 histidine homeostasis</v>
      </c>
      <c r="C578" s="1" t="s">
        <v>1</v>
      </c>
      <c r="D578" s="7" t="str">
        <f>HYPERLINK("https://www.ebi.ac.uk/QuickGO/GTerm?id=GO:0055081","GO:0055081 anion homeostasis")</f>
        <v>GO:0055081 anion homeostasis</v>
      </c>
      <c r="E578" s="1" t="s">
        <v>2</v>
      </c>
      <c r="F578" s="1" t="s">
        <v>561</v>
      </c>
      <c r="G578" s="8"/>
    </row>
    <row r="579" spans="1:7" ht="24.75" customHeight="1" x14ac:dyDescent="0.2">
      <c r="A579" s="6">
        <v>605</v>
      </c>
      <c r="B579" s="7" t="str">
        <f>HYPERLINK("https://www.ebi.ac.uk/QuickGO/GTerm?id=GO:0052737","GO:0052737 pyruvate dehydrogenase (quinone) activity")</f>
        <v>GO:0052737 pyruvate dehydrogenase (quinone) activity</v>
      </c>
      <c r="C579" s="1" t="s">
        <v>1</v>
      </c>
      <c r="D579" s="7" t="str">
        <f>HYPERLINK("https://www.ebi.ac.uk/QuickGO/GTerm?id=GO:0004738","GO:0004738 pyruvate dehydrogenase activity")</f>
        <v>GO:0004738 pyruvate dehydrogenase activity</v>
      </c>
      <c r="E579" s="1" t="s">
        <v>2</v>
      </c>
      <c r="F579" s="1" t="s">
        <v>562</v>
      </c>
      <c r="G579" s="8"/>
    </row>
    <row r="580" spans="1:7" ht="24.75" customHeight="1" x14ac:dyDescent="0.2">
      <c r="A580" s="6">
        <v>606</v>
      </c>
      <c r="B580" s="7" t="str">
        <f>HYPERLINK("https://www.ebi.ac.uk/QuickGO/GTerm?id=GO:0018894","GO:0018894 dibenzo-p-dioxin metabolic process")</f>
        <v>GO:0018894 dibenzo-p-dioxin metabolic process</v>
      </c>
      <c r="C580" s="1" t="s">
        <v>1</v>
      </c>
      <c r="D580" s="7" t="str">
        <f>HYPERLINK("https://www.ebi.ac.uk/QuickGO/GTerm?id=GO:0006805","GO:0006805 xenobiotic metabolic process")</f>
        <v>GO:0006805 xenobiotic metabolic process</v>
      </c>
      <c r="E580" s="1" t="s">
        <v>2</v>
      </c>
      <c r="F580" s="1" t="s">
        <v>563</v>
      </c>
      <c r="G580" s="8"/>
    </row>
    <row r="581" spans="1:7" ht="24.75" customHeight="1" x14ac:dyDescent="0.2">
      <c r="A581" s="6">
        <v>607</v>
      </c>
      <c r="B581" s="7" t="str">
        <f>HYPERLINK("https://www.ebi.ac.uk/QuickGO/GTerm?id=GO:0030282","GO:0030282 bone mineralization")</f>
        <v>GO:0030282 bone mineralization</v>
      </c>
      <c r="C581" s="1" t="s">
        <v>4</v>
      </c>
      <c r="D581" s="7" t="str">
        <f>HYPERLINK("https://www.ebi.ac.uk/QuickGO/GTerm?id=GO:0060348","GO:0060348 bone development")</f>
        <v>GO:0060348 bone development</v>
      </c>
      <c r="E581" s="1" t="s">
        <v>2</v>
      </c>
      <c r="F581" s="1" t="s">
        <v>564</v>
      </c>
      <c r="G581" s="8"/>
    </row>
    <row r="582" spans="1:7" ht="24.75" customHeight="1" x14ac:dyDescent="0.2">
      <c r="A582" s="6">
        <v>608</v>
      </c>
      <c r="B582" s="7" t="str">
        <f>HYPERLINK("https://www.ebi.ac.uk/QuickGO/GTerm?id=GO:1990523","GO:1990523 bone regeneration")</f>
        <v>GO:1990523 bone regeneration</v>
      </c>
      <c r="C582" s="1" t="s">
        <v>1</v>
      </c>
      <c r="D582" s="7" t="str">
        <f>HYPERLINK("https://www.ebi.ac.uk/QuickGO/GTerm?id=GO:0031100","GO:0031100 animal organ regeneration")</f>
        <v>GO:0031100 animal organ regeneration</v>
      </c>
      <c r="E582" s="1" t="s">
        <v>2</v>
      </c>
      <c r="F582" s="1" t="s">
        <v>565</v>
      </c>
      <c r="G582" s="8"/>
    </row>
    <row r="583" spans="1:7" ht="24.75" customHeight="1" x14ac:dyDescent="0.2">
      <c r="A583" s="6">
        <v>609</v>
      </c>
      <c r="B583" s="7" t="str">
        <f>HYPERLINK("https://www.ebi.ac.uk/QuickGO/GTerm?id=GO:0019537","GO:0019537 vibriobactin biosynthetic process")</f>
        <v>GO:0019537 vibriobactin biosynthetic process</v>
      </c>
      <c r="C583" s="1" t="s">
        <v>1</v>
      </c>
      <c r="D583" s="7" t="str">
        <f>HYPERLINK("https://www.ebi.ac.uk/QuickGO/GTerm?id=GO:0019290","GO:0019290 siderophore biosynthetic process")</f>
        <v>GO:0019290 siderophore biosynthetic process</v>
      </c>
      <c r="E583" s="1" t="s">
        <v>2</v>
      </c>
      <c r="F583" s="1" t="s">
        <v>566</v>
      </c>
      <c r="G583" s="8"/>
    </row>
    <row r="584" spans="1:7" ht="24.75" customHeight="1" x14ac:dyDescent="0.2">
      <c r="A584" s="6">
        <v>610</v>
      </c>
      <c r="B584" s="7" t="str">
        <f>HYPERLINK("https://www.ebi.ac.uk/QuickGO/GTerm?id=GO:1990787","GO:1990787 negative regulation of hh target transcription factor activity")</f>
        <v>GO:1990787 negative regulation of hh target transcription factor activity</v>
      </c>
      <c r="C584" s="1" t="s">
        <v>1</v>
      </c>
      <c r="D584" s="7" t="str">
        <f>HYPERLINK("https://www.ebi.ac.uk/QuickGO/GTerm?id=GO:0044092","GO:0044092 negative regulation of molecular function")</f>
        <v>GO:0044092 negative regulation of molecular function</v>
      </c>
      <c r="E584" s="1" t="s">
        <v>2</v>
      </c>
      <c r="F584" s="1" t="s">
        <v>567</v>
      </c>
      <c r="G584" s="8"/>
    </row>
    <row r="585" spans="1:7" ht="24.75" customHeight="1" x14ac:dyDescent="0.2">
      <c r="A585" s="6">
        <v>611</v>
      </c>
      <c r="B585" s="7" t="str">
        <f>HYPERLINK("https://www.ebi.ac.uk/QuickGO/GTerm?id=GO:0052553","GO:0052553 modulation by symbiont of host immune response")</f>
        <v>GO:0052553 modulation by symbiont of host immune response</v>
      </c>
      <c r="C585" s="1" t="s">
        <v>1</v>
      </c>
      <c r="D585" s="7" t="str">
        <f>HYPERLINK("https://www.ebi.ac.uk/QuickGO/GTerm?id=GO:0050776","GO:0050776 regulation of immune response")</f>
        <v>GO:0050776 regulation of immune response</v>
      </c>
      <c r="E585" s="1" t="s">
        <v>2</v>
      </c>
      <c r="F585" s="1" t="s">
        <v>568</v>
      </c>
      <c r="G585" s="8"/>
    </row>
    <row r="586" spans="1:7" ht="24.75" customHeight="1" x14ac:dyDescent="0.2">
      <c r="A586" s="6">
        <v>612</v>
      </c>
      <c r="B586" s="7" t="str">
        <f>HYPERLINK("https://www.ebi.ac.uk/QuickGO/GTerm?id=GO:0016102","GO:0016102 diterpenoid biosynthetic process")</f>
        <v>GO:0016102 diterpenoid biosynthetic process</v>
      </c>
      <c r="C586" s="1" t="s">
        <v>1</v>
      </c>
      <c r="D586" s="7" t="str">
        <f>HYPERLINK("https://www.ebi.ac.uk/QuickGO/GTerm?id=GO:0097384","GO:0097384 cellular lipid biosynthetic process")</f>
        <v>GO:0097384 cellular lipid biosynthetic process</v>
      </c>
      <c r="E586" s="1" t="s">
        <v>2</v>
      </c>
      <c r="F586" s="1" t="s">
        <v>569</v>
      </c>
      <c r="G586" s="8"/>
    </row>
    <row r="587" spans="1:7" ht="24.75" customHeight="1" x14ac:dyDescent="0.2">
      <c r="A587" s="6">
        <v>613</v>
      </c>
      <c r="B587" s="7" t="str">
        <f>HYPERLINK("https://www.ebi.ac.uk/QuickGO/GTerm?id=GO:0045660","GO:0045660 positive regulation of neutrophil differentiation")</f>
        <v>GO:0045660 positive regulation of neutrophil differentiation</v>
      </c>
      <c r="C587" s="1" t="s">
        <v>1</v>
      </c>
      <c r="D587" s="7" t="str">
        <f>HYPERLINK("https://www.ebi.ac.uk/QuickGO/GTerm?id=GO:1902565","GO:1902565 positive regulation of neutrophil activation")</f>
        <v>GO:1902565 positive regulation of neutrophil activation</v>
      </c>
      <c r="E587" s="1" t="s">
        <v>2</v>
      </c>
      <c r="F587" s="1" t="s">
        <v>570</v>
      </c>
      <c r="G587" s="8"/>
    </row>
    <row r="588" spans="1:7" ht="24.75" customHeight="1" x14ac:dyDescent="0.2">
      <c r="A588" s="6">
        <v>615</v>
      </c>
      <c r="B588" s="7" t="str">
        <f>HYPERLINK("https://www.ebi.ac.uk/QuickGO/GTerm?id=GO:0061446","GO:0061446 endocardial cushion cell fate determination")</f>
        <v>GO:0061446 endocardial cushion cell fate determination</v>
      </c>
      <c r="C588" s="1" t="s">
        <v>1</v>
      </c>
      <c r="D588" s="7" t="str">
        <f>HYPERLINK("https://www.ebi.ac.uk/QuickGO/GTerm?id=GO:0060848","GO:0060848 endothelial cell fate determination")</f>
        <v>GO:0060848 endothelial cell fate determination</v>
      </c>
      <c r="E588" s="1" t="s">
        <v>2</v>
      </c>
      <c r="F588" s="1" t="s">
        <v>571</v>
      </c>
      <c r="G588" s="8"/>
    </row>
    <row r="589" spans="1:7" ht="24.75" customHeight="1" x14ac:dyDescent="0.2">
      <c r="A589" s="6">
        <v>616</v>
      </c>
      <c r="B589" s="7" t="str">
        <f>HYPERLINK("https://www.ebi.ac.uk/QuickGO/GTerm?id=GO:1902107","GO:1902107 positive regulation of leukocyte differentiation")</f>
        <v>GO:1902107 positive regulation of leukocyte differentiation</v>
      </c>
      <c r="C589" s="1" t="s">
        <v>1</v>
      </c>
      <c r="D589" s="7" t="str">
        <f>HYPERLINK("https://www.ebi.ac.uk/QuickGO/GTerm?id=GO:0002696","GO:0002696 positive regulation of leukocyte activation")</f>
        <v>GO:0002696 positive regulation of leukocyte activation</v>
      </c>
      <c r="E589" s="1" t="s">
        <v>2</v>
      </c>
      <c r="F589" s="1" t="s">
        <v>572</v>
      </c>
      <c r="G589" s="8"/>
    </row>
    <row r="590" spans="1:7" ht="24.75" customHeight="1" x14ac:dyDescent="0.2">
      <c r="A590" s="6">
        <v>617</v>
      </c>
      <c r="B590" s="7" t="str">
        <f>HYPERLINK("https://www.ebi.ac.uk/QuickGO/GTerm?id=GO:0048854","GO:0048854 brain morphogenesis")</f>
        <v>GO:0048854 brain morphogenesis</v>
      </c>
      <c r="C590" s="1" t="s">
        <v>4</v>
      </c>
      <c r="D590" s="7" t="str">
        <f>HYPERLINK("https://www.ebi.ac.uk/QuickGO/GTerm?id=GO:0060323","GO:0060323 head morphogenesis")</f>
        <v>GO:0060323 head morphogenesis</v>
      </c>
      <c r="E590" s="1" t="s">
        <v>2</v>
      </c>
      <c r="F590" s="1" t="s">
        <v>573</v>
      </c>
      <c r="G590" s="8"/>
    </row>
    <row r="591" spans="1:7" ht="24.75" customHeight="1" x14ac:dyDescent="0.2">
      <c r="A591" s="6">
        <v>618</v>
      </c>
      <c r="B591" s="7" t="str">
        <f>HYPERLINK("https://www.ebi.ac.uk/QuickGO/GTerm?id=GO:0021555","GO:0021555 midbrain-hindbrain boundary morphogenesis")</f>
        <v>GO:0021555 midbrain-hindbrain boundary morphogenesis</v>
      </c>
      <c r="C591" s="1" t="s">
        <v>4</v>
      </c>
      <c r="D591" s="7" t="str">
        <f>HYPERLINK("https://www.ebi.ac.uk/QuickGO/GTerm?id=GO:0048729","GO:0048729 tissue morphogenesis")</f>
        <v>GO:0048729 tissue morphogenesis</v>
      </c>
      <c r="E591" s="1" t="s">
        <v>2</v>
      </c>
      <c r="F591" s="1" t="s">
        <v>574</v>
      </c>
      <c r="G591" s="8"/>
    </row>
    <row r="592" spans="1:7" ht="24.75" customHeight="1" x14ac:dyDescent="0.2">
      <c r="A592" s="6">
        <v>619</v>
      </c>
      <c r="B592" s="7" t="str">
        <f>HYPERLINK("https://www.ebi.ac.uk/QuickGO/GTerm?id=GO:0001775","GO:0001775 cell activation")</f>
        <v>GO:0001775 cell activation</v>
      </c>
      <c r="C592" s="1" t="s">
        <v>4</v>
      </c>
      <c r="D592" s="7" t="str">
        <f>HYPERLINK("https://www.ebi.ac.uk/QuickGO/GTerm?id=GO:0048468","GO:0048468 cell development")</f>
        <v>GO:0048468 cell development</v>
      </c>
      <c r="E592" s="1" t="s">
        <v>2</v>
      </c>
      <c r="F592" s="1" t="s">
        <v>575</v>
      </c>
      <c r="G592" s="8"/>
    </row>
    <row r="593" spans="1:7" ht="24.75" customHeight="1" x14ac:dyDescent="0.2">
      <c r="A593" s="6">
        <v>620</v>
      </c>
      <c r="B593" s="7" t="str">
        <f>HYPERLINK("https://www.ebi.ac.uk/QuickGO/GTerm?id=GO:0042617","GO:0042617 paclitaxel biosynthetic process")</f>
        <v>GO:0042617 paclitaxel biosynthetic process</v>
      </c>
      <c r="C593" s="1" t="s">
        <v>1</v>
      </c>
      <c r="D593" s="7" t="str">
        <f>HYPERLINK("https://www.ebi.ac.uk/QuickGO/GTerm?id=GO:0044271","GO:0044271 cellular nitrogen compound biosynthetic process")</f>
        <v>GO:0044271 cellular nitrogen compound biosynthetic process</v>
      </c>
      <c r="E593" s="1" t="s">
        <v>2</v>
      </c>
      <c r="F593" s="1" t="s">
        <v>576</v>
      </c>
      <c r="G593" s="8"/>
    </row>
    <row r="594" spans="1:7" ht="24.75" customHeight="1" x14ac:dyDescent="0.2">
      <c r="A594" s="6">
        <v>621</v>
      </c>
      <c r="B594" s="7" t="str">
        <f>HYPERLINK("https://www.ebi.ac.uk/QuickGO/GTerm?id=GO:0034488","GO:0034488 basic amino acid transmembrane export from vacuole")</f>
        <v>GO:0034488 basic amino acid transmembrane export from vacuole</v>
      </c>
      <c r="C594" s="1" t="s">
        <v>1</v>
      </c>
      <c r="D594" s="7" t="str">
        <f>HYPERLINK("https://www.ebi.ac.uk/QuickGO/GTerm?id=GO:0032974","GO:0032974 amino acid transmembrane export from vacuole")</f>
        <v>GO:0032974 amino acid transmembrane export from vacuole</v>
      </c>
      <c r="E594" s="1" t="s">
        <v>2</v>
      </c>
      <c r="F594" s="1" t="s">
        <v>577</v>
      </c>
      <c r="G594" s="8"/>
    </row>
    <row r="595" spans="1:7" ht="24.75" customHeight="1" x14ac:dyDescent="0.2">
      <c r="A595" s="6">
        <v>622</v>
      </c>
      <c r="B595" s="7" t="str">
        <f>HYPERLINK("https://www.ebi.ac.uk/QuickGO/GTerm?id=GO:1901671","GO:1901671 positive regulation of superoxide dismutase activity")</f>
        <v>GO:1901671 positive regulation of superoxide dismutase activity</v>
      </c>
      <c r="C595" s="1" t="s">
        <v>1</v>
      </c>
      <c r="D595" s="7" t="str">
        <f>HYPERLINK("https://www.ebi.ac.uk/QuickGO/GTerm?id=GO:1900409","GO:1900409 positive regulation of cellular response to oxidative stress")</f>
        <v>GO:1900409 positive regulation of cellular response to oxidative stress</v>
      </c>
      <c r="E595" s="1" t="s">
        <v>2</v>
      </c>
      <c r="F595" s="1" t="s">
        <v>578</v>
      </c>
      <c r="G595" s="8"/>
    </row>
    <row r="596" spans="1:7" ht="24.75" customHeight="1" x14ac:dyDescent="0.2">
      <c r="A596" s="6">
        <v>623</v>
      </c>
      <c r="B596" s="7" t="str">
        <f>HYPERLINK("https://www.ebi.ac.uk/QuickGO/GTerm?id=GO:0072134","GO:0072134 nephrogenic mesenchyme morphogenesis")</f>
        <v>GO:0072134 nephrogenic mesenchyme morphogenesis</v>
      </c>
      <c r="C596" s="1" t="s">
        <v>4</v>
      </c>
      <c r="D596" s="7" t="str">
        <f>HYPERLINK("https://www.ebi.ac.uk/QuickGO/GTerm?id=GO:0072028","GO:0072028 nephron morphogenesis")</f>
        <v>GO:0072028 nephron morphogenesis</v>
      </c>
      <c r="E596" s="1" t="s">
        <v>2</v>
      </c>
      <c r="F596" s="1" t="s">
        <v>579</v>
      </c>
      <c r="G596" s="8"/>
    </row>
    <row r="597" spans="1:7" ht="24.75" customHeight="1" x14ac:dyDescent="0.2">
      <c r="A597" s="6">
        <v>624</v>
      </c>
      <c r="B597" s="7" t="str">
        <f>HYPERLINK("https://www.ebi.ac.uk/QuickGO/GTerm?id=GO:1990578","GO:1990578 perinuclear endoplasmic reticulum membrane")</f>
        <v>GO:1990578 perinuclear endoplasmic reticulum membrane</v>
      </c>
      <c r="C597" s="1" t="s">
        <v>1</v>
      </c>
      <c r="D597" s="7" t="str">
        <f>HYPERLINK("https://www.ebi.ac.uk/QuickGO/GTerm?id=GO:0005789","GO:0005789 endoplasmic reticulum membrane")</f>
        <v>GO:0005789 endoplasmic reticulum membrane</v>
      </c>
      <c r="E597" s="1" t="s">
        <v>2</v>
      </c>
      <c r="F597" s="1" t="s">
        <v>580</v>
      </c>
      <c r="G597" s="8"/>
    </row>
    <row r="598" spans="1:7" ht="24.75" customHeight="1" x14ac:dyDescent="0.2">
      <c r="A598" s="6">
        <v>625</v>
      </c>
      <c r="B598" s="7" t="str">
        <f>HYPERLINK("https://www.ebi.ac.uk/QuickGO/GTerm?id=GO:0009407","GO:0009407 toxin catabolic process")</f>
        <v>GO:0009407 toxin catabolic process</v>
      </c>
      <c r="C598" s="1" t="s">
        <v>1</v>
      </c>
      <c r="D598" s="7" t="str">
        <f>HYPERLINK("https://www.ebi.ac.uk/QuickGO/GTerm?id=GO:0090487","GO:0090487 secondary metabolite catabolic process")</f>
        <v>GO:0090487 secondary metabolite catabolic process</v>
      </c>
      <c r="E598" s="1" t="s">
        <v>2</v>
      </c>
      <c r="F598" s="1" t="s">
        <v>581</v>
      </c>
      <c r="G598" s="8"/>
    </row>
    <row r="599" spans="1:7" ht="24.75" customHeight="1" x14ac:dyDescent="0.2">
      <c r="A599" s="6">
        <v>626</v>
      </c>
      <c r="B599" s="7" t="str">
        <f>HYPERLINK("https://www.ebi.ac.uk/QuickGO/GTerm?id=GO:0042480","GO:0042480 negative regulation of eye photoreceptor cell development")</f>
        <v>GO:0042480 negative regulation of eye photoreceptor cell development</v>
      </c>
      <c r="C599" s="1" t="s">
        <v>1</v>
      </c>
      <c r="D599" s="7" t="str">
        <f>HYPERLINK("https://www.ebi.ac.uk/QuickGO/GTerm?id=GO:0045665","GO:0045665 negative regulation of neuron differentiation")</f>
        <v>GO:0045665 negative regulation of neuron differentiation</v>
      </c>
      <c r="E599" s="1" t="s">
        <v>2</v>
      </c>
      <c r="F599" s="1" t="s">
        <v>582</v>
      </c>
      <c r="G599" s="8"/>
    </row>
    <row r="600" spans="1:7" ht="24.75" customHeight="1" x14ac:dyDescent="0.2">
      <c r="A600" s="6">
        <v>628</v>
      </c>
      <c r="B600" s="7" t="str">
        <f>HYPERLINK("https://www.ebi.ac.uk/QuickGO/GTerm?id=GO:1901780","GO:1901780 pentalenolactone biosynthetic process")</f>
        <v>GO:1901780 pentalenolactone biosynthetic process</v>
      </c>
      <c r="C600" s="1" t="s">
        <v>1</v>
      </c>
      <c r="D600" s="7" t="str">
        <f>HYPERLINK("https://www.ebi.ac.uk/QuickGO/GTerm?id=GO:0097384","GO:0097384 cellular lipid biosynthetic process")</f>
        <v>GO:0097384 cellular lipid biosynthetic process</v>
      </c>
      <c r="E600" s="1" t="s">
        <v>2</v>
      </c>
      <c r="F600" s="1" t="s">
        <v>583</v>
      </c>
      <c r="G600" s="8"/>
    </row>
    <row r="601" spans="1:7" ht="24.75" customHeight="1" x14ac:dyDescent="0.2">
      <c r="A601" s="6">
        <v>630</v>
      </c>
      <c r="B601" s="7" t="str">
        <f>HYPERLINK("https://www.ebi.ac.uk/QuickGO/GTerm?id=GO:0019008","GO:0019008 molybdopterin synthase complex")</f>
        <v>GO:0019008 molybdopterin synthase complex</v>
      </c>
      <c r="C601" s="1" t="s">
        <v>1</v>
      </c>
      <c r="D601" s="7" t="str">
        <f>HYPERLINK("https://www.ebi.ac.uk/QuickGO/GTerm?id=GO:1902494","GO:1902494 catalytic complex")</f>
        <v>GO:1902494 catalytic complex</v>
      </c>
      <c r="E601" s="1" t="s">
        <v>2</v>
      </c>
      <c r="F601" s="1" t="s">
        <v>584</v>
      </c>
      <c r="G601" s="8"/>
    </row>
    <row r="602" spans="1:7" ht="24.75" customHeight="1" x14ac:dyDescent="0.2">
      <c r="A602" s="6">
        <v>631</v>
      </c>
      <c r="B602" s="7" t="str">
        <f>HYPERLINK("https://www.ebi.ac.uk/QuickGO/GTerm?id=GO:0072277","GO:0072277 metanephric glomerular capillary formation")</f>
        <v>GO:0072277 metanephric glomerular capillary formation</v>
      </c>
      <c r="C602" s="1" t="s">
        <v>4</v>
      </c>
      <c r="D602" s="7" t="str">
        <f>HYPERLINK("https://www.ebi.ac.uk/QuickGO/GTerm?id=GO:0072273","GO:0072273 metanephric nephron morphogenesis")</f>
        <v>GO:0072273 metanephric nephron morphogenesis</v>
      </c>
      <c r="E602" s="1" t="s">
        <v>2</v>
      </c>
      <c r="F602" s="1" t="s">
        <v>585</v>
      </c>
      <c r="G602" s="8"/>
    </row>
    <row r="603" spans="1:7" ht="24.75" customHeight="1" x14ac:dyDescent="0.2">
      <c r="A603" s="6">
        <v>632</v>
      </c>
      <c r="B603" s="7" t="str">
        <f>HYPERLINK("https://www.ebi.ac.uk/QuickGO/GTerm?id=GO:0072180","GO:0072180 mesonephric duct morphogenesis")</f>
        <v>GO:0072180 mesonephric duct morphogenesis</v>
      </c>
      <c r="C603" s="1" t="s">
        <v>4</v>
      </c>
      <c r="D603" s="7" t="str">
        <f>HYPERLINK("https://www.ebi.ac.uk/QuickGO/GTerm?id=GO:0061206","GO:0061206 mesonephros morphogenesis")</f>
        <v>GO:0061206 mesonephros morphogenesis</v>
      </c>
      <c r="E603" s="1" t="s">
        <v>2</v>
      </c>
      <c r="F603" s="1" t="s">
        <v>586</v>
      </c>
      <c r="G603" s="8"/>
    </row>
    <row r="604" spans="1:7" ht="24.75" customHeight="1" x14ac:dyDescent="0.2">
      <c r="A604" s="6">
        <v>633</v>
      </c>
      <c r="B604" s="7" t="str">
        <f>HYPERLINK("https://www.ebi.ac.uk/QuickGO/GTerm?id=GO:0070483","GO:0070483 detection of hypoxia")</f>
        <v>GO:0070483 detection of hypoxia</v>
      </c>
      <c r="C604" s="1" t="s">
        <v>1</v>
      </c>
      <c r="D604" s="7" t="str">
        <f>HYPERLINK("https://www.ebi.ac.uk/QuickGO/GTerm?id=GO:0009582","GO:0009582 detection of abiotic stimulus")</f>
        <v>GO:0009582 detection of abiotic stimulus</v>
      </c>
      <c r="E604" s="1" t="s">
        <v>2</v>
      </c>
      <c r="F604" s="1" t="s">
        <v>587</v>
      </c>
      <c r="G604" s="8"/>
    </row>
    <row r="605" spans="1:7" ht="24.75" customHeight="1" x14ac:dyDescent="0.2">
      <c r="A605" s="6">
        <v>634</v>
      </c>
      <c r="B605" s="7" t="str">
        <f>HYPERLINK("https://www.ebi.ac.uk/QuickGO/GTerm?id=GO:0048847","GO:0048847 adenohypophysis formation")</f>
        <v>GO:0048847 adenohypophysis formation</v>
      </c>
      <c r="C605" s="1" t="s">
        <v>4</v>
      </c>
      <c r="D605" s="7" t="str">
        <f>HYPERLINK("https://www.ebi.ac.uk/QuickGO/GTerm?id=GO:0048851","GO:0048851 hypophysis formation")</f>
        <v>GO:0048851 hypophysis formation</v>
      </c>
      <c r="E605" s="1" t="s">
        <v>2</v>
      </c>
      <c r="F605" s="1" t="s">
        <v>588</v>
      </c>
      <c r="G605" s="8"/>
    </row>
    <row r="606" spans="1:7" ht="24.75" customHeight="1" x14ac:dyDescent="0.2">
      <c r="A606" s="6">
        <v>635</v>
      </c>
      <c r="B606" s="7" t="str">
        <f>HYPERLINK("https://www.ebi.ac.uk/QuickGO/GTerm?id=GO:0039534","GO:0039534 negative regulation of MDA-5 signaling pathway")</f>
        <v>GO:0039534 negative regulation of MDA-5 signaling pathway</v>
      </c>
      <c r="C606" s="1" t="s">
        <v>1</v>
      </c>
      <c r="D606" s="7" t="str">
        <f>HYPERLINK("https://www.ebi.ac.uk/QuickGO/GTerm?id=GO:0002698","GO:0002698 negative regulation of immune effector process")</f>
        <v>GO:0002698 negative regulation of immune effector process</v>
      </c>
      <c r="E606" s="1" t="s">
        <v>2</v>
      </c>
      <c r="F606" s="1" t="s">
        <v>589</v>
      </c>
      <c r="G606" s="8"/>
    </row>
    <row r="607" spans="1:7" ht="24.75" customHeight="1" x14ac:dyDescent="0.2">
      <c r="A607" s="6">
        <v>636</v>
      </c>
      <c r="B607" s="7" t="str">
        <f>HYPERLINK("https://www.ebi.ac.uk/QuickGO/GTerm?id=GO:1902958","GO:1902958 positive regulation of mitochondrial electron transport, NADH to ubiquinone")</f>
        <v>GO:1902958 positive regulation of mitochondrial electron transport, NADH to ubiquinone</v>
      </c>
      <c r="C607" s="1" t="s">
        <v>1</v>
      </c>
      <c r="D607" s="7" t="str">
        <f>HYPERLINK("https://www.ebi.ac.uk/QuickGO/GTerm?id=GO:1903862","GO:1903862 positive regulation of oxidative phosphorylation")</f>
        <v>GO:1903862 positive regulation of oxidative phosphorylation</v>
      </c>
      <c r="E607" s="1" t="s">
        <v>2</v>
      </c>
      <c r="F607" s="1" t="s">
        <v>590</v>
      </c>
      <c r="G607" s="8"/>
    </row>
    <row r="608" spans="1:7" ht="24.75" customHeight="1" x14ac:dyDescent="0.2">
      <c r="A608" s="6">
        <v>637</v>
      </c>
      <c r="B608" s="7" t="str">
        <f>HYPERLINK("https://www.ebi.ac.uk/QuickGO/GTerm?id=GO:0042812","GO:0042812 pheromone catabolic process")</f>
        <v>GO:0042812 pheromone catabolic process</v>
      </c>
      <c r="C608" s="1" t="s">
        <v>1</v>
      </c>
      <c r="D608" s="7" t="str">
        <f>HYPERLINK("https://www.ebi.ac.uk/QuickGO/GTerm?id=GO:0090487","GO:0090487 secondary metabolite catabolic process")</f>
        <v>GO:0090487 secondary metabolite catabolic process</v>
      </c>
      <c r="E608" s="1" t="s">
        <v>2</v>
      </c>
      <c r="F608" s="1" t="s">
        <v>591</v>
      </c>
      <c r="G608" s="8"/>
    </row>
    <row r="609" spans="1:7" ht="24.75" customHeight="1" x14ac:dyDescent="0.2">
      <c r="A609" s="6">
        <v>638</v>
      </c>
      <c r="B609" s="7" t="str">
        <f>HYPERLINK("https://www.ebi.ac.uk/QuickGO/GTerm?id=GO:1905047","GO:1905047 mitotic spindle pole body organization")</f>
        <v>GO:1905047 mitotic spindle pole body organization</v>
      </c>
      <c r="C609" s="1" t="s">
        <v>4</v>
      </c>
      <c r="D609" s="7" t="str">
        <f>HYPERLINK("https://www.ebi.ac.uk/QuickGO/GTerm?id=GO:0000278","GO:0000278 mitotic cell cycle")</f>
        <v>GO:0000278 mitotic cell cycle</v>
      </c>
      <c r="E609" s="1" t="s">
        <v>2</v>
      </c>
      <c r="F609" s="1" t="s">
        <v>592</v>
      </c>
      <c r="G609" s="8"/>
    </row>
    <row r="610" spans="1:7" ht="24.75" customHeight="1" x14ac:dyDescent="0.2">
      <c r="A610" s="6">
        <v>639</v>
      </c>
      <c r="B610" s="7" t="str">
        <f>HYPERLINK("https://www.ebi.ac.uk/QuickGO/GTerm?id=GO:0019340","GO:0019340 dibenzofuran catabolic process")</f>
        <v>GO:0019340 dibenzofuran catabolic process</v>
      </c>
      <c r="C610" s="1" t="s">
        <v>1</v>
      </c>
      <c r="D610" s="7" t="str">
        <f>HYPERLINK("https://www.ebi.ac.uk/QuickGO/GTerm?id=GO:0044282","GO:0044282 small molecule catabolic process")</f>
        <v>GO:0044282 small molecule catabolic process</v>
      </c>
      <c r="E610" s="1" t="s">
        <v>2</v>
      </c>
      <c r="F610" s="1" t="s">
        <v>593</v>
      </c>
      <c r="G610" s="8"/>
    </row>
    <row r="611" spans="1:7" ht="24.75" customHeight="1" x14ac:dyDescent="0.2">
      <c r="A611" s="6">
        <v>640</v>
      </c>
      <c r="B611" s="7" t="str">
        <f>HYPERLINK("https://www.ebi.ac.uk/QuickGO/GTerm?id=GO:0044831","GO:0044831 modulation by virus of host cytokine production")</f>
        <v>GO:0044831 modulation by virus of host cytokine production</v>
      </c>
      <c r="C611" s="1" t="s">
        <v>1</v>
      </c>
      <c r="D611" s="7" t="str">
        <f>HYPERLINK("https://www.ebi.ac.uk/QuickGO/GTerm?id=GO:0001817","GO:0001817 regulation of cytokine production")</f>
        <v>GO:0001817 regulation of cytokine production</v>
      </c>
      <c r="E611" s="1" t="s">
        <v>2</v>
      </c>
      <c r="F611" s="1" t="s">
        <v>594</v>
      </c>
      <c r="G611" s="8"/>
    </row>
    <row r="612" spans="1:7" ht="24.75" customHeight="1" x14ac:dyDescent="0.2">
      <c r="A612" s="6">
        <v>641</v>
      </c>
      <c r="B612" s="7" t="str">
        <f>HYPERLINK("https://www.ebi.ac.uk/QuickGO/GTerm?id=GO:0008192","GO:0008192 RNA guanylyltransferase activity")</f>
        <v>GO:0008192 RNA guanylyltransferase activity</v>
      </c>
      <c r="C612" s="1" t="s">
        <v>4</v>
      </c>
      <c r="D612" s="7" t="str">
        <f>HYPERLINK("https://www.ebi.ac.uk/QuickGO/GTerm?id=GO:0006396","GO:0006396 RNA processing")</f>
        <v>GO:0006396 RNA processing</v>
      </c>
      <c r="E612" s="1" t="s">
        <v>2</v>
      </c>
      <c r="F612" s="1" t="s">
        <v>595</v>
      </c>
      <c r="G612" s="8"/>
    </row>
    <row r="613" spans="1:7" ht="24.75" customHeight="1" x14ac:dyDescent="0.2">
      <c r="A613" s="6">
        <v>642</v>
      </c>
      <c r="B613" s="7" t="str">
        <f>HYPERLINK("https://www.ebi.ac.uk/QuickGO/GTerm?id=GO:0060977","GO:0060977 coronary vasculature morphogenesis")</f>
        <v>GO:0060977 coronary vasculature morphogenesis</v>
      </c>
      <c r="C613" s="1" t="s">
        <v>4</v>
      </c>
      <c r="D613" s="7" t="str">
        <f>HYPERLINK("https://www.ebi.ac.uk/QuickGO/GTerm?id=GO:0003007","GO:0003007 heart morphogenesis")</f>
        <v>GO:0003007 heart morphogenesis</v>
      </c>
      <c r="E613" s="1" t="s">
        <v>2</v>
      </c>
      <c r="F613" s="1" t="s">
        <v>596</v>
      </c>
      <c r="G613" s="8"/>
    </row>
    <row r="614" spans="1:7" ht="24.75" customHeight="1" x14ac:dyDescent="0.2">
      <c r="A614" s="6">
        <v>643</v>
      </c>
      <c r="B614" s="7" t="str">
        <f>HYPERLINK("https://www.ebi.ac.uk/QuickGO/GTerm?id=GO:1905608","GO:1905608 positive regulation of presynapse assembly")</f>
        <v>GO:1905608 positive regulation of presynapse assembly</v>
      </c>
      <c r="C614" s="1" t="s">
        <v>1</v>
      </c>
      <c r="D614" s="7" t="str">
        <f>HYPERLINK("https://www.ebi.ac.uk/QuickGO/GTerm?id=GO:1901890","GO:1901890 positive regulation of cell junction assembly")</f>
        <v>GO:1901890 positive regulation of cell junction assembly</v>
      </c>
      <c r="E614" s="1" t="s">
        <v>2</v>
      </c>
      <c r="F614" s="1" t="s">
        <v>597</v>
      </c>
      <c r="G614" s="8"/>
    </row>
    <row r="615" spans="1:7" ht="24.75" customHeight="1" x14ac:dyDescent="0.2">
      <c r="A615" s="6">
        <v>644</v>
      </c>
      <c r="B615" s="7" t="str">
        <f>HYPERLINK("https://www.ebi.ac.uk/QuickGO/GTerm?id=GO:0120257","GO:0120257 peptidyl-threonine acetylation")</f>
        <v>GO:0120257 peptidyl-threonine acetylation</v>
      </c>
      <c r="C615" s="1" t="s">
        <v>1</v>
      </c>
      <c r="D615" s="7" t="str">
        <f>HYPERLINK("https://www.ebi.ac.uk/QuickGO/GTerm?id=GO:0018210","GO:0018210 peptidyl-threonine modification")</f>
        <v>GO:0018210 peptidyl-threonine modification</v>
      </c>
      <c r="E615" s="1" t="s">
        <v>2</v>
      </c>
      <c r="F615" s="1" t="s">
        <v>598</v>
      </c>
      <c r="G615" s="8"/>
    </row>
    <row r="616" spans="1:7" ht="24.75" customHeight="1" x14ac:dyDescent="0.2">
      <c r="A616" s="6">
        <v>645</v>
      </c>
      <c r="B616" s="7" t="str">
        <f>HYPERLINK("https://www.ebi.ac.uk/QuickGO/GTerm?id=GO:0051208","GO:0051208 sequestering of calcium ion")</f>
        <v>GO:0051208 sequestering of calcium ion</v>
      </c>
      <c r="C616" s="1" t="s">
        <v>1</v>
      </c>
      <c r="D616" s="7" t="str">
        <f>HYPERLINK("https://www.ebi.ac.uk/QuickGO/GTerm?id=GO:0051238","GO:0051238 sequestering of metal ion")</f>
        <v>GO:0051238 sequestering of metal ion</v>
      </c>
      <c r="E616" s="1" t="s">
        <v>2</v>
      </c>
      <c r="F616" s="1" t="s">
        <v>599</v>
      </c>
      <c r="G616" s="8"/>
    </row>
    <row r="617" spans="1:7" ht="24.75" customHeight="1" x14ac:dyDescent="0.2">
      <c r="A617" s="6">
        <v>646</v>
      </c>
      <c r="B617" s="7" t="str">
        <f>HYPERLINK("https://www.ebi.ac.uk/QuickGO/GTerm?id=GO:1901931","GO:1901931 alpha-copaene biosynthetic process")</f>
        <v>GO:1901931 alpha-copaene biosynthetic process</v>
      </c>
      <c r="C617" s="1" t="s">
        <v>1</v>
      </c>
      <c r="D617" s="7" t="str">
        <f>HYPERLINK("https://www.ebi.ac.uk/QuickGO/GTerm?id=GO:0097384","GO:0097384 cellular lipid biosynthetic process")</f>
        <v>GO:0097384 cellular lipid biosynthetic process</v>
      </c>
      <c r="E617" s="1" t="s">
        <v>2</v>
      </c>
      <c r="F617" s="1" t="s">
        <v>600</v>
      </c>
      <c r="G617" s="8"/>
    </row>
    <row r="618" spans="1:7" ht="24.75" customHeight="1" x14ac:dyDescent="0.2">
      <c r="A618" s="6">
        <v>647</v>
      </c>
      <c r="B618" s="7" t="str">
        <f>HYPERLINK("https://www.ebi.ac.uk/QuickGO/GTerm?id=GO:1903409","GO:1903409 reactive oxygen species biosynthetic process")</f>
        <v>GO:1903409 reactive oxygen species biosynthetic process</v>
      </c>
      <c r="C618" s="1" t="s">
        <v>1</v>
      </c>
      <c r="D618" s="7" t="str">
        <f>HYPERLINK("https://www.ebi.ac.uk/QuickGO/GTerm?id=GO:0044249","GO:0044249 cellular biosynthetic process")</f>
        <v>GO:0044249 cellular biosynthetic process</v>
      </c>
      <c r="E618" s="1" t="s">
        <v>2</v>
      </c>
      <c r="F618" s="1" t="s">
        <v>601</v>
      </c>
      <c r="G618" s="8"/>
    </row>
    <row r="619" spans="1:7" ht="24.75" customHeight="1" x14ac:dyDescent="0.2">
      <c r="A619" s="6">
        <v>648</v>
      </c>
      <c r="B619" s="7" t="str">
        <f>HYPERLINK("https://www.ebi.ac.uk/QuickGO/GTerm?id=GO:0010136","GO:0010136 ureide catabolic process")</f>
        <v>GO:0010136 ureide catabolic process</v>
      </c>
      <c r="C619" s="1" t="s">
        <v>1</v>
      </c>
      <c r="D619" s="7" t="str">
        <f>HYPERLINK("https://www.ebi.ac.uk/QuickGO/GTerm?id=GO:0043605","GO:0043605 cellular amide catabolic process")</f>
        <v>GO:0043605 cellular amide catabolic process</v>
      </c>
      <c r="E619" s="1" t="s">
        <v>2</v>
      </c>
      <c r="F619" s="1" t="s">
        <v>602</v>
      </c>
      <c r="G619" s="8"/>
    </row>
    <row r="620" spans="1:7" ht="24.75" customHeight="1" x14ac:dyDescent="0.2">
      <c r="A620" s="6">
        <v>649</v>
      </c>
      <c r="B620" s="7" t="str">
        <f>HYPERLINK("https://www.ebi.ac.uk/QuickGO/GTerm?id=GO:0062127","GO:0062127 fatty acid primary amide catabolic process")</f>
        <v>GO:0062127 fatty acid primary amide catabolic process</v>
      </c>
      <c r="C620" s="1" t="s">
        <v>1</v>
      </c>
      <c r="D620" s="7" t="str">
        <f>HYPERLINK("https://www.ebi.ac.uk/QuickGO/GTerm?id=GO:0044248","GO:0044248 cellular catabolic process")</f>
        <v>GO:0044248 cellular catabolic process</v>
      </c>
      <c r="E620" s="1" t="s">
        <v>2</v>
      </c>
      <c r="F620" s="1" t="s">
        <v>603</v>
      </c>
      <c r="G620" s="8"/>
    </row>
    <row r="621" spans="1:7" ht="24.75" customHeight="1" x14ac:dyDescent="0.2">
      <c r="A621" s="6">
        <v>650</v>
      </c>
      <c r="B621" s="7" t="str">
        <f>HYPERLINK("https://www.ebi.ac.uk/QuickGO/GTerm?id=GO:0010152","GO:0010152 pollen maturation")</f>
        <v>GO:0010152 pollen maturation</v>
      </c>
      <c r="C621" s="1" t="s">
        <v>1</v>
      </c>
      <c r="D621" s="7" t="str">
        <f>HYPERLINK("https://www.ebi.ac.uk/QuickGO/GTerm?id=GO:0071695","GO:0071695 anatomical structure maturation")</f>
        <v>GO:0071695 anatomical structure maturation</v>
      </c>
      <c r="E621" s="1" t="s">
        <v>2</v>
      </c>
      <c r="F621" s="1" t="s">
        <v>604</v>
      </c>
      <c r="G621" s="8"/>
    </row>
    <row r="622" spans="1:7" ht="24.75" customHeight="1" x14ac:dyDescent="0.2">
      <c r="A622" s="6">
        <v>651</v>
      </c>
      <c r="B622" s="7" t="str">
        <f>HYPERLINK("https://www.ebi.ac.uk/QuickGO/GTerm?id=GO:2001272","GO:2001272 positive regulation of cysteine-type endopeptidase activity involved in execution phase of apoptosis")</f>
        <v>GO:2001272 positive regulation of cysteine-type endopeptidase activity involved in execution phase of apoptosis</v>
      </c>
      <c r="C622" s="1" t="s">
        <v>1</v>
      </c>
      <c r="D622" s="7" t="str">
        <f>HYPERLINK("https://www.ebi.ac.uk/QuickGO/GTerm?id=GO:0043065","GO:0043065 positive regulation of apoptotic process")</f>
        <v>GO:0043065 positive regulation of apoptotic process</v>
      </c>
      <c r="E622" s="1" t="s">
        <v>2</v>
      </c>
      <c r="F622" s="1" t="s">
        <v>605</v>
      </c>
      <c r="G622" s="8"/>
    </row>
    <row r="623" spans="1:7" ht="24.75" customHeight="1" x14ac:dyDescent="0.2">
      <c r="A623" s="6">
        <v>652</v>
      </c>
      <c r="B623" s="7" t="str">
        <f>HYPERLINK("https://www.ebi.ac.uk/QuickGO/GTerm?id=GO:0009449","GO:0009449 gamma-aminobutyric acid biosynthetic process")</f>
        <v>GO:0009449 gamma-aminobutyric acid biosynthetic process</v>
      </c>
      <c r="C623" s="1" t="s">
        <v>1</v>
      </c>
      <c r="D623" s="7" t="str">
        <f>HYPERLINK("https://www.ebi.ac.uk/QuickGO/GTerm?id=GO:0072330","GO:0072330 monocarboxylic acid biosynthetic process")</f>
        <v>GO:0072330 monocarboxylic acid biosynthetic process</v>
      </c>
      <c r="E623" s="1" t="s">
        <v>2</v>
      </c>
      <c r="F623" s="1" t="s">
        <v>606</v>
      </c>
      <c r="G623" s="8"/>
    </row>
    <row r="624" spans="1:7" ht="24.75" customHeight="1" x14ac:dyDescent="0.2">
      <c r="A624" s="6">
        <v>653</v>
      </c>
      <c r="B624" s="7" t="str">
        <f>HYPERLINK("https://www.ebi.ac.uk/QuickGO/GTerm?id=GO:0033583","GO:0033583 rhabdomere membrane")</f>
        <v>GO:0033583 rhabdomere membrane</v>
      </c>
      <c r="C624" s="1" t="s">
        <v>1</v>
      </c>
      <c r="D624" s="7" t="str">
        <f>HYPERLINK("https://www.ebi.ac.uk/QuickGO/GTerm?id=GO:0032589","GO:0032589 neuron projection membrane")</f>
        <v>GO:0032589 neuron projection membrane</v>
      </c>
      <c r="E624" s="1" t="s">
        <v>2</v>
      </c>
      <c r="F624" s="1" t="s">
        <v>607</v>
      </c>
      <c r="G624" s="8"/>
    </row>
    <row r="625" spans="1:7" ht="24.75" customHeight="1" x14ac:dyDescent="0.2">
      <c r="A625" s="6">
        <v>654</v>
      </c>
      <c r="B625" s="7" t="str">
        <f>HYPERLINK("https://www.ebi.ac.uk/QuickGO/GTerm?id=GO:1905921","GO:1905921 regulation of acetylcholine biosynthetic process")</f>
        <v>GO:1905921 regulation of acetylcholine biosynthetic process</v>
      </c>
      <c r="C625" s="1" t="s">
        <v>20</v>
      </c>
      <c r="D625" s="7" t="str">
        <f>HYPERLINK("https://www.ebi.ac.uk/QuickGO/GTerm?id=GO:0009309","GO:0009309 amine biosynthetic process")</f>
        <v>GO:0009309 amine biosynthetic process</v>
      </c>
      <c r="E625" s="1" t="s">
        <v>2</v>
      </c>
      <c r="F625" s="1" t="s">
        <v>608</v>
      </c>
      <c r="G625" s="8"/>
    </row>
    <row r="626" spans="1:7" ht="24.75" customHeight="1" x14ac:dyDescent="0.2">
      <c r="A626" s="6">
        <v>655</v>
      </c>
      <c r="B626" s="7" t="str">
        <f>HYPERLINK("https://www.ebi.ac.uk/QuickGO/GTerm?id=GO:0070091","GO:0070091 glucagon secretion")</f>
        <v>GO:0070091 glucagon secretion</v>
      </c>
      <c r="C626" s="1" t="s">
        <v>1</v>
      </c>
      <c r="D626" s="7" t="str">
        <f>HYPERLINK("https://www.ebi.ac.uk/QuickGO/GTerm?id=GO:0009306","GO:0009306 protein secretion")</f>
        <v>GO:0009306 protein secretion</v>
      </c>
      <c r="E626" s="1" t="s">
        <v>2</v>
      </c>
      <c r="F626" s="1" t="s">
        <v>609</v>
      </c>
      <c r="G626" s="8"/>
    </row>
    <row r="627" spans="1:7" ht="24.75" customHeight="1" x14ac:dyDescent="0.2">
      <c r="A627" s="6">
        <v>657</v>
      </c>
      <c r="B627" s="7" t="str">
        <f>HYPERLINK("https://www.ebi.ac.uk/QuickGO/GTerm?id=GO:0070262","GO:0070262 peptidyl-serine dephosphorylation")</f>
        <v>GO:0070262 peptidyl-serine dephosphorylation</v>
      </c>
      <c r="C627" s="1" t="s">
        <v>1</v>
      </c>
      <c r="D627" s="7" t="str">
        <f>HYPERLINK("https://www.ebi.ac.uk/QuickGO/GTerm?id=GO:0018209","GO:0018209 peptidyl-serine modification")</f>
        <v>GO:0018209 peptidyl-serine modification</v>
      </c>
      <c r="E627" s="1" t="s">
        <v>2</v>
      </c>
      <c r="F627" s="1" t="s">
        <v>383</v>
      </c>
      <c r="G627" s="8"/>
    </row>
    <row r="628" spans="1:7" ht="24.75" customHeight="1" x14ac:dyDescent="0.2">
      <c r="A628" s="6">
        <v>658</v>
      </c>
      <c r="B628" s="7" t="str">
        <f>HYPERLINK("https://www.ebi.ac.uk/QuickGO/GTerm?id=GO:0006686","GO:0006686 sphingomyelin biosynthetic process")</f>
        <v>GO:0006686 sphingomyelin biosynthetic process</v>
      </c>
      <c r="C628" s="1" t="s">
        <v>1</v>
      </c>
      <c r="D628" s="7" t="str">
        <f>HYPERLINK("https://www.ebi.ac.uk/QuickGO/GTerm?id=GO:0097384","GO:0097384 cellular lipid biosynthetic process")</f>
        <v>GO:0097384 cellular lipid biosynthetic process</v>
      </c>
      <c r="E628" s="1" t="s">
        <v>2</v>
      </c>
      <c r="F628" s="1" t="s">
        <v>610</v>
      </c>
      <c r="G628" s="8"/>
    </row>
    <row r="629" spans="1:7" ht="24.75" customHeight="1" x14ac:dyDescent="0.2">
      <c r="A629" s="6">
        <v>659</v>
      </c>
      <c r="B629" s="7" t="str">
        <f>HYPERLINK("https://www.ebi.ac.uk/QuickGO/GTerm?id=GO:0051981","GO:0051981 copper chelate transmembrane transporter activity")</f>
        <v>GO:0051981 copper chelate transmembrane transporter activity</v>
      </c>
      <c r="C629" s="1" t="s">
        <v>4</v>
      </c>
      <c r="D629" s="7" t="str">
        <f>HYPERLINK("https://www.ebi.ac.uk/QuickGO/GTerm?id=GO:0055070","GO:0055070 copper ion homeostasis")</f>
        <v>GO:0055070 copper ion homeostasis</v>
      </c>
      <c r="E629" s="1" t="s">
        <v>2</v>
      </c>
      <c r="F629" s="1" t="s">
        <v>611</v>
      </c>
      <c r="G629" s="8"/>
    </row>
    <row r="630" spans="1:7" ht="24.75" customHeight="1" x14ac:dyDescent="0.2">
      <c r="A630" s="6">
        <v>660</v>
      </c>
      <c r="B630" s="7" t="str">
        <f>HYPERLINK("https://www.ebi.ac.uk/QuickGO/GTerm?id=GO:0018966","GO:0018966 styrene metabolic process")</f>
        <v>GO:0018966 styrene metabolic process</v>
      </c>
      <c r="C630" s="1" t="s">
        <v>1</v>
      </c>
      <c r="D630" s="7" t="str">
        <f>HYPERLINK("https://www.ebi.ac.uk/QuickGO/GTerm?id=GO:0006805","GO:0006805 xenobiotic metabolic process")</f>
        <v>GO:0006805 xenobiotic metabolic process</v>
      </c>
      <c r="E630" s="1" t="s">
        <v>2</v>
      </c>
      <c r="F630" s="1" t="s">
        <v>612</v>
      </c>
      <c r="G630" s="8"/>
    </row>
    <row r="631" spans="1:7" ht="24.75" customHeight="1" x14ac:dyDescent="0.2">
      <c r="A631" s="6">
        <v>661</v>
      </c>
      <c r="B631" s="7" t="str">
        <f>HYPERLINK("https://www.ebi.ac.uk/QuickGO/GTerm?id=GO:1904430","GO:1904430 negative regulation of t-circle formation")</f>
        <v>GO:1904430 negative regulation of t-circle formation</v>
      </c>
      <c r="C631" s="1" t="s">
        <v>1</v>
      </c>
      <c r="D631" s="7" t="str">
        <f>HYPERLINK("https://www.ebi.ac.uk/QuickGO/GTerm?id=GO:0032205","GO:0032205 negative regulation of telomere maintenance")</f>
        <v>GO:0032205 negative regulation of telomere maintenance</v>
      </c>
      <c r="E631" s="1" t="s">
        <v>2</v>
      </c>
      <c r="F631" s="1" t="s">
        <v>613</v>
      </c>
      <c r="G631" s="8"/>
    </row>
    <row r="632" spans="1:7" ht="24.75" customHeight="1" x14ac:dyDescent="0.2">
      <c r="A632" s="6">
        <v>662</v>
      </c>
      <c r="B632" s="7" t="str">
        <f>HYPERLINK("https://www.ebi.ac.uk/QuickGO/GTerm?id=GO:0060348","GO:0060348 bone development")</f>
        <v>GO:0060348 bone development</v>
      </c>
      <c r="C632" s="1" t="s">
        <v>1</v>
      </c>
      <c r="D632" s="7" t="str">
        <f>HYPERLINK("https://www.ebi.ac.uk/QuickGO/GTerm?id=GO:0009888","GO:0009888 tissue development")</f>
        <v>GO:0009888 tissue development</v>
      </c>
      <c r="E632" s="1" t="s">
        <v>2</v>
      </c>
      <c r="F632" s="1" t="s">
        <v>614</v>
      </c>
      <c r="G632" s="8"/>
    </row>
    <row r="633" spans="1:7" ht="24.75" customHeight="1" x14ac:dyDescent="0.2">
      <c r="A633" s="6">
        <v>663</v>
      </c>
      <c r="B633" s="7" t="str">
        <f>HYPERLINK("https://www.ebi.ac.uk/QuickGO/GTerm?id=GO:1901919","GO:1901919 positive regulation of exoribonuclease activity")</f>
        <v>GO:1901919 positive regulation of exoribonuclease activity</v>
      </c>
      <c r="C633" s="1" t="s">
        <v>1</v>
      </c>
      <c r="D633" s="7" t="str">
        <f>HYPERLINK("https://www.ebi.ac.uk/QuickGO/GTerm?id=GO:0051254","GO:0051254 positive regulation of RNA metabolic process")</f>
        <v>GO:0051254 positive regulation of RNA metabolic process</v>
      </c>
      <c r="E633" s="1" t="s">
        <v>2</v>
      </c>
      <c r="F633" s="1" t="s">
        <v>615</v>
      </c>
      <c r="G633" s="8"/>
    </row>
    <row r="634" spans="1:7" ht="24.75" customHeight="1" x14ac:dyDescent="0.2">
      <c r="A634" s="6">
        <v>664</v>
      </c>
      <c r="B634" s="7" t="str">
        <f>HYPERLINK("https://www.ebi.ac.uk/QuickGO/GTerm?id=GO:2000463","GO:2000463 positive regulation of excitatory postsynaptic potential")</f>
        <v>GO:2000463 positive regulation of excitatory postsynaptic potential</v>
      </c>
      <c r="C634" s="1" t="s">
        <v>1</v>
      </c>
      <c r="D634" s="7" t="str">
        <f>HYPERLINK("https://www.ebi.ac.uk/QuickGO/GTerm?id=GO:0050806","GO:0050806 positive regulation of synaptic transmission")</f>
        <v>GO:0050806 positive regulation of synaptic transmission</v>
      </c>
      <c r="E634" s="1" t="s">
        <v>2</v>
      </c>
      <c r="F634" s="1" t="s">
        <v>616</v>
      </c>
      <c r="G634" s="8"/>
    </row>
    <row r="635" spans="1:7" ht="24.75" customHeight="1" x14ac:dyDescent="0.2">
      <c r="A635" s="6">
        <v>665</v>
      </c>
      <c r="B635" s="7" t="str">
        <f>HYPERLINK("https://www.ebi.ac.uk/QuickGO/GTerm?id=GO:0032350","GO:0032350 regulation of hormone metabolic process")</f>
        <v>GO:0032350 regulation of hormone metabolic process</v>
      </c>
      <c r="C635" s="1" t="s">
        <v>1</v>
      </c>
      <c r="D635" s="7" t="str">
        <f>HYPERLINK("https://www.ebi.ac.uk/QuickGO/GTerm?id=GO:0031323","GO:0031323 regulation of cellular metabolic process")</f>
        <v>GO:0031323 regulation of cellular metabolic process</v>
      </c>
      <c r="E635" s="1" t="s">
        <v>2</v>
      </c>
      <c r="F635" s="1" t="s">
        <v>617</v>
      </c>
      <c r="G635" s="8"/>
    </row>
    <row r="636" spans="1:7" ht="24.75" customHeight="1" x14ac:dyDescent="0.2">
      <c r="A636" s="6">
        <v>666</v>
      </c>
      <c r="B636" s="7" t="str">
        <f>HYPERLINK("https://www.ebi.ac.uk/QuickGO/GTerm?id=GO:1902131","GO:1902131 (+)-lariciresinol catabolic process")</f>
        <v>GO:1902131 (+)-lariciresinol catabolic process</v>
      </c>
      <c r="C636" s="1" t="s">
        <v>1</v>
      </c>
      <c r="D636" s="7" t="str">
        <f>HYPERLINK("https://www.ebi.ac.uk/QuickGO/GTerm?id=GO:0090487","GO:0090487 secondary metabolite catabolic process")</f>
        <v>GO:0090487 secondary metabolite catabolic process</v>
      </c>
      <c r="E636" s="1" t="s">
        <v>2</v>
      </c>
      <c r="F636" s="1" t="s">
        <v>618</v>
      </c>
      <c r="G636" s="8"/>
    </row>
    <row r="637" spans="1:7" ht="24.75" customHeight="1" x14ac:dyDescent="0.2">
      <c r="A637" s="6">
        <v>667</v>
      </c>
      <c r="B637" s="7" t="str">
        <f>HYPERLINK("https://www.ebi.ac.uk/QuickGO/GTerm?id=GO:0051631","GO:0051631 regulation of acetylcholine uptake")</f>
        <v>GO:0051631 regulation of acetylcholine uptake</v>
      </c>
      <c r="C637" s="1" t="s">
        <v>1</v>
      </c>
      <c r="D637" s="7" t="str">
        <f>HYPERLINK("https://www.ebi.ac.uk/QuickGO/GTerm?id=GO:0051580","GO:0051580 regulation of neurotransmitter uptake")</f>
        <v>GO:0051580 regulation of neurotransmitter uptake</v>
      </c>
      <c r="E637" s="1" t="s">
        <v>2</v>
      </c>
      <c r="F637" s="1" t="s">
        <v>619</v>
      </c>
      <c r="G637" s="8"/>
    </row>
    <row r="638" spans="1:7" ht="24.75" customHeight="1" x14ac:dyDescent="0.2">
      <c r="A638" s="6">
        <v>668</v>
      </c>
      <c r="B638" s="7" t="str">
        <f>HYPERLINK("https://www.ebi.ac.uk/QuickGO/GTerm?id=GO:0061986","GO:0061986 negative regulation of transcription by glucose")</f>
        <v>GO:0061986 negative regulation of transcription by glucose</v>
      </c>
      <c r="C638" s="1" t="s">
        <v>1</v>
      </c>
      <c r="D638" s="7" t="str">
        <f>HYPERLINK("https://www.ebi.ac.uk/QuickGO/GTerm?id=GO:0045892","GO:0045892 negative regulation of transcription, DNA-templated")</f>
        <v>GO:0045892 negative regulation of transcription, DNA-templated</v>
      </c>
      <c r="E638" s="1" t="s">
        <v>2</v>
      </c>
      <c r="F638" s="1" t="s">
        <v>620</v>
      </c>
      <c r="G638" s="8"/>
    </row>
    <row r="639" spans="1:7" ht="24.75" customHeight="1" x14ac:dyDescent="0.2">
      <c r="A639" s="6">
        <v>669</v>
      </c>
      <c r="B639" s="7" t="str">
        <f>HYPERLINK("https://www.ebi.ac.uk/QuickGO/GTerm?id=GO:0032340","GO:0032340 positive regulation of inhibin secretion")</f>
        <v>GO:0032340 positive regulation of inhibin secretion</v>
      </c>
      <c r="C639" s="1" t="s">
        <v>1</v>
      </c>
      <c r="D639" s="7" t="str">
        <f>HYPERLINK("https://www.ebi.ac.uk/QuickGO/GTerm?id=GO:0051240","GO:0051240 positive regulation of multicellular organismal process")</f>
        <v>GO:0051240 positive regulation of multicellular organismal process</v>
      </c>
      <c r="E639" s="1" t="s">
        <v>2</v>
      </c>
      <c r="F639" s="1" t="s">
        <v>621</v>
      </c>
      <c r="G639" s="8"/>
    </row>
    <row r="640" spans="1:7" ht="24.75" customHeight="1" x14ac:dyDescent="0.2">
      <c r="A640" s="6">
        <v>670</v>
      </c>
      <c r="B640" s="7" t="str">
        <f>HYPERLINK("https://www.ebi.ac.uk/QuickGO/GTerm?id=GO:0015144","GO:0015144 carbohydrate transmembrane transporter activity")</f>
        <v>GO:0015144 carbohydrate transmembrane transporter activity</v>
      </c>
      <c r="C640" s="1" t="s">
        <v>4</v>
      </c>
      <c r="D640" s="7" t="str">
        <f>HYPERLINK("https://www.ebi.ac.uk/QuickGO/GTerm?id=GO:0052575","GO:0052575 carbohydrate localization")</f>
        <v>GO:0052575 carbohydrate localization</v>
      </c>
      <c r="E640" s="1" t="s">
        <v>2</v>
      </c>
      <c r="F640" s="1" t="s">
        <v>622</v>
      </c>
      <c r="G640" s="8"/>
    </row>
    <row r="641" spans="1:7" ht="24.75" customHeight="1" x14ac:dyDescent="0.2">
      <c r="A641" s="6">
        <v>671</v>
      </c>
      <c r="B641" s="7" t="str">
        <f>HYPERLINK("https://www.ebi.ac.uk/QuickGO/GTerm?id=GO:0070393","GO:0070393 teichoic acid catabolic process")</f>
        <v>GO:0070393 teichoic acid catabolic process</v>
      </c>
      <c r="C641" s="1" t="s">
        <v>1</v>
      </c>
      <c r="D641" s="7" t="str">
        <f>HYPERLINK("https://www.ebi.ac.uk/QuickGO/GTerm?id=GO:0016998","GO:0016998 cell wall macromolecule catabolic process")</f>
        <v>GO:0016998 cell wall macromolecule catabolic process</v>
      </c>
      <c r="E641" s="1" t="s">
        <v>2</v>
      </c>
      <c r="F641" s="1" t="s">
        <v>623</v>
      </c>
      <c r="G641" s="8"/>
    </row>
    <row r="642" spans="1:7" ht="24.75" customHeight="1" x14ac:dyDescent="0.2">
      <c r="A642" s="6">
        <v>672</v>
      </c>
      <c r="B642" s="7" t="str">
        <f>HYPERLINK("https://www.ebi.ac.uk/QuickGO/GTerm?id=GO:0046402","GO:0046402 O antigen metabolic process")</f>
        <v>GO:0046402 O antigen metabolic process</v>
      </c>
      <c r="C642" s="1" t="s">
        <v>4</v>
      </c>
      <c r="D642" s="7" t="str">
        <f>HYPERLINK("https://www.ebi.ac.uk/QuickGO/GTerm?id=GO:0008653","GO:0008653 lipopolysaccharide metabolic process")</f>
        <v>GO:0008653 lipopolysaccharide metabolic process</v>
      </c>
      <c r="E642" s="1" t="s">
        <v>2</v>
      </c>
      <c r="F642" s="1" t="s">
        <v>624</v>
      </c>
      <c r="G642" s="8"/>
    </row>
    <row r="643" spans="1:7" ht="24.75" customHeight="1" x14ac:dyDescent="0.2">
      <c r="A643" s="6">
        <v>673</v>
      </c>
      <c r="B643" s="7" t="str">
        <f>HYPERLINK("https://www.ebi.ac.uk/QuickGO/GTerm?id=GO:0090171","GO:0090171 chondrocyte morphogenesis")</f>
        <v>GO:0090171 chondrocyte morphogenesis</v>
      </c>
      <c r="C643" s="1" t="s">
        <v>4</v>
      </c>
      <c r="D643" s="7" t="str">
        <f>HYPERLINK("https://www.ebi.ac.uk/QuickGO/GTerm?id=GO:0060536","GO:0060536 cartilage morphogenesis")</f>
        <v>GO:0060536 cartilage morphogenesis</v>
      </c>
      <c r="E643" s="1" t="s">
        <v>2</v>
      </c>
      <c r="F643" s="1" t="s">
        <v>625</v>
      </c>
      <c r="G643" s="8"/>
    </row>
    <row r="644" spans="1:7" ht="24.75" customHeight="1" x14ac:dyDescent="0.2">
      <c r="A644" s="6">
        <v>674</v>
      </c>
      <c r="B644" s="7" t="str">
        <f>HYPERLINK("https://www.ebi.ac.uk/QuickGO/GTerm?id=GO:0039004","GO:0039004 specification of pronephric proximal tubule identity")</f>
        <v>GO:0039004 specification of pronephric proximal tubule identity</v>
      </c>
      <c r="C644" s="1" t="s">
        <v>4</v>
      </c>
      <c r="D644" s="7" t="str">
        <f>HYPERLINK("https://www.ebi.ac.uk/QuickGO/GTerm?id=GO:0039006","GO:0039006 pronephric nephron tubule formation")</f>
        <v>GO:0039006 pronephric nephron tubule formation</v>
      </c>
      <c r="E644" s="1" t="s">
        <v>2</v>
      </c>
      <c r="F644" s="1" t="s">
        <v>626</v>
      </c>
      <c r="G644" s="8"/>
    </row>
    <row r="645" spans="1:7" ht="24.75" customHeight="1" x14ac:dyDescent="0.2">
      <c r="A645" s="6">
        <v>675</v>
      </c>
      <c r="B645" s="7" t="str">
        <f>HYPERLINK("https://www.ebi.ac.uk/QuickGO/GTerm?id=GO:0018277","GO:0018277 protein deamination")</f>
        <v>GO:0018277 protein deamination</v>
      </c>
      <c r="C645" s="1" t="s">
        <v>1</v>
      </c>
      <c r="D645" s="7" t="str">
        <f>HYPERLINK("https://www.ebi.ac.uk/QuickGO/GTerm?id=GO:0030163","GO:0030163 protein catabolic process")</f>
        <v>GO:0030163 protein catabolic process</v>
      </c>
      <c r="E645" s="1" t="s">
        <v>2</v>
      </c>
      <c r="F645" s="1" t="s">
        <v>627</v>
      </c>
      <c r="G645" s="8"/>
    </row>
    <row r="646" spans="1:7" ht="24.75" customHeight="1" x14ac:dyDescent="0.2">
      <c r="A646" s="6">
        <v>676</v>
      </c>
      <c r="B646" s="7" t="str">
        <f>HYPERLINK("https://www.ebi.ac.uk/QuickGO/GTerm?id=GO:0030573","GO:0030573 bile acid catabolic process")</f>
        <v>GO:0030573 bile acid catabolic process</v>
      </c>
      <c r="C646" s="1" t="s">
        <v>1</v>
      </c>
      <c r="D646" s="7" t="str">
        <f>HYPERLINK("https://www.ebi.ac.uk/QuickGO/GTerm?id=GO:1901616","GO:1901616 organic hydroxy compound catabolic process")</f>
        <v>GO:1901616 organic hydroxy compound catabolic process</v>
      </c>
      <c r="E646" s="1" t="s">
        <v>2</v>
      </c>
      <c r="F646" s="1" t="s">
        <v>628</v>
      </c>
      <c r="G646" s="8"/>
    </row>
    <row r="647" spans="1:7" ht="24.75" customHeight="1" x14ac:dyDescent="0.2">
      <c r="A647" s="6">
        <v>677</v>
      </c>
      <c r="B647" s="7" t="str">
        <f>HYPERLINK("https://www.ebi.ac.uk/QuickGO/GTerm?id=GO:0060034","GO:0060034 notochord cell differentiation")</f>
        <v>GO:0060034 notochord cell differentiation</v>
      </c>
      <c r="C647" s="1" t="s">
        <v>4</v>
      </c>
      <c r="D647" s="7" t="str">
        <f>HYPERLINK("https://www.ebi.ac.uk/QuickGO/GTerm?id=GO:0014028","GO:0014028 notochord formation")</f>
        <v>GO:0014028 notochord formation</v>
      </c>
      <c r="E647" s="1" t="s">
        <v>2</v>
      </c>
      <c r="F647" s="1" t="s">
        <v>629</v>
      </c>
      <c r="G647" s="8"/>
    </row>
    <row r="648" spans="1:7" ht="24.75" customHeight="1" x14ac:dyDescent="0.2">
      <c r="A648" s="6">
        <v>679</v>
      </c>
      <c r="B648" s="7" t="str">
        <f>HYPERLINK("https://www.ebi.ac.uk/QuickGO/GTerm?id=GO:1901934","GO:1901934 bicyclogermacrene biosynthetic process")</f>
        <v>GO:1901934 bicyclogermacrene biosynthetic process</v>
      </c>
      <c r="C648" s="1" t="s">
        <v>1</v>
      </c>
      <c r="D648" s="7" t="str">
        <f>HYPERLINK("https://www.ebi.ac.uk/QuickGO/GTerm?id=GO:0097384","GO:0097384 cellular lipid biosynthetic process")</f>
        <v>GO:0097384 cellular lipid biosynthetic process</v>
      </c>
      <c r="E648" s="1" t="s">
        <v>2</v>
      </c>
      <c r="F648" s="1" t="s">
        <v>630</v>
      </c>
      <c r="G648" s="8"/>
    </row>
    <row r="649" spans="1:7" ht="24.75" customHeight="1" x14ac:dyDescent="0.2">
      <c r="A649" s="6">
        <v>680</v>
      </c>
      <c r="B649" s="7" t="str">
        <f>HYPERLINK("https://www.ebi.ac.uk/QuickGO/GTerm?id=GO:0001568","GO:0001568 blood vessel development")</f>
        <v>GO:0001568 blood vessel development</v>
      </c>
      <c r="C649" s="1" t="s">
        <v>1</v>
      </c>
      <c r="D649" s="7" t="str">
        <f>HYPERLINK("https://www.ebi.ac.uk/QuickGO/GTerm?id=GO:0035295","GO:0035295 tube development")</f>
        <v>GO:0035295 tube development</v>
      </c>
      <c r="E649" s="1" t="s">
        <v>2</v>
      </c>
      <c r="F649" s="1" t="s">
        <v>631</v>
      </c>
      <c r="G649" s="8"/>
    </row>
    <row r="650" spans="1:7" ht="24.75" customHeight="1" x14ac:dyDescent="0.2">
      <c r="A650" s="6">
        <v>681</v>
      </c>
      <c r="B650" s="7" t="str">
        <f>HYPERLINK("https://www.ebi.ac.uk/QuickGO/GTerm?id=GO:1905911","GO:1905911 positive regulation of dauer entry")</f>
        <v>GO:1905911 positive regulation of dauer entry</v>
      </c>
      <c r="C650" s="1" t="s">
        <v>1</v>
      </c>
      <c r="D650" s="7" t="str">
        <f>HYPERLINK("https://www.ebi.ac.uk/QuickGO/GTerm?id=GO:0061063","GO:0061063 positive regulation of nematode larval development")</f>
        <v>GO:0061063 positive regulation of nematode larval development</v>
      </c>
      <c r="E650" s="1" t="s">
        <v>2</v>
      </c>
      <c r="F650" s="1" t="s">
        <v>632</v>
      </c>
      <c r="G650" s="8"/>
    </row>
    <row r="651" spans="1:7" ht="24.75" customHeight="1" x14ac:dyDescent="0.2">
      <c r="A651" s="6">
        <v>682</v>
      </c>
      <c r="B651" s="7" t="str">
        <f>HYPERLINK("https://www.ebi.ac.uk/QuickGO/GTerm?id=GO:0052546","GO:0052546 cell wall pectin metabolic process")</f>
        <v>GO:0052546 cell wall pectin metabolic process</v>
      </c>
      <c r="C651" s="1" t="s">
        <v>1</v>
      </c>
      <c r="D651" s="7" t="str">
        <f>HYPERLINK("https://www.ebi.ac.uk/QuickGO/GTerm?id=GO:0010383","GO:0010383 cell wall polysaccharide metabolic process")</f>
        <v>GO:0010383 cell wall polysaccharide metabolic process</v>
      </c>
      <c r="E651" s="1" t="s">
        <v>2</v>
      </c>
      <c r="F651" s="1" t="s">
        <v>633</v>
      </c>
      <c r="G651" s="8"/>
    </row>
    <row r="652" spans="1:7" ht="24.75" customHeight="1" x14ac:dyDescent="0.2">
      <c r="A652" s="6">
        <v>683</v>
      </c>
      <c r="B652" s="7" t="str">
        <f>HYPERLINK("https://www.ebi.ac.uk/QuickGO/GTerm?id=GO:0030716","GO:0030716 oocyte fate determination")</f>
        <v>GO:0030716 oocyte fate determination</v>
      </c>
      <c r="C652" s="1" t="s">
        <v>4</v>
      </c>
      <c r="D652" s="7" t="str">
        <f>HYPERLINK("https://www.ebi.ac.uk/QuickGO/GTerm?id=GO:0009994","GO:0009994 oocyte differentiation")</f>
        <v>GO:0009994 oocyte differentiation</v>
      </c>
      <c r="E652" s="1" t="s">
        <v>2</v>
      </c>
      <c r="F652" s="1" t="s">
        <v>634</v>
      </c>
      <c r="G652" s="8"/>
    </row>
    <row r="653" spans="1:7" ht="24.75" customHeight="1" x14ac:dyDescent="0.2">
      <c r="A653" s="6">
        <v>684</v>
      </c>
      <c r="B653" s="7" t="str">
        <f>HYPERLINK("https://www.ebi.ac.uk/QuickGO/GTerm?id=GO:0060727","GO:0060727 positive regulation of coreceptor activity involved in epidermal growth factor receptor signaling pathway")</f>
        <v>GO:0060727 positive regulation of coreceptor activity involved in epidermal growth factor receptor signaling pathway</v>
      </c>
      <c r="C653" s="1" t="s">
        <v>1</v>
      </c>
      <c r="D653" s="7" t="str">
        <f>HYPERLINK("https://www.ebi.ac.uk/QuickGO/GTerm?id=GO:0048522","GO:0048522 positive regulation of cellular process")</f>
        <v>GO:0048522 positive regulation of cellular process</v>
      </c>
      <c r="E653" s="1" t="s">
        <v>2</v>
      </c>
      <c r="F653" s="1" t="s">
        <v>635</v>
      </c>
      <c r="G653" s="8"/>
    </row>
    <row r="654" spans="1:7" ht="24.75" customHeight="1" x14ac:dyDescent="0.2">
      <c r="A654" s="6">
        <v>685</v>
      </c>
      <c r="B654" s="7" t="str">
        <f>HYPERLINK("https://www.ebi.ac.uk/QuickGO/GTerm?id=GO:1901114","GO:1901114 erythromycin catabolic process")</f>
        <v>GO:1901114 erythromycin catabolic process</v>
      </c>
      <c r="C654" s="1" t="s">
        <v>1</v>
      </c>
      <c r="D654" s="7" t="str">
        <f>HYPERLINK("https://www.ebi.ac.uk/QuickGO/GTerm?id=GO:0017001","GO:0017001 antibiotic catabolic process")</f>
        <v>GO:0017001 antibiotic catabolic process</v>
      </c>
      <c r="E654" s="1" t="s">
        <v>2</v>
      </c>
      <c r="F654" s="1" t="s">
        <v>636</v>
      </c>
      <c r="G654" s="8"/>
    </row>
    <row r="655" spans="1:7" ht="24.75" customHeight="1" x14ac:dyDescent="0.2">
      <c r="A655" s="6">
        <v>686</v>
      </c>
      <c r="B655" s="7" t="str">
        <f>HYPERLINK("https://www.ebi.ac.uk/QuickGO/GTerm?id=GO:0046400","GO:0046400 keto-3-deoxy-D-manno-octulosonic acid metabolic process")</f>
        <v>GO:0046400 keto-3-deoxy-D-manno-octulosonic acid metabolic process</v>
      </c>
      <c r="C655" s="1" t="s">
        <v>4</v>
      </c>
      <c r="D655" s="7" t="str">
        <f>HYPERLINK("https://www.ebi.ac.uk/QuickGO/GTerm?id=GO:0008653","GO:0008653 lipopolysaccharide metabolic process")</f>
        <v>GO:0008653 lipopolysaccharide metabolic process</v>
      </c>
      <c r="E655" s="1" t="s">
        <v>2</v>
      </c>
      <c r="F655" s="1" t="s">
        <v>637</v>
      </c>
      <c r="G655" s="8"/>
    </row>
    <row r="656" spans="1:7" ht="24.75" customHeight="1" x14ac:dyDescent="0.2">
      <c r="A656" s="6">
        <v>687</v>
      </c>
      <c r="B656" s="7" t="str">
        <f>HYPERLINK("https://www.ebi.ac.uk/QuickGO/GTerm?id=GO:0015994","GO:0015994 chlorophyll metabolic process")</f>
        <v>GO:0015994 chlorophyll metabolic process</v>
      </c>
      <c r="C656" s="1" t="s">
        <v>1</v>
      </c>
      <c r="D656" s="7" t="str">
        <f>HYPERLINK("https://www.ebi.ac.uk/QuickGO/GTerm?id=GO:0042440","GO:0042440 pigment metabolic process")</f>
        <v>GO:0042440 pigment metabolic process</v>
      </c>
      <c r="E656" s="1" t="s">
        <v>2</v>
      </c>
      <c r="F656" s="1" t="s">
        <v>638</v>
      </c>
      <c r="G656" s="8"/>
    </row>
    <row r="657" spans="1:7" ht="24.75" customHeight="1" x14ac:dyDescent="0.2">
      <c r="A657" s="6">
        <v>689</v>
      </c>
      <c r="B657" s="7" t="str">
        <f>HYPERLINK("https://www.ebi.ac.uk/QuickGO/GTerm?id=GO:1904840","GO:1904840 positive regulation of male germ-line stem cell asymmetric division")</f>
        <v>GO:1904840 positive regulation of male germ-line stem cell asymmetric division</v>
      </c>
      <c r="C657" s="1" t="s">
        <v>1</v>
      </c>
      <c r="D657" s="7" t="str">
        <f>HYPERLINK("https://www.ebi.ac.uk/QuickGO/GTerm?id=GO:0051094","GO:0051094 positive regulation of developmental process")</f>
        <v>GO:0051094 positive regulation of developmental process</v>
      </c>
      <c r="E657" s="1" t="s">
        <v>2</v>
      </c>
      <c r="F657" s="1" t="s">
        <v>639</v>
      </c>
      <c r="G657" s="8"/>
    </row>
    <row r="658" spans="1:7" ht="24.75" customHeight="1" x14ac:dyDescent="0.2">
      <c r="A658" s="6">
        <v>690</v>
      </c>
      <c r="B658" s="7" t="str">
        <f>HYPERLINK("https://www.ebi.ac.uk/QuickGO/GTerm?id=GO:0043289","GO:0043289 apocarotenoid biosynthetic process")</f>
        <v>GO:0043289 apocarotenoid biosynthetic process</v>
      </c>
      <c r="C658" s="1" t="s">
        <v>1</v>
      </c>
      <c r="D658" s="7" t="str">
        <f>HYPERLINK("https://www.ebi.ac.uk/QuickGO/GTerm?id=GO:0097384","GO:0097384 cellular lipid biosynthetic process")</f>
        <v>GO:0097384 cellular lipid biosynthetic process</v>
      </c>
      <c r="E658" s="1" t="s">
        <v>2</v>
      </c>
      <c r="F658" s="1" t="s">
        <v>640</v>
      </c>
      <c r="G658" s="8"/>
    </row>
    <row r="659" spans="1:7" ht="24.75" customHeight="1" x14ac:dyDescent="0.2">
      <c r="A659" s="6">
        <v>691</v>
      </c>
      <c r="B659" s="7" t="str">
        <f>HYPERLINK("https://www.ebi.ac.uk/QuickGO/GTerm?id=GO:0098530","GO:0098530 positive regulation of strand invasion")</f>
        <v>GO:0098530 positive regulation of strand invasion</v>
      </c>
      <c r="C659" s="1" t="s">
        <v>1</v>
      </c>
      <c r="D659" s="7" t="str">
        <f>HYPERLINK("https://www.ebi.ac.uk/QuickGO/GTerm?id=GO:0045911","GO:0045911 positive regulation of DNA recombination")</f>
        <v>GO:0045911 positive regulation of DNA recombination</v>
      </c>
      <c r="E659" s="1" t="s">
        <v>2</v>
      </c>
      <c r="F659" s="1" t="s">
        <v>641</v>
      </c>
      <c r="G659" s="8"/>
    </row>
    <row r="660" spans="1:7" ht="24.75" customHeight="1" x14ac:dyDescent="0.2">
      <c r="A660" s="6">
        <v>692</v>
      </c>
      <c r="B660" s="7" t="str">
        <f>HYPERLINK("https://www.ebi.ac.uk/QuickGO/GTerm?id=GO:1900994","GO:1900994 (-)-secologanin biosynthetic process")</f>
        <v>GO:1900994 (-)-secologanin biosynthetic process</v>
      </c>
      <c r="C660" s="1" t="s">
        <v>1</v>
      </c>
      <c r="D660" s="7" t="str">
        <f>HYPERLINK("https://www.ebi.ac.uk/QuickGO/GTerm?id=GO:0097384","GO:0097384 cellular lipid biosynthetic process")</f>
        <v>GO:0097384 cellular lipid biosynthetic process</v>
      </c>
      <c r="E660" s="1" t="s">
        <v>2</v>
      </c>
      <c r="F660" s="1" t="s">
        <v>642</v>
      </c>
      <c r="G660" s="8"/>
    </row>
    <row r="661" spans="1:7" ht="24.75" customHeight="1" x14ac:dyDescent="0.2">
      <c r="A661" s="6">
        <v>693</v>
      </c>
      <c r="B661" s="7" t="str">
        <f>HYPERLINK("https://www.ebi.ac.uk/QuickGO/GTerm?id=GO:0003184","GO:0003184 pulmonary valve morphogenesis")</f>
        <v>GO:0003184 pulmonary valve morphogenesis</v>
      </c>
      <c r="C661" s="1" t="s">
        <v>4</v>
      </c>
      <c r="D661" s="7" t="str">
        <f>HYPERLINK("https://www.ebi.ac.uk/QuickGO/GTerm?id=GO:0003007","GO:0003007 heart morphogenesis")</f>
        <v>GO:0003007 heart morphogenesis</v>
      </c>
      <c r="E661" s="1" t="s">
        <v>2</v>
      </c>
      <c r="F661" s="1" t="s">
        <v>643</v>
      </c>
      <c r="G661" s="8"/>
    </row>
    <row r="662" spans="1:7" ht="24.75" customHeight="1" x14ac:dyDescent="0.2">
      <c r="A662" s="6">
        <v>694</v>
      </c>
      <c r="B662" s="7" t="str">
        <f>HYPERLINK("https://www.ebi.ac.uk/QuickGO/GTerm?id=GO:0098781","GO:0098781 ncRNA transcription")</f>
        <v>GO:0098781 ncRNA transcription</v>
      </c>
      <c r="C662" s="1" t="s">
        <v>1</v>
      </c>
      <c r="D662" s="7" t="str">
        <f>HYPERLINK("https://www.ebi.ac.uk/QuickGO/GTerm?id=GO:0034660","GO:0034660 ncRNA metabolic process")</f>
        <v>GO:0034660 ncRNA metabolic process</v>
      </c>
      <c r="E662" s="1" t="s">
        <v>2</v>
      </c>
      <c r="F662" s="1" t="s">
        <v>644</v>
      </c>
      <c r="G662" s="8"/>
    </row>
    <row r="663" spans="1:7" ht="24.75" customHeight="1" x14ac:dyDescent="0.2">
      <c r="A663" s="6">
        <v>695</v>
      </c>
      <c r="B663" s="7" t="str">
        <f>HYPERLINK("https://www.ebi.ac.uk/QuickGO/GTerm?id=GO:0009237","GO:0009237 siderophore metabolic process")</f>
        <v>GO:0009237 siderophore metabolic process</v>
      </c>
      <c r="C663" s="1" t="s">
        <v>1</v>
      </c>
      <c r="D663" s="7" t="str">
        <f>HYPERLINK("https://www.ebi.ac.uk/QuickGO/GTerm?id=GO:0006518","GO:0006518 peptide metabolic process")</f>
        <v>GO:0006518 peptide metabolic process</v>
      </c>
      <c r="E663" s="1" t="s">
        <v>2</v>
      </c>
      <c r="F663" s="1" t="s">
        <v>423</v>
      </c>
      <c r="G663" s="8"/>
    </row>
    <row r="664" spans="1:7" ht="24.75" customHeight="1" x14ac:dyDescent="0.2">
      <c r="A664" s="6">
        <v>696</v>
      </c>
      <c r="B664" s="7" t="str">
        <f>HYPERLINK("https://www.ebi.ac.uk/QuickGO/GTerm?id=GO:1903238","GO:1903238 positive regulation of leukocyte tethering or rolling")</f>
        <v>GO:1903238 positive regulation of leukocyte tethering or rolling</v>
      </c>
      <c r="C664" s="1" t="s">
        <v>1</v>
      </c>
      <c r="D664" s="7" t="str">
        <f>HYPERLINK("https://www.ebi.ac.uk/QuickGO/GTerm?id=GO:0002693","GO:0002693 positive regulation of cellular extravasation")</f>
        <v>GO:0002693 positive regulation of cellular extravasation</v>
      </c>
      <c r="E664" s="1" t="s">
        <v>2</v>
      </c>
      <c r="F664" s="1" t="s">
        <v>645</v>
      </c>
      <c r="G664" s="8"/>
    </row>
    <row r="665" spans="1:7" ht="24.75" customHeight="1" x14ac:dyDescent="0.2">
      <c r="A665" s="6">
        <v>697</v>
      </c>
      <c r="B665" s="7" t="str">
        <f>HYPERLINK("https://www.ebi.ac.uk/QuickGO/GTerm?id=GO:0051608","GO:0051608 histamine transport")</f>
        <v>GO:0051608 histamine transport</v>
      </c>
      <c r="C665" s="1" t="s">
        <v>1</v>
      </c>
      <c r="D665" s="7" t="str">
        <f>HYPERLINK("https://www.ebi.ac.uk/QuickGO/GTerm?id=GO:0006836","GO:0006836 neurotransmitter transport")</f>
        <v>GO:0006836 neurotransmitter transport</v>
      </c>
      <c r="E665" s="1" t="s">
        <v>2</v>
      </c>
      <c r="F665" s="1" t="s">
        <v>646</v>
      </c>
      <c r="G665" s="8"/>
    </row>
    <row r="666" spans="1:7" ht="24.75" customHeight="1" x14ac:dyDescent="0.2">
      <c r="A666" s="6">
        <v>698</v>
      </c>
      <c r="B666" s="7" t="str">
        <f>HYPERLINK("https://www.ebi.ac.uk/QuickGO/GTerm?id=GO:0045874","GO:0045874 positive regulation of sevenless signaling pathway")</f>
        <v>GO:0045874 positive regulation of sevenless signaling pathway</v>
      </c>
      <c r="C666" s="1" t="s">
        <v>1</v>
      </c>
      <c r="D666" s="7" t="str">
        <f>HYPERLINK("https://www.ebi.ac.uk/QuickGO/GTerm?id=GO:0010455","GO:0010455 positive regulation of cell fate commitment")</f>
        <v>GO:0010455 positive regulation of cell fate commitment</v>
      </c>
      <c r="E666" s="1" t="s">
        <v>2</v>
      </c>
      <c r="F666" s="1" t="s">
        <v>647</v>
      </c>
      <c r="G666" s="8"/>
    </row>
    <row r="667" spans="1:7" ht="24.75" customHeight="1" x14ac:dyDescent="0.2">
      <c r="A667" s="6">
        <v>699</v>
      </c>
      <c r="B667" s="7" t="str">
        <f>HYPERLINK("https://www.ebi.ac.uk/QuickGO/GTerm?id=GO:2000488","GO:2000488 positive regulation of brassinosteroid biosynthetic process")</f>
        <v>GO:2000488 positive regulation of brassinosteroid biosynthetic process</v>
      </c>
      <c r="C667" s="1" t="s">
        <v>1</v>
      </c>
      <c r="D667" s="7" t="str">
        <f>HYPERLINK("https://www.ebi.ac.uk/QuickGO/GTerm?id=GO:0090031","GO:0090031 positive regulation of steroid hormone biosynthetic process")</f>
        <v>GO:0090031 positive regulation of steroid hormone biosynthetic process</v>
      </c>
      <c r="E667" s="1" t="s">
        <v>2</v>
      </c>
      <c r="F667" s="1" t="s">
        <v>648</v>
      </c>
      <c r="G667" s="8"/>
    </row>
    <row r="668" spans="1:7" ht="24.75" customHeight="1" x14ac:dyDescent="0.2">
      <c r="A668" s="6">
        <v>700</v>
      </c>
      <c r="B668" s="7" t="str">
        <f>HYPERLINK("https://www.ebi.ac.uk/QuickGO/GTerm?id=GO:0032980","GO:0032980 keratinocyte activation")</f>
        <v>GO:0032980 keratinocyte activation</v>
      </c>
      <c r="C668" s="1" t="s">
        <v>4</v>
      </c>
      <c r="D668" s="7" t="str">
        <f>HYPERLINK("https://www.ebi.ac.uk/QuickGO/GTerm?id=GO:0003334","GO:0003334 keratinocyte development")</f>
        <v>GO:0003334 keratinocyte development</v>
      </c>
      <c r="E668" s="1" t="s">
        <v>2</v>
      </c>
      <c r="F668" s="1" t="s">
        <v>649</v>
      </c>
      <c r="G668" s="8"/>
    </row>
    <row r="669" spans="1:7" ht="24.75" customHeight="1" x14ac:dyDescent="0.2">
      <c r="A669" s="6">
        <v>701</v>
      </c>
      <c r="B669" s="7" t="str">
        <f>HYPERLINK("https://www.ebi.ac.uk/QuickGO/GTerm?id=GO:0046412","GO:0046412 phenylmercury acetate metabolic process")</f>
        <v>GO:0046412 phenylmercury acetate metabolic process</v>
      </c>
      <c r="C669" s="1" t="s">
        <v>1</v>
      </c>
      <c r="D669" s="7" t="str">
        <f>HYPERLINK("https://www.ebi.ac.uk/QuickGO/GTerm?id=GO:0006805","GO:0006805 xenobiotic metabolic process")</f>
        <v>GO:0006805 xenobiotic metabolic process</v>
      </c>
      <c r="E669" s="1" t="s">
        <v>2</v>
      </c>
      <c r="F669" s="1" t="s">
        <v>650</v>
      </c>
      <c r="G669" s="8"/>
    </row>
    <row r="670" spans="1:7" ht="24.75" customHeight="1" x14ac:dyDescent="0.2">
      <c r="A670" s="6">
        <v>702</v>
      </c>
      <c r="B670" s="7" t="str">
        <f>HYPERLINK("https://www.ebi.ac.uk/QuickGO/GTerm?id=GO:0006711","GO:0006711 estrogen catabolic process")</f>
        <v>GO:0006711 estrogen catabolic process</v>
      </c>
      <c r="C670" s="1" t="s">
        <v>1</v>
      </c>
      <c r="D670" s="7" t="str">
        <f>HYPERLINK("https://www.ebi.ac.uk/QuickGO/GTerm?id=GO:0044248","GO:0044248 cellular catabolic process")</f>
        <v>GO:0044248 cellular catabolic process</v>
      </c>
      <c r="E670" s="1" t="s">
        <v>2</v>
      </c>
      <c r="F670" s="1" t="s">
        <v>651</v>
      </c>
      <c r="G670" s="8"/>
    </row>
    <row r="671" spans="1:7" ht="24.75" customHeight="1" x14ac:dyDescent="0.2">
      <c r="A671" s="6">
        <v>703</v>
      </c>
      <c r="B671" s="7" t="str">
        <f>HYPERLINK("https://www.ebi.ac.uk/QuickGO/GTerm?id=GO:0018970","GO:0018970 toluene metabolic process")</f>
        <v>GO:0018970 toluene metabolic process</v>
      </c>
      <c r="C671" s="1" t="s">
        <v>1</v>
      </c>
      <c r="D671" s="7" t="str">
        <f>HYPERLINK("https://www.ebi.ac.uk/QuickGO/GTerm?id=GO:0006805","GO:0006805 xenobiotic metabolic process")</f>
        <v>GO:0006805 xenobiotic metabolic process</v>
      </c>
      <c r="E671" s="1" t="s">
        <v>2</v>
      </c>
      <c r="F671" s="1" t="s">
        <v>652</v>
      </c>
      <c r="G671" s="8"/>
    </row>
    <row r="672" spans="1:7" ht="24.75" customHeight="1" x14ac:dyDescent="0.2">
      <c r="A672" s="6">
        <v>704</v>
      </c>
      <c r="B672" s="7" t="str">
        <f>HYPERLINK("https://www.ebi.ac.uk/QuickGO/GTerm?id=GO:0035914","GO:0035914 skeletal muscle cell differentiation")</f>
        <v>GO:0035914 skeletal muscle cell differentiation</v>
      </c>
      <c r="C672" s="1" t="s">
        <v>1</v>
      </c>
      <c r="D672" s="7" t="str">
        <f>HYPERLINK("https://www.ebi.ac.uk/QuickGO/GTerm?id=GO:0051146","GO:0051146 striated muscle cell differentiation")</f>
        <v>GO:0051146 striated muscle cell differentiation</v>
      </c>
      <c r="E672" s="1" t="s">
        <v>2</v>
      </c>
      <c r="F672" s="1" t="s">
        <v>653</v>
      </c>
      <c r="G672" s="8"/>
    </row>
    <row r="673" spans="1:7" ht="24.75" customHeight="1" x14ac:dyDescent="0.2">
      <c r="A673" s="6">
        <v>705</v>
      </c>
      <c r="B673" s="7" t="str">
        <f>HYPERLINK("https://www.ebi.ac.uk/QuickGO/GTerm?id=GO:0097114","GO:0097114 NMDA glutamate receptor clustering")</f>
        <v>GO:0097114 NMDA glutamate receptor clustering</v>
      </c>
      <c r="C673" s="1" t="s">
        <v>1</v>
      </c>
      <c r="D673" s="7" t="str">
        <f>HYPERLINK("https://www.ebi.ac.uk/QuickGO/GTerm?id=GO:0097688","GO:0097688 glutamate receptor clustering")</f>
        <v>GO:0097688 glutamate receptor clustering</v>
      </c>
      <c r="E673" s="1" t="s">
        <v>2</v>
      </c>
      <c r="F673" s="1" t="s">
        <v>654</v>
      </c>
      <c r="G673" s="8"/>
    </row>
    <row r="674" spans="1:7" ht="24.75" customHeight="1" x14ac:dyDescent="0.2">
      <c r="A674" s="6">
        <v>706</v>
      </c>
      <c r="B674" s="7" t="str">
        <f>HYPERLINK("https://www.ebi.ac.uk/QuickGO/GTerm?id=GO:0046250","GO:0046250 limonene biosynthetic process")</f>
        <v>GO:0046250 limonene biosynthetic process</v>
      </c>
      <c r="C674" s="1" t="s">
        <v>1</v>
      </c>
      <c r="D674" s="7" t="str">
        <f>HYPERLINK("https://www.ebi.ac.uk/QuickGO/GTerm?id=GO:0097384","GO:0097384 cellular lipid biosynthetic process")</f>
        <v>GO:0097384 cellular lipid biosynthetic process</v>
      </c>
      <c r="E674" s="1" t="s">
        <v>2</v>
      </c>
      <c r="F674" s="1" t="s">
        <v>655</v>
      </c>
      <c r="G674" s="8"/>
    </row>
    <row r="675" spans="1:7" ht="24.75" customHeight="1" x14ac:dyDescent="0.2">
      <c r="A675" s="6">
        <v>707</v>
      </c>
      <c r="B675" s="7" t="str">
        <f>HYPERLINK("https://www.ebi.ac.uk/QuickGO/GTerm?id=GO:1903580","GO:1903580 positive regulation of ATP metabolic process")</f>
        <v>GO:1903580 positive regulation of ATP metabolic process</v>
      </c>
      <c r="C675" s="1" t="s">
        <v>1</v>
      </c>
      <c r="D675" s="7" t="str">
        <f>HYPERLINK("https://www.ebi.ac.uk/QuickGO/GTerm?id=GO:0045981","GO:0045981 positive regulation of nucleotide metabolic process")</f>
        <v>GO:0045981 positive regulation of nucleotide metabolic process</v>
      </c>
      <c r="E675" s="1" t="s">
        <v>2</v>
      </c>
      <c r="F675" s="1" t="s">
        <v>656</v>
      </c>
      <c r="G675" s="8"/>
    </row>
    <row r="676" spans="1:7" ht="24.75" customHeight="1" x14ac:dyDescent="0.2">
      <c r="A676" s="6">
        <v>708</v>
      </c>
      <c r="B676" s="7" t="str">
        <f>HYPERLINK("https://www.ebi.ac.uk/QuickGO/GTerm?id=GO:1905373","GO:1905373 ceramide phosphoethanolamine biosynthetic process")</f>
        <v>GO:1905373 ceramide phosphoethanolamine biosynthetic process</v>
      </c>
      <c r="C676" s="1" t="s">
        <v>1</v>
      </c>
      <c r="D676" s="7" t="str">
        <f>HYPERLINK("https://www.ebi.ac.uk/QuickGO/GTerm?id=GO:0097384","GO:0097384 cellular lipid biosynthetic process")</f>
        <v>GO:0097384 cellular lipid biosynthetic process</v>
      </c>
      <c r="E676" s="1" t="s">
        <v>2</v>
      </c>
      <c r="F676" s="1" t="s">
        <v>657</v>
      </c>
      <c r="G676" s="8"/>
    </row>
    <row r="677" spans="1:7" ht="24.75" customHeight="1" x14ac:dyDescent="0.2">
      <c r="A677" s="6">
        <v>709</v>
      </c>
      <c r="B677" s="7" t="str">
        <f>HYPERLINK("https://www.ebi.ac.uk/QuickGO/GTerm?id=GO:0099634","GO:0099634 postsynaptic specialization membrane")</f>
        <v>GO:0099634 postsynaptic specialization membrane</v>
      </c>
      <c r="C677" s="1" t="s">
        <v>1</v>
      </c>
      <c r="D677" s="7" t="str">
        <f>HYPERLINK("https://www.ebi.ac.uk/QuickGO/GTerm?id=GO:0031090","GO:0031090 organelle membrane")</f>
        <v>GO:0031090 organelle membrane</v>
      </c>
      <c r="E677" s="1" t="s">
        <v>2</v>
      </c>
      <c r="F677" s="1" t="s">
        <v>658</v>
      </c>
      <c r="G677" s="8"/>
    </row>
    <row r="678" spans="1:7" ht="24.75" customHeight="1" x14ac:dyDescent="0.2">
      <c r="A678" s="6">
        <v>710</v>
      </c>
      <c r="B678" s="7" t="str">
        <f>HYPERLINK("https://www.ebi.ac.uk/QuickGO/GTerm?id=GO:0048185","GO:0048185 activin binding")</f>
        <v>GO:0048185 activin binding</v>
      </c>
      <c r="C678" s="1" t="s">
        <v>1</v>
      </c>
      <c r="D678" s="7" t="str">
        <f>HYPERLINK("https://www.ebi.ac.uk/QuickGO/GTerm?id=GO:0042562","GO:0042562 hormone binding")</f>
        <v>GO:0042562 hormone binding</v>
      </c>
      <c r="E678" s="1" t="s">
        <v>2</v>
      </c>
      <c r="F678" s="1" t="s">
        <v>659</v>
      </c>
      <c r="G678" s="8"/>
    </row>
    <row r="679" spans="1:7" ht="24.75" customHeight="1" x14ac:dyDescent="0.2">
      <c r="A679" s="6">
        <v>711</v>
      </c>
      <c r="B679" s="7" t="str">
        <f>HYPERLINK("https://www.ebi.ac.uk/QuickGO/GTerm?id=GO:0008037","GO:0008037 cell recognition")</f>
        <v>GO:0008037 cell recognition</v>
      </c>
      <c r="C679" s="1" t="s">
        <v>4</v>
      </c>
      <c r="D679" s="7" t="str">
        <f>HYPERLINK("https://www.ebi.ac.uk/QuickGO/GTerm?id=GO:0048468","GO:0048468 cell development")</f>
        <v>GO:0048468 cell development</v>
      </c>
      <c r="E679" s="1" t="s">
        <v>2</v>
      </c>
      <c r="F679" s="1" t="s">
        <v>660</v>
      </c>
      <c r="G679" s="8"/>
    </row>
    <row r="680" spans="1:7" ht="24.75" customHeight="1" x14ac:dyDescent="0.2">
      <c r="A680" s="6">
        <v>712</v>
      </c>
      <c r="B680" s="7" t="str">
        <f>HYPERLINK("https://www.ebi.ac.uk/QuickGO/GTerm?id=GO:1905621","GO:1905621 positive regulation of alpha-(1-&gt;3)-fucosyltransferase activity")</f>
        <v>GO:1905621 positive regulation of alpha-(1-&gt;3)-fucosyltransferase activity</v>
      </c>
      <c r="C680" s="1" t="s">
        <v>1</v>
      </c>
      <c r="D680" s="7" t="str">
        <f>HYPERLINK("https://www.ebi.ac.uk/QuickGO/GTerm?id=GO:0009893","GO:0009893 positive regulation of metabolic process")</f>
        <v>GO:0009893 positive regulation of metabolic process</v>
      </c>
      <c r="E680" s="1" t="s">
        <v>2</v>
      </c>
      <c r="F680" s="1" t="s">
        <v>661</v>
      </c>
      <c r="G680" s="8"/>
    </row>
    <row r="681" spans="1:7" ht="24.75" customHeight="1" x14ac:dyDescent="0.2">
      <c r="A681" s="6">
        <v>713</v>
      </c>
      <c r="B681" s="7" t="str">
        <f>HYPERLINK("https://www.ebi.ac.uk/QuickGO/GTerm?id=GO:0001820","GO:0001820 serotonin secretion")</f>
        <v>GO:0001820 serotonin secretion</v>
      </c>
      <c r="C681" s="1" t="s">
        <v>1</v>
      </c>
      <c r="D681" s="7" t="str">
        <f>HYPERLINK("https://www.ebi.ac.uk/QuickGO/GTerm?id=GO:0007269","GO:0007269 neurotransmitter secretion")</f>
        <v>GO:0007269 neurotransmitter secretion</v>
      </c>
      <c r="E681" s="1" t="s">
        <v>2</v>
      </c>
      <c r="F681" s="1" t="s">
        <v>662</v>
      </c>
      <c r="G681" s="8"/>
    </row>
    <row r="682" spans="1:7" ht="24.75" customHeight="1" x14ac:dyDescent="0.2">
      <c r="A682" s="6">
        <v>714</v>
      </c>
      <c r="B682" s="7" t="str">
        <f>HYPERLINK("https://www.ebi.ac.uk/QuickGO/GTerm?id=GO:0014028","GO:0014028 notochord formation")</f>
        <v>GO:0014028 notochord formation</v>
      </c>
      <c r="C682" s="1" t="s">
        <v>1</v>
      </c>
      <c r="D682" s="7" t="str">
        <f>HYPERLINK("https://www.ebi.ac.uk/QuickGO/GTerm?id=GO:0048645","GO:0048645 animal organ formation")</f>
        <v>GO:0048645 animal organ formation</v>
      </c>
      <c r="E682" s="1" t="s">
        <v>2</v>
      </c>
      <c r="F682" s="1" t="s">
        <v>663</v>
      </c>
      <c r="G682" s="8"/>
    </row>
    <row r="683" spans="1:7" ht="24.75" customHeight="1" x14ac:dyDescent="0.2">
      <c r="A683" s="6">
        <v>715</v>
      </c>
      <c r="B683" s="7" t="str">
        <f>HYPERLINK("https://www.ebi.ac.uk/QuickGO/GTerm?id=GO:0018948","GO:0018948 xylene metabolic process")</f>
        <v>GO:0018948 xylene metabolic process</v>
      </c>
      <c r="C683" s="1" t="s">
        <v>1</v>
      </c>
      <c r="D683" s="7" t="str">
        <f>HYPERLINK("https://www.ebi.ac.uk/QuickGO/GTerm?id=GO:0006805","GO:0006805 xenobiotic metabolic process")</f>
        <v>GO:0006805 xenobiotic metabolic process</v>
      </c>
      <c r="E683" s="1" t="s">
        <v>2</v>
      </c>
      <c r="F683" s="1" t="s">
        <v>664</v>
      </c>
      <c r="G683" s="8"/>
    </row>
    <row r="684" spans="1:7" ht="24.75" customHeight="1" x14ac:dyDescent="0.2">
      <c r="A684" s="6">
        <v>716</v>
      </c>
      <c r="B684" s="7" t="str">
        <f>HYPERLINK("https://www.ebi.ac.uk/QuickGO/GTerm?id=GO:0031367","GO:0031367 N-terminal peptidyl-glutamine deamination")</f>
        <v>GO:0031367 N-terminal peptidyl-glutamine deamination</v>
      </c>
      <c r="C684" s="1" t="s">
        <v>1</v>
      </c>
      <c r="D684" s="7" t="str">
        <f>HYPERLINK("https://www.ebi.ac.uk/QuickGO/GTerm?id=GO:0018199","GO:0018199 peptidyl-glutamine modification")</f>
        <v>GO:0018199 peptidyl-glutamine modification</v>
      </c>
      <c r="E684" s="1" t="s">
        <v>2</v>
      </c>
      <c r="F684" s="1" t="s">
        <v>665</v>
      </c>
      <c r="G684" s="8"/>
    </row>
    <row r="685" spans="1:7" ht="24.75" customHeight="1" x14ac:dyDescent="0.2">
      <c r="A685" s="6">
        <v>717</v>
      </c>
      <c r="B685" s="7" t="str">
        <f>HYPERLINK("https://www.ebi.ac.uk/QuickGO/GTerm?id=GO:0009629","GO:0009629 response to gravity")</f>
        <v>GO:0009629 response to gravity</v>
      </c>
      <c r="C685" s="1" t="s">
        <v>1</v>
      </c>
      <c r="D685" s="7" t="str">
        <f>HYPERLINK("https://www.ebi.ac.uk/QuickGO/GTerm?id=GO:0009605","GO:0009605 response to external stimulus")</f>
        <v>GO:0009605 response to external stimulus</v>
      </c>
      <c r="E685" s="1" t="s">
        <v>2</v>
      </c>
      <c r="F685" s="1" t="s">
        <v>666</v>
      </c>
      <c r="G685" s="8"/>
    </row>
    <row r="686" spans="1:7" ht="24.75" customHeight="1" x14ac:dyDescent="0.2">
      <c r="A686" s="6">
        <v>718</v>
      </c>
      <c r="B686" s="7" t="str">
        <f>HYPERLINK("https://www.ebi.ac.uk/QuickGO/GTerm?id=GO:0060298","GO:0060298 positive regulation of sarcomere organization")</f>
        <v>GO:0060298 positive regulation of sarcomere organization</v>
      </c>
      <c r="C686" s="1" t="s">
        <v>1</v>
      </c>
      <c r="D686" s="7" t="str">
        <f>HYPERLINK("https://www.ebi.ac.uk/QuickGO/GTerm?id=GO:0010720","GO:0010720 positive regulation of cell development")</f>
        <v>GO:0010720 positive regulation of cell development</v>
      </c>
      <c r="E686" s="1" t="s">
        <v>2</v>
      </c>
      <c r="F686" s="1" t="s">
        <v>667</v>
      </c>
      <c r="G686" s="8"/>
    </row>
    <row r="687" spans="1:7" ht="24.75" customHeight="1" x14ac:dyDescent="0.2">
      <c r="A687" s="6">
        <v>719</v>
      </c>
      <c r="B687" s="7" t="str">
        <f>HYPERLINK("https://www.ebi.ac.uk/QuickGO/GTerm?id=GO:1901164","GO:1901164 negative regulation of trophoblast cell migration")</f>
        <v>GO:1901164 negative regulation of trophoblast cell migration</v>
      </c>
      <c r="C687" s="1" t="s">
        <v>1</v>
      </c>
      <c r="D687" s="7" t="str">
        <f>HYPERLINK("https://www.ebi.ac.uk/QuickGO/GTerm?id=GO:0051093","GO:0051093 negative regulation of developmental process")</f>
        <v>GO:0051093 negative regulation of developmental process</v>
      </c>
      <c r="E687" s="1" t="s">
        <v>2</v>
      </c>
      <c r="F687" s="1" t="s">
        <v>668</v>
      </c>
      <c r="G687" s="8"/>
    </row>
    <row r="688" spans="1:7" ht="24.75" customHeight="1" x14ac:dyDescent="0.2">
      <c r="A688" s="6">
        <v>720</v>
      </c>
      <c r="B688" s="7" t="str">
        <f>HYPERLINK("https://www.ebi.ac.uk/QuickGO/GTerm?id=GO:0050992","GO:0050992 dimethylallyl diphosphate biosynthetic process")</f>
        <v>GO:0050992 dimethylallyl diphosphate biosynthetic process</v>
      </c>
      <c r="C688" s="1" t="s">
        <v>1</v>
      </c>
      <c r="D688" s="7" t="str">
        <f>HYPERLINK("https://www.ebi.ac.uk/QuickGO/GTerm?id=GO:0097384","GO:0097384 cellular lipid biosynthetic process")</f>
        <v>GO:0097384 cellular lipid biosynthetic process</v>
      </c>
      <c r="E688" s="1" t="s">
        <v>2</v>
      </c>
      <c r="F688" s="1" t="s">
        <v>669</v>
      </c>
      <c r="G688" s="8"/>
    </row>
    <row r="689" spans="1:7" ht="24.75" customHeight="1" x14ac:dyDescent="0.2">
      <c r="A689" s="6">
        <v>721</v>
      </c>
      <c r="B689" s="7" t="str">
        <f>HYPERLINK("https://www.ebi.ac.uk/QuickGO/GTerm?id=GO:1905599","GO:1905599 positive regulation of low-density lipoprotein receptor activity")</f>
        <v>GO:1905599 positive regulation of low-density lipoprotein receptor activity</v>
      </c>
      <c r="C689" s="1" t="s">
        <v>1</v>
      </c>
      <c r="D689" s="7" t="str">
        <f>HYPERLINK("https://www.ebi.ac.uk/QuickGO/GTerm?id=GO:0048260","GO:0048260 positive regulation of receptor-mediated endocytosis")</f>
        <v>GO:0048260 positive regulation of receptor-mediated endocytosis</v>
      </c>
      <c r="E689" s="1" t="s">
        <v>2</v>
      </c>
      <c r="F689" s="1" t="s">
        <v>670</v>
      </c>
      <c r="G689" s="8"/>
    </row>
    <row r="690" spans="1:7" ht="24.75" customHeight="1" x14ac:dyDescent="0.2">
      <c r="A690" s="6">
        <v>722</v>
      </c>
      <c r="B690" s="7" t="str">
        <f>HYPERLINK("https://www.ebi.ac.uk/QuickGO/GTerm?id=GO:0010853","GO:0010853 cyclase activator activity")</f>
        <v>GO:0010853 cyclase activator activity</v>
      </c>
      <c r="C690" s="1" t="s">
        <v>1</v>
      </c>
      <c r="D690" s="7" t="str">
        <f>HYPERLINK("https://www.ebi.ac.uk/QuickGO/GTerm?id=GO:0008047","GO:0008047 enzyme activator activity")</f>
        <v>GO:0008047 enzyme activator activity</v>
      </c>
      <c r="E690" s="1" t="s">
        <v>2</v>
      </c>
      <c r="F690" s="1" t="s">
        <v>671</v>
      </c>
      <c r="G690" s="8"/>
    </row>
    <row r="691" spans="1:7" ht="24.75" customHeight="1" x14ac:dyDescent="0.2">
      <c r="A691" s="6">
        <v>724</v>
      </c>
      <c r="B691" s="7" t="str">
        <f>HYPERLINK("https://www.ebi.ac.uk/QuickGO/GTerm?id=GO:0009823","GO:0009823 cytokinin catabolic process")</f>
        <v>GO:0009823 cytokinin catabolic process</v>
      </c>
      <c r="C691" s="1" t="s">
        <v>1</v>
      </c>
      <c r="D691" s="7" t="str">
        <f>HYPERLINK("https://www.ebi.ac.uk/QuickGO/GTerm?id=GO:0046700","GO:0046700 heterocycle catabolic process")</f>
        <v>GO:0046700 heterocycle catabolic process</v>
      </c>
      <c r="E691" s="1" t="s">
        <v>2</v>
      </c>
      <c r="F691" s="1" t="s">
        <v>672</v>
      </c>
      <c r="G691" s="8"/>
    </row>
    <row r="692" spans="1:7" ht="24.75" customHeight="1" x14ac:dyDescent="0.2">
      <c r="A692" s="6">
        <v>725</v>
      </c>
      <c r="B692" s="7" t="str">
        <f>HYPERLINK("https://www.ebi.ac.uk/QuickGO/GTerm?id=GO:1902756","GO:1902756 sulfurated eukaryotic molybdenum cofactor(2-) biosynthetic process")</f>
        <v>GO:1902756 sulfurated eukaryotic molybdenum cofactor(2-) biosynthetic process</v>
      </c>
      <c r="C692" s="1" t="s">
        <v>1</v>
      </c>
      <c r="D692" s="7" t="str">
        <f>HYPERLINK("https://www.ebi.ac.uk/QuickGO/GTerm?id=GO:0032324","GO:0032324 molybdopterin cofactor biosynthetic process")</f>
        <v>GO:0032324 molybdopterin cofactor biosynthetic process</v>
      </c>
      <c r="E692" s="1" t="s">
        <v>2</v>
      </c>
      <c r="F692" s="1" t="s">
        <v>673</v>
      </c>
      <c r="G692" s="8"/>
    </row>
    <row r="693" spans="1:7" ht="24.75" customHeight="1" x14ac:dyDescent="0.2">
      <c r="A693" s="6">
        <v>726</v>
      </c>
      <c r="B693" s="7" t="str">
        <f>HYPERLINK("https://www.ebi.ac.uk/QuickGO/GTerm?id=GO:0051656","GO:0051656 establishment of organelle localization")</f>
        <v>GO:0051656 establishment of organelle localization</v>
      </c>
      <c r="C693" s="1" t="s">
        <v>1</v>
      </c>
      <c r="D693" s="7" t="str">
        <f>HYPERLINK("https://www.ebi.ac.uk/QuickGO/GTerm?id=GO:0051649","GO:0051649 establishment of localization in cell")</f>
        <v>GO:0051649 establishment of localization in cell</v>
      </c>
      <c r="E693" s="1" t="s">
        <v>2</v>
      </c>
      <c r="F693" s="1" t="s">
        <v>674</v>
      </c>
      <c r="G693" s="8"/>
    </row>
    <row r="694" spans="1:7" ht="24.75" customHeight="1" x14ac:dyDescent="0.2">
      <c r="A694" s="6">
        <v>727</v>
      </c>
      <c r="B694" s="7" t="str">
        <f>HYPERLINK("https://www.ebi.ac.uk/QuickGO/GTerm?id=GO:0009266","GO:0009266 response to temperature stimulus")</f>
        <v>GO:0009266 response to temperature stimulus</v>
      </c>
      <c r="C694" s="1" t="s">
        <v>1</v>
      </c>
      <c r="D694" s="7" t="str">
        <f>HYPERLINK("https://www.ebi.ac.uk/QuickGO/GTerm?id=GO:0009605","GO:0009605 response to external stimulus")</f>
        <v>GO:0009605 response to external stimulus</v>
      </c>
      <c r="E694" s="1" t="s">
        <v>2</v>
      </c>
      <c r="F694" s="1" t="s">
        <v>675</v>
      </c>
      <c r="G694" s="8"/>
    </row>
    <row r="695" spans="1:7" ht="24.75" customHeight="1" x14ac:dyDescent="0.2">
      <c r="A695" s="6">
        <v>728</v>
      </c>
      <c r="B695" s="7" t="str">
        <f>HYPERLINK("https://www.ebi.ac.uk/QuickGO/GTerm?id=GO:2001111","GO:2001111 positive regulation of lens epithelial cell proliferation")</f>
        <v>GO:2001111 positive regulation of lens epithelial cell proliferation</v>
      </c>
      <c r="C695" s="1" t="s">
        <v>1</v>
      </c>
      <c r="D695" s="7" t="str">
        <f>HYPERLINK("https://www.ebi.ac.uk/QuickGO/GTerm?id=GO:0051240","GO:0051240 positive regulation of multicellular organismal process")</f>
        <v>GO:0051240 positive regulation of multicellular organismal process</v>
      </c>
      <c r="E695" s="1" t="s">
        <v>2</v>
      </c>
      <c r="F695" s="1" t="s">
        <v>676</v>
      </c>
      <c r="G695" s="8"/>
    </row>
    <row r="696" spans="1:7" ht="24.75" customHeight="1" x14ac:dyDescent="0.2">
      <c r="A696" s="6">
        <v>729</v>
      </c>
      <c r="B696" s="7" t="str">
        <f>HYPERLINK("https://www.ebi.ac.uk/QuickGO/GTerm?id=GO:0006690","GO:0006690 icosanoid metabolic process")</f>
        <v>GO:0006690 icosanoid metabolic process</v>
      </c>
      <c r="C696" s="1" t="s">
        <v>1</v>
      </c>
      <c r="D696" s="7" t="str">
        <f>HYPERLINK("https://www.ebi.ac.uk/QuickGO/GTerm?id=GO:1901568","GO:1901568 fatty acid derivative metabolic process")</f>
        <v>GO:1901568 fatty acid derivative metabolic process</v>
      </c>
      <c r="E696" s="1" t="s">
        <v>2</v>
      </c>
      <c r="F696" s="1" t="s">
        <v>677</v>
      </c>
      <c r="G696" s="8"/>
    </row>
    <row r="697" spans="1:7" ht="24.75" customHeight="1" x14ac:dyDescent="0.2">
      <c r="A697" s="6">
        <v>730</v>
      </c>
      <c r="B697" s="7" t="str">
        <f>HYPERLINK("https://www.ebi.ac.uk/QuickGO/GTerm?id=GO:0035945","GO:0035945 mitochondrial ncRNA surveillance")</f>
        <v>GO:0035945 mitochondrial ncRNA surveillance</v>
      </c>
      <c r="C697" s="1" t="s">
        <v>1</v>
      </c>
      <c r="D697" s="7" t="str">
        <f>HYPERLINK("https://www.ebi.ac.uk/QuickGO/GTerm?id=GO:0034661","GO:0034661 ncRNA catabolic process")</f>
        <v>GO:0034661 ncRNA catabolic process</v>
      </c>
      <c r="E697" s="1" t="s">
        <v>2</v>
      </c>
      <c r="F697" s="1" t="s">
        <v>678</v>
      </c>
      <c r="G697" s="8"/>
    </row>
    <row r="698" spans="1:7" ht="24.75" customHeight="1" x14ac:dyDescent="0.2">
      <c r="A698" s="6">
        <v>731</v>
      </c>
      <c r="B698" s="7" t="str">
        <f>HYPERLINK("https://www.ebi.ac.uk/QuickGO/GTerm?id=GO:1900607","GO:1900607 tensidol B catabolic process")</f>
        <v>GO:1900607 tensidol B catabolic process</v>
      </c>
      <c r="C698" s="1" t="s">
        <v>1</v>
      </c>
      <c r="D698" s="7" t="str">
        <f>HYPERLINK("https://www.ebi.ac.uk/QuickGO/GTerm?id=GO:0043605","GO:0043605 cellular amide catabolic process")</f>
        <v>GO:0043605 cellular amide catabolic process</v>
      </c>
      <c r="E698" s="1" t="s">
        <v>2</v>
      </c>
      <c r="F698" s="1" t="s">
        <v>679</v>
      </c>
      <c r="G698" s="8"/>
    </row>
    <row r="699" spans="1:7" ht="24.75" customHeight="1" x14ac:dyDescent="0.2">
      <c r="A699" s="6">
        <v>732</v>
      </c>
      <c r="B699" s="7" t="str">
        <f>HYPERLINK("https://www.ebi.ac.uk/QuickGO/GTerm?id=GO:0009073","GO:0009073 aromatic amino acid family biosynthetic process")</f>
        <v>GO:0009073 aromatic amino acid family biosynthetic process</v>
      </c>
      <c r="C699" s="1" t="s">
        <v>1</v>
      </c>
      <c r="D699" s="7" t="str">
        <f>HYPERLINK("https://www.ebi.ac.uk/QuickGO/GTerm?id=GO:0046394","GO:0046394 carboxylic acid biosynthetic process")</f>
        <v>GO:0046394 carboxylic acid biosynthetic process</v>
      </c>
      <c r="E699" s="1" t="s">
        <v>2</v>
      </c>
      <c r="F699" s="1" t="s">
        <v>680</v>
      </c>
      <c r="G699" s="8"/>
    </row>
    <row r="700" spans="1:7" ht="24.75" customHeight="1" x14ac:dyDescent="0.2">
      <c r="A700" s="6">
        <v>733</v>
      </c>
      <c r="B700" s="7" t="str">
        <f>HYPERLINK("https://www.ebi.ac.uk/QuickGO/GTerm?id=GO:0060436","GO:0060436 bronchiole morphogenesis")</f>
        <v>GO:0060436 bronchiole morphogenesis</v>
      </c>
      <c r="C700" s="1" t="s">
        <v>4</v>
      </c>
      <c r="D700" s="7" t="str">
        <f>HYPERLINK("https://www.ebi.ac.uk/QuickGO/GTerm?id=GO:0060425","GO:0060425 lung morphogenesis")</f>
        <v>GO:0060425 lung morphogenesis</v>
      </c>
      <c r="E700" s="1" t="s">
        <v>2</v>
      </c>
      <c r="F700" s="1" t="s">
        <v>681</v>
      </c>
      <c r="G700" s="8"/>
    </row>
    <row r="701" spans="1:7" ht="24.75" customHeight="1" x14ac:dyDescent="0.2">
      <c r="A701" s="6">
        <v>734</v>
      </c>
      <c r="B701" s="7" t="str">
        <f>HYPERLINK("https://www.ebi.ac.uk/QuickGO/GTerm?id=GO:1900079","GO:1900079 regulation of arginine biosynthetic process")</f>
        <v>GO:1900079 regulation of arginine biosynthetic process</v>
      </c>
      <c r="C701" s="1" t="s">
        <v>20</v>
      </c>
      <c r="D701" s="7" t="str">
        <f>HYPERLINK("https://www.ebi.ac.uk/QuickGO/GTerm?id=GO:0009309","GO:0009309 amine biosynthetic process")</f>
        <v>GO:0009309 amine biosynthetic process</v>
      </c>
      <c r="E701" s="1" t="s">
        <v>2</v>
      </c>
      <c r="F701" s="1" t="s">
        <v>682</v>
      </c>
      <c r="G701" s="8"/>
    </row>
    <row r="702" spans="1:7" ht="24.75" customHeight="1" x14ac:dyDescent="0.2">
      <c r="A702" s="6">
        <v>736</v>
      </c>
      <c r="B702" s="7" t="str">
        <f>HYPERLINK("https://www.ebi.ac.uk/QuickGO/GTerm?id=GO:0052154","GO:0052154 modulation by symbiont of host B-cell mediated immune response")</f>
        <v>GO:0052154 modulation by symbiont of host B-cell mediated immune response</v>
      </c>
      <c r="C702" s="1" t="s">
        <v>1</v>
      </c>
      <c r="D702" s="7" t="str">
        <f>HYPERLINK("https://www.ebi.ac.uk/QuickGO/GTerm?id=GO:0052155","GO:0052155 modulation by symbiont of host cell-mediated immune response")</f>
        <v>GO:0052155 modulation by symbiont of host cell-mediated immune response</v>
      </c>
      <c r="E702" s="1" t="s">
        <v>2</v>
      </c>
      <c r="F702" s="1" t="s">
        <v>683</v>
      </c>
      <c r="G702" s="8"/>
    </row>
    <row r="703" spans="1:7" ht="24.75" customHeight="1" x14ac:dyDescent="0.2">
      <c r="A703" s="6">
        <v>738</v>
      </c>
      <c r="B703" s="7" t="str">
        <f>HYPERLINK("https://www.ebi.ac.uk/QuickGO/GTerm?id=GO:0044778","GO:0044778 meiotic DNA integrity checkpoint signaling")</f>
        <v>GO:0044778 meiotic DNA integrity checkpoint signaling</v>
      </c>
      <c r="C703" s="1" t="s">
        <v>1</v>
      </c>
      <c r="D703" s="7" t="str">
        <f>HYPERLINK("https://www.ebi.ac.uk/QuickGO/GTerm?id=GO:0051447","GO:0051447 negative regulation of meiotic cell cycle")</f>
        <v>GO:0051447 negative regulation of meiotic cell cycle</v>
      </c>
      <c r="E703" s="1" t="s">
        <v>2</v>
      </c>
      <c r="F703" s="1" t="s">
        <v>684</v>
      </c>
      <c r="G703" s="8"/>
    </row>
    <row r="704" spans="1:7" ht="24.75" customHeight="1" x14ac:dyDescent="0.2">
      <c r="A704" s="6">
        <v>739</v>
      </c>
      <c r="B704" s="7" t="str">
        <f>HYPERLINK("https://www.ebi.ac.uk/QuickGO/GTerm?id=GO:0032325","GO:0032325 molybdopterin cofactor catabolic process")</f>
        <v>GO:0032325 molybdopterin cofactor catabolic process</v>
      </c>
      <c r="C704" s="1" t="s">
        <v>1</v>
      </c>
      <c r="D704" s="7" t="str">
        <f>HYPERLINK("https://www.ebi.ac.uk/QuickGO/GTerm?id=GO:0051190","GO:0051190 prosthetic group catabolic process")</f>
        <v>GO:0051190 prosthetic group catabolic process</v>
      </c>
      <c r="E704" s="1" t="s">
        <v>2</v>
      </c>
      <c r="F704" s="1" t="s">
        <v>685</v>
      </c>
      <c r="G704" s="8"/>
    </row>
    <row r="705" spans="1:7" ht="24.75" customHeight="1" x14ac:dyDescent="0.2">
      <c r="A705" s="6">
        <v>740</v>
      </c>
      <c r="B705" s="7" t="str">
        <f>HYPERLINK("https://www.ebi.ac.uk/QuickGO/GTerm?id=GO:0046149","GO:0046149 pigment catabolic process")</f>
        <v>GO:0046149 pigment catabolic process</v>
      </c>
      <c r="C705" s="1" t="s">
        <v>1</v>
      </c>
      <c r="D705" s="7" t="str">
        <f>HYPERLINK("https://www.ebi.ac.uk/QuickGO/GTerm?id=GO:0009056","GO:0009056 catabolic process")</f>
        <v>GO:0009056 catabolic process</v>
      </c>
      <c r="E705" s="1" t="s">
        <v>2</v>
      </c>
      <c r="F705" s="1" t="s">
        <v>686</v>
      </c>
      <c r="G705" s="8"/>
    </row>
    <row r="706" spans="1:7" ht="24.75" customHeight="1" x14ac:dyDescent="0.2">
      <c r="A706" s="6">
        <v>742</v>
      </c>
      <c r="B706" s="7" t="str">
        <f>HYPERLINK("https://www.ebi.ac.uk/QuickGO/GTerm?id=GO:0032308","GO:0032308 positive regulation of prostaglandin secretion")</f>
        <v>GO:0032308 positive regulation of prostaglandin secretion</v>
      </c>
      <c r="C706" s="1" t="s">
        <v>1</v>
      </c>
      <c r="D706" s="7" t="str">
        <f>HYPERLINK("https://www.ebi.ac.uk/QuickGO/GTerm?id=GO:0046887","GO:0046887 positive regulation of hormone secretion")</f>
        <v>GO:0046887 positive regulation of hormone secretion</v>
      </c>
      <c r="E706" s="1" t="s">
        <v>2</v>
      </c>
      <c r="F706" s="1" t="s">
        <v>687</v>
      </c>
      <c r="G706" s="8"/>
    </row>
    <row r="707" spans="1:7" ht="24.75" customHeight="1" x14ac:dyDescent="0.2">
      <c r="A707" s="6">
        <v>743</v>
      </c>
      <c r="B707" s="7" t="str">
        <f>HYPERLINK("https://www.ebi.ac.uk/QuickGO/GTerm?id=GO:0044600","GO:0044600 protein guanylyltransferase activity")</f>
        <v>GO:0044600 protein guanylyltransferase activity</v>
      </c>
      <c r="C707" s="1" t="s">
        <v>4</v>
      </c>
      <c r="D707" s="7" t="str">
        <f>HYPERLINK("https://www.ebi.ac.uk/QuickGO/GTerm?id=GO:0016485","GO:0016485 protein processing")</f>
        <v>GO:0016485 protein processing</v>
      </c>
      <c r="E707" s="1" t="s">
        <v>2</v>
      </c>
      <c r="F707" s="1" t="s">
        <v>688</v>
      </c>
      <c r="G707" s="8"/>
    </row>
    <row r="708" spans="1:7" ht="24.75" customHeight="1" x14ac:dyDescent="0.2">
      <c r="A708" s="6">
        <v>744</v>
      </c>
      <c r="B708" s="7" t="str">
        <f>HYPERLINK("https://www.ebi.ac.uk/QuickGO/GTerm?id=GO:0035729","GO:0035729 cellular response to hepatocyte growth factor stimulus")</f>
        <v>GO:0035729 cellular response to hepatocyte growth factor stimulus</v>
      </c>
      <c r="C708" s="1" t="s">
        <v>1</v>
      </c>
      <c r="D708" s="7" t="str">
        <f>HYPERLINK("https://www.ebi.ac.uk/QuickGO/GTerm?id=GO:0071345","GO:0071345 cellular response to cytokine stimulus")</f>
        <v>GO:0071345 cellular response to cytokine stimulus</v>
      </c>
      <c r="E708" s="1" t="s">
        <v>2</v>
      </c>
      <c r="F708" s="1" t="s">
        <v>689</v>
      </c>
      <c r="G708" s="8"/>
    </row>
    <row r="709" spans="1:7" ht="24.75" customHeight="1" x14ac:dyDescent="0.2">
      <c r="A709" s="6">
        <v>746</v>
      </c>
      <c r="B709" s="7" t="str">
        <f>HYPERLINK("https://www.ebi.ac.uk/QuickGO/GTerm?id=GO:0019674","GO:0019674 NAD metabolic process")</f>
        <v>GO:0019674 NAD metabolic process</v>
      </c>
      <c r="C709" s="1" t="s">
        <v>1</v>
      </c>
      <c r="D709" s="7" t="str">
        <f>HYPERLINK("https://www.ebi.ac.uk/QuickGO/GTerm?id=GO:0019362","GO:0019362 pyridine nucleotide metabolic process")</f>
        <v>GO:0019362 pyridine nucleotide metabolic process</v>
      </c>
      <c r="E709" s="1" t="s">
        <v>2</v>
      </c>
      <c r="F709" s="1" t="s">
        <v>690</v>
      </c>
      <c r="G709" s="8"/>
    </row>
    <row r="710" spans="1:7" ht="24.75" customHeight="1" x14ac:dyDescent="0.2">
      <c r="A710" s="6">
        <v>747</v>
      </c>
      <c r="B710" s="7" t="str">
        <f>HYPERLINK("https://www.ebi.ac.uk/QuickGO/GTerm?id=GO:0002645","GO:0002645 positive regulation of tolerance induction")</f>
        <v>GO:0002645 positive regulation of tolerance induction</v>
      </c>
      <c r="C710" s="1" t="s">
        <v>1</v>
      </c>
      <c r="D710" s="7" t="str">
        <f>HYPERLINK("https://www.ebi.ac.uk/QuickGO/GTerm?id=GO:0051094","GO:0051094 positive regulation of developmental process")</f>
        <v>GO:0051094 positive regulation of developmental process</v>
      </c>
      <c r="E710" s="1" t="s">
        <v>2</v>
      </c>
      <c r="F710" s="1" t="s">
        <v>691</v>
      </c>
      <c r="G710" s="8"/>
    </row>
    <row r="711" spans="1:7" ht="24.75" customHeight="1" x14ac:dyDescent="0.2">
      <c r="A711" s="6">
        <v>748</v>
      </c>
      <c r="B711" s="7" t="str">
        <f>HYPERLINK("https://www.ebi.ac.uk/QuickGO/GTerm?id=GO:0039656","GO:0039656 modulation by virus of host gene expression")</f>
        <v>GO:0039656 modulation by virus of host gene expression</v>
      </c>
      <c r="C711" s="1" t="s">
        <v>1</v>
      </c>
      <c r="D711" s="7" t="str">
        <f>HYPERLINK("https://www.ebi.ac.uk/QuickGO/GTerm?id=GO:0010468","GO:0010468 regulation of gene expression")</f>
        <v>GO:0010468 regulation of gene expression</v>
      </c>
      <c r="E711" s="1" t="s">
        <v>2</v>
      </c>
      <c r="F711" s="1" t="s">
        <v>692</v>
      </c>
      <c r="G711" s="8"/>
    </row>
    <row r="712" spans="1:7" ht="24.75" customHeight="1" x14ac:dyDescent="0.2">
      <c r="A712" s="6">
        <v>749</v>
      </c>
      <c r="B712" s="7" t="str">
        <f>HYPERLINK("https://www.ebi.ac.uk/QuickGO/GTerm?id=GO:0000902","GO:0000902 cell morphogenesis")</f>
        <v>GO:0000902 cell morphogenesis</v>
      </c>
      <c r="C712" s="1" t="s">
        <v>4</v>
      </c>
      <c r="D712" s="7" t="str">
        <f>HYPERLINK("https://www.ebi.ac.uk/QuickGO/GTerm?id=GO:0048468","GO:0048468 cell development")</f>
        <v>GO:0048468 cell development</v>
      </c>
      <c r="E712" s="1" t="s">
        <v>2</v>
      </c>
      <c r="F712" s="1" t="s">
        <v>693</v>
      </c>
      <c r="G712" s="8"/>
    </row>
    <row r="713" spans="1:7" ht="24.75" customHeight="1" x14ac:dyDescent="0.2">
      <c r="A713" s="6">
        <v>751</v>
      </c>
      <c r="B713" s="7" t="str">
        <f>HYPERLINK("https://www.ebi.ac.uk/QuickGO/GTerm?id=GO:0018963","GO:0018963 phthalate metabolic process")</f>
        <v>GO:0018963 phthalate metabolic process</v>
      </c>
      <c r="C713" s="1" t="s">
        <v>1</v>
      </c>
      <c r="D713" s="7" t="str">
        <f>HYPERLINK("https://www.ebi.ac.uk/QuickGO/GTerm?id=GO:0006805","GO:0006805 xenobiotic metabolic process")</f>
        <v>GO:0006805 xenobiotic metabolic process</v>
      </c>
      <c r="E713" s="1" t="s">
        <v>2</v>
      </c>
      <c r="F713" s="1" t="s">
        <v>694</v>
      </c>
      <c r="G713" s="8"/>
    </row>
    <row r="714" spans="1:7" ht="24.75" customHeight="1" x14ac:dyDescent="0.2">
      <c r="A714" s="6">
        <v>752</v>
      </c>
      <c r="B714" s="7" t="str">
        <f>HYPERLINK("https://www.ebi.ac.uk/QuickGO/GTerm?id=GO:0006685","GO:0006685 sphingomyelin catabolic process")</f>
        <v>GO:0006685 sphingomyelin catabolic process</v>
      </c>
      <c r="C714" s="1" t="s">
        <v>1</v>
      </c>
      <c r="D714" s="7" t="str">
        <f>HYPERLINK("https://www.ebi.ac.uk/QuickGO/GTerm?id=GO:0043605","GO:0043605 cellular amide catabolic process")</f>
        <v>GO:0043605 cellular amide catabolic process</v>
      </c>
      <c r="E714" s="1" t="s">
        <v>2</v>
      </c>
      <c r="F714" s="1" t="s">
        <v>695</v>
      </c>
      <c r="G714" s="8"/>
    </row>
    <row r="715" spans="1:7" ht="24.75" customHeight="1" x14ac:dyDescent="0.2">
      <c r="A715" s="6">
        <v>753</v>
      </c>
      <c r="B715" s="7" t="str">
        <f>HYPERLINK("https://www.ebi.ac.uk/QuickGO/GTerm?id=GO:0019869","GO:0019869 chloride channel inhibitor activity")</f>
        <v>GO:0019869 chloride channel inhibitor activity</v>
      </c>
      <c r="C715" s="1" t="s">
        <v>1</v>
      </c>
      <c r="D715" s="7" t="str">
        <f>HYPERLINK("https://www.ebi.ac.uk/QuickGO/GTerm?id=GO:0008200","GO:0008200 ion channel inhibitor activity")</f>
        <v>GO:0008200 ion channel inhibitor activity</v>
      </c>
      <c r="E715" s="1" t="s">
        <v>2</v>
      </c>
      <c r="F715" s="1" t="s">
        <v>696</v>
      </c>
      <c r="G715" s="8"/>
    </row>
    <row r="716" spans="1:7" ht="24.75" customHeight="1" x14ac:dyDescent="0.2">
      <c r="A716" s="6">
        <v>754</v>
      </c>
      <c r="B716" s="7" t="str">
        <f>HYPERLINK("https://www.ebi.ac.uk/QuickGO/GTerm?id=GO:1901859","GO:1901859 negative regulation of mitochondrial DNA metabolic process")</f>
        <v>GO:1901859 negative regulation of mitochondrial DNA metabolic process</v>
      </c>
      <c r="C716" s="1" t="s">
        <v>1</v>
      </c>
      <c r="D716" s="7" t="str">
        <f>HYPERLINK("https://www.ebi.ac.uk/QuickGO/GTerm?id=GO:0010823","GO:0010823 negative regulation of mitochondrion organization")</f>
        <v>GO:0010823 negative regulation of mitochondrion organization</v>
      </c>
      <c r="E716" s="1" t="s">
        <v>2</v>
      </c>
      <c r="F716" s="1" t="s">
        <v>697</v>
      </c>
      <c r="G716" s="8"/>
    </row>
    <row r="717" spans="1:7" ht="24.75" customHeight="1" x14ac:dyDescent="0.2">
      <c r="A717" s="6">
        <v>755</v>
      </c>
      <c r="B717" s="7" t="str">
        <f>HYPERLINK("https://www.ebi.ac.uk/QuickGO/GTerm?id=GO:0033248","GO:0033248 negative regulation of penicillin catabolic process")</f>
        <v>GO:0033248 negative regulation of penicillin catabolic process</v>
      </c>
      <c r="C717" s="1" t="s">
        <v>1</v>
      </c>
      <c r="D717" s="7" t="str">
        <f>HYPERLINK("https://www.ebi.ac.uk/QuickGO/GTerm?id=GO:0033242","GO:0033242 negative regulation of cellular amine catabolic process")</f>
        <v>GO:0033242 negative regulation of cellular amine catabolic process</v>
      </c>
      <c r="E717" s="1" t="s">
        <v>2</v>
      </c>
      <c r="F717" s="1" t="s">
        <v>698</v>
      </c>
      <c r="G717" s="8"/>
    </row>
    <row r="718" spans="1:7" ht="24.75" customHeight="1" x14ac:dyDescent="0.2">
      <c r="A718" s="6">
        <v>757</v>
      </c>
      <c r="B718" s="7" t="str">
        <f>HYPERLINK("https://www.ebi.ac.uk/QuickGO/GTerm?id=GO:0016556","GO:0016556 mRNA modification")</f>
        <v>GO:0016556 mRNA modification</v>
      </c>
      <c r="C718" s="1" t="s">
        <v>1</v>
      </c>
      <c r="D718" s="7" t="str">
        <f>HYPERLINK("https://www.ebi.ac.uk/QuickGO/GTerm?id=GO:0006397","GO:0006397 mRNA processing")</f>
        <v>GO:0006397 mRNA processing</v>
      </c>
      <c r="E718" s="1" t="s">
        <v>2</v>
      </c>
      <c r="F718" s="1" t="s">
        <v>699</v>
      </c>
      <c r="G718" s="8"/>
    </row>
    <row r="719" spans="1:7" ht="24.75" customHeight="1" x14ac:dyDescent="0.2">
      <c r="A719" s="6">
        <v>758</v>
      </c>
      <c r="B719" s="7" t="str">
        <f>HYPERLINK("https://www.ebi.ac.uk/QuickGO/GTerm?id=GO:1900789","GO:1900789 pseurotin A catabolic process")</f>
        <v>GO:1900789 pseurotin A catabolic process</v>
      </c>
      <c r="C719" s="1" t="s">
        <v>1</v>
      </c>
      <c r="D719" s="7" t="str">
        <f>HYPERLINK("https://www.ebi.ac.uk/QuickGO/GTerm?id=GO:0043605","GO:0043605 cellular amide catabolic process")</f>
        <v>GO:0043605 cellular amide catabolic process</v>
      </c>
      <c r="E719" s="1" t="s">
        <v>2</v>
      </c>
      <c r="F719" s="1" t="s">
        <v>700</v>
      </c>
      <c r="G719" s="8"/>
    </row>
    <row r="720" spans="1:7" ht="24.75" customHeight="1" x14ac:dyDescent="0.2">
      <c r="A720" s="6">
        <v>759</v>
      </c>
      <c r="B720" s="7" t="str">
        <f>HYPERLINK("https://www.ebi.ac.uk/QuickGO/GTerm?id=GO:0035139","GO:0035139 pelvic fin morphogenesis")</f>
        <v>GO:0035139 pelvic fin morphogenesis</v>
      </c>
      <c r="C720" s="1" t="s">
        <v>1</v>
      </c>
      <c r="D720" s="7" t="str">
        <f>HYPERLINK("https://www.ebi.ac.uk/QuickGO/GTerm?id=GO:0035108","GO:0035108 limb morphogenesis")</f>
        <v>GO:0035108 limb morphogenesis</v>
      </c>
      <c r="E720" s="1" t="s">
        <v>2</v>
      </c>
      <c r="F720" s="1" t="s">
        <v>701</v>
      </c>
      <c r="G720" s="8"/>
    </row>
    <row r="721" spans="1:7" ht="24.75" customHeight="1" x14ac:dyDescent="0.2">
      <c r="A721" s="6">
        <v>761</v>
      </c>
      <c r="B721" s="7" t="str">
        <f>HYPERLINK("https://www.ebi.ac.uk/QuickGO/GTerm?id=GO:0030185","GO:0030185 nitric oxide transport")</f>
        <v>GO:0030185 nitric oxide transport</v>
      </c>
      <c r="C721" s="1" t="s">
        <v>1</v>
      </c>
      <c r="D721" s="7" t="str">
        <f>HYPERLINK("https://www.ebi.ac.uk/QuickGO/GTerm?id=GO:0015669","GO:0015669 gas transport")</f>
        <v>GO:0015669 gas transport</v>
      </c>
      <c r="E721" s="1" t="s">
        <v>2</v>
      </c>
      <c r="F721" s="1" t="s">
        <v>702</v>
      </c>
      <c r="G721" s="8"/>
    </row>
    <row r="722" spans="1:7" ht="24.75" customHeight="1" x14ac:dyDescent="0.2">
      <c r="A722" s="6">
        <v>762</v>
      </c>
      <c r="B722" s="7" t="str">
        <f>HYPERLINK("https://www.ebi.ac.uk/QuickGO/GTerm?id=GO:0019126","GO:0019126 peptidyl-serine racemization")</f>
        <v>GO:0019126 peptidyl-serine racemization</v>
      </c>
      <c r="C722" s="1" t="s">
        <v>1</v>
      </c>
      <c r="D722" s="7" t="str">
        <f>HYPERLINK("https://www.ebi.ac.uk/QuickGO/GTerm?id=GO:0018209","GO:0018209 peptidyl-serine modification")</f>
        <v>GO:0018209 peptidyl-serine modification</v>
      </c>
      <c r="E722" s="1" t="s">
        <v>2</v>
      </c>
      <c r="F722" s="1" t="s">
        <v>478</v>
      </c>
      <c r="G722" s="8"/>
    </row>
    <row r="723" spans="1:7" ht="24.75" customHeight="1" x14ac:dyDescent="0.2">
      <c r="A723" s="6">
        <v>763</v>
      </c>
      <c r="B723" s="7" t="str">
        <f>HYPERLINK("https://www.ebi.ac.uk/QuickGO/GTerm?id=GO:0043274","GO:0043274 phospholipase binding")</f>
        <v>GO:0043274 phospholipase binding</v>
      </c>
      <c r="C723" s="1" t="s">
        <v>1</v>
      </c>
      <c r="D723" s="7" t="str">
        <f>HYPERLINK("https://www.ebi.ac.uk/QuickGO/GTerm?id=GO:0035473","GO:0035473 lipase binding")</f>
        <v>GO:0035473 lipase binding</v>
      </c>
      <c r="E723" s="1" t="s">
        <v>2</v>
      </c>
      <c r="F723" s="1" t="s">
        <v>703</v>
      </c>
      <c r="G723" s="8"/>
    </row>
    <row r="724" spans="1:7" ht="24.75" customHeight="1" x14ac:dyDescent="0.2">
      <c r="A724" s="6">
        <v>765</v>
      </c>
      <c r="B724" s="7" t="str">
        <f>HYPERLINK("https://www.ebi.ac.uk/QuickGO/GTerm?id=GO:0003344","GO:0003344 pericardium morphogenesis")</f>
        <v>GO:0003344 pericardium morphogenesis</v>
      </c>
      <c r="C724" s="1" t="s">
        <v>4</v>
      </c>
      <c r="D724" s="7" t="str">
        <f>HYPERLINK("https://www.ebi.ac.uk/QuickGO/GTerm?id=GO:0003007","GO:0003007 heart morphogenesis")</f>
        <v>GO:0003007 heart morphogenesis</v>
      </c>
      <c r="E724" s="1" t="s">
        <v>2</v>
      </c>
      <c r="F724" s="1" t="s">
        <v>704</v>
      </c>
      <c r="G724" s="8"/>
    </row>
    <row r="725" spans="1:7" ht="24.75" customHeight="1" x14ac:dyDescent="0.2">
      <c r="A725" s="6">
        <v>766</v>
      </c>
      <c r="B725" s="7" t="str">
        <f>HYPERLINK("https://www.ebi.ac.uk/QuickGO/GTerm?id=GO:0002624","GO:0002624 positive regulation of B cell antigen processing and presentation")</f>
        <v>GO:0002624 positive regulation of B cell antigen processing and presentation</v>
      </c>
      <c r="C725" s="1" t="s">
        <v>1</v>
      </c>
      <c r="D725" s="7" t="str">
        <f>HYPERLINK("https://www.ebi.ac.uk/QuickGO/GTerm?id=GO:0002708","GO:0002708 positive regulation of lymphocyte mediated immunity")</f>
        <v>GO:0002708 positive regulation of lymphocyte mediated immunity</v>
      </c>
      <c r="E725" s="1" t="s">
        <v>2</v>
      </c>
      <c r="F725" s="1" t="s">
        <v>705</v>
      </c>
      <c r="G725" s="8"/>
    </row>
    <row r="726" spans="1:7" ht="24.75" customHeight="1" x14ac:dyDescent="0.2">
      <c r="A726" s="6">
        <v>767</v>
      </c>
      <c r="B726" s="7" t="str">
        <f>HYPERLINK("https://www.ebi.ac.uk/QuickGO/GTerm?id=GO:0090617","GO:0090617 mitochondrial mRNA 5'-end processing")</f>
        <v>GO:0090617 mitochondrial mRNA 5'-end processing</v>
      </c>
      <c r="C726" s="1" t="s">
        <v>1</v>
      </c>
      <c r="D726" s="7" t="str">
        <f>HYPERLINK("https://www.ebi.ac.uk/QuickGO/GTerm?id=GO:0000964","GO:0000964 mitochondrial RNA 5'-end processing")</f>
        <v>GO:0000964 mitochondrial RNA 5'-end processing</v>
      </c>
      <c r="E726" s="1" t="s">
        <v>2</v>
      </c>
      <c r="F726" s="1" t="s">
        <v>706</v>
      </c>
      <c r="G726" s="8"/>
    </row>
    <row r="727" spans="1:7" ht="24.75" customHeight="1" x14ac:dyDescent="0.2">
      <c r="A727" s="6">
        <v>768</v>
      </c>
      <c r="B727" s="7" t="str">
        <f>HYPERLINK("https://www.ebi.ac.uk/QuickGO/GTerm?id=GO:0060675","GO:0060675 ureteric bud morphogenesis")</f>
        <v>GO:0060675 ureteric bud morphogenesis</v>
      </c>
      <c r="C727" s="1" t="s">
        <v>4</v>
      </c>
      <c r="D727" s="7" t="str">
        <f>HYPERLINK("https://www.ebi.ac.uk/QuickGO/GTerm?id=GO:0061206","GO:0061206 mesonephros morphogenesis")</f>
        <v>GO:0061206 mesonephros morphogenesis</v>
      </c>
      <c r="E727" s="1" t="s">
        <v>2</v>
      </c>
      <c r="F727" s="1" t="s">
        <v>707</v>
      </c>
      <c r="G727" s="8"/>
    </row>
    <row r="728" spans="1:7" ht="24.75" customHeight="1" x14ac:dyDescent="0.2">
      <c r="A728" s="6">
        <v>769</v>
      </c>
      <c r="B728" s="7" t="str">
        <f>HYPERLINK("https://www.ebi.ac.uk/QuickGO/GTerm?id=GO:0009597","GO:0009597 detection of virus")</f>
        <v>GO:0009597 detection of virus</v>
      </c>
      <c r="C728" s="1" t="s">
        <v>1</v>
      </c>
      <c r="D728" s="7" t="str">
        <f>HYPERLINK("https://www.ebi.ac.uk/QuickGO/GTerm?id=GO:0098543","GO:0098543 detection of other organism")</f>
        <v>GO:0098543 detection of other organism</v>
      </c>
      <c r="E728" s="1" t="s">
        <v>2</v>
      </c>
      <c r="F728" s="1" t="s">
        <v>708</v>
      </c>
      <c r="G728" s="8"/>
    </row>
    <row r="729" spans="1:7" ht="24.75" customHeight="1" x14ac:dyDescent="0.2">
      <c r="A729" s="6">
        <v>770</v>
      </c>
      <c r="B729" s="7" t="str">
        <f>HYPERLINK("https://www.ebi.ac.uk/QuickGO/GTerm?id=GO:1902125","GO:1902125 (+)-pinoresinol catabolic process")</f>
        <v>GO:1902125 (+)-pinoresinol catabolic process</v>
      </c>
      <c r="C729" s="1" t="s">
        <v>1</v>
      </c>
      <c r="D729" s="7" t="str">
        <f>HYPERLINK("https://www.ebi.ac.uk/QuickGO/GTerm?id=GO:0090487","GO:0090487 secondary metabolite catabolic process")</f>
        <v>GO:0090487 secondary metabolite catabolic process</v>
      </c>
      <c r="E729" s="1" t="s">
        <v>2</v>
      </c>
      <c r="F729" s="1" t="s">
        <v>709</v>
      </c>
      <c r="G729" s="8"/>
    </row>
    <row r="730" spans="1:7" ht="24.75" customHeight="1" x14ac:dyDescent="0.2">
      <c r="A730" s="6">
        <v>771</v>
      </c>
      <c r="B730" s="7" t="str">
        <f>HYPERLINK("https://www.ebi.ac.uk/QuickGO/GTerm?id=GO:0033247","GO:0033247 regulation of penicillin catabolic process")</f>
        <v>GO:0033247 regulation of penicillin catabolic process</v>
      </c>
      <c r="C730" s="1" t="s">
        <v>1</v>
      </c>
      <c r="D730" s="7" t="str">
        <f>HYPERLINK("https://www.ebi.ac.uk/QuickGO/GTerm?id=GO:0033241","GO:0033241 regulation of cellular amine catabolic process")</f>
        <v>GO:0033241 regulation of cellular amine catabolic process</v>
      </c>
      <c r="E730" s="1" t="s">
        <v>2</v>
      </c>
      <c r="F730" s="1" t="s">
        <v>698</v>
      </c>
      <c r="G730" s="8"/>
    </row>
    <row r="731" spans="1:7" ht="24.75" customHeight="1" x14ac:dyDescent="0.2">
      <c r="A731" s="6">
        <v>772</v>
      </c>
      <c r="B731" s="7" t="str">
        <f>HYPERLINK("https://www.ebi.ac.uk/QuickGO/GTerm?id=GO:1990984","GO:1990984 tRNA demethylase activity")</f>
        <v>GO:1990984 tRNA demethylase activity</v>
      </c>
      <c r="C731" s="1" t="s">
        <v>4</v>
      </c>
      <c r="D731" s="7" t="str">
        <f>HYPERLINK("https://www.ebi.ac.uk/QuickGO/GTerm?id=GO:1990983","GO:1990983 tRNA demethylation")</f>
        <v>GO:1990983 tRNA demethylation</v>
      </c>
      <c r="E731" s="1" t="s">
        <v>2</v>
      </c>
      <c r="F731" s="1" t="s">
        <v>710</v>
      </c>
      <c r="G731" s="8"/>
    </row>
    <row r="732" spans="1:7" ht="24.75" customHeight="1" x14ac:dyDescent="0.2">
      <c r="A732" s="6">
        <v>774</v>
      </c>
      <c r="B732" s="7" t="str">
        <f>HYPERLINK("https://www.ebi.ac.uk/QuickGO/GTerm?id=GO:0018364","GO:0018364 peptidyl-glutamine methylation")</f>
        <v>GO:0018364 peptidyl-glutamine methylation</v>
      </c>
      <c r="C732" s="1" t="s">
        <v>1</v>
      </c>
      <c r="D732" s="7" t="str">
        <f>HYPERLINK("https://www.ebi.ac.uk/QuickGO/GTerm?id=GO:0018199","GO:0018199 peptidyl-glutamine modification")</f>
        <v>GO:0018199 peptidyl-glutamine modification</v>
      </c>
      <c r="E732" s="1" t="s">
        <v>2</v>
      </c>
      <c r="F732" s="1" t="s">
        <v>711</v>
      </c>
      <c r="G732" s="8"/>
    </row>
    <row r="733" spans="1:7" ht="24.75" customHeight="1" x14ac:dyDescent="0.2">
      <c r="A733" s="6">
        <v>775</v>
      </c>
      <c r="B733" s="7" t="str">
        <f>HYPERLINK("https://www.ebi.ac.uk/QuickGO/GTerm?id=GO:0045006","GO:0045006 DNA deamination")</f>
        <v>GO:0045006 DNA deamination</v>
      </c>
      <c r="C733" s="1" t="s">
        <v>1</v>
      </c>
      <c r="D733" s="7" t="str">
        <f>HYPERLINK("https://www.ebi.ac.uk/QuickGO/GTerm?id=GO:0006308","GO:0006308 DNA catabolic process")</f>
        <v>GO:0006308 DNA catabolic process</v>
      </c>
      <c r="E733" s="1" t="s">
        <v>2</v>
      </c>
      <c r="F733" s="1" t="s">
        <v>712</v>
      </c>
      <c r="G733" s="8"/>
    </row>
    <row r="734" spans="1:7" ht="24.75" customHeight="1" x14ac:dyDescent="0.2">
      <c r="A734" s="6">
        <v>776</v>
      </c>
      <c r="B734" s="7" t="str">
        <f>HYPERLINK("https://www.ebi.ac.uk/QuickGO/GTerm?id=GO:1905393","GO:1905393 plant organ formation")</f>
        <v>GO:1905393 plant organ formation</v>
      </c>
      <c r="C734" s="1" t="s">
        <v>4</v>
      </c>
      <c r="D734" s="7" t="str">
        <f>HYPERLINK("https://www.ebi.ac.uk/QuickGO/GTerm?id=GO:1905392","GO:1905392 plant organ morphogenesis")</f>
        <v>GO:1905392 plant organ morphogenesis</v>
      </c>
      <c r="E734" s="1" t="s">
        <v>2</v>
      </c>
      <c r="F734" s="1" t="s">
        <v>713</v>
      </c>
      <c r="G734" s="8"/>
    </row>
    <row r="735" spans="1:7" ht="24.75" customHeight="1" x14ac:dyDescent="0.2">
      <c r="A735" s="6">
        <v>777</v>
      </c>
      <c r="B735" s="7" t="str">
        <f>HYPERLINK("https://www.ebi.ac.uk/QuickGO/GTerm?id=GO:1902123","GO:1902123 (-)-pinoresinol catabolic process")</f>
        <v>GO:1902123 (-)-pinoresinol catabolic process</v>
      </c>
      <c r="C735" s="1" t="s">
        <v>1</v>
      </c>
      <c r="D735" s="7" t="str">
        <f>HYPERLINK("https://www.ebi.ac.uk/QuickGO/GTerm?id=GO:0090487","GO:0090487 secondary metabolite catabolic process")</f>
        <v>GO:0090487 secondary metabolite catabolic process</v>
      </c>
      <c r="E735" s="1" t="s">
        <v>2</v>
      </c>
      <c r="F735" s="1" t="s">
        <v>714</v>
      </c>
      <c r="G735" s="8"/>
    </row>
    <row r="736" spans="1:7" ht="24.75" customHeight="1" x14ac:dyDescent="0.2">
      <c r="A736" s="6">
        <v>778</v>
      </c>
      <c r="B736" s="7" t="str">
        <f>HYPERLINK("https://www.ebi.ac.uk/QuickGO/GTerm?id=GO:0071392","GO:0071392 cellular response to estradiol stimulus")</f>
        <v>GO:0071392 cellular response to estradiol stimulus</v>
      </c>
      <c r="C736" s="1" t="s">
        <v>1</v>
      </c>
      <c r="D736" s="7" t="str">
        <f>HYPERLINK("https://www.ebi.ac.uk/QuickGO/GTerm?id=GO:0032870","GO:0032870 cellular response to hormone stimulus")</f>
        <v>GO:0032870 cellular response to hormone stimulus</v>
      </c>
      <c r="E736" s="1" t="s">
        <v>2</v>
      </c>
      <c r="F736" s="1" t="s">
        <v>715</v>
      </c>
      <c r="G736" s="8"/>
    </row>
    <row r="737" spans="1:7" ht="24.75" customHeight="1" x14ac:dyDescent="0.2">
      <c r="A737" s="6">
        <v>779</v>
      </c>
      <c r="B737" s="7" t="str">
        <f>HYPERLINK("https://www.ebi.ac.uk/QuickGO/GTerm?id=GO:0120256","GO:0120256 olefinic compound catabolic process")</f>
        <v>GO:0120256 olefinic compound catabolic process</v>
      </c>
      <c r="C737" s="1" t="s">
        <v>1</v>
      </c>
      <c r="D737" s="7" t="str">
        <f>HYPERLINK("https://www.ebi.ac.uk/QuickGO/GTerm?id=GO:1901575","GO:1901575 organic substance catabolic process")</f>
        <v>GO:1901575 organic substance catabolic process</v>
      </c>
      <c r="E737" s="1" t="s">
        <v>2</v>
      </c>
      <c r="F737" s="1" t="s">
        <v>716</v>
      </c>
      <c r="G737" s="8"/>
    </row>
    <row r="738" spans="1:7" ht="24.75" customHeight="1" x14ac:dyDescent="0.2">
      <c r="A738" s="6">
        <v>780</v>
      </c>
      <c r="B738" s="7" t="str">
        <f>HYPERLINK("https://www.ebi.ac.uk/QuickGO/GTerm?id=GO:0120041","GO:0120041 positive regulation of macrophage proliferation")</f>
        <v>GO:0120041 positive regulation of macrophage proliferation</v>
      </c>
      <c r="C738" s="1" t="s">
        <v>1</v>
      </c>
      <c r="D738" s="7" t="str">
        <f>HYPERLINK("https://www.ebi.ac.uk/QuickGO/GTerm?id=GO:0043032","GO:0043032 positive regulation of macrophage activation")</f>
        <v>GO:0043032 positive regulation of macrophage activation</v>
      </c>
      <c r="E738" s="1" t="s">
        <v>2</v>
      </c>
      <c r="F738" s="1" t="s">
        <v>717</v>
      </c>
      <c r="G738" s="8"/>
    </row>
    <row r="739" spans="1:7" ht="24.75" customHeight="1" x14ac:dyDescent="0.2">
      <c r="A739" s="6">
        <v>781</v>
      </c>
      <c r="B739" s="7" t="str">
        <f>HYPERLINK("https://www.ebi.ac.uk/QuickGO/GTerm?id=GO:0006505","GO:0006505 GPI anchor metabolic process")</f>
        <v>GO:0006505 GPI anchor metabolic process</v>
      </c>
      <c r="C739" s="1" t="s">
        <v>4</v>
      </c>
      <c r="D739" s="7" t="str">
        <f>HYPERLINK("https://www.ebi.ac.uk/QuickGO/GTerm?id=GO:0042157","GO:0042157 lipoprotein metabolic process")</f>
        <v>GO:0042157 lipoprotein metabolic process</v>
      </c>
      <c r="E739" s="1" t="s">
        <v>2</v>
      </c>
      <c r="F739" s="1" t="s">
        <v>718</v>
      </c>
      <c r="G739" s="8"/>
    </row>
    <row r="740" spans="1:7" ht="24.75" customHeight="1" x14ac:dyDescent="0.2">
      <c r="A740" s="6">
        <v>782</v>
      </c>
      <c r="B740" s="7" t="str">
        <f>HYPERLINK("https://www.ebi.ac.uk/QuickGO/GTerm?id=GO:0016063","GO:0016063 rhodopsin biosynthetic process")</f>
        <v>GO:0016063 rhodopsin biosynthetic process</v>
      </c>
      <c r="C740" s="1" t="s">
        <v>1</v>
      </c>
      <c r="D740" s="7" t="str">
        <f>HYPERLINK("https://www.ebi.ac.uk/QuickGO/GTerm?id=GO:0034645","GO:0034645 cellular macromolecule biosynthetic process")</f>
        <v>GO:0034645 cellular macromolecule biosynthetic process</v>
      </c>
      <c r="E740" s="1" t="s">
        <v>2</v>
      </c>
      <c r="F740" s="1" t="s">
        <v>719</v>
      </c>
      <c r="G740" s="8"/>
    </row>
    <row r="741" spans="1:7" ht="24.75" customHeight="1" x14ac:dyDescent="0.2">
      <c r="A741" s="6">
        <v>783</v>
      </c>
      <c r="B741" s="7" t="str">
        <f>HYPERLINK("https://www.ebi.ac.uk/QuickGO/GTerm?id=GO:1903723","GO:1903723 negative regulation of centriole elongation")</f>
        <v>GO:1903723 negative regulation of centriole elongation</v>
      </c>
      <c r="C741" s="1" t="s">
        <v>1</v>
      </c>
      <c r="D741" s="7" t="str">
        <f>HYPERLINK("https://www.ebi.ac.uk/QuickGO/GTerm?id=GO:0051494","GO:0051494 negative regulation of cytoskeleton organization")</f>
        <v>GO:0051494 negative regulation of cytoskeleton organization</v>
      </c>
      <c r="E741" s="1" t="s">
        <v>2</v>
      </c>
      <c r="F741" s="1" t="s">
        <v>720</v>
      </c>
      <c r="G741" s="8"/>
    </row>
    <row r="742" spans="1:7" ht="24.75" customHeight="1" x14ac:dyDescent="0.2">
      <c r="A742" s="6">
        <v>784</v>
      </c>
      <c r="B742" s="7" t="str">
        <f>HYPERLINK("https://www.ebi.ac.uk/QuickGO/GTerm?id=GO:0046267","GO:0046267 triethanolamine catabolic process")</f>
        <v>GO:0046267 triethanolamine catabolic process</v>
      </c>
      <c r="C742" s="1" t="s">
        <v>1</v>
      </c>
      <c r="D742" s="7" t="str">
        <f>HYPERLINK("https://www.ebi.ac.uk/QuickGO/GTerm?id=GO:0044109","GO:0044109 cellular alcohol catabolic process")</f>
        <v>GO:0044109 cellular alcohol catabolic process</v>
      </c>
      <c r="E742" s="1" t="s">
        <v>2</v>
      </c>
      <c r="F742" s="1" t="s">
        <v>721</v>
      </c>
      <c r="G742" s="8"/>
    </row>
    <row r="743" spans="1:7" ht="24.75" customHeight="1" x14ac:dyDescent="0.2">
      <c r="A743" s="6">
        <v>785</v>
      </c>
      <c r="B743" s="7" t="str">
        <f>HYPERLINK("https://www.ebi.ac.uk/QuickGO/GTerm?id=GO:0050846","GO:0050846 teichuronic acid metabolic process")</f>
        <v>GO:0050846 teichuronic acid metabolic process</v>
      </c>
      <c r="C743" s="1" t="s">
        <v>1</v>
      </c>
      <c r="D743" s="7" t="str">
        <f>HYPERLINK("https://www.ebi.ac.uk/QuickGO/GTerm?id=GO:0044036","GO:0044036 cell wall macromolecule metabolic process")</f>
        <v>GO:0044036 cell wall macromolecule metabolic process</v>
      </c>
      <c r="E743" s="1" t="s">
        <v>2</v>
      </c>
      <c r="F743" s="1" t="s">
        <v>722</v>
      </c>
      <c r="G743" s="8"/>
    </row>
    <row r="744" spans="1:7" ht="24.75" customHeight="1" x14ac:dyDescent="0.2">
      <c r="A744" s="6">
        <v>786</v>
      </c>
      <c r="B744" s="7" t="str">
        <f>HYPERLINK("https://www.ebi.ac.uk/QuickGO/GTerm?id=GO:0033474","GO:0033474 indoleacetic acid conjugate biosynthetic process")</f>
        <v>GO:0033474 indoleacetic acid conjugate biosynthetic process</v>
      </c>
      <c r="C744" s="1" t="s">
        <v>1</v>
      </c>
      <c r="D744" s="7" t="str">
        <f>HYPERLINK("https://www.ebi.ac.uk/QuickGO/GTerm?id=GO:0044283","GO:0044283 small molecule biosynthetic process")</f>
        <v>GO:0044283 small molecule biosynthetic process</v>
      </c>
      <c r="E744" s="1" t="s">
        <v>2</v>
      </c>
      <c r="F744" s="1" t="s">
        <v>723</v>
      </c>
      <c r="G744" s="8"/>
    </row>
    <row r="745" spans="1:7" ht="24.75" customHeight="1" x14ac:dyDescent="0.2">
      <c r="A745" s="6">
        <v>787</v>
      </c>
      <c r="B745" s="7" t="str">
        <f>HYPERLINK("https://www.ebi.ac.uk/QuickGO/GTerm?id=GO:0090691","GO:0090691 formation of plant organ boundary")</f>
        <v>GO:0090691 formation of plant organ boundary</v>
      </c>
      <c r="C745" s="1" t="s">
        <v>4</v>
      </c>
      <c r="D745" s="7" t="str">
        <f>HYPERLINK("https://www.ebi.ac.uk/QuickGO/GTerm?id=GO:0099402","GO:0099402 plant organ development")</f>
        <v>GO:0099402 plant organ development</v>
      </c>
      <c r="E745" s="1" t="s">
        <v>2</v>
      </c>
      <c r="F745" s="1" t="s">
        <v>724</v>
      </c>
      <c r="G745" s="8"/>
    </row>
    <row r="746" spans="1:7" ht="24.75" customHeight="1" x14ac:dyDescent="0.2">
      <c r="A746" s="6">
        <v>788</v>
      </c>
      <c r="B746" s="7" t="str">
        <f>HYPERLINK("https://www.ebi.ac.uk/QuickGO/GTerm?id=GO:0043695","GO:0043695 detection of pheromone")</f>
        <v>GO:0043695 detection of pheromone</v>
      </c>
      <c r="C746" s="1" t="s">
        <v>1</v>
      </c>
      <c r="D746" s="7" t="str">
        <f>HYPERLINK("https://www.ebi.ac.uk/QuickGO/GTerm?id=GO:0071703","GO:0071703 detection of organic substance")</f>
        <v>GO:0071703 detection of organic substance</v>
      </c>
      <c r="E746" s="1" t="s">
        <v>2</v>
      </c>
      <c r="F746" s="1" t="s">
        <v>725</v>
      </c>
      <c r="G746" s="8"/>
    </row>
    <row r="747" spans="1:7" ht="24.75" customHeight="1" x14ac:dyDescent="0.2">
      <c r="A747" s="6">
        <v>789</v>
      </c>
      <c r="B747" s="7" t="str">
        <f>HYPERLINK("https://www.ebi.ac.uk/QuickGO/GTerm?id=GO:0046248","GO:0046248 alpha-pinene biosynthetic process")</f>
        <v>GO:0046248 alpha-pinene biosynthetic process</v>
      </c>
      <c r="C747" s="1" t="s">
        <v>1</v>
      </c>
      <c r="D747" s="7" t="str">
        <f>HYPERLINK("https://www.ebi.ac.uk/QuickGO/GTerm?id=GO:0097384","GO:0097384 cellular lipid biosynthetic process")</f>
        <v>GO:0097384 cellular lipid biosynthetic process</v>
      </c>
      <c r="E747" s="1" t="s">
        <v>2</v>
      </c>
      <c r="F747" s="1" t="s">
        <v>726</v>
      </c>
      <c r="G747" s="8"/>
    </row>
    <row r="748" spans="1:7" ht="24.75" customHeight="1" x14ac:dyDescent="0.2">
      <c r="A748" s="6">
        <v>790</v>
      </c>
      <c r="B748" s="7" t="str">
        <f>HYPERLINK("https://www.ebi.ac.uk/QuickGO/GTerm?id=GO:0098532","GO:0098532 histone H3-K27 trimethylation")</f>
        <v>GO:0098532 histone H3-K27 trimethylation</v>
      </c>
      <c r="C748" s="1" t="s">
        <v>1</v>
      </c>
      <c r="D748" s="7" t="str">
        <f>HYPERLINK("https://www.ebi.ac.uk/QuickGO/GTerm?id=GO:0018023","GO:0018023 peptidyl-lysine trimethylation")</f>
        <v>GO:0018023 peptidyl-lysine trimethylation</v>
      </c>
      <c r="E748" s="1" t="s">
        <v>2</v>
      </c>
      <c r="F748" s="1" t="s">
        <v>727</v>
      </c>
      <c r="G748" s="8"/>
    </row>
    <row r="749" spans="1:7" ht="24.75" customHeight="1" x14ac:dyDescent="0.2">
      <c r="A749" s="6">
        <v>791</v>
      </c>
      <c r="B749" s="7" t="str">
        <f>HYPERLINK("https://www.ebi.ac.uk/QuickGO/GTerm?id=GO:0035578","GO:0035578 azurophil granule lumen")</f>
        <v>GO:0035578 azurophil granule lumen</v>
      </c>
      <c r="C749" s="1" t="s">
        <v>1</v>
      </c>
      <c r="D749" s="7" t="str">
        <f>HYPERLINK("https://www.ebi.ac.uk/QuickGO/GTerm?id=GO:0043202","GO:0043202 lysosomal lumen")</f>
        <v>GO:0043202 lysosomal lumen</v>
      </c>
      <c r="E749" s="1" t="s">
        <v>2</v>
      </c>
      <c r="F749" s="1" t="s">
        <v>728</v>
      </c>
      <c r="G749" s="8"/>
    </row>
    <row r="750" spans="1:7" ht="24.75" customHeight="1" x14ac:dyDescent="0.2">
      <c r="A750" s="6">
        <v>792</v>
      </c>
      <c r="B750" s="7" t="str">
        <f>HYPERLINK("https://www.ebi.ac.uk/QuickGO/GTerm?id=GO:1901970","GO:1901970 positive regulation of mitotic sister chromatid separation")</f>
        <v>GO:1901970 positive regulation of mitotic sister chromatid separation</v>
      </c>
      <c r="C750" s="1" t="s">
        <v>1</v>
      </c>
      <c r="D750" s="7" t="str">
        <f>HYPERLINK("https://www.ebi.ac.uk/QuickGO/GTerm?id=GO:2001252","GO:2001252 positive regulation of chromosome organization")</f>
        <v>GO:2001252 positive regulation of chromosome organization</v>
      </c>
      <c r="E750" s="1" t="s">
        <v>2</v>
      </c>
      <c r="F750" s="1" t="s">
        <v>729</v>
      </c>
      <c r="G750" s="8"/>
    </row>
    <row r="751" spans="1:7" ht="24.75" customHeight="1" x14ac:dyDescent="0.2">
      <c r="A751" s="6">
        <v>793</v>
      </c>
      <c r="B751" s="7" t="str">
        <f>HYPERLINK("https://www.ebi.ac.uk/QuickGO/GTerm?id=GO:0003314","GO:0003314 heart rudiment morphogenesis")</f>
        <v>GO:0003314 heart rudiment morphogenesis</v>
      </c>
      <c r="C751" s="1" t="s">
        <v>4</v>
      </c>
      <c r="D751" s="7" t="str">
        <f>HYPERLINK("https://www.ebi.ac.uk/QuickGO/GTerm?id=GO:0048562","GO:0048562 embryonic organ morphogenesis")</f>
        <v>GO:0048562 embryonic organ morphogenesis</v>
      </c>
      <c r="E751" s="1" t="s">
        <v>2</v>
      </c>
      <c r="F751" s="1" t="s">
        <v>730</v>
      </c>
      <c r="G751" s="8"/>
    </row>
    <row r="752" spans="1:7" ht="24.75" customHeight="1" x14ac:dyDescent="0.2">
      <c r="A752" s="6">
        <v>794</v>
      </c>
      <c r="B752" s="7" t="str">
        <f>HYPERLINK("https://www.ebi.ac.uk/QuickGO/GTerm?id=GO:0033333","GO:0033333 fin development")</f>
        <v>GO:0033333 fin development</v>
      </c>
      <c r="C752" s="1" t="s">
        <v>1</v>
      </c>
      <c r="D752" s="7" t="str">
        <f>HYPERLINK("https://www.ebi.ac.uk/QuickGO/GTerm?id=GO:0009888","GO:0009888 tissue development")</f>
        <v>GO:0009888 tissue development</v>
      </c>
      <c r="E752" s="1" t="s">
        <v>2</v>
      </c>
      <c r="F752" s="1" t="s">
        <v>731</v>
      </c>
      <c r="G752" s="8"/>
    </row>
    <row r="753" spans="1:7" ht="24.75" customHeight="1" x14ac:dyDescent="0.2">
      <c r="A753" s="6">
        <v>795</v>
      </c>
      <c r="B753" s="7" t="str">
        <f>HYPERLINK("https://www.ebi.ac.uk/QuickGO/GTerm?id=GO:1901502","GO:1901502 ether catabolic process")</f>
        <v>GO:1901502 ether catabolic process</v>
      </c>
      <c r="C753" s="1" t="s">
        <v>1</v>
      </c>
      <c r="D753" s="7" t="str">
        <f>HYPERLINK("https://www.ebi.ac.uk/QuickGO/GTerm?id=GO:0044282","GO:0044282 small molecule catabolic process")</f>
        <v>GO:0044282 small molecule catabolic process</v>
      </c>
      <c r="E753" s="1" t="s">
        <v>2</v>
      </c>
      <c r="F753" s="1" t="s">
        <v>732</v>
      </c>
      <c r="G753" s="8"/>
    </row>
    <row r="754" spans="1:7" ht="24.75" customHeight="1" x14ac:dyDescent="0.2">
      <c r="A754" s="6">
        <v>796</v>
      </c>
      <c r="B754" s="7" t="str">
        <f>HYPERLINK("https://www.ebi.ac.uk/QuickGO/GTerm?id=GO:0090626","GO:0090626 plant epidermis morphogenesis")</f>
        <v>GO:0090626 plant epidermis morphogenesis</v>
      </c>
      <c r="C754" s="1" t="s">
        <v>1</v>
      </c>
      <c r="D754" s="7" t="str">
        <f>HYPERLINK("https://www.ebi.ac.uk/QuickGO/GTerm?id=GO:0048729","GO:0048729 tissue morphogenesis")</f>
        <v>GO:0048729 tissue morphogenesis</v>
      </c>
      <c r="E754" s="1" t="s">
        <v>2</v>
      </c>
      <c r="F754" s="1" t="s">
        <v>733</v>
      </c>
      <c r="G754" s="8"/>
    </row>
    <row r="755" spans="1:7" ht="24.75" customHeight="1" x14ac:dyDescent="0.2">
      <c r="A755" s="6">
        <v>797</v>
      </c>
      <c r="B755" s="7" t="str">
        <f>HYPERLINK("https://www.ebi.ac.uk/QuickGO/GTerm?id=GO:0051594","GO:0051594 detection of glucose")</f>
        <v>GO:0051594 detection of glucose</v>
      </c>
      <c r="C755" s="1" t="s">
        <v>1</v>
      </c>
      <c r="D755" s="7" t="str">
        <f>HYPERLINK("https://www.ebi.ac.uk/QuickGO/GTerm?id=GO:0071703","GO:0071703 detection of organic substance")</f>
        <v>GO:0071703 detection of organic substance</v>
      </c>
      <c r="E755" s="1" t="s">
        <v>2</v>
      </c>
      <c r="F755" s="1" t="s">
        <v>734</v>
      </c>
      <c r="G755" s="8"/>
    </row>
    <row r="756" spans="1:7" ht="24.75" customHeight="1" x14ac:dyDescent="0.2">
      <c r="A756" s="6">
        <v>798</v>
      </c>
      <c r="B756" s="7" t="str">
        <f>HYPERLINK("https://www.ebi.ac.uk/QuickGO/GTerm?id=GO:1904856","GO:1904856 cytolytic granule lumen")</f>
        <v>GO:1904856 cytolytic granule lumen</v>
      </c>
      <c r="C756" s="1" t="s">
        <v>1</v>
      </c>
      <c r="D756" s="7" t="str">
        <f>HYPERLINK("https://www.ebi.ac.uk/QuickGO/GTerm?id=GO:0043202","GO:0043202 lysosomal lumen")</f>
        <v>GO:0043202 lysosomal lumen</v>
      </c>
      <c r="E756" s="1" t="s">
        <v>2</v>
      </c>
      <c r="F756" s="1" t="s">
        <v>735</v>
      </c>
      <c r="G756" s="8"/>
    </row>
    <row r="757" spans="1:7" ht="24.75" customHeight="1" x14ac:dyDescent="0.2">
      <c r="A757" s="6">
        <v>799</v>
      </c>
      <c r="B757" s="7" t="str">
        <f>HYPERLINK("https://www.ebi.ac.uk/QuickGO/GTerm?id=GO:1901928","GO:1901928 cadinene biosynthetic process")</f>
        <v>GO:1901928 cadinene biosynthetic process</v>
      </c>
      <c r="C757" s="1" t="s">
        <v>1</v>
      </c>
      <c r="D757" s="7" t="str">
        <f>HYPERLINK("https://www.ebi.ac.uk/QuickGO/GTerm?id=GO:0097384","GO:0097384 cellular lipid biosynthetic process")</f>
        <v>GO:0097384 cellular lipid biosynthetic process</v>
      </c>
      <c r="E757" s="1" t="s">
        <v>2</v>
      </c>
      <c r="F757" s="1" t="s">
        <v>736</v>
      </c>
      <c r="G757" s="8"/>
    </row>
    <row r="758" spans="1:7" ht="24.75" customHeight="1" x14ac:dyDescent="0.2">
      <c r="A758" s="6">
        <v>800</v>
      </c>
      <c r="B758" s="7" t="str">
        <f>HYPERLINK("https://www.ebi.ac.uk/QuickGO/GTerm?id=GO:2001016","GO:2001016 positive regulation of skeletal muscle cell differentiation")</f>
        <v>GO:2001016 positive regulation of skeletal muscle cell differentiation</v>
      </c>
      <c r="C758" s="1" t="s">
        <v>1</v>
      </c>
      <c r="D758" s="7" t="str">
        <f>HYPERLINK("https://www.ebi.ac.uk/QuickGO/GTerm?id=GO:0051155","GO:0051155 positive regulation of striated muscle cell differentiation")</f>
        <v>GO:0051155 positive regulation of striated muscle cell differentiation</v>
      </c>
      <c r="E758" s="1" t="s">
        <v>2</v>
      </c>
      <c r="F758" s="1" t="s">
        <v>737</v>
      </c>
      <c r="G758" s="8"/>
    </row>
    <row r="759" spans="1:7" ht="24.75" customHeight="1" x14ac:dyDescent="0.2">
      <c r="A759" s="6">
        <v>801</v>
      </c>
      <c r="B759" s="7" t="str">
        <f>HYPERLINK("https://www.ebi.ac.uk/QuickGO/GTerm?id=GO:0019887","GO:0019887 protein kinase regulator activity")</f>
        <v>GO:0019887 protein kinase regulator activity</v>
      </c>
      <c r="C759" s="1" t="s">
        <v>4</v>
      </c>
      <c r="D759" s="7" t="str">
        <f>HYPERLINK("https://www.ebi.ac.uk/QuickGO/GTerm?id=GO:0045859","GO:0045859 regulation of protein kinase activity")</f>
        <v>GO:0045859 regulation of protein kinase activity</v>
      </c>
      <c r="E759" s="1" t="s">
        <v>2</v>
      </c>
      <c r="F759" s="1" t="s">
        <v>738</v>
      </c>
      <c r="G759" s="8"/>
    </row>
    <row r="760" spans="1:7" ht="24.75" customHeight="1" x14ac:dyDescent="0.2">
      <c r="A760" s="6">
        <v>802</v>
      </c>
      <c r="B760" s="7" t="str">
        <f>HYPERLINK("https://www.ebi.ac.uk/QuickGO/GTerm?id=GO:1901097","GO:1901097 negative regulation of autophagosome maturation")</f>
        <v>GO:1901097 negative regulation of autophagosome maturation</v>
      </c>
      <c r="C760" s="1" t="s">
        <v>1</v>
      </c>
      <c r="D760" s="7" t="str">
        <f>HYPERLINK("https://www.ebi.ac.uk/QuickGO/GTerm?id=GO:0010639","GO:0010639 negative regulation of organelle organization")</f>
        <v>GO:0010639 negative regulation of organelle organization</v>
      </c>
      <c r="E760" s="1" t="s">
        <v>2</v>
      </c>
      <c r="F760" s="1" t="s">
        <v>739</v>
      </c>
      <c r="G760" s="8"/>
    </row>
    <row r="761" spans="1:7" ht="24.75" customHeight="1" x14ac:dyDescent="0.2">
      <c r="A761" s="6">
        <v>803</v>
      </c>
      <c r="B761" s="7" t="str">
        <f>HYPERLINK("https://www.ebi.ac.uk/QuickGO/GTerm?id=GO:0061258","GO:0061258 mesonephric glomerular visceral epithelial cell fate commitment")</f>
        <v>GO:0061258 mesonephric glomerular visceral epithelial cell fate commitment</v>
      </c>
      <c r="C761" s="1" t="s">
        <v>1</v>
      </c>
      <c r="D761" s="7" t="str">
        <f>HYPERLINK("https://www.ebi.ac.uk/QuickGO/GTerm?id=GO:0061252","GO:0061252 mesonephric glomerular epithelial cell fate commitment")</f>
        <v>GO:0061252 mesonephric glomerular epithelial cell fate commitment</v>
      </c>
      <c r="E761" s="1" t="s">
        <v>2</v>
      </c>
      <c r="F761" s="1" t="s">
        <v>740</v>
      </c>
      <c r="G761" s="8"/>
    </row>
    <row r="762" spans="1:7" ht="24.75" customHeight="1" x14ac:dyDescent="0.2">
      <c r="A762" s="6">
        <v>804</v>
      </c>
      <c r="B762" s="7" t="str">
        <f>HYPERLINK("https://www.ebi.ac.uk/QuickGO/GTerm?id=GO:0042126","GO:0042126 nitrate metabolic process")</f>
        <v>GO:0042126 nitrate metabolic process</v>
      </c>
      <c r="C762" s="1" t="s">
        <v>1</v>
      </c>
      <c r="D762" s="7" t="str">
        <f>HYPERLINK("https://www.ebi.ac.uk/QuickGO/GTerm?id=GO:0034641","GO:0034641 cellular nitrogen compound metabolic process")</f>
        <v>GO:0034641 cellular nitrogen compound metabolic process</v>
      </c>
      <c r="E762" s="1" t="s">
        <v>2</v>
      </c>
      <c r="F762" s="1" t="s">
        <v>741</v>
      </c>
      <c r="G762" s="8"/>
    </row>
    <row r="763" spans="1:7" ht="24.75" customHeight="1" x14ac:dyDescent="0.2">
      <c r="A763" s="6">
        <v>805</v>
      </c>
      <c r="B763" s="7" t="str">
        <f>HYPERLINK("https://www.ebi.ac.uk/QuickGO/GTerm?id=GO:0006718","GO:0006718 juvenile hormone biosynthetic process")</f>
        <v>GO:0006718 juvenile hormone biosynthetic process</v>
      </c>
      <c r="C763" s="1" t="s">
        <v>1</v>
      </c>
      <c r="D763" s="7" t="str">
        <f>HYPERLINK("https://www.ebi.ac.uk/QuickGO/GTerm?id=GO:0097384","GO:0097384 cellular lipid biosynthetic process")</f>
        <v>GO:0097384 cellular lipid biosynthetic process</v>
      </c>
      <c r="E763" s="1" t="s">
        <v>2</v>
      </c>
      <c r="F763" s="1" t="s">
        <v>742</v>
      </c>
      <c r="G763" s="8"/>
    </row>
    <row r="764" spans="1:7" ht="24.75" customHeight="1" x14ac:dyDescent="0.2">
      <c r="A764" s="6">
        <v>806</v>
      </c>
      <c r="B764" s="7" t="str">
        <f>HYPERLINK("https://www.ebi.ac.uk/QuickGO/GTerm?id=GO:0003185","GO:0003185 sinoatrial valve morphogenesis")</f>
        <v>GO:0003185 sinoatrial valve morphogenesis</v>
      </c>
      <c r="C764" s="1" t="s">
        <v>4</v>
      </c>
      <c r="D764" s="7" t="str">
        <f>HYPERLINK("https://www.ebi.ac.uk/QuickGO/GTerm?id=GO:0003007","GO:0003007 heart morphogenesis")</f>
        <v>GO:0003007 heart morphogenesis</v>
      </c>
      <c r="E764" s="1" t="s">
        <v>2</v>
      </c>
      <c r="F764" s="1" t="s">
        <v>743</v>
      </c>
      <c r="G764" s="8"/>
    </row>
    <row r="765" spans="1:7" ht="24.75" customHeight="1" x14ac:dyDescent="0.2">
      <c r="A765" s="6">
        <v>807</v>
      </c>
      <c r="B765" s="7" t="str">
        <f>HYPERLINK("https://www.ebi.ac.uk/QuickGO/GTerm?id=GO:0044347","GO:0044347 cell wall polysaccharide catabolic process")</f>
        <v>GO:0044347 cell wall polysaccharide catabolic process</v>
      </c>
      <c r="C765" s="1" t="s">
        <v>1</v>
      </c>
      <c r="D765" s="7" t="str">
        <f>HYPERLINK("https://www.ebi.ac.uk/QuickGO/GTerm?id=GO:0044275","GO:0044275 cellular carbohydrate catabolic process")</f>
        <v>GO:0044275 cellular carbohydrate catabolic process</v>
      </c>
      <c r="E765" s="1" t="s">
        <v>2</v>
      </c>
      <c r="F765" s="1" t="s">
        <v>744</v>
      </c>
      <c r="G765" s="8"/>
    </row>
    <row r="766" spans="1:7" ht="24.75" customHeight="1" x14ac:dyDescent="0.2">
      <c r="A766" s="6">
        <v>808</v>
      </c>
      <c r="B766" s="7" t="str">
        <f>HYPERLINK("https://www.ebi.ac.uk/QuickGO/GTerm?id=GO:0019759","GO:0019759 glycosinolate catabolic process")</f>
        <v>GO:0019759 glycosinolate catabolic process</v>
      </c>
      <c r="C766" s="1" t="s">
        <v>1</v>
      </c>
      <c r="D766" s="7" t="str">
        <f>HYPERLINK("https://www.ebi.ac.uk/QuickGO/GTerm?id=GO:0016054","GO:0016054 organic acid catabolic process")</f>
        <v>GO:0016054 organic acid catabolic process</v>
      </c>
      <c r="E766" s="1" t="s">
        <v>2</v>
      </c>
      <c r="F766" s="1" t="s">
        <v>745</v>
      </c>
      <c r="G766" s="8"/>
    </row>
    <row r="767" spans="1:7" ht="24.75" customHeight="1" x14ac:dyDescent="0.2">
      <c r="A767" s="6">
        <v>809</v>
      </c>
      <c r="B767" s="7" t="str">
        <f>HYPERLINK("https://www.ebi.ac.uk/QuickGO/GTerm?id=GO:0050988","GO:0050988 N-terminal peptidyl-methionine carboxylation")</f>
        <v>GO:0050988 N-terminal peptidyl-methionine carboxylation</v>
      </c>
      <c r="C767" s="1" t="s">
        <v>1</v>
      </c>
      <c r="D767" s="7" t="str">
        <f>HYPERLINK("https://www.ebi.ac.uk/QuickGO/GTerm?id=GO:0018214","GO:0018214 protein carboxylation")</f>
        <v>GO:0018214 protein carboxylation</v>
      </c>
      <c r="E767" s="1" t="s">
        <v>2</v>
      </c>
      <c r="F767" s="1" t="s">
        <v>746</v>
      </c>
      <c r="G767" s="8"/>
    </row>
    <row r="768" spans="1:7" ht="24.75" customHeight="1" x14ac:dyDescent="0.2">
      <c r="A768" s="6">
        <v>810</v>
      </c>
      <c r="B768" s="7" t="str">
        <f>HYPERLINK("https://www.ebi.ac.uk/QuickGO/GTerm?id=GO:0051178","GO:0051178 meiotic chromosome decondensation")</f>
        <v>GO:0051178 meiotic chromosome decondensation</v>
      </c>
      <c r="C768" s="1" t="s">
        <v>4</v>
      </c>
      <c r="D768" s="7" t="str">
        <f>HYPERLINK("https://www.ebi.ac.uk/QuickGO/GTerm?id=GO:0045144","GO:0045144 meiotic sister chromatid segregation")</f>
        <v>GO:0045144 meiotic sister chromatid segregation</v>
      </c>
      <c r="E768" s="1" t="s">
        <v>2</v>
      </c>
      <c r="F768" s="1" t="s">
        <v>747</v>
      </c>
      <c r="G768" s="8"/>
    </row>
    <row r="769" spans="1:7" ht="24.75" customHeight="1" x14ac:dyDescent="0.2">
      <c r="A769" s="6">
        <v>811</v>
      </c>
      <c r="B769" s="7" t="str">
        <f>HYPERLINK("https://www.ebi.ac.uk/QuickGO/GTerm?id=GO:0003180","GO:0003180 aortic valve morphogenesis")</f>
        <v>GO:0003180 aortic valve morphogenesis</v>
      </c>
      <c r="C769" s="1" t="s">
        <v>4</v>
      </c>
      <c r="D769" s="7" t="str">
        <f>HYPERLINK("https://www.ebi.ac.uk/QuickGO/GTerm?id=GO:0003007","GO:0003007 heart morphogenesis")</f>
        <v>GO:0003007 heart morphogenesis</v>
      </c>
      <c r="E769" s="1" t="s">
        <v>2</v>
      </c>
      <c r="F769" s="1" t="s">
        <v>748</v>
      </c>
      <c r="G769" s="8"/>
    </row>
    <row r="770" spans="1:7" ht="24.75" customHeight="1" x14ac:dyDescent="0.2">
      <c r="A770" s="6">
        <v>812</v>
      </c>
      <c r="B770" s="7" t="str">
        <f>HYPERLINK("https://www.ebi.ac.uk/QuickGO/GTerm?id=GO:0061554","GO:0061554 ganglion formation")</f>
        <v>GO:0061554 ganglion formation</v>
      </c>
      <c r="C770" s="1" t="s">
        <v>1</v>
      </c>
      <c r="D770" s="7" t="str">
        <f>HYPERLINK("https://www.ebi.ac.uk/QuickGO/GTerm?id=GO:0048645","GO:0048645 animal organ formation")</f>
        <v>GO:0048645 animal organ formation</v>
      </c>
      <c r="E770" s="1" t="s">
        <v>2</v>
      </c>
      <c r="F770" s="1" t="s">
        <v>751</v>
      </c>
      <c r="G770" s="8"/>
    </row>
    <row r="771" spans="1:7" ht="24.75" customHeight="1" x14ac:dyDescent="0.2">
      <c r="A771" s="6">
        <v>813</v>
      </c>
      <c r="B771" s="7" t="str">
        <f>HYPERLINK("https://www.ebi.ac.uk/QuickGO/GTerm?id=GO:0032774","GO:0032774 RNA biosynthetic process")</f>
        <v>GO:0032774 RNA biosynthetic process</v>
      </c>
      <c r="C771" s="1" t="s">
        <v>1</v>
      </c>
      <c r="D771" s="7" t="str">
        <f>HYPERLINK("https://www.ebi.ac.uk/QuickGO/GTerm?id=GO:0034645","GO:0034645 cellular macromolecule biosynthetic process")</f>
        <v>GO:0034645 cellular macromolecule biosynthetic process</v>
      </c>
      <c r="E771" s="1" t="s">
        <v>2</v>
      </c>
      <c r="F771" s="1" t="s">
        <v>752</v>
      </c>
      <c r="G771" s="8"/>
    </row>
    <row r="772" spans="1:7" ht="24.75" customHeight="1" x14ac:dyDescent="0.2">
      <c r="A772" s="6">
        <v>814</v>
      </c>
      <c r="B772" s="7" t="str">
        <f>HYPERLINK("https://www.ebi.ac.uk/QuickGO/GTerm?id=GO:0045853","GO:0045853 negative regulation of bicoid mRNA localization")</f>
        <v>GO:0045853 negative regulation of bicoid mRNA localization</v>
      </c>
      <c r="C772" s="1" t="s">
        <v>1</v>
      </c>
      <c r="D772" s="7" t="str">
        <f>HYPERLINK("https://www.ebi.ac.uk/QuickGO/GTerm?id=GO:1903430","GO:1903430 negative regulation of cell maturation")</f>
        <v>GO:1903430 negative regulation of cell maturation</v>
      </c>
      <c r="E772" s="1" t="s">
        <v>2</v>
      </c>
      <c r="F772" s="1" t="s">
        <v>753</v>
      </c>
      <c r="G772" s="8"/>
    </row>
    <row r="773" spans="1:7" ht="24.75" customHeight="1" x14ac:dyDescent="0.2">
      <c r="A773" s="6">
        <v>815</v>
      </c>
      <c r="B773" s="7" t="str">
        <f>HYPERLINK("https://www.ebi.ac.uk/QuickGO/GTerm?id=GO:1900246","GO:1900246 positive regulation of RIG-I signaling pathway")</f>
        <v>GO:1900246 positive regulation of RIG-I signaling pathway</v>
      </c>
      <c r="C773" s="1" t="s">
        <v>1</v>
      </c>
      <c r="D773" s="7" t="str">
        <f>HYPERLINK("https://www.ebi.ac.uk/QuickGO/GTerm?id=GO:0031349","GO:0031349 positive regulation of defense response")</f>
        <v>GO:0031349 positive regulation of defense response</v>
      </c>
      <c r="E773" s="1" t="s">
        <v>2</v>
      </c>
      <c r="F773" s="1" t="s">
        <v>754</v>
      </c>
      <c r="G773" s="8"/>
    </row>
    <row r="774" spans="1:7" ht="24.75" customHeight="1" x14ac:dyDescent="0.2">
      <c r="A774" s="6">
        <v>816</v>
      </c>
      <c r="B774" s="7" t="str">
        <f>HYPERLINK("https://www.ebi.ac.uk/QuickGO/GTerm?id=GO:1903949","GO:1903949 positive regulation of atrial cardiac muscle cell action potential")</f>
        <v>GO:1903949 positive regulation of atrial cardiac muscle cell action potential</v>
      </c>
      <c r="C774" s="1" t="s">
        <v>1</v>
      </c>
      <c r="D774" s="7" t="str">
        <f>HYPERLINK("https://www.ebi.ac.uk/QuickGO/GTerm?id=GO:0106134","GO:0106134 positive regulation of cardiac muscle cell contraction")</f>
        <v>GO:0106134 positive regulation of cardiac muscle cell contraction</v>
      </c>
      <c r="E774" s="1" t="s">
        <v>2</v>
      </c>
      <c r="F774" s="1" t="s">
        <v>755</v>
      </c>
      <c r="G774" s="8"/>
    </row>
    <row r="775" spans="1:7" ht="24.75" customHeight="1" x14ac:dyDescent="0.2">
      <c r="A775" s="6">
        <v>817</v>
      </c>
      <c r="B775" s="7" t="str">
        <f>HYPERLINK("https://www.ebi.ac.uk/QuickGO/GTerm?id=GO:1902106","GO:1902106 negative regulation of leukocyte differentiation")</f>
        <v>GO:1902106 negative regulation of leukocyte differentiation</v>
      </c>
      <c r="C775" s="1" t="s">
        <v>1</v>
      </c>
      <c r="D775" s="7" t="str">
        <f>HYPERLINK("https://www.ebi.ac.uk/QuickGO/GTerm?id=GO:0002695","GO:0002695 negative regulation of leukocyte activation")</f>
        <v>GO:0002695 negative regulation of leukocyte activation</v>
      </c>
      <c r="E775" s="1" t="s">
        <v>2</v>
      </c>
      <c r="F775" s="1" t="s">
        <v>756</v>
      </c>
      <c r="G775" s="8"/>
    </row>
    <row r="776" spans="1:7" ht="24.75" customHeight="1" x14ac:dyDescent="0.2">
      <c r="A776" s="6">
        <v>818</v>
      </c>
      <c r="B776" s="7" t="str">
        <f>HYPERLINK("https://www.ebi.ac.uk/QuickGO/GTerm?id=GO:0046374","GO:0046374 teichoic acid metabolic process")</f>
        <v>GO:0046374 teichoic acid metabolic process</v>
      </c>
      <c r="C776" s="1" t="s">
        <v>1</v>
      </c>
      <c r="D776" s="7" t="str">
        <f>HYPERLINK("https://www.ebi.ac.uk/QuickGO/GTerm?id=GO:0044036","GO:0044036 cell wall macromolecule metabolic process")</f>
        <v>GO:0044036 cell wall macromolecule metabolic process</v>
      </c>
      <c r="E776" s="1" t="s">
        <v>2</v>
      </c>
      <c r="F776" s="1" t="s">
        <v>757</v>
      </c>
      <c r="G776" s="8"/>
    </row>
    <row r="777" spans="1:7" ht="24.75" customHeight="1" x14ac:dyDescent="0.2">
      <c r="A777" s="6">
        <v>819</v>
      </c>
      <c r="B777" s="7" t="str">
        <f>HYPERLINK("https://www.ebi.ac.uk/QuickGO/GTerm?id=GO:0033384","GO:0033384 geranyl diphosphate biosynthetic process")</f>
        <v>GO:0033384 geranyl diphosphate biosynthetic process</v>
      </c>
      <c r="C777" s="1" t="s">
        <v>1</v>
      </c>
      <c r="D777" s="7" t="str">
        <f>HYPERLINK("https://www.ebi.ac.uk/QuickGO/GTerm?id=GO:0097384","GO:0097384 cellular lipid biosynthetic process")</f>
        <v>GO:0097384 cellular lipid biosynthetic process</v>
      </c>
      <c r="E777" s="1" t="s">
        <v>2</v>
      </c>
      <c r="F777" s="1" t="s">
        <v>758</v>
      </c>
      <c r="G777" s="8"/>
    </row>
    <row r="778" spans="1:7" ht="24.75" customHeight="1" x14ac:dyDescent="0.2">
      <c r="A778" s="6">
        <v>820</v>
      </c>
      <c r="B778" s="7" t="str">
        <f>HYPERLINK("https://www.ebi.ac.uk/QuickGO/GTerm?id=GO:0009718","GO:0009718 anthocyanin-containing compound biosynthetic process")</f>
        <v>GO:0009718 anthocyanin-containing compound biosynthetic process</v>
      </c>
      <c r="C778" s="1" t="s">
        <v>1</v>
      </c>
      <c r="D778" s="7" t="str">
        <f>HYPERLINK("https://www.ebi.ac.uk/QuickGO/GTerm?id=GO:0016138","GO:0016138 glycoside biosynthetic process")</f>
        <v>GO:0016138 glycoside biosynthetic process</v>
      </c>
      <c r="E778" s="1" t="s">
        <v>2</v>
      </c>
      <c r="F778" s="1" t="s">
        <v>759</v>
      </c>
      <c r="G778" s="8"/>
    </row>
    <row r="779" spans="1:7" ht="24.75" customHeight="1" x14ac:dyDescent="0.2">
      <c r="A779" s="6">
        <v>821</v>
      </c>
      <c r="B779" s="7" t="str">
        <f>HYPERLINK("https://www.ebi.ac.uk/QuickGO/GTerm?id=GO:0030920","GO:0030920 peptidyl-serine acetylation")</f>
        <v>GO:0030920 peptidyl-serine acetylation</v>
      </c>
      <c r="C779" s="1" t="s">
        <v>1</v>
      </c>
      <c r="D779" s="7" t="str">
        <f>HYPERLINK("https://www.ebi.ac.uk/QuickGO/GTerm?id=GO:0018209","GO:0018209 peptidyl-serine modification")</f>
        <v>GO:0018209 peptidyl-serine modification</v>
      </c>
      <c r="E779" s="1" t="s">
        <v>2</v>
      </c>
      <c r="F779" s="1" t="s">
        <v>760</v>
      </c>
      <c r="G779" s="8"/>
    </row>
    <row r="780" spans="1:7" ht="24.75" customHeight="1" x14ac:dyDescent="0.2">
      <c r="A780" s="6">
        <v>822</v>
      </c>
      <c r="B780" s="7" t="str">
        <f>HYPERLINK("https://www.ebi.ac.uk/QuickGO/GTerm?id=GO:0006777","GO:0006777 Mo-molybdopterin cofactor biosynthetic process")</f>
        <v>GO:0006777 Mo-molybdopterin cofactor biosynthetic process</v>
      </c>
      <c r="C780" s="1" t="s">
        <v>1</v>
      </c>
      <c r="D780" s="7" t="str">
        <f>HYPERLINK("https://www.ebi.ac.uk/QuickGO/GTerm?id=GO:0051191","GO:0051191 prosthetic group biosynthetic process")</f>
        <v>GO:0051191 prosthetic group biosynthetic process</v>
      </c>
      <c r="E780" s="1" t="s">
        <v>2</v>
      </c>
      <c r="F780" s="1" t="s">
        <v>761</v>
      </c>
      <c r="G780" s="8"/>
    </row>
    <row r="781" spans="1:7" ht="24.75" customHeight="1" x14ac:dyDescent="0.2">
      <c r="A781" s="6">
        <v>823</v>
      </c>
      <c r="B781" s="7" t="str">
        <f>HYPERLINK("https://www.ebi.ac.uk/QuickGO/GTerm?id=GO:1904024","GO:1904024 negative regulation of glucose catabolic process to lactate via pyruvate")</f>
        <v>GO:1904024 negative regulation of glucose catabolic process to lactate via pyruvate</v>
      </c>
      <c r="C781" s="1" t="s">
        <v>1</v>
      </c>
      <c r="D781" s="7" t="str">
        <f>HYPERLINK("https://www.ebi.ac.uk/QuickGO/GTerm?id=GO:0010677","GO:0010677 negative regulation of cellular carbohydrate metabolic process")</f>
        <v>GO:0010677 negative regulation of cellular carbohydrate metabolic process</v>
      </c>
      <c r="E781" s="1" t="s">
        <v>2</v>
      </c>
      <c r="F781" s="1" t="s">
        <v>762</v>
      </c>
      <c r="G781" s="8"/>
    </row>
    <row r="782" spans="1:7" ht="24.75" customHeight="1" x14ac:dyDescent="0.2">
      <c r="A782" s="6">
        <v>824</v>
      </c>
      <c r="B782" s="7" t="str">
        <f>HYPERLINK("https://www.ebi.ac.uk/QuickGO/GTerm?id=GO:0046601","GO:0046601 positive regulation of centriole replication")</f>
        <v>GO:0046601 positive regulation of centriole replication</v>
      </c>
      <c r="C782" s="1" t="s">
        <v>1</v>
      </c>
      <c r="D782" s="7" t="str">
        <f>HYPERLINK("https://www.ebi.ac.uk/QuickGO/GTerm?id=GO:0046607","GO:0046607 positive regulation of centrosome cycle")</f>
        <v>GO:0046607 positive regulation of centrosome cycle</v>
      </c>
      <c r="E782" s="1" t="s">
        <v>2</v>
      </c>
      <c r="F782" s="1" t="s">
        <v>763</v>
      </c>
      <c r="G782" s="8"/>
    </row>
    <row r="783" spans="1:7" ht="24.75" customHeight="1" x14ac:dyDescent="0.2">
      <c r="A783" s="6">
        <v>825</v>
      </c>
      <c r="B783" s="7" t="str">
        <f>HYPERLINK("https://www.ebi.ac.uk/QuickGO/GTerm?id=GO:0070800","GO:0070800 negative regulation of conidiophore stalk development")</f>
        <v>GO:0070800 negative regulation of conidiophore stalk development</v>
      </c>
      <c r="C783" s="1" t="s">
        <v>1</v>
      </c>
      <c r="D783" s="7" t="str">
        <f>HYPERLINK("https://www.ebi.ac.uk/QuickGO/GTerm?id=GO:0075262","GO:0075262 negative regulation of spore-bearing organ development")</f>
        <v>GO:0075262 negative regulation of spore-bearing organ development</v>
      </c>
      <c r="E783" s="1" t="s">
        <v>2</v>
      </c>
      <c r="F783" s="1" t="s">
        <v>764</v>
      </c>
      <c r="G783" s="8"/>
    </row>
    <row r="784" spans="1:7" ht="24.75" customHeight="1" x14ac:dyDescent="0.2">
      <c r="A784" s="6">
        <v>826</v>
      </c>
      <c r="B784" s="7" t="str">
        <f>HYPERLINK("https://www.ebi.ac.uk/QuickGO/GTerm?id=GO:2000016","GO:2000016 negative regulation of determination of dorsal identity")</f>
        <v>GO:2000016 negative regulation of determination of dorsal identity</v>
      </c>
      <c r="C784" s="1" t="s">
        <v>1</v>
      </c>
      <c r="D784" s="7" t="str">
        <f>HYPERLINK("https://www.ebi.ac.uk/QuickGO/GTerm?id=GO:0051093","GO:0051093 negative regulation of developmental process")</f>
        <v>GO:0051093 negative regulation of developmental process</v>
      </c>
      <c r="E784" s="1" t="s">
        <v>2</v>
      </c>
      <c r="F784" s="1" t="s">
        <v>765</v>
      </c>
      <c r="G784" s="8"/>
    </row>
    <row r="785" spans="1:7" ht="24.75" customHeight="1" x14ac:dyDescent="0.2">
      <c r="A785" s="6">
        <v>827</v>
      </c>
      <c r="B785" s="7" t="str">
        <f>HYPERLINK("https://www.ebi.ac.uk/QuickGO/GTerm?id=GO:0009226","GO:0009226 nucleotide-sugar biosynthetic process")</f>
        <v>GO:0009226 nucleotide-sugar biosynthetic process</v>
      </c>
      <c r="C785" s="1" t="s">
        <v>1</v>
      </c>
      <c r="D785" s="7" t="str">
        <f>HYPERLINK("https://www.ebi.ac.uk/QuickGO/GTerm?id=GO:0034404","GO:0034404 nucleobase-containing small molecule biosynthetic process")</f>
        <v>GO:0034404 nucleobase-containing small molecule biosynthetic process</v>
      </c>
      <c r="E785" s="1" t="s">
        <v>2</v>
      </c>
      <c r="F785" s="1" t="s">
        <v>766</v>
      </c>
      <c r="G785" s="8"/>
    </row>
    <row r="786" spans="1:7" ht="24.75" customHeight="1" x14ac:dyDescent="0.2">
      <c r="A786" s="6">
        <v>828</v>
      </c>
      <c r="B786" s="7" t="str">
        <f>HYPERLINK("https://www.ebi.ac.uk/QuickGO/GTerm?id=GO:0033070","GO:0033070 ansamycin biosynthetic process")</f>
        <v>GO:0033070 ansamycin biosynthetic process</v>
      </c>
      <c r="C786" s="1" t="s">
        <v>1</v>
      </c>
      <c r="D786" s="7" t="str">
        <f>HYPERLINK("https://www.ebi.ac.uk/QuickGO/GTerm?id=GO:0017000","GO:0017000 antibiotic biosynthetic process")</f>
        <v>GO:0017000 antibiotic biosynthetic process</v>
      </c>
      <c r="E786" s="1" t="s">
        <v>2</v>
      </c>
      <c r="F786" s="1" t="s">
        <v>767</v>
      </c>
      <c r="G786" s="8"/>
    </row>
    <row r="787" spans="1:7" ht="24.75" customHeight="1" x14ac:dyDescent="0.2">
      <c r="A787" s="6">
        <v>829</v>
      </c>
      <c r="B787" s="7" t="str">
        <f>HYPERLINK("https://www.ebi.ac.uk/QuickGO/GTerm?id=GO:1904114","GO:1904114 positive regulation of muscle filament sliding")</f>
        <v>GO:1904114 positive regulation of muscle filament sliding</v>
      </c>
      <c r="C787" s="1" t="s">
        <v>1</v>
      </c>
      <c r="D787" s="7" t="str">
        <f>HYPERLINK("https://www.ebi.ac.uk/QuickGO/GTerm?id=GO:0051240","GO:0051240 positive regulation of multicellular organismal process")</f>
        <v>GO:0051240 positive regulation of multicellular organismal process</v>
      </c>
      <c r="E787" s="1" t="s">
        <v>2</v>
      </c>
      <c r="F787" s="1" t="s">
        <v>768</v>
      </c>
      <c r="G787" s="8"/>
    </row>
    <row r="788" spans="1:7" ht="24.75" customHeight="1" x14ac:dyDescent="0.2">
      <c r="A788" s="6">
        <v>830</v>
      </c>
      <c r="B788" s="7" t="str">
        <f>HYPERLINK("https://www.ebi.ac.uk/QuickGO/GTerm?id=GO:0046254","GO:0046254 anaerobic toluene catabolic process")</f>
        <v>GO:0046254 anaerobic toluene catabolic process</v>
      </c>
      <c r="C788" s="1" t="s">
        <v>1</v>
      </c>
      <c r="D788" s="7" t="str">
        <f>HYPERLINK("https://www.ebi.ac.uk/QuickGO/GTerm?id=GO:0018971","GO:0018971 anaerobic toluene metabolic process")</f>
        <v>GO:0018971 anaerobic toluene metabolic process</v>
      </c>
      <c r="E788" s="1" t="s">
        <v>2</v>
      </c>
      <c r="F788" s="1" t="s">
        <v>769</v>
      </c>
      <c r="G788" s="8"/>
    </row>
    <row r="789" spans="1:7" ht="24.75" customHeight="1" x14ac:dyDescent="0.2">
      <c r="A789" s="6">
        <v>831</v>
      </c>
      <c r="B789" s="7" t="str">
        <f>HYPERLINK("https://www.ebi.ac.uk/QuickGO/GTerm?id=GO:1900261","GO:1900261 positive regulation of RNA-directed 5'-3' RNA polymerase activity")</f>
        <v>GO:1900261 positive regulation of RNA-directed 5'-3' RNA polymerase activity</v>
      </c>
      <c r="C789" s="1" t="s">
        <v>1</v>
      </c>
      <c r="D789" s="7" t="str">
        <f>HYPERLINK("https://www.ebi.ac.uk/QuickGO/GTerm?id=GO:0009891","GO:0009891 positive regulation of biosynthetic process")</f>
        <v>GO:0009891 positive regulation of biosynthetic process</v>
      </c>
      <c r="E789" s="1" t="s">
        <v>2</v>
      </c>
      <c r="F789" s="1" t="s">
        <v>770</v>
      </c>
      <c r="G789" s="8"/>
    </row>
    <row r="790" spans="1:7" ht="24.75" customHeight="1" x14ac:dyDescent="0.2">
      <c r="A790" s="6">
        <v>832</v>
      </c>
      <c r="B790" s="7" t="str">
        <f>HYPERLINK("https://www.ebi.ac.uk/QuickGO/GTerm?id=GO:1901030","GO:1901030 positive regulation of mitochondrial outer membrane permeabilization involved in apoptotic signaling pathway")</f>
        <v>GO:1901030 positive regulation of mitochondrial outer membrane permeabilization involved in apoptotic signaling pathway</v>
      </c>
      <c r="C790" s="1" t="s">
        <v>1</v>
      </c>
      <c r="D790" s="7" t="str">
        <f>HYPERLINK("https://www.ebi.ac.uk/QuickGO/GTerm?id=GO:0010942","GO:0010942 positive regulation of cell death")</f>
        <v>GO:0010942 positive regulation of cell death</v>
      </c>
      <c r="E790" s="1" t="s">
        <v>2</v>
      </c>
      <c r="F790" s="1" t="s">
        <v>771</v>
      </c>
      <c r="G790" s="8"/>
    </row>
    <row r="791" spans="1:7" ht="24.75" customHeight="1" x14ac:dyDescent="0.2">
      <c r="A791" s="6">
        <v>833</v>
      </c>
      <c r="B791" s="7" t="str">
        <f>HYPERLINK("https://www.ebi.ac.uk/QuickGO/GTerm?id=GO:1904326","GO:1904326 negative regulation of circadian sleep/wake cycle, wakefulness")</f>
        <v>GO:1904326 negative regulation of circadian sleep/wake cycle, wakefulness</v>
      </c>
      <c r="C791" s="1" t="s">
        <v>1</v>
      </c>
      <c r="D791" s="7" t="str">
        <f>HYPERLINK("https://www.ebi.ac.uk/QuickGO/GTerm?id=GO:0051241","GO:0051241 negative regulation of multicellular organismal process")</f>
        <v>GO:0051241 negative regulation of multicellular organismal process</v>
      </c>
      <c r="E791" s="1" t="s">
        <v>2</v>
      </c>
      <c r="F791" s="1" t="s">
        <v>772</v>
      </c>
      <c r="G791" s="8"/>
    </row>
    <row r="792" spans="1:7" ht="24.75" customHeight="1" x14ac:dyDescent="0.2">
      <c r="A792" s="6">
        <v>834</v>
      </c>
      <c r="B792" s="7" t="str">
        <f>HYPERLINK("https://www.ebi.ac.uk/QuickGO/GTerm?id=GO:0098705","GO:0098705 copper ion import across plasma membrane")</f>
        <v>GO:0098705 copper ion import across plasma membrane</v>
      </c>
      <c r="C792" s="1" t="s">
        <v>1</v>
      </c>
      <c r="D792" s="7" t="str">
        <f>HYPERLINK("https://www.ebi.ac.uk/QuickGO/GTerm?id=GO:0055070","GO:0055070 copper ion homeostasis")</f>
        <v>GO:0055070 copper ion homeostasis</v>
      </c>
      <c r="E792" s="1" t="s">
        <v>2</v>
      </c>
      <c r="F792" s="1" t="s">
        <v>773</v>
      </c>
      <c r="G792" s="8"/>
    </row>
    <row r="793" spans="1:7" ht="24.75" customHeight="1" x14ac:dyDescent="0.2">
      <c r="A793" s="6">
        <v>835</v>
      </c>
      <c r="B793" s="7" t="str">
        <f>HYPERLINK("https://www.ebi.ac.uk/QuickGO/GTerm?id=GO:0045658","GO:0045658 regulation of neutrophil differentiation")</f>
        <v>GO:0045658 regulation of neutrophil differentiation</v>
      </c>
      <c r="C793" s="1" t="s">
        <v>1</v>
      </c>
      <c r="D793" s="7" t="str">
        <f>HYPERLINK("https://www.ebi.ac.uk/QuickGO/GTerm?id=GO:1902563","GO:1902563 regulation of neutrophil activation")</f>
        <v>GO:1902563 regulation of neutrophil activation</v>
      </c>
      <c r="E793" s="1" t="s">
        <v>2</v>
      </c>
      <c r="F793" s="1" t="s">
        <v>774</v>
      </c>
      <c r="G793" s="8"/>
    </row>
    <row r="794" spans="1:7" ht="24.75" customHeight="1" x14ac:dyDescent="0.2">
      <c r="A794" s="6">
        <v>836</v>
      </c>
      <c r="B794" s="7" t="str">
        <f>HYPERLINK("https://www.ebi.ac.uk/QuickGO/GTerm?id=GO:0099151","GO:0099151 regulation of postsynaptic density assembly")</f>
        <v>GO:0099151 regulation of postsynaptic density assembly</v>
      </c>
      <c r="C794" s="1" t="s">
        <v>1</v>
      </c>
      <c r="D794" s="7" t="str">
        <f>HYPERLINK("https://www.ebi.ac.uk/QuickGO/GTerm?id=GO:0150052","GO:0150052 regulation of postsynapse assembly")</f>
        <v>GO:0150052 regulation of postsynapse assembly</v>
      </c>
      <c r="E794" s="1" t="s">
        <v>2</v>
      </c>
      <c r="F794" s="1" t="s">
        <v>775</v>
      </c>
      <c r="G794" s="8"/>
    </row>
    <row r="795" spans="1:7" ht="24.75" customHeight="1" x14ac:dyDescent="0.2">
      <c r="A795" s="6">
        <v>837</v>
      </c>
      <c r="B795" s="7" t="str">
        <f>HYPERLINK("https://www.ebi.ac.uk/QuickGO/GTerm?id=GO:0106175","GO:0106175 phagolysosome vesicle membrane")</f>
        <v>GO:0106175 phagolysosome vesicle membrane</v>
      </c>
      <c r="C795" s="1" t="s">
        <v>1</v>
      </c>
      <c r="D795" s="7" t="str">
        <f>HYPERLINK("https://www.ebi.ac.uk/QuickGO/GTerm?id=GO:0005774","GO:0005774 vacuolar membrane")</f>
        <v>GO:0005774 vacuolar membrane</v>
      </c>
      <c r="E795" s="1" t="s">
        <v>2</v>
      </c>
      <c r="F795" s="1" t="s">
        <v>776</v>
      </c>
      <c r="G795" s="8"/>
    </row>
    <row r="796" spans="1:7" ht="24.75" customHeight="1" x14ac:dyDescent="0.2">
      <c r="A796" s="6">
        <v>838</v>
      </c>
      <c r="B796" s="7" t="str">
        <f>HYPERLINK("https://www.ebi.ac.uk/QuickGO/GTerm?id=GO:0002624","GO:0002624 positive regulation of B cell antigen processing and presentation")</f>
        <v>GO:0002624 positive regulation of B cell antigen processing and presentation</v>
      </c>
      <c r="C796" s="1" t="s">
        <v>1</v>
      </c>
      <c r="D796" s="7" t="str">
        <f>HYPERLINK("https://www.ebi.ac.uk/QuickGO/GTerm?id=GO:0002824","GO:0002824 positive regulation of adaptive immune response based on somatic recombination of immune receptors built from immunoglobulin superfamily domains")</f>
        <v>GO:0002824 positive regulation of adaptive immune response based on somatic recombination of immune receptors built from immunoglobulin superfamily domains</v>
      </c>
      <c r="E796" s="1" t="s">
        <v>2</v>
      </c>
      <c r="F796" s="1" t="s">
        <v>777</v>
      </c>
      <c r="G796" s="8"/>
    </row>
    <row r="797" spans="1:7" ht="24.75" customHeight="1" x14ac:dyDescent="0.2">
      <c r="A797" s="6">
        <v>839</v>
      </c>
      <c r="B797" s="7" t="str">
        <f>HYPERLINK("https://www.ebi.ac.uk/QuickGO/GTerm?id=GO:0003228","GO:0003228 atrial cardiac muscle tissue development")</f>
        <v>GO:0003228 atrial cardiac muscle tissue development</v>
      </c>
      <c r="C797" s="1" t="s">
        <v>1</v>
      </c>
      <c r="D797" s="7" t="str">
        <f>HYPERLINK("https://www.ebi.ac.uk/QuickGO/GTerm?id=GO:0048738","GO:0048738 cardiac muscle tissue development")</f>
        <v>GO:0048738 cardiac muscle tissue development</v>
      </c>
      <c r="E797" s="1" t="s">
        <v>2</v>
      </c>
      <c r="F797" s="1" t="s">
        <v>778</v>
      </c>
      <c r="G797" s="8"/>
    </row>
    <row r="798" spans="1:7" ht="24.75" customHeight="1" x14ac:dyDescent="0.2">
      <c r="A798" s="6">
        <v>840</v>
      </c>
      <c r="B798" s="7" t="str">
        <f>HYPERLINK("https://www.ebi.ac.uk/QuickGO/GTerm?id=GO:0097019","GO:0097019 neurotransmitter receptor catabolic process")</f>
        <v>GO:0097019 neurotransmitter receptor catabolic process</v>
      </c>
      <c r="C798" s="1" t="s">
        <v>1</v>
      </c>
      <c r="D798" s="7" t="str">
        <f>HYPERLINK("https://www.ebi.ac.uk/QuickGO/GTerm?id=GO:0044265","GO:0044265 cellular macromolecule catabolic process")</f>
        <v>GO:0044265 cellular macromolecule catabolic process</v>
      </c>
      <c r="E798" s="1" t="s">
        <v>2</v>
      </c>
      <c r="F798" s="1" t="s">
        <v>779</v>
      </c>
      <c r="G798" s="8"/>
    </row>
    <row r="799" spans="1:7" ht="24.75" customHeight="1" x14ac:dyDescent="0.2">
      <c r="A799" s="6">
        <v>841</v>
      </c>
      <c r="B799" s="7" t="str">
        <f>HYPERLINK("https://www.ebi.ac.uk/QuickGO/GTerm?id=GO:1903578","GO:1903578 regulation of ATP metabolic process")</f>
        <v>GO:1903578 regulation of ATP metabolic process</v>
      </c>
      <c r="C799" s="1" t="s">
        <v>1</v>
      </c>
      <c r="D799" s="7" t="str">
        <f>HYPERLINK("https://www.ebi.ac.uk/QuickGO/GTerm?id=GO:0006140","GO:0006140 regulation of nucleotide metabolic process")</f>
        <v>GO:0006140 regulation of nucleotide metabolic process</v>
      </c>
      <c r="E799" s="1" t="s">
        <v>2</v>
      </c>
      <c r="F799" s="1" t="s">
        <v>780</v>
      </c>
      <c r="G799" s="8"/>
    </row>
    <row r="800" spans="1:7" ht="24.75" customHeight="1" x14ac:dyDescent="0.2">
      <c r="A800" s="6">
        <v>842</v>
      </c>
      <c r="B800" s="7" t="str">
        <f>HYPERLINK("https://www.ebi.ac.uk/QuickGO/GTerm?id=GO:0045659","GO:0045659 negative regulation of neutrophil differentiation")</f>
        <v>GO:0045659 negative regulation of neutrophil differentiation</v>
      </c>
      <c r="C800" s="1" t="s">
        <v>1</v>
      </c>
      <c r="D800" s="7" t="str">
        <f>HYPERLINK("https://www.ebi.ac.uk/QuickGO/GTerm?id=GO:1902564","GO:1902564 negative regulation of neutrophil activation")</f>
        <v>GO:1902564 negative regulation of neutrophil activation</v>
      </c>
      <c r="E800" s="1" t="s">
        <v>2</v>
      </c>
      <c r="F800" s="1" t="s">
        <v>781</v>
      </c>
      <c r="G800" s="8"/>
    </row>
    <row r="801" spans="1:7" ht="24.75" customHeight="1" x14ac:dyDescent="0.2">
      <c r="A801" s="6">
        <v>843</v>
      </c>
      <c r="B801" s="7" t="str">
        <f>HYPERLINK("https://www.ebi.ac.uk/QuickGO/GTerm?id=GO:0061516","GO:0061516 monocyte proliferation")</f>
        <v>GO:0061516 monocyte proliferation</v>
      </c>
      <c r="C801" s="1" t="s">
        <v>1</v>
      </c>
      <c r="D801" s="7" t="str">
        <f>HYPERLINK("https://www.ebi.ac.uk/QuickGO/GTerm?id=GO:0032943","GO:0032943 mononuclear cell proliferation")</f>
        <v>GO:0032943 mononuclear cell proliferation</v>
      </c>
      <c r="E801" s="1" t="s">
        <v>2</v>
      </c>
      <c r="F801" s="1" t="s">
        <v>782</v>
      </c>
      <c r="G801" s="8"/>
    </row>
    <row r="802" spans="1:7" ht="24.75" customHeight="1" x14ac:dyDescent="0.2">
      <c r="A802" s="6">
        <v>844</v>
      </c>
      <c r="B802" s="7" t="str">
        <f>HYPERLINK("https://www.ebi.ac.uk/QuickGO/GTerm?id=GO:1900163","GO:1900163 positive regulation of phospholipid scramblase activity")</f>
        <v>GO:1900163 positive regulation of phospholipid scramblase activity</v>
      </c>
      <c r="C802" s="1" t="s">
        <v>1</v>
      </c>
      <c r="D802" s="7" t="str">
        <f>HYPERLINK("https://www.ebi.ac.uk/QuickGO/GTerm?id=GO:0051130","GO:0051130 positive regulation of cellular component organization")</f>
        <v>GO:0051130 positive regulation of cellular component organization</v>
      </c>
      <c r="E802" s="1" t="s">
        <v>2</v>
      </c>
      <c r="F802" s="1" t="s">
        <v>783</v>
      </c>
      <c r="G802" s="8"/>
    </row>
    <row r="803" spans="1:7" ht="24.75" customHeight="1" x14ac:dyDescent="0.2">
      <c r="A803" s="6">
        <v>845</v>
      </c>
      <c r="B803" s="7" t="str">
        <f>HYPERLINK("https://www.ebi.ac.uk/QuickGO/GTerm?id=GO:0046601","GO:0046601 positive regulation of centriole replication")</f>
        <v>GO:0046601 positive regulation of centriole replication</v>
      </c>
      <c r="C803" s="1" t="s">
        <v>1</v>
      </c>
      <c r="D803" s="7" t="str">
        <f>HYPERLINK("https://www.ebi.ac.uk/QuickGO/GTerm?id=GO:0010825","GO:0010825 positive regulation of centrosome duplication")</f>
        <v>GO:0010825 positive regulation of centrosome duplication</v>
      </c>
      <c r="E803" s="1" t="s">
        <v>2</v>
      </c>
      <c r="F803" s="1" t="s">
        <v>784</v>
      </c>
      <c r="G803" s="8"/>
    </row>
    <row r="804" spans="1:7" ht="24.75" customHeight="1" x14ac:dyDescent="0.2">
      <c r="A804" s="6">
        <v>846</v>
      </c>
      <c r="B804" s="7" t="str">
        <f>HYPERLINK("https://www.ebi.ac.uk/QuickGO/GTerm?id=GO:1905608","GO:1905608 positive regulation of presynapse assembly")</f>
        <v>GO:1905608 positive regulation of presynapse assembly</v>
      </c>
      <c r="C804" s="1" t="s">
        <v>1</v>
      </c>
      <c r="D804" s="7" t="str">
        <f>HYPERLINK("https://www.ebi.ac.uk/QuickGO/GTerm?id=GO:0051962","GO:0051962 positive regulation of nervous system development")</f>
        <v>GO:0051962 positive regulation of nervous system development</v>
      </c>
      <c r="E804" s="1" t="s">
        <v>2</v>
      </c>
      <c r="F804" s="1" t="s">
        <v>785</v>
      </c>
      <c r="G804" s="8"/>
    </row>
    <row r="805" spans="1:7" ht="24.75" customHeight="1" x14ac:dyDescent="0.2">
      <c r="A805" s="6">
        <v>847</v>
      </c>
      <c r="B805" s="7" t="str">
        <f>HYPERLINK("https://www.ebi.ac.uk/QuickGO/GTerm?id=GO:1905098","GO:1905098 negative regulation of guanyl-nucleotide exchange factor activity")</f>
        <v>GO:1905098 negative regulation of guanyl-nucleotide exchange factor activity</v>
      </c>
      <c r="C805" s="1" t="s">
        <v>1</v>
      </c>
      <c r="D805" s="7" t="str">
        <f>HYPERLINK("https://www.ebi.ac.uk/QuickGO/GTerm?id=GO:1904425","GO:1904425 negative regulation of GTP binding")</f>
        <v>GO:1904425 negative regulation of GTP binding</v>
      </c>
      <c r="E805" s="1" t="s">
        <v>2</v>
      </c>
      <c r="F805" s="1" t="s">
        <v>786</v>
      </c>
      <c r="G805" s="8"/>
    </row>
    <row r="806" spans="1:7" ht="24.75" customHeight="1" x14ac:dyDescent="0.2">
      <c r="A806" s="6">
        <v>848</v>
      </c>
      <c r="B806" s="7" t="str">
        <f>HYPERLINK("https://www.ebi.ac.uk/QuickGO/GTerm?id=GO:0016049","GO:0016049 cell growth")</f>
        <v>GO:0016049 cell growth</v>
      </c>
      <c r="C806" s="1" t="s">
        <v>1</v>
      </c>
      <c r="D806" s="7" t="str">
        <f>HYPERLINK("https://www.ebi.ac.uk/QuickGO/GTerm?id=GO:0048589","GO:0048589 developmental growth")</f>
        <v>GO:0048589 developmental growth</v>
      </c>
      <c r="E806" s="1" t="s">
        <v>2</v>
      </c>
      <c r="F806" s="1" t="s">
        <v>787</v>
      </c>
      <c r="G806" s="8"/>
    </row>
    <row r="807" spans="1:7" ht="24.75" customHeight="1" x14ac:dyDescent="0.2">
      <c r="A807" s="6">
        <v>849</v>
      </c>
      <c r="B807" s="7" t="str">
        <f>HYPERLINK("https://www.ebi.ac.uk/QuickGO/GTerm?id=GO:0036458","GO:0036458 hepatocyte growth factor binding")</f>
        <v>GO:0036458 hepatocyte growth factor binding</v>
      </c>
      <c r="C807" s="1" t="s">
        <v>1</v>
      </c>
      <c r="D807" s="7" t="str">
        <f>HYPERLINK("https://www.ebi.ac.uk/QuickGO/GTerm?id=GO:0019955","GO:0019955 cytokine binding")</f>
        <v>GO:0019955 cytokine binding</v>
      </c>
      <c r="E807" s="1" t="s">
        <v>2</v>
      </c>
      <c r="F807" s="1" t="s">
        <v>788</v>
      </c>
      <c r="G807" s="8"/>
    </row>
    <row r="808" spans="1:7" ht="24.75" customHeight="1" x14ac:dyDescent="0.2">
      <c r="A808" s="6">
        <v>850</v>
      </c>
      <c r="B808" s="7" t="str">
        <f>HYPERLINK("https://www.ebi.ac.uk/QuickGO/GTerm?id=GO:1901292","GO:1901292 nucleoside phosphate catabolic process")</f>
        <v>GO:1901292 nucleoside phosphate catabolic process</v>
      </c>
      <c r="C808" s="1" t="s">
        <v>1</v>
      </c>
      <c r="D808" s="7" t="str">
        <f>HYPERLINK("https://www.ebi.ac.uk/QuickGO/GTerm?id=GO:0034656","GO:0034656 nucleobase-containing small molecule catabolic process")</f>
        <v>GO:0034656 nucleobase-containing small molecule catabolic process</v>
      </c>
      <c r="E808" s="1" t="s">
        <v>2</v>
      </c>
      <c r="F808" s="1" t="s">
        <v>789</v>
      </c>
      <c r="G808" s="8"/>
    </row>
    <row r="809" spans="1:7" ht="24.75" customHeight="1" x14ac:dyDescent="0.2">
      <c r="A809" s="6">
        <v>851</v>
      </c>
      <c r="B809" s="7" t="str">
        <f>HYPERLINK("https://www.ebi.ac.uk/QuickGO/GTerm?id=GO:0009103","GO:0009103 lipopolysaccharide biosynthetic process")</f>
        <v>GO:0009103 lipopolysaccharide biosynthetic process</v>
      </c>
      <c r="C809" s="1" t="s">
        <v>1</v>
      </c>
      <c r="D809" s="7" t="str">
        <f>HYPERLINK("https://www.ebi.ac.uk/QuickGO/GTerm?id=GO:0097384","GO:0097384 cellular lipid biosynthetic process")</f>
        <v>GO:0097384 cellular lipid biosynthetic process</v>
      </c>
      <c r="E809" s="1" t="s">
        <v>2</v>
      </c>
      <c r="F809" s="1" t="s">
        <v>790</v>
      </c>
      <c r="G809" s="8"/>
    </row>
    <row r="810" spans="1:7" ht="24.75" customHeight="1" x14ac:dyDescent="0.2">
      <c r="A810" s="6">
        <v>852</v>
      </c>
      <c r="B810" s="7" t="str">
        <f>HYPERLINK("https://www.ebi.ac.uk/QuickGO/GTerm?id=GO:0010130","GO:0010130 anaerobic ethylbenzene catabolic process")</f>
        <v>GO:0010130 anaerobic ethylbenzene catabolic process</v>
      </c>
      <c r="C810" s="1" t="s">
        <v>1</v>
      </c>
      <c r="D810" s="7" t="str">
        <f>HYPERLINK("https://www.ebi.ac.uk/QuickGO/GTerm?id=GO:1901361","GO:1901361 organic cyclic compound catabolic process")</f>
        <v>GO:1901361 organic cyclic compound catabolic process</v>
      </c>
      <c r="E810" s="1" t="s">
        <v>2</v>
      </c>
      <c r="F810" s="1" t="s">
        <v>791</v>
      </c>
      <c r="G810" s="8"/>
    </row>
    <row r="811" spans="1:7" ht="24.75" customHeight="1" x14ac:dyDescent="0.2">
      <c r="A811" s="6">
        <v>853</v>
      </c>
      <c r="B811" s="7" t="str">
        <f>HYPERLINK("https://www.ebi.ac.uk/QuickGO/GTerm?id=GO:0003217","GO:0003217 cardiac right atrium formation")</f>
        <v>GO:0003217 cardiac right atrium formation</v>
      </c>
      <c r="C811" s="1" t="s">
        <v>4</v>
      </c>
      <c r="D811" s="7" t="str">
        <f>HYPERLINK("https://www.ebi.ac.uk/QuickGO/GTerm?id=GO:0060914","GO:0060914 heart formation")</f>
        <v>GO:0060914 heart formation</v>
      </c>
      <c r="E811" s="1" t="s">
        <v>2</v>
      </c>
      <c r="F811" s="1" t="s">
        <v>792</v>
      </c>
      <c r="G811" s="8"/>
    </row>
    <row r="812" spans="1:7" ht="24.75" customHeight="1" x14ac:dyDescent="0.2">
      <c r="A812" s="6">
        <v>854</v>
      </c>
      <c r="B812" s="7" t="str">
        <f>HYPERLINK("https://www.ebi.ac.uk/QuickGO/GTerm?id=GO:0003314","GO:0003314 heart rudiment morphogenesis")</f>
        <v>GO:0003314 heart rudiment morphogenesis</v>
      </c>
      <c r="C812" s="1" t="s">
        <v>4</v>
      </c>
      <c r="D812" s="7" t="str">
        <f>HYPERLINK("https://www.ebi.ac.uk/QuickGO/GTerm?id=GO:0035239","GO:0035239 tube morphogenesis")</f>
        <v>GO:0035239 tube morphogenesis</v>
      </c>
      <c r="E812" s="1" t="s">
        <v>2</v>
      </c>
      <c r="F812" s="1" t="s">
        <v>793</v>
      </c>
      <c r="G812" s="8"/>
    </row>
    <row r="813" spans="1:7" ht="24.75" customHeight="1" x14ac:dyDescent="0.2">
      <c r="A813" s="6">
        <v>855</v>
      </c>
      <c r="B813" s="7" t="str">
        <f>HYPERLINK("https://www.ebi.ac.uk/QuickGO/GTerm?id=GO:0120017","GO:0120017 ceramide transfer activity")</f>
        <v>GO:0120017 ceramide transfer activity</v>
      </c>
      <c r="C813" s="1" t="s">
        <v>4</v>
      </c>
      <c r="D813" s="7" t="str">
        <f>HYPERLINK("https://www.ebi.ac.uk/QuickGO/GTerm?id=GO:0035627","GO:0035627 ceramide transport")</f>
        <v>GO:0035627 ceramide transport</v>
      </c>
      <c r="E813" s="1" t="s">
        <v>2</v>
      </c>
      <c r="F813" s="1" t="s">
        <v>794</v>
      </c>
      <c r="G813" s="8"/>
    </row>
    <row r="814" spans="1:7" ht="24.75" customHeight="1" x14ac:dyDescent="0.2">
      <c r="A814" s="6">
        <v>856</v>
      </c>
      <c r="B814" s="7" t="str">
        <f>HYPERLINK("https://www.ebi.ac.uk/QuickGO/GTerm?id=GO:0072227","GO:0072227 metanephric macula densa development")</f>
        <v>GO:0072227 metanephric macula densa development</v>
      </c>
      <c r="C814" s="1" t="s">
        <v>4</v>
      </c>
      <c r="D814" s="7" t="str">
        <f>HYPERLINK("https://www.ebi.ac.uk/QuickGO/GTerm?id=GO:0072210","GO:0072210 metanephric nephron development")</f>
        <v>GO:0072210 metanephric nephron development</v>
      </c>
      <c r="E814" s="1" t="s">
        <v>2</v>
      </c>
      <c r="F814" s="1" t="s">
        <v>795</v>
      </c>
      <c r="G814" s="8"/>
    </row>
    <row r="815" spans="1:7" ht="24.75" customHeight="1" x14ac:dyDescent="0.2">
      <c r="A815" s="6">
        <v>857</v>
      </c>
      <c r="B815" s="7" t="str">
        <f>HYPERLINK("https://www.ebi.ac.uk/QuickGO/GTerm?id=GO:0003274","GO:0003274 endocardial cushion fusion")</f>
        <v>GO:0003274 endocardial cushion fusion</v>
      </c>
      <c r="C815" s="1" t="s">
        <v>4</v>
      </c>
      <c r="D815" s="7" t="str">
        <f>HYPERLINK("https://www.ebi.ac.uk/QuickGO/GTerm?id=GO:0003272","GO:0003272 endocardial cushion formation")</f>
        <v>GO:0003272 endocardial cushion formation</v>
      </c>
      <c r="E815" s="1" t="s">
        <v>2</v>
      </c>
      <c r="F815" s="1" t="s">
        <v>796</v>
      </c>
      <c r="G815" s="8"/>
    </row>
    <row r="816" spans="1:7" ht="24.75" customHeight="1" x14ac:dyDescent="0.2">
      <c r="A816" s="6">
        <v>858</v>
      </c>
      <c r="B816" s="7" t="str">
        <f>HYPERLINK("https://www.ebi.ac.uk/QuickGO/GTerm?id=GO:0021508","GO:0021508 floor plate formation")</f>
        <v>GO:0021508 floor plate formation</v>
      </c>
      <c r="C816" s="1" t="s">
        <v>4</v>
      </c>
      <c r="D816" s="7" t="str">
        <f>HYPERLINK("https://www.ebi.ac.uk/QuickGO/GTerm?id=GO:0035148","GO:0035148 tube formation")</f>
        <v>GO:0035148 tube formation</v>
      </c>
      <c r="E816" s="1" t="s">
        <v>2</v>
      </c>
      <c r="F816" s="1" t="s">
        <v>797</v>
      </c>
      <c r="G816" s="8"/>
    </row>
    <row r="817" spans="1:11" ht="24.75" customHeight="1" x14ac:dyDescent="0.2">
      <c r="A817" s="6">
        <v>859</v>
      </c>
      <c r="B817" s="7" t="str">
        <f>HYPERLINK("https://www.ebi.ac.uk/QuickGO/GTerm?id=GO:0021575","GO:0021575 hindbrain morphogenesis")</f>
        <v>GO:0021575 hindbrain morphogenesis</v>
      </c>
      <c r="C817" s="1" t="s">
        <v>4</v>
      </c>
      <c r="D817" s="7" t="str">
        <f>HYPERLINK("https://www.ebi.ac.uk/QuickGO/GTerm?id=GO:0048854","GO:0048854 brain morphogenesis")</f>
        <v>GO:0048854 brain morphogenesis</v>
      </c>
      <c r="E817" s="1" t="s">
        <v>2</v>
      </c>
      <c r="F817" s="1" t="s">
        <v>798</v>
      </c>
      <c r="G817" s="8"/>
    </row>
    <row r="818" spans="1:11" ht="24.75" customHeight="1" x14ac:dyDescent="0.2">
      <c r="A818" s="6">
        <v>860</v>
      </c>
      <c r="B818" s="7" t="str">
        <f>HYPERLINK("https://www.ebi.ac.uk/QuickGO/GTerm?id=GO:0048839","GO:0048839 inner ear development")</f>
        <v>GO:0048839 inner ear development</v>
      </c>
      <c r="C818" s="1" t="s">
        <v>4</v>
      </c>
      <c r="D818" s="7" t="str">
        <f>HYPERLINK("https://www.ebi.ac.uk/QuickGO/GTerm?id=GO:0048568","GO:0048568 embryonic organ development")</f>
        <v>GO:0048568 embryonic organ development</v>
      </c>
      <c r="E818" s="1" t="s">
        <v>2</v>
      </c>
      <c r="F818" s="1" t="s">
        <v>799</v>
      </c>
      <c r="G818" s="8"/>
    </row>
    <row r="819" spans="1:11" ht="24.75" customHeight="1" x14ac:dyDescent="0.2">
      <c r="A819" s="6">
        <v>861</v>
      </c>
      <c r="B819" s="7" t="str">
        <f>HYPERLINK("https://www.ebi.ac.uk/QuickGO/GTerm?id=GO:0033505","GO:0033505 floor plate morphogenesis")</f>
        <v>GO:0033505 floor plate morphogenesis</v>
      </c>
      <c r="C819" s="1" t="s">
        <v>4</v>
      </c>
      <c r="D819" s="7" t="str">
        <f>HYPERLINK("https://www.ebi.ac.uk/QuickGO/GTerm?id=GO:0035239","GO:0035239 tube morphogenesis")</f>
        <v>GO:0035239 tube morphogenesis</v>
      </c>
      <c r="E819" s="1" t="s">
        <v>2</v>
      </c>
      <c r="F819" s="1" t="s">
        <v>797</v>
      </c>
      <c r="G819" s="8"/>
    </row>
    <row r="820" spans="1:11" ht="24.75" customHeight="1" x14ac:dyDescent="0.2">
      <c r="A820" s="6">
        <v>862</v>
      </c>
      <c r="B820" s="7" t="str">
        <f>HYPERLINK("https://www.ebi.ac.uk/QuickGO/GTerm?id=GO:0003144","GO:0003144 embryonic heart tube formation")</f>
        <v>GO:0003144 embryonic heart tube formation</v>
      </c>
      <c r="C820" s="1" t="s">
        <v>4</v>
      </c>
      <c r="D820" s="7" t="str">
        <f>HYPERLINK("https://www.ebi.ac.uk/QuickGO/GTerm?id=GO:0048645","GO:0048645 animal organ formation")</f>
        <v>GO:0048645 animal organ formation</v>
      </c>
      <c r="E820" s="1" t="s">
        <v>2</v>
      </c>
      <c r="F820" s="1" t="s">
        <v>800</v>
      </c>
      <c r="G820" s="8"/>
    </row>
    <row r="821" spans="1:11" ht="24.75" customHeight="1" x14ac:dyDescent="0.2">
      <c r="A821" s="6">
        <v>863</v>
      </c>
      <c r="B821" s="7" t="str">
        <f>HYPERLINK("https://www.ebi.ac.uk/QuickGO/GTerm?id=GO:0003182","GO:0003182 coronary sinus valve morphogenesis")</f>
        <v>GO:0003182 coronary sinus valve morphogenesis</v>
      </c>
      <c r="C821" s="1" t="s">
        <v>4</v>
      </c>
      <c r="D821" s="7" t="str">
        <f>HYPERLINK("https://www.ebi.ac.uk/QuickGO/GTerm?id=GO:0003007","GO:0003007 heart morphogenesis")</f>
        <v>GO:0003007 heart morphogenesis</v>
      </c>
      <c r="E821" s="1" t="s">
        <v>2</v>
      </c>
      <c r="F821" s="1" t="s">
        <v>801</v>
      </c>
      <c r="G821" s="8"/>
    </row>
    <row r="822" spans="1:11" ht="24.75" customHeight="1" x14ac:dyDescent="0.2">
      <c r="A822" s="6">
        <v>864</v>
      </c>
      <c r="B822" s="7" t="str">
        <f>HYPERLINK("https://www.ebi.ac.uk/QuickGO/GTerm?id=GO:2000936","GO:2000936 regulation of cellotriose catabolic process")</f>
        <v>GO:2000936 regulation of cellotriose catabolic process</v>
      </c>
      <c r="C822" s="1" t="s">
        <v>20</v>
      </c>
      <c r="D822" s="7" t="str">
        <f>HYPERLINK("https://www.ebi.ac.uk/QuickGO/GTerm?id=GO:0000272","GO:0000272 polysaccharide catabolic process")</f>
        <v>GO:0000272 polysaccharide catabolic process</v>
      </c>
      <c r="E822" s="1" t="s">
        <v>2</v>
      </c>
      <c r="F822" s="1" t="s">
        <v>802</v>
      </c>
      <c r="G822" s="8"/>
    </row>
    <row r="823" spans="1:11" ht="24.75" customHeight="1" x14ac:dyDescent="0.2">
      <c r="A823" s="6">
        <v>865</v>
      </c>
      <c r="B823" s="14" t="str">
        <f>HYPERLINK("https://www.ebi.ac.uk/QuickGO/GTerm?id=GO:0043634","GO:0043634 polyadenylation-dependent ncRNA catabolic process")</f>
        <v>GO:0043634 polyadenylation-dependent ncRNA catabolic process</v>
      </c>
      <c r="C823" s="1" t="s">
        <v>750</v>
      </c>
      <c r="D823" s="14" t="str">
        <f>HYPERLINK("https://www.ebi.ac.uk/QuickGO/GTerm?id=GO:0034470","GO:0034470 ncRNA processing")</f>
        <v>GO:0034470 ncRNA processing</v>
      </c>
      <c r="E823" s="1" t="s">
        <v>2</v>
      </c>
      <c r="F823" s="1" t="s">
        <v>803</v>
      </c>
      <c r="G823" s="8"/>
    </row>
    <row r="824" spans="1:11" ht="24.75" customHeight="1" x14ac:dyDescent="0.2">
      <c r="A824" s="6"/>
      <c r="B824" s="1"/>
      <c r="C824" s="1"/>
      <c r="D824" s="1"/>
      <c r="E824" s="1"/>
      <c r="F824" s="1"/>
      <c r="G824" s="1"/>
      <c r="H824" s="18"/>
      <c r="I824" s="18"/>
      <c r="J824" s="18"/>
      <c r="K824" s="18"/>
    </row>
    <row r="825" spans="1:11" ht="24.75" customHeight="1" x14ac:dyDescent="0.2">
      <c r="A825" s="6"/>
      <c r="B825" s="1"/>
      <c r="C825" s="1"/>
      <c r="D825" s="1"/>
      <c r="E825" s="1"/>
      <c r="F825" s="1"/>
      <c r="G825" s="1"/>
      <c r="H825" s="18"/>
      <c r="I825" s="18"/>
      <c r="J825" s="18"/>
      <c r="K825" s="18"/>
    </row>
    <row r="826" spans="1:11" ht="24.75" customHeight="1" x14ac:dyDescent="0.2">
      <c r="A826" s="6"/>
      <c r="B826" s="1"/>
      <c r="C826" s="1"/>
      <c r="D826" s="1"/>
      <c r="E826" s="1"/>
      <c r="F826" s="1"/>
      <c r="G826" s="1"/>
      <c r="H826" s="18"/>
      <c r="I826" s="18"/>
      <c r="J826" s="18"/>
      <c r="K826" s="18"/>
    </row>
    <row r="827" spans="1:11" ht="24.75" customHeight="1" x14ac:dyDescent="0.2">
      <c r="A827" s="6"/>
      <c r="B827" s="1"/>
      <c r="C827" s="1"/>
      <c r="D827" s="1"/>
      <c r="E827" s="1"/>
      <c r="F827" s="1"/>
      <c r="G827" s="1"/>
      <c r="H827" s="18"/>
      <c r="I827" s="18"/>
      <c r="J827" s="18"/>
      <c r="K827" s="18"/>
    </row>
    <row r="828" spans="1:11" ht="24.75" customHeight="1" x14ac:dyDescent="0.2">
      <c r="A828" s="6"/>
      <c r="B828" s="1"/>
      <c r="C828" s="1"/>
      <c r="D828" s="1"/>
      <c r="E828" s="1"/>
      <c r="F828" s="1"/>
      <c r="G828" s="1"/>
      <c r="H828" s="18"/>
      <c r="I828" s="18"/>
      <c r="J828" s="18"/>
      <c r="K828" s="18"/>
    </row>
    <row r="829" spans="1:11" ht="24.75" customHeight="1" x14ac:dyDescent="0.2">
      <c r="A829" s="6"/>
      <c r="B829" s="1"/>
      <c r="C829" s="1"/>
      <c r="D829" s="1"/>
      <c r="E829" s="1"/>
      <c r="F829" s="1"/>
      <c r="G829" s="1"/>
      <c r="H829" s="18"/>
      <c r="I829" s="18"/>
      <c r="J829" s="18"/>
      <c r="K829" s="18"/>
    </row>
    <row r="830" spans="1:11" ht="24.75" customHeight="1" x14ac:dyDescent="0.2">
      <c r="A830" s="6"/>
      <c r="B830" s="1"/>
      <c r="C830" s="1"/>
      <c r="D830" s="1"/>
      <c r="E830" s="1"/>
      <c r="F830" s="1"/>
      <c r="G830" s="1"/>
      <c r="H830" s="18"/>
      <c r="I830" s="18"/>
      <c r="J830" s="18"/>
      <c r="K830" s="18"/>
    </row>
    <row r="831" spans="1:11" ht="24.75" customHeight="1" x14ac:dyDescent="0.2">
      <c r="A831" s="10"/>
      <c r="B831" s="1"/>
      <c r="C831" s="1"/>
      <c r="D831" s="1"/>
      <c r="E831" s="1"/>
      <c r="F831" s="1"/>
      <c r="G831" s="1"/>
      <c r="H831" s="18"/>
      <c r="I831" s="18"/>
      <c r="J831" s="18"/>
      <c r="K831" s="18"/>
    </row>
    <row r="832" spans="1:11" ht="24.75" customHeight="1" x14ac:dyDescent="0.2">
      <c r="A832" s="6"/>
      <c r="B832" s="1"/>
      <c r="C832" s="1"/>
      <c r="D832" s="1"/>
      <c r="E832" s="1"/>
      <c r="F832" s="1"/>
      <c r="G832" s="1"/>
      <c r="H832" s="18"/>
      <c r="I832" s="18"/>
      <c r="J832" s="18"/>
      <c r="K832" s="18"/>
    </row>
    <row r="833" spans="1:11" ht="24.75" customHeight="1" x14ac:dyDescent="0.2">
      <c r="A833" s="6"/>
      <c r="B833" s="1"/>
      <c r="C833" s="1"/>
      <c r="D833" s="1"/>
      <c r="E833" s="1"/>
      <c r="F833" s="1"/>
      <c r="G833" s="1"/>
      <c r="H833" s="18"/>
      <c r="I833" s="18"/>
      <c r="J833" s="18"/>
      <c r="K833" s="18"/>
    </row>
    <row r="834" spans="1:11" ht="24.75" customHeight="1" x14ac:dyDescent="0.2">
      <c r="A834" s="6"/>
      <c r="B834" s="1"/>
      <c r="C834" s="1"/>
      <c r="D834" s="1"/>
      <c r="E834" s="1"/>
      <c r="F834" s="1"/>
      <c r="G834" s="1"/>
      <c r="H834" s="18"/>
      <c r="I834" s="18"/>
      <c r="J834" s="18"/>
      <c r="K834" s="18"/>
    </row>
    <row r="835" spans="1:11" ht="24.75" customHeight="1" x14ac:dyDescent="0.2">
      <c r="A835" s="6"/>
      <c r="B835" s="1"/>
      <c r="C835" s="1"/>
      <c r="D835" s="1"/>
      <c r="E835" s="1"/>
      <c r="F835" s="1"/>
      <c r="G835" s="1"/>
      <c r="H835" s="18"/>
      <c r="I835" s="18"/>
      <c r="J835" s="18"/>
      <c r="K835" s="18"/>
    </row>
    <row r="836" spans="1:11" ht="24.75" customHeight="1" x14ac:dyDescent="0.2">
      <c r="A836" s="6"/>
      <c r="B836" s="1"/>
      <c r="C836" s="1"/>
      <c r="D836" s="1"/>
      <c r="E836" s="1"/>
      <c r="F836" s="1"/>
      <c r="G836" s="1"/>
      <c r="H836" s="18"/>
      <c r="I836" s="18"/>
      <c r="J836" s="18"/>
      <c r="K836" s="18"/>
    </row>
    <row r="837" spans="1:11" ht="24.75" customHeight="1" x14ac:dyDescent="0.2">
      <c r="A837" s="6"/>
      <c r="B837" s="1"/>
      <c r="C837" s="1"/>
      <c r="D837" s="1"/>
      <c r="E837" s="1"/>
      <c r="F837" s="1"/>
      <c r="G837" s="1"/>
      <c r="H837" s="18"/>
      <c r="I837" s="18"/>
      <c r="J837" s="18"/>
      <c r="K837" s="18"/>
    </row>
    <row r="838" spans="1:11" ht="24.75" customHeight="1" x14ac:dyDescent="0.2">
      <c r="A838" s="6"/>
      <c r="B838" s="1"/>
      <c r="C838" s="1"/>
      <c r="D838" s="1"/>
      <c r="E838" s="1"/>
      <c r="F838" s="1"/>
      <c r="G838" s="1"/>
      <c r="H838" s="18"/>
      <c r="I838" s="18"/>
      <c r="J838" s="18"/>
      <c r="K838" s="18"/>
    </row>
    <row r="839" spans="1:11" ht="24.75" customHeight="1" x14ac:dyDescent="0.2">
      <c r="A839" s="6"/>
      <c r="B839" s="1"/>
      <c r="C839" s="1"/>
      <c r="D839" s="1"/>
      <c r="E839" s="1"/>
      <c r="F839" s="1"/>
      <c r="G839" s="1"/>
      <c r="H839" s="18"/>
      <c r="I839" s="18"/>
      <c r="J839" s="18"/>
      <c r="K839" s="18"/>
    </row>
    <row r="840" spans="1:11" ht="24.75" customHeight="1" x14ac:dyDescent="0.2">
      <c r="A840" s="6"/>
      <c r="B840" s="1"/>
      <c r="C840" s="1"/>
      <c r="D840" s="1"/>
      <c r="E840" s="1"/>
      <c r="F840" s="1"/>
      <c r="G840" s="1"/>
      <c r="H840" s="18"/>
      <c r="I840" s="18"/>
      <c r="J840" s="18"/>
      <c r="K840" s="18"/>
    </row>
    <row r="841" spans="1:11" ht="24.75" customHeight="1" x14ac:dyDescent="0.2">
      <c r="A841" s="6"/>
      <c r="B841" s="1"/>
      <c r="C841" s="1"/>
      <c r="D841" s="1"/>
      <c r="E841" s="1"/>
      <c r="F841" s="1"/>
      <c r="G841" s="1"/>
      <c r="H841" s="18"/>
      <c r="I841" s="18"/>
      <c r="J841" s="18"/>
      <c r="K841" s="18"/>
    </row>
    <row r="842" spans="1:11" ht="24.75" customHeight="1" x14ac:dyDescent="0.2">
      <c r="A842" s="6"/>
      <c r="B842" s="1"/>
      <c r="C842" s="1"/>
      <c r="D842" s="1"/>
      <c r="E842" s="1"/>
      <c r="F842" s="1"/>
      <c r="G842" s="1"/>
      <c r="H842" s="18"/>
      <c r="I842" s="18"/>
      <c r="J842" s="18"/>
      <c r="K842" s="18"/>
    </row>
    <row r="843" spans="1:11" ht="24.75" customHeight="1" x14ac:dyDescent="0.2">
      <c r="A843" s="6"/>
      <c r="B843" s="1"/>
      <c r="C843" s="1"/>
      <c r="D843" s="1"/>
      <c r="E843" s="1"/>
      <c r="F843" s="1"/>
      <c r="G843" s="1"/>
      <c r="H843" s="18"/>
      <c r="I843" s="18"/>
      <c r="J843" s="18"/>
      <c r="K843" s="18"/>
    </row>
    <row r="844" spans="1:11" ht="24.75" customHeight="1" x14ac:dyDescent="0.2">
      <c r="A844" s="6"/>
      <c r="B844" s="1"/>
      <c r="C844" s="1"/>
      <c r="D844" s="1"/>
      <c r="E844" s="1"/>
      <c r="F844" s="1"/>
      <c r="G844" s="1"/>
      <c r="H844" s="18"/>
      <c r="I844" s="18"/>
      <c r="J844" s="18"/>
      <c r="K844" s="18"/>
    </row>
    <row r="845" spans="1:11" ht="24.75" customHeight="1" x14ac:dyDescent="0.2">
      <c r="A845" s="6"/>
      <c r="B845" s="1"/>
      <c r="C845" s="1"/>
      <c r="D845" s="1"/>
      <c r="E845" s="1"/>
      <c r="F845" s="1"/>
      <c r="G845" s="1"/>
      <c r="H845" s="18"/>
      <c r="I845" s="18"/>
      <c r="J845" s="18"/>
      <c r="K845" s="18"/>
    </row>
    <row r="846" spans="1:11" ht="24.75" customHeight="1" x14ac:dyDescent="0.2">
      <c r="A846" s="6"/>
      <c r="B846" s="1"/>
      <c r="C846" s="1"/>
      <c r="D846" s="1"/>
      <c r="E846" s="1"/>
      <c r="F846" s="1"/>
      <c r="G846" s="1"/>
      <c r="H846" s="18"/>
      <c r="I846" s="18"/>
      <c r="J846" s="18"/>
      <c r="K846" s="18"/>
    </row>
    <row r="847" spans="1:11" ht="24.75" customHeight="1" x14ac:dyDescent="0.2">
      <c r="A847" s="6"/>
      <c r="B847" s="1"/>
      <c r="C847" s="1"/>
      <c r="D847" s="1"/>
      <c r="E847" s="1"/>
      <c r="F847" s="1"/>
      <c r="G847" s="1"/>
      <c r="H847" s="18"/>
      <c r="I847" s="18"/>
      <c r="J847" s="18"/>
      <c r="K847" s="18"/>
    </row>
    <row r="848" spans="1:11" ht="24.75" customHeight="1" x14ac:dyDescent="0.2">
      <c r="A848" s="6"/>
      <c r="B848" s="1"/>
      <c r="C848" s="1"/>
      <c r="D848" s="1"/>
      <c r="E848" s="1"/>
      <c r="F848" s="1"/>
      <c r="G848" s="1"/>
      <c r="H848" s="18"/>
      <c r="I848" s="18"/>
      <c r="J848" s="18"/>
      <c r="K848" s="18"/>
    </row>
    <row r="849" spans="1:11" ht="24.75" customHeight="1" x14ac:dyDescent="0.2">
      <c r="A849" s="6"/>
      <c r="B849" s="1"/>
      <c r="C849" s="1"/>
      <c r="D849" s="1"/>
      <c r="E849" s="1"/>
      <c r="F849" s="1"/>
      <c r="G849" s="1"/>
      <c r="H849" s="18"/>
      <c r="I849" s="18"/>
      <c r="J849" s="18"/>
      <c r="K849" s="18"/>
    </row>
    <row r="850" spans="1:11" ht="24.75" customHeight="1" x14ac:dyDescent="0.2">
      <c r="A850" s="6"/>
      <c r="B850" s="1"/>
      <c r="C850" s="1"/>
      <c r="D850" s="1"/>
      <c r="E850" s="1"/>
      <c r="F850" s="1"/>
      <c r="G850" s="1"/>
      <c r="H850" s="18"/>
      <c r="I850" s="18"/>
      <c r="J850" s="18"/>
      <c r="K850" s="18"/>
    </row>
    <row r="851" spans="1:11" ht="24.75" customHeight="1" x14ac:dyDescent="0.2">
      <c r="A851" s="6"/>
      <c r="B851" s="1"/>
      <c r="C851" s="1"/>
      <c r="D851" s="1"/>
      <c r="E851" s="1"/>
      <c r="F851" s="1"/>
      <c r="G851" s="1"/>
      <c r="H851" s="18"/>
      <c r="I851" s="18"/>
      <c r="J851" s="18"/>
      <c r="K851" s="18"/>
    </row>
    <row r="852" spans="1:11" ht="24.75" customHeight="1" x14ac:dyDescent="0.2">
      <c r="A852" s="6"/>
      <c r="B852" s="1"/>
      <c r="C852" s="1"/>
      <c r="D852" s="1"/>
      <c r="E852" s="1"/>
      <c r="F852" s="1"/>
      <c r="G852" s="1"/>
      <c r="H852" s="18"/>
      <c r="I852" s="18"/>
      <c r="J852" s="18"/>
      <c r="K852" s="18"/>
    </row>
    <row r="853" spans="1:11" ht="24.75" customHeight="1" x14ac:dyDescent="0.2">
      <c r="A853" s="6"/>
      <c r="B853" s="1"/>
      <c r="C853" s="1"/>
      <c r="D853" s="1"/>
      <c r="E853" s="1"/>
      <c r="F853" s="1"/>
      <c r="G853" s="1"/>
      <c r="H853" s="18"/>
      <c r="I853" s="18"/>
      <c r="J853" s="18"/>
      <c r="K853" s="18"/>
    </row>
    <row r="854" spans="1:11" ht="24.75" customHeight="1" x14ac:dyDescent="0.2">
      <c r="A854" s="6"/>
      <c r="B854" s="1"/>
      <c r="C854" s="1"/>
      <c r="D854" s="1"/>
      <c r="E854" s="1"/>
      <c r="F854" s="1"/>
      <c r="G854" s="1"/>
      <c r="H854" s="18"/>
      <c r="I854" s="18"/>
      <c r="J854" s="18"/>
      <c r="K854" s="18"/>
    </row>
    <row r="855" spans="1:11" ht="24.75" customHeight="1" x14ac:dyDescent="0.2">
      <c r="A855" s="6"/>
      <c r="B855" s="1"/>
      <c r="C855" s="1"/>
      <c r="D855" s="1"/>
      <c r="E855" s="1"/>
      <c r="F855" s="1"/>
      <c r="G855" s="1"/>
      <c r="H855" s="18"/>
      <c r="I855" s="18"/>
      <c r="J855" s="18"/>
      <c r="K855" s="18"/>
    </row>
    <row r="856" spans="1:11" ht="24.75" customHeight="1" x14ac:dyDescent="0.2">
      <c r="A856" s="6"/>
      <c r="B856" s="1"/>
      <c r="C856" s="1"/>
      <c r="D856" s="1"/>
      <c r="E856" s="1"/>
      <c r="F856" s="1"/>
      <c r="G856" s="1"/>
      <c r="H856" s="18"/>
      <c r="I856" s="18"/>
      <c r="J856" s="18"/>
      <c r="K856" s="18"/>
    </row>
    <row r="857" spans="1:11" ht="24.75" customHeight="1" x14ac:dyDescent="0.2">
      <c r="A857" s="6"/>
      <c r="B857" s="1"/>
      <c r="C857" s="1"/>
      <c r="D857" s="1"/>
      <c r="E857" s="1"/>
      <c r="F857" s="1"/>
      <c r="G857" s="1"/>
      <c r="H857" s="18"/>
      <c r="I857" s="18"/>
      <c r="J857" s="18"/>
      <c r="K857" s="18"/>
    </row>
    <row r="858" spans="1:11" ht="24.75" customHeight="1" x14ac:dyDescent="0.2">
      <c r="A858" s="6"/>
      <c r="B858" s="1"/>
      <c r="C858" s="1"/>
      <c r="D858" s="1"/>
      <c r="E858" s="1"/>
      <c r="F858" s="1"/>
      <c r="G858" s="1"/>
      <c r="H858" s="18"/>
      <c r="I858" s="18"/>
      <c r="J858" s="18"/>
      <c r="K858" s="18"/>
    </row>
    <row r="859" spans="1:11" ht="24.75" customHeight="1" x14ac:dyDescent="0.2">
      <c r="A859" s="6"/>
      <c r="B859" s="1"/>
      <c r="C859" s="1"/>
      <c r="D859" s="1"/>
      <c r="E859" s="1"/>
      <c r="F859" s="1"/>
      <c r="G859" s="1"/>
      <c r="H859" s="18"/>
      <c r="I859" s="18"/>
      <c r="J859" s="18"/>
      <c r="K859" s="18"/>
    </row>
    <row r="860" spans="1:11" ht="24.75" customHeight="1" x14ac:dyDescent="0.2">
      <c r="A860" s="6"/>
      <c r="B860" s="1"/>
      <c r="C860" s="1"/>
      <c r="D860" s="1"/>
      <c r="E860" s="1"/>
      <c r="F860" s="1"/>
      <c r="G860" s="1"/>
      <c r="H860" s="18"/>
      <c r="I860" s="18"/>
      <c r="J860" s="18"/>
      <c r="K860" s="18"/>
    </row>
    <row r="861" spans="1:11" ht="24.75" customHeight="1" x14ac:dyDescent="0.2">
      <c r="A861" s="6"/>
      <c r="B861" s="1"/>
      <c r="C861" s="1"/>
      <c r="D861" s="1"/>
      <c r="E861" s="1"/>
      <c r="F861" s="1"/>
      <c r="G861" s="1"/>
      <c r="H861" s="18"/>
      <c r="I861" s="18"/>
      <c r="J861" s="18"/>
      <c r="K861" s="18"/>
    </row>
    <row r="862" spans="1:11" ht="24.75" customHeight="1" x14ac:dyDescent="0.2">
      <c r="A862" s="6"/>
      <c r="B862" s="1"/>
      <c r="C862" s="1"/>
      <c r="D862" s="1"/>
      <c r="E862" s="1"/>
      <c r="F862" s="1"/>
      <c r="G862" s="1"/>
      <c r="H862" s="18"/>
      <c r="I862" s="18"/>
      <c r="J862" s="18"/>
      <c r="K862" s="18"/>
    </row>
    <row r="863" spans="1:11" ht="24.75" customHeight="1" x14ac:dyDescent="0.2">
      <c r="A863" s="6"/>
      <c r="B863" s="1"/>
      <c r="C863" s="1"/>
      <c r="D863" s="1"/>
      <c r="E863" s="1"/>
      <c r="F863" s="1"/>
      <c r="G863" s="1"/>
      <c r="H863" s="18"/>
      <c r="I863" s="18"/>
      <c r="J863" s="18"/>
      <c r="K863" s="18"/>
    </row>
    <row r="864" spans="1:11" ht="24.75" customHeight="1" x14ac:dyDescent="0.2">
      <c r="A864" s="6"/>
      <c r="B864" s="1"/>
      <c r="C864" s="1"/>
      <c r="D864" s="1"/>
      <c r="E864" s="1"/>
      <c r="F864" s="1"/>
      <c r="G864" s="1"/>
      <c r="H864" s="18"/>
      <c r="I864" s="18"/>
      <c r="J864" s="18"/>
      <c r="K864" s="18"/>
    </row>
    <row r="865" spans="1:11" ht="24.75" customHeight="1" x14ac:dyDescent="0.2">
      <c r="A865" s="6"/>
      <c r="B865" s="1"/>
      <c r="C865" s="1"/>
      <c r="D865" s="1"/>
      <c r="E865" s="1"/>
      <c r="F865" s="1"/>
      <c r="G865" s="1"/>
      <c r="H865" s="18"/>
      <c r="I865" s="18"/>
      <c r="J865" s="18"/>
      <c r="K865" s="18"/>
    </row>
    <row r="866" spans="1:11" ht="24.75" customHeight="1" x14ac:dyDescent="0.2">
      <c r="A866" s="6"/>
      <c r="B866" s="1"/>
      <c r="C866" s="1"/>
      <c r="D866" s="1"/>
      <c r="E866" s="1"/>
      <c r="F866" s="1"/>
      <c r="G866" s="1"/>
      <c r="H866" s="18"/>
      <c r="I866" s="18"/>
      <c r="J866" s="18"/>
      <c r="K866" s="18"/>
    </row>
    <row r="867" spans="1:11" ht="24.75" customHeight="1" x14ac:dyDescent="0.2">
      <c r="A867" s="6"/>
      <c r="B867" s="1"/>
      <c r="C867" s="1"/>
      <c r="D867" s="1"/>
      <c r="E867" s="1"/>
      <c r="F867" s="1"/>
      <c r="G867" s="1"/>
      <c r="H867" s="18"/>
      <c r="I867" s="18"/>
      <c r="J867" s="18"/>
      <c r="K867" s="18"/>
    </row>
    <row r="868" spans="1:11" ht="24.75" customHeight="1" x14ac:dyDescent="0.2">
      <c r="A868" s="6"/>
      <c r="B868" s="1"/>
      <c r="C868" s="1"/>
      <c r="D868" s="1"/>
      <c r="E868" s="1"/>
      <c r="F868" s="1"/>
      <c r="G868" s="1"/>
      <c r="H868" s="18"/>
      <c r="I868" s="18"/>
      <c r="J868" s="18"/>
      <c r="K868" s="18"/>
    </row>
    <row r="869" spans="1:11" ht="24.75" customHeight="1" x14ac:dyDescent="0.2">
      <c r="A869" s="19"/>
      <c r="B869" s="18"/>
      <c r="C869" s="18"/>
      <c r="D869" s="18"/>
      <c r="E869" s="18"/>
      <c r="F869" s="18"/>
      <c r="G869" s="18"/>
      <c r="H869" s="18"/>
      <c r="I869" s="18"/>
      <c r="J869" s="18"/>
      <c r="K869" s="18"/>
    </row>
    <row r="870" spans="1:11" ht="24.75" customHeight="1" x14ac:dyDescent="0.2">
      <c r="A870" s="19"/>
      <c r="B870" s="18"/>
      <c r="C870" s="18"/>
      <c r="D870" s="18"/>
      <c r="E870" s="18"/>
      <c r="F870" s="18"/>
      <c r="G870" s="18"/>
      <c r="H870" s="18"/>
      <c r="I870" s="18"/>
      <c r="J870" s="18"/>
      <c r="K870" s="18"/>
    </row>
    <row r="871" spans="1:11" ht="24.75" customHeight="1" x14ac:dyDescent="0.2">
      <c r="A871" s="19"/>
      <c r="B871" s="18"/>
      <c r="C871" s="18"/>
      <c r="D871" s="18"/>
      <c r="E871" s="18"/>
      <c r="F871" s="18"/>
      <c r="G871" s="18"/>
      <c r="H871" s="18"/>
      <c r="I871" s="18"/>
      <c r="J871" s="18"/>
      <c r="K871" s="18"/>
    </row>
    <row r="872" spans="1:11" ht="24.75" customHeight="1" x14ac:dyDescent="0.2">
      <c r="A872" s="19"/>
      <c r="B872" s="18"/>
      <c r="C872" s="18"/>
      <c r="D872" s="18"/>
      <c r="E872" s="18"/>
      <c r="F872" s="18"/>
      <c r="G872" s="18"/>
      <c r="H872" s="18"/>
      <c r="I872" s="18"/>
      <c r="J872" s="18"/>
      <c r="K872" s="18"/>
    </row>
    <row r="873" spans="1:11" ht="24.75" customHeight="1" x14ac:dyDescent="0.2">
      <c r="A873" s="19"/>
      <c r="B873" s="18"/>
      <c r="C873" s="18"/>
      <c r="D873" s="18"/>
      <c r="E873" s="18"/>
      <c r="F873" s="18"/>
      <c r="G873" s="18"/>
      <c r="H873" s="18"/>
      <c r="I873" s="18"/>
      <c r="J873" s="18"/>
      <c r="K873" s="18"/>
    </row>
    <row r="874" spans="1:11" ht="24.75" customHeight="1" x14ac:dyDescent="0.2">
      <c r="A874" s="19"/>
      <c r="B874" s="18"/>
      <c r="C874" s="18"/>
      <c r="D874" s="18"/>
      <c r="E874" s="18"/>
      <c r="F874" s="18"/>
      <c r="G874" s="18"/>
      <c r="H874" s="18"/>
      <c r="I874" s="18"/>
      <c r="J874" s="18"/>
      <c r="K874" s="18"/>
    </row>
    <row r="875" spans="1:11" ht="24.75" customHeight="1" x14ac:dyDescent="0.2">
      <c r="A875" s="19"/>
      <c r="B875" s="18"/>
      <c r="C875" s="18"/>
      <c r="D875" s="18"/>
      <c r="E875" s="18"/>
      <c r="F875" s="18"/>
      <c r="G875" s="18"/>
      <c r="H875" s="18"/>
      <c r="I875" s="18"/>
      <c r="J875" s="18"/>
      <c r="K875" s="18"/>
    </row>
    <row r="876" spans="1:11" ht="24.75" customHeight="1" x14ac:dyDescent="0.2">
      <c r="A876" s="19"/>
      <c r="B876" s="18"/>
      <c r="C876" s="18"/>
      <c r="D876" s="18"/>
      <c r="E876" s="18"/>
      <c r="F876" s="18"/>
      <c r="G876" s="18"/>
      <c r="H876" s="18"/>
      <c r="I876" s="18"/>
      <c r="J876" s="18"/>
      <c r="K876" s="18"/>
    </row>
    <row r="877" spans="1:11" ht="24.75" customHeight="1" x14ac:dyDescent="0.2">
      <c r="A877" s="19"/>
      <c r="B877" s="18"/>
      <c r="C877" s="18"/>
      <c r="D877" s="18"/>
      <c r="E877" s="18"/>
      <c r="F877" s="18"/>
      <c r="G877" s="18"/>
      <c r="H877" s="18"/>
      <c r="I877" s="18"/>
      <c r="J877" s="18"/>
      <c r="K877" s="18"/>
    </row>
    <row r="878" spans="1:11" ht="24.75" customHeight="1" x14ac:dyDescent="0.2">
      <c r="A878" s="19"/>
      <c r="B878" s="18"/>
      <c r="C878" s="18"/>
      <c r="D878" s="18"/>
      <c r="E878" s="18"/>
      <c r="F878" s="18"/>
      <c r="G878" s="18"/>
      <c r="H878" s="18"/>
      <c r="I878" s="18"/>
      <c r="J878" s="18"/>
      <c r="K878" s="18"/>
    </row>
    <row r="879" spans="1:11" ht="24.75" customHeight="1" x14ac:dyDescent="0.2">
      <c r="A879" s="19"/>
      <c r="B879" s="18"/>
      <c r="C879" s="18"/>
      <c r="D879" s="18"/>
      <c r="E879" s="18"/>
      <c r="F879" s="18"/>
      <c r="G879" s="18"/>
      <c r="H879" s="18"/>
      <c r="I879" s="18"/>
      <c r="J879" s="18"/>
      <c r="K879" s="18"/>
    </row>
    <row r="880" spans="1:11" ht="24.75" customHeight="1" x14ac:dyDescent="0.2">
      <c r="A880" s="19"/>
      <c r="B880" s="18"/>
      <c r="C880" s="18"/>
      <c r="D880" s="18"/>
      <c r="E880" s="18"/>
      <c r="F880" s="18"/>
      <c r="G880" s="18"/>
      <c r="H880" s="18"/>
      <c r="I880" s="18"/>
      <c r="J880" s="18"/>
      <c r="K880" s="18"/>
    </row>
    <row r="881" spans="1:11" ht="24.75" customHeight="1" x14ac:dyDescent="0.2">
      <c r="A881" s="19"/>
      <c r="B881" s="18"/>
      <c r="C881" s="18"/>
      <c r="D881" s="18"/>
      <c r="E881" s="18"/>
      <c r="F881" s="18"/>
      <c r="G881" s="18"/>
      <c r="H881" s="18"/>
      <c r="I881" s="18"/>
      <c r="J881" s="18"/>
      <c r="K881" s="18"/>
    </row>
    <row r="882" spans="1:11" ht="24.75" customHeight="1" x14ac:dyDescent="0.2">
      <c r="A882" s="19"/>
      <c r="B882" s="18"/>
      <c r="C882" s="18"/>
      <c r="D882" s="18"/>
      <c r="E882" s="18"/>
      <c r="F882" s="18"/>
      <c r="G882" s="18"/>
      <c r="H882" s="18"/>
      <c r="I882" s="18"/>
      <c r="J882" s="18"/>
      <c r="K882" s="18"/>
    </row>
    <row r="883" spans="1:11" ht="24.75" customHeight="1" x14ac:dyDescent="0.2">
      <c r="A883" s="19"/>
      <c r="B883" s="18"/>
      <c r="C883" s="18"/>
      <c r="D883" s="18"/>
      <c r="E883" s="18"/>
      <c r="F883" s="18"/>
      <c r="G883" s="18"/>
      <c r="H883" s="18"/>
      <c r="I883" s="18"/>
      <c r="J883" s="18"/>
      <c r="K883" s="18"/>
    </row>
    <row r="884" spans="1:11" ht="24.75" customHeight="1" x14ac:dyDescent="0.2">
      <c r="A884" s="19"/>
      <c r="B884" s="18"/>
      <c r="C884" s="18"/>
      <c r="D884" s="18"/>
      <c r="E884" s="18"/>
      <c r="F884" s="18"/>
      <c r="G884" s="18"/>
      <c r="H884" s="18"/>
      <c r="I884" s="18"/>
      <c r="J884" s="18"/>
      <c r="K884" s="18"/>
    </row>
    <row r="885" spans="1:11" ht="24.75" customHeight="1" x14ac:dyDescent="0.2">
      <c r="A885" s="19"/>
      <c r="B885" s="18"/>
      <c r="C885" s="18"/>
      <c r="D885" s="18"/>
      <c r="E885" s="18"/>
      <c r="F885" s="18"/>
      <c r="G885" s="18"/>
      <c r="H885" s="18"/>
      <c r="I885" s="18"/>
      <c r="J885" s="18"/>
      <c r="K885" s="18"/>
    </row>
    <row r="886" spans="1:11" ht="24.75" customHeight="1" x14ac:dyDescent="0.2">
      <c r="A886" s="19"/>
      <c r="B886" s="18"/>
      <c r="C886" s="18"/>
      <c r="D886" s="18"/>
      <c r="E886" s="18"/>
      <c r="F886" s="18"/>
      <c r="G886" s="18"/>
      <c r="H886" s="18"/>
      <c r="I886" s="18"/>
      <c r="J886" s="18"/>
      <c r="K886" s="18"/>
    </row>
    <row r="887" spans="1:11" ht="24.75" customHeight="1" x14ac:dyDescent="0.2">
      <c r="A887" s="19"/>
      <c r="B887" s="18"/>
      <c r="C887" s="18"/>
      <c r="D887" s="18"/>
      <c r="E887" s="18"/>
      <c r="F887" s="18"/>
      <c r="G887" s="18"/>
      <c r="H887" s="18"/>
      <c r="I887" s="18"/>
      <c r="J887" s="18"/>
      <c r="K887" s="18"/>
    </row>
    <row r="888" spans="1:11" ht="24.75" customHeight="1" x14ac:dyDescent="0.2">
      <c r="A888" s="19"/>
      <c r="B888" s="18"/>
      <c r="C888" s="18"/>
      <c r="D888" s="18"/>
      <c r="E888" s="18"/>
      <c r="F888" s="18"/>
      <c r="G888" s="18"/>
      <c r="H888" s="18"/>
      <c r="I888" s="18"/>
      <c r="J888" s="18"/>
      <c r="K888" s="18"/>
    </row>
    <row r="889" spans="1:11" ht="24.75" customHeight="1" x14ac:dyDescent="0.2">
      <c r="A889" s="19"/>
      <c r="B889" s="18"/>
      <c r="C889" s="18"/>
      <c r="D889" s="18"/>
      <c r="E889" s="18"/>
      <c r="F889" s="18"/>
      <c r="G889" s="18"/>
      <c r="H889" s="18"/>
      <c r="I889" s="18"/>
      <c r="J889" s="18"/>
      <c r="K889" s="18"/>
    </row>
    <row r="890" spans="1:11" ht="24.75" customHeight="1" x14ac:dyDescent="0.2">
      <c r="A890" s="19"/>
      <c r="B890" s="18"/>
      <c r="C890" s="18"/>
      <c r="D890" s="18"/>
      <c r="E890" s="18"/>
      <c r="F890" s="18"/>
      <c r="G890" s="18"/>
      <c r="H890" s="18"/>
      <c r="I890" s="18"/>
      <c r="J890" s="18"/>
      <c r="K890" s="18"/>
    </row>
    <row r="891" spans="1:11" ht="24.75" customHeight="1" x14ac:dyDescent="0.2">
      <c r="A891" s="19"/>
      <c r="B891" s="18"/>
      <c r="C891" s="18"/>
      <c r="D891" s="18"/>
      <c r="E891" s="18"/>
      <c r="F891" s="18"/>
      <c r="G891" s="18"/>
      <c r="H891" s="18"/>
      <c r="I891" s="18"/>
      <c r="J891" s="18"/>
      <c r="K891" s="18"/>
    </row>
    <row r="892" spans="1:11" ht="24.75" customHeight="1" x14ac:dyDescent="0.2">
      <c r="A892" s="19"/>
      <c r="B892" s="18"/>
      <c r="C892" s="18"/>
      <c r="D892" s="18"/>
      <c r="E892" s="18"/>
      <c r="F892" s="18"/>
      <c r="G892" s="18"/>
      <c r="H892" s="18"/>
      <c r="I892" s="18"/>
      <c r="J892" s="18"/>
      <c r="K892" s="18"/>
    </row>
    <row r="893" spans="1:11" ht="24.75" customHeight="1" x14ac:dyDescent="0.2">
      <c r="A893" s="19"/>
      <c r="B893" s="18"/>
      <c r="C893" s="18"/>
      <c r="D893" s="18"/>
      <c r="E893" s="18"/>
      <c r="F893" s="18"/>
      <c r="G893" s="18"/>
      <c r="H893" s="18"/>
      <c r="I893" s="18"/>
      <c r="J893" s="18"/>
      <c r="K893" s="18"/>
    </row>
    <row r="894" spans="1:11" ht="24.75" customHeight="1" x14ac:dyDescent="0.2">
      <c r="A894" s="19"/>
      <c r="B894" s="18"/>
      <c r="C894" s="18"/>
      <c r="D894" s="18"/>
      <c r="E894" s="18"/>
      <c r="F894" s="18"/>
      <c r="G894" s="18"/>
      <c r="H894" s="18"/>
      <c r="I894" s="18"/>
      <c r="J894" s="18"/>
      <c r="K894" s="18"/>
    </row>
    <row r="895" spans="1:11" ht="24.75" customHeight="1" x14ac:dyDescent="0.2">
      <c r="A895" s="19"/>
      <c r="B895" s="18"/>
      <c r="C895" s="18"/>
      <c r="D895" s="18"/>
      <c r="E895" s="18"/>
      <c r="F895" s="18"/>
      <c r="G895" s="18"/>
      <c r="H895" s="18"/>
      <c r="I895" s="18"/>
      <c r="J895" s="18"/>
      <c r="K895" s="18"/>
    </row>
    <row r="896" spans="1:11" ht="24.75" customHeight="1" x14ac:dyDescent="0.2">
      <c r="A896" s="19"/>
      <c r="B896" s="18"/>
      <c r="C896" s="18"/>
      <c r="D896" s="18"/>
      <c r="E896" s="18"/>
      <c r="F896" s="18"/>
      <c r="G896" s="18"/>
      <c r="H896" s="18"/>
      <c r="I896" s="18"/>
      <c r="J896" s="18"/>
      <c r="K896" s="18"/>
    </row>
    <row r="897" spans="1:11" ht="24.75" customHeight="1" x14ac:dyDescent="0.2">
      <c r="A897" s="19"/>
      <c r="B897" s="18"/>
      <c r="C897" s="18"/>
      <c r="D897" s="18"/>
      <c r="E897" s="18"/>
      <c r="F897" s="18"/>
      <c r="G897" s="18"/>
      <c r="H897" s="18"/>
      <c r="I897" s="18"/>
      <c r="J897" s="18"/>
      <c r="K897" s="18"/>
    </row>
    <row r="898" spans="1:11" ht="24.75" customHeight="1" x14ac:dyDescent="0.2">
      <c r="A898" s="19"/>
      <c r="B898" s="18"/>
      <c r="C898" s="18"/>
      <c r="D898" s="18"/>
      <c r="E898" s="18"/>
      <c r="F898" s="18"/>
      <c r="G898" s="18"/>
      <c r="H898" s="18"/>
      <c r="I898" s="18"/>
      <c r="J898" s="18"/>
      <c r="K898" s="18"/>
    </row>
    <row r="899" spans="1:11" ht="24.75" customHeight="1" x14ac:dyDescent="0.2">
      <c r="A899" s="19"/>
      <c r="B899" s="18"/>
      <c r="C899" s="18"/>
      <c r="D899" s="18"/>
      <c r="E899" s="18"/>
      <c r="F899" s="18"/>
      <c r="G899" s="18"/>
      <c r="H899" s="18"/>
      <c r="I899" s="18"/>
      <c r="J899" s="18"/>
      <c r="K899" s="18"/>
    </row>
    <row r="900" spans="1:11" ht="24.75" customHeight="1" x14ac:dyDescent="0.2">
      <c r="A900" s="19"/>
      <c r="B900" s="18"/>
      <c r="C900" s="18"/>
      <c r="D900" s="18"/>
      <c r="E900" s="18"/>
      <c r="F900" s="18"/>
      <c r="G900" s="18"/>
      <c r="H900" s="18"/>
      <c r="I900" s="18"/>
      <c r="J900" s="18"/>
      <c r="K900" s="18"/>
    </row>
    <row r="901" spans="1:11" ht="24.75" customHeight="1" x14ac:dyDescent="0.2">
      <c r="A901" s="19"/>
      <c r="B901" s="18"/>
      <c r="C901" s="18"/>
      <c r="D901" s="18"/>
      <c r="E901" s="18"/>
      <c r="F901" s="18"/>
      <c r="G901" s="18"/>
      <c r="H901" s="18"/>
      <c r="I901" s="18"/>
      <c r="J901" s="18"/>
      <c r="K901" s="18"/>
    </row>
    <row r="902" spans="1:11" ht="24.75" customHeight="1" x14ac:dyDescent="0.2">
      <c r="A902" s="19"/>
      <c r="B902" s="18"/>
      <c r="C902" s="18"/>
      <c r="D902" s="18"/>
      <c r="E902" s="18"/>
      <c r="F902" s="18"/>
      <c r="G902" s="18"/>
      <c r="H902" s="18"/>
      <c r="I902" s="18"/>
      <c r="J902" s="18"/>
      <c r="K902" s="18"/>
    </row>
    <row r="903" spans="1:11" ht="24.75" customHeight="1" x14ac:dyDescent="0.2">
      <c r="A903" s="19"/>
      <c r="B903" s="18"/>
      <c r="C903" s="18"/>
      <c r="D903" s="18"/>
      <c r="E903" s="18"/>
      <c r="F903" s="18"/>
      <c r="G903" s="18"/>
      <c r="H903" s="18"/>
      <c r="I903" s="18"/>
      <c r="J903" s="18"/>
      <c r="K903" s="18"/>
    </row>
    <row r="904" spans="1:11" ht="24.75" customHeight="1" x14ac:dyDescent="0.2">
      <c r="A904" s="19"/>
      <c r="B904" s="18"/>
      <c r="C904" s="18"/>
      <c r="D904" s="18"/>
      <c r="E904" s="18"/>
      <c r="F904" s="18"/>
      <c r="G904" s="18"/>
      <c r="H904" s="18"/>
      <c r="I904" s="18"/>
      <c r="J904" s="18"/>
      <c r="K904" s="18"/>
    </row>
    <row r="905" spans="1:11" ht="24.75" customHeight="1" x14ac:dyDescent="0.2">
      <c r="A905" s="19"/>
      <c r="B905" s="18"/>
      <c r="C905" s="18"/>
      <c r="D905" s="18"/>
      <c r="E905" s="18"/>
      <c r="F905" s="18"/>
      <c r="G905" s="18"/>
      <c r="H905" s="18"/>
      <c r="I905" s="18"/>
      <c r="J905" s="18"/>
      <c r="K905" s="18"/>
    </row>
    <row r="906" spans="1:11" ht="24.75" customHeight="1" x14ac:dyDescent="0.2">
      <c r="A906" s="19"/>
      <c r="B906" s="18"/>
      <c r="C906" s="18"/>
      <c r="D906" s="18"/>
      <c r="E906" s="18"/>
      <c r="F906" s="18"/>
      <c r="G906" s="18"/>
      <c r="H906" s="18"/>
      <c r="I906" s="18"/>
      <c r="J906" s="18"/>
      <c r="K906" s="18"/>
    </row>
    <row r="907" spans="1:11" ht="24.75" customHeight="1" x14ac:dyDescent="0.2">
      <c r="A907" s="19"/>
      <c r="B907" s="18"/>
      <c r="C907" s="18"/>
      <c r="D907" s="18"/>
      <c r="E907" s="18"/>
      <c r="F907" s="18"/>
      <c r="G907" s="18"/>
      <c r="H907" s="18"/>
      <c r="I907" s="18"/>
      <c r="J907" s="18"/>
      <c r="K907" s="18"/>
    </row>
    <row r="908" spans="1:11" ht="24.75" customHeight="1" x14ac:dyDescent="0.2">
      <c r="A908" s="19"/>
      <c r="B908" s="18"/>
      <c r="C908" s="18"/>
      <c r="D908" s="18"/>
      <c r="E908" s="18"/>
      <c r="F908" s="18"/>
      <c r="G908" s="18"/>
      <c r="H908" s="18"/>
      <c r="I908" s="18"/>
      <c r="J908" s="18"/>
      <c r="K908" s="18"/>
    </row>
    <row r="909" spans="1:11" ht="24.75" customHeight="1" x14ac:dyDescent="0.2">
      <c r="A909" s="19"/>
      <c r="B909" s="18"/>
      <c r="C909" s="18"/>
      <c r="D909" s="18"/>
      <c r="E909" s="18"/>
      <c r="F909" s="18"/>
      <c r="G909" s="18"/>
      <c r="H909" s="18"/>
      <c r="I909" s="18"/>
      <c r="J909" s="18"/>
      <c r="K909" s="18"/>
    </row>
    <row r="910" spans="1:11" ht="24.75" customHeight="1" x14ac:dyDescent="0.2">
      <c r="A910" s="19"/>
      <c r="B910" s="18"/>
      <c r="C910" s="18"/>
      <c r="D910" s="18"/>
      <c r="E910" s="18"/>
      <c r="F910" s="18"/>
      <c r="G910" s="18"/>
      <c r="H910" s="18"/>
      <c r="I910" s="18"/>
      <c r="J910" s="18"/>
      <c r="K910" s="18"/>
    </row>
    <row r="911" spans="1:11" ht="24.75" customHeight="1" x14ac:dyDescent="0.2">
      <c r="A911" s="19"/>
      <c r="B911" s="18"/>
      <c r="C911" s="18"/>
      <c r="D911" s="18"/>
      <c r="E911" s="18"/>
      <c r="F911" s="18"/>
      <c r="G911" s="18"/>
      <c r="H911" s="18"/>
      <c r="I911" s="18"/>
      <c r="J911" s="18"/>
      <c r="K911" s="18"/>
    </row>
    <row r="912" spans="1:11" ht="24.75" customHeight="1" x14ac:dyDescent="0.2">
      <c r="A912" s="19"/>
      <c r="B912" s="18"/>
      <c r="C912" s="18"/>
      <c r="D912" s="18"/>
      <c r="E912" s="18"/>
      <c r="F912" s="18"/>
      <c r="G912" s="18"/>
      <c r="H912" s="18"/>
      <c r="I912" s="18"/>
      <c r="J912" s="18"/>
      <c r="K912" s="18"/>
    </row>
    <row r="913" spans="1:11" ht="24.75" customHeight="1" x14ac:dyDescent="0.2">
      <c r="A913" s="19"/>
      <c r="B913" s="18"/>
      <c r="C913" s="18"/>
      <c r="D913" s="18"/>
      <c r="E913" s="18"/>
      <c r="F913" s="18"/>
      <c r="G913" s="18"/>
      <c r="H913" s="18"/>
      <c r="I913" s="18"/>
      <c r="J913" s="18"/>
      <c r="K913" s="18"/>
    </row>
    <row r="914" spans="1:11" ht="24.75" customHeight="1" x14ac:dyDescent="0.2">
      <c r="A914" s="19"/>
      <c r="B914" s="18"/>
      <c r="C914" s="18"/>
      <c r="D914" s="18"/>
      <c r="E914" s="18"/>
      <c r="F914" s="18"/>
      <c r="G914" s="18"/>
      <c r="H914" s="18"/>
      <c r="I914" s="18"/>
      <c r="J914" s="18"/>
      <c r="K914" s="18"/>
    </row>
    <row r="915" spans="1:11" ht="24.75" customHeight="1" x14ac:dyDescent="0.2">
      <c r="A915" s="19"/>
      <c r="B915" s="18"/>
      <c r="C915" s="18"/>
      <c r="D915" s="18"/>
      <c r="E915" s="18"/>
      <c r="F915" s="18"/>
      <c r="G915" s="18"/>
      <c r="H915" s="18"/>
      <c r="I915" s="18"/>
      <c r="J915" s="18"/>
      <c r="K915" s="18"/>
    </row>
    <row r="916" spans="1:11" ht="24.75" customHeight="1" x14ac:dyDescent="0.2">
      <c r="A916" s="19"/>
      <c r="B916" s="18"/>
      <c r="C916" s="18"/>
      <c r="D916" s="18"/>
      <c r="E916" s="18"/>
      <c r="F916" s="18"/>
      <c r="G916" s="18"/>
      <c r="H916" s="18"/>
      <c r="I916" s="18"/>
      <c r="J916" s="18"/>
      <c r="K916" s="18"/>
    </row>
    <row r="917" spans="1:11" ht="24.75" customHeight="1" x14ac:dyDescent="0.2">
      <c r="A917" s="19"/>
      <c r="B917" s="18"/>
      <c r="C917" s="18"/>
      <c r="D917" s="18"/>
      <c r="E917" s="18"/>
      <c r="F917" s="18"/>
      <c r="G917" s="18"/>
      <c r="H917" s="18"/>
      <c r="I917" s="18"/>
      <c r="J917" s="18"/>
      <c r="K917" s="18"/>
    </row>
    <row r="918" spans="1:11" ht="24.75" customHeight="1" x14ac:dyDescent="0.2">
      <c r="A918" s="19"/>
      <c r="B918" s="18"/>
      <c r="C918" s="18"/>
      <c r="D918" s="18"/>
      <c r="E918" s="18"/>
      <c r="F918" s="18"/>
      <c r="G918" s="18"/>
      <c r="H918" s="18"/>
      <c r="I918" s="18"/>
      <c r="J918" s="18"/>
      <c r="K918" s="18"/>
    </row>
    <row r="919" spans="1:11" ht="24.75" customHeight="1" x14ac:dyDescent="0.2">
      <c r="A919" s="19"/>
      <c r="B919" s="18"/>
      <c r="C919" s="18"/>
      <c r="D919" s="18"/>
      <c r="E919" s="18"/>
      <c r="F919" s="18"/>
      <c r="G919" s="18"/>
      <c r="H919" s="18"/>
      <c r="I919" s="18"/>
      <c r="J919" s="18"/>
      <c r="K919" s="18"/>
    </row>
    <row r="920" spans="1:11" ht="24.75" customHeight="1" x14ac:dyDescent="0.2">
      <c r="A920" s="19"/>
      <c r="B920" s="18"/>
      <c r="C920" s="18"/>
      <c r="D920" s="18"/>
      <c r="E920" s="18"/>
      <c r="F920" s="18"/>
      <c r="G920" s="18"/>
      <c r="H920" s="18"/>
      <c r="I920" s="18"/>
      <c r="J920" s="18"/>
      <c r="K920" s="18"/>
    </row>
    <row r="921" spans="1:11" ht="24.75" customHeight="1" x14ac:dyDescent="0.2">
      <c r="A921" s="19"/>
      <c r="B921" s="18"/>
      <c r="C921" s="18"/>
      <c r="D921" s="18"/>
      <c r="E921" s="18"/>
      <c r="F921" s="18"/>
      <c r="G921" s="18"/>
      <c r="H921" s="18"/>
      <c r="I921" s="18"/>
      <c r="J921" s="18"/>
      <c r="K921" s="18"/>
    </row>
    <row r="922" spans="1:11" ht="24.75" customHeight="1" x14ac:dyDescent="0.2">
      <c r="A922" s="19"/>
      <c r="B922" s="18"/>
      <c r="C922" s="18"/>
      <c r="D922" s="18"/>
      <c r="E922" s="18"/>
      <c r="F922" s="18"/>
      <c r="G922" s="18"/>
      <c r="H922" s="18"/>
      <c r="I922" s="18"/>
      <c r="J922" s="18"/>
      <c r="K922" s="18"/>
    </row>
    <row r="923" spans="1:11" ht="24.75" customHeight="1" x14ac:dyDescent="0.2">
      <c r="A923" s="19"/>
      <c r="B923" s="18"/>
      <c r="C923" s="18"/>
      <c r="D923" s="18"/>
      <c r="E923" s="18"/>
      <c r="F923" s="18"/>
      <c r="G923" s="18"/>
      <c r="H923" s="18"/>
      <c r="I923" s="18"/>
      <c r="J923" s="18"/>
      <c r="K923" s="18"/>
    </row>
    <row r="924" spans="1:11" ht="24.75" customHeight="1" x14ac:dyDescent="0.2">
      <c r="A924" s="19"/>
      <c r="B924" s="18"/>
      <c r="C924" s="18"/>
      <c r="D924" s="18"/>
      <c r="E924" s="18"/>
      <c r="F924" s="18"/>
      <c r="G924" s="18"/>
      <c r="H924" s="18"/>
      <c r="I924" s="18"/>
      <c r="J924" s="18"/>
      <c r="K924" s="18"/>
    </row>
    <row r="925" spans="1:11" ht="24.75" customHeight="1" x14ac:dyDescent="0.2">
      <c r="A925" s="19"/>
      <c r="B925" s="18"/>
      <c r="C925" s="18"/>
      <c r="D925" s="18"/>
      <c r="E925" s="18"/>
      <c r="F925" s="18"/>
      <c r="G925" s="18"/>
      <c r="H925" s="18"/>
      <c r="I925" s="18"/>
      <c r="J925" s="18"/>
      <c r="K925" s="18"/>
    </row>
    <row r="926" spans="1:11" ht="24.75" customHeight="1" x14ac:dyDescent="0.2">
      <c r="A926" s="19"/>
      <c r="B926" s="18"/>
      <c r="C926" s="18"/>
      <c r="D926" s="18"/>
      <c r="E926" s="18"/>
      <c r="F926" s="18"/>
      <c r="G926" s="18"/>
      <c r="H926" s="18"/>
      <c r="I926" s="18"/>
      <c r="J926" s="18"/>
      <c r="K926" s="18"/>
    </row>
    <row r="927" spans="1:11" ht="24.75" customHeight="1" x14ac:dyDescent="0.2">
      <c r="A927" s="19"/>
      <c r="B927" s="18"/>
      <c r="C927" s="18"/>
      <c r="D927" s="18"/>
      <c r="E927" s="18"/>
      <c r="F927" s="18"/>
      <c r="G927" s="18"/>
      <c r="H927" s="18"/>
      <c r="I927" s="18"/>
      <c r="J927" s="18"/>
      <c r="K927" s="18"/>
    </row>
    <row r="928" spans="1:11" ht="24.75" customHeight="1" x14ac:dyDescent="0.2">
      <c r="A928" s="19"/>
      <c r="B928" s="18"/>
      <c r="C928" s="18"/>
      <c r="D928" s="18"/>
      <c r="E928" s="18"/>
      <c r="F928" s="18"/>
      <c r="G928" s="18"/>
      <c r="H928" s="18"/>
      <c r="I928" s="18"/>
      <c r="J928" s="18"/>
      <c r="K928" s="18"/>
    </row>
    <row r="929" spans="1:11" ht="24.75" customHeight="1" x14ac:dyDescent="0.2">
      <c r="A929" s="19"/>
      <c r="B929" s="18"/>
      <c r="C929" s="18"/>
      <c r="D929" s="18"/>
      <c r="E929" s="18"/>
      <c r="F929" s="18"/>
      <c r="G929" s="18"/>
      <c r="H929" s="18"/>
      <c r="I929" s="18"/>
      <c r="J929" s="18"/>
      <c r="K929" s="18"/>
    </row>
    <row r="930" spans="1:11" ht="24.75" customHeight="1" x14ac:dyDescent="0.2">
      <c r="A930" s="19"/>
      <c r="B930" s="18"/>
      <c r="C930" s="18"/>
      <c r="D930" s="18"/>
      <c r="E930" s="18"/>
      <c r="F930" s="18"/>
      <c r="G930" s="18"/>
      <c r="H930" s="18"/>
      <c r="I930" s="18"/>
      <c r="J930" s="18"/>
      <c r="K930" s="18"/>
    </row>
    <row r="931" spans="1:11" ht="24.75" customHeight="1" x14ac:dyDescent="0.2">
      <c r="A931" s="19"/>
      <c r="B931" s="18"/>
      <c r="C931" s="18"/>
      <c r="D931" s="18"/>
      <c r="E931" s="18"/>
      <c r="F931" s="18"/>
      <c r="G931" s="18"/>
      <c r="H931" s="18"/>
      <c r="I931" s="18"/>
      <c r="J931" s="18"/>
      <c r="K931" s="18"/>
    </row>
    <row r="932" spans="1:11" ht="24.75" customHeight="1" x14ac:dyDescent="0.2">
      <c r="A932" s="19"/>
      <c r="B932" s="18"/>
      <c r="C932" s="18"/>
      <c r="D932" s="18"/>
      <c r="E932" s="18"/>
      <c r="F932" s="18"/>
      <c r="G932" s="18"/>
      <c r="H932" s="18"/>
      <c r="I932" s="18"/>
      <c r="J932" s="18"/>
      <c r="K932" s="18"/>
    </row>
    <row r="933" spans="1:11" ht="24.75" customHeight="1" x14ac:dyDescent="0.2">
      <c r="A933" s="19"/>
      <c r="B933" s="18"/>
      <c r="C933" s="18"/>
      <c r="D933" s="18"/>
      <c r="E933" s="18"/>
      <c r="F933" s="18"/>
      <c r="G933" s="18"/>
      <c r="H933" s="18"/>
      <c r="I933" s="18"/>
      <c r="J933" s="18"/>
      <c r="K933" s="18"/>
    </row>
    <row r="934" spans="1:11" ht="24.75" customHeight="1" x14ac:dyDescent="0.2">
      <c r="A934" s="19"/>
      <c r="B934" s="18"/>
      <c r="C934" s="18"/>
      <c r="D934" s="18"/>
      <c r="E934" s="18"/>
      <c r="F934" s="18"/>
      <c r="G934" s="18"/>
      <c r="H934" s="18"/>
      <c r="I934" s="18"/>
      <c r="J934" s="18"/>
      <c r="K934" s="18"/>
    </row>
    <row r="935" spans="1:11" ht="24.75" customHeight="1" x14ac:dyDescent="0.2">
      <c r="A935" s="19"/>
      <c r="B935" s="18"/>
      <c r="C935" s="18"/>
      <c r="D935" s="18"/>
      <c r="E935" s="18"/>
      <c r="F935" s="18"/>
      <c r="G935" s="18"/>
      <c r="H935" s="18"/>
      <c r="I935" s="18"/>
      <c r="J935" s="18"/>
      <c r="K935" s="18"/>
    </row>
    <row r="936" spans="1:11" ht="24.75" customHeight="1" x14ac:dyDescent="0.2">
      <c r="A936" s="19"/>
      <c r="B936" s="18"/>
      <c r="C936" s="18"/>
      <c r="D936" s="18"/>
      <c r="E936" s="18"/>
      <c r="F936" s="18"/>
      <c r="G936" s="18"/>
      <c r="H936" s="18"/>
      <c r="I936" s="18"/>
      <c r="J936" s="18"/>
      <c r="K936" s="18"/>
    </row>
    <row r="937" spans="1:11" ht="24.75" customHeight="1" x14ac:dyDescent="0.2">
      <c r="A937" s="19"/>
      <c r="B937" s="18"/>
      <c r="C937" s="18"/>
      <c r="D937" s="18"/>
      <c r="E937" s="18"/>
      <c r="F937" s="18"/>
      <c r="G937" s="18"/>
      <c r="H937" s="18"/>
      <c r="I937" s="18"/>
      <c r="J937" s="18"/>
      <c r="K937" s="18"/>
    </row>
    <row r="938" spans="1:11" ht="24.75" customHeight="1" x14ac:dyDescent="0.2">
      <c r="A938" s="19"/>
      <c r="B938" s="18"/>
      <c r="C938" s="18"/>
      <c r="D938" s="18"/>
      <c r="E938" s="18"/>
      <c r="F938" s="18"/>
      <c r="G938" s="18"/>
      <c r="H938" s="18"/>
      <c r="I938" s="18"/>
      <c r="J938" s="18"/>
      <c r="K938" s="18"/>
    </row>
    <row r="939" spans="1:11" ht="24.75" customHeight="1" x14ac:dyDescent="0.2">
      <c r="A939" s="19"/>
      <c r="B939" s="18"/>
      <c r="C939" s="18"/>
      <c r="D939" s="18"/>
      <c r="E939" s="18"/>
      <c r="F939" s="18"/>
      <c r="G939" s="18"/>
      <c r="H939" s="18"/>
      <c r="I939" s="18"/>
      <c r="J939" s="18"/>
      <c r="K939" s="18"/>
    </row>
    <row r="940" spans="1:11" ht="24.75" customHeight="1" x14ac:dyDescent="0.2">
      <c r="A940" s="19"/>
      <c r="B940" s="18"/>
      <c r="C940" s="18"/>
      <c r="D940" s="18"/>
      <c r="E940" s="18"/>
      <c r="F940" s="18"/>
      <c r="G940" s="18"/>
      <c r="H940" s="18"/>
      <c r="I940" s="18"/>
      <c r="J940" s="18"/>
      <c r="K940" s="18"/>
    </row>
    <row r="941" spans="1:11" ht="24.75" customHeight="1" x14ac:dyDescent="0.2">
      <c r="A941" s="19"/>
      <c r="B941" s="18"/>
      <c r="C941" s="18"/>
      <c r="D941" s="18"/>
      <c r="E941" s="18"/>
      <c r="F941" s="18"/>
      <c r="G941" s="18"/>
      <c r="H941" s="18"/>
      <c r="I941" s="18"/>
      <c r="J941" s="18"/>
      <c r="K941" s="18"/>
    </row>
    <row r="942" spans="1:11" ht="24.75" customHeight="1" x14ac:dyDescent="0.2">
      <c r="A942" s="19"/>
      <c r="B942" s="18"/>
      <c r="C942" s="18"/>
      <c r="D942" s="18"/>
      <c r="E942" s="18"/>
      <c r="F942" s="18"/>
      <c r="G942" s="18"/>
      <c r="H942" s="18"/>
      <c r="I942" s="18"/>
      <c r="J942" s="18"/>
      <c r="K942" s="18"/>
    </row>
    <row r="943" spans="1:11" ht="24.75" customHeight="1" x14ac:dyDescent="0.2">
      <c r="A943" s="19"/>
      <c r="B943" s="18"/>
      <c r="C943" s="18"/>
      <c r="D943" s="18"/>
      <c r="E943" s="18"/>
      <c r="F943" s="18"/>
      <c r="G943" s="18"/>
      <c r="H943" s="18"/>
      <c r="I943" s="18"/>
      <c r="J943" s="18"/>
      <c r="K943" s="18"/>
    </row>
    <row r="944" spans="1:11" ht="24.75" customHeight="1" x14ac:dyDescent="0.2">
      <c r="A944" s="19"/>
      <c r="B944" s="18"/>
      <c r="C944" s="18"/>
      <c r="D944" s="18"/>
      <c r="E944" s="18"/>
      <c r="F944" s="18"/>
      <c r="G944" s="18"/>
      <c r="H944" s="18"/>
      <c r="I944" s="18"/>
      <c r="J944" s="18"/>
      <c r="K944" s="18"/>
    </row>
    <row r="945" spans="1:11" ht="24.75" customHeight="1" x14ac:dyDescent="0.2">
      <c r="A945" s="19"/>
      <c r="B945" s="18"/>
      <c r="C945" s="18"/>
      <c r="D945" s="18"/>
      <c r="E945" s="18"/>
      <c r="F945" s="18"/>
      <c r="G945" s="18"/>
      <c r="H945" s="18"/>
      <c r="I945" s="18"/>
      <c r="J945" s="18"/>
      <c r="K945" s="18"/>
    </row>
    <row r="946" spans="1:11" ht="24.75" customHeight="1" x14ac:dyDescent="0.2">
      <c r="A946" s="19"/>
      <c r="B946" s="18"/>
      <c r="C946" s="18"/>
      <c r="D946" s="18"/>
      <c r="E946" s="18"/>
      <c r="F946" s="18"/>
      <c r="G946" s="18"/>
      <c r="H946" s="18"/>
      <c r="I946" s="18"/>
      <c r="J946" s="18"/>
      <c r="K946" s="18"/>
    </row>
    <row r="947" spans="1:11" ht="24.75" customHeight="1" x14ac:dyDescent="0.2">
      <c r="A947" s="19"/>
      <c r="B947" s="18"/>
      <c r="C947" s="18"/>
      <c r="D947" s="18"/>
      <c r="E947" s="18"/>
      <c r="F947" s="18"/>
      <c r="G947" s="18"/>
      <c r="H947" s="18"/>
      <c r="I947" s="18"/>
      <c r="J947" s="18"/>
      <c r="K947" s="18"/>
    </row>
    <row r="948" spans="1:11" ht="24.75" customHeight="1" x14ac:dyDescent="0.2">
      <c r="A948" s="19"/>
      <c r="B948" s="18"/>
      <c r="C948" s="18"/>
      <c r="D948" s="18"/>
      <c r="E948" s="18"/>
      <c r="F948" s="18"/>
      <c r="G948" s="18"/>
      <c r="H948" s="18"/>
      <c r="I948" s="18"/>
      <c r="J948" s="18"/>
      <c r="K948" s="18"/>
    </row>
    <row r="949" spans="1:11" ht="24.75" customHeight="1" x14ac:dyDescent="0.2">
      <c r="A949" s="19"/>
      <c r="B949" s="18"/>
      <c r="C949" s="18"/>
      <c r="D949" s="18"/>
      <c r="E949" s="18"/>
      <c r="F949" s="18"/>
      <c r="G949" s="18"/>
      <c r="H949" s="18"/>
      <c r="I949" s="18"/>
      <c r="J949" s="18"/>
      <c r="K949" s="18"/>
    </row>
    <row r="950" spans="1:11" ht="24.75" customHeight="1" x14ac:dyDescent="0.2">
      <c r="A950" s="19"/>
      <c r="B950" s="18"/>
      <c r="C950" s="18"/>
      <c r="D950" s="18"/>
      <c r="E950" s="18"/>
      <c r="F950" s="18"/>
      <c r="G950" s="18"/>
      <c r="H950" s="18"/>
      <c r="I950" s="18"/>
      <c r="J950" s="18"/>
      <c r="K950" s="18"/>
    </row>
    <row r="951" spans="1:11" ht="24.75" customHeight="1" x14ac:dyDescent="0.2">
      <c r="A951" s="19"/>
      <c r="B951" s="18"/>
      <c r="C951" s="18"/>
      <c r="D951" s="18"/>
      <c r="E951" s="18"/>
      <c r="F951" s="18"/>
      <c r="G951" s="18"/>
      <c r="H951" s="18"/>
      <c r="I951" s="18"/>
      <c r="J951" s="18"/>
      <c r="K951" s="18"/>
    </row>
    <row r="952" spans="1:11" ht="24.75" customHeight="1" x14ac:dyDescent="0.2">
      <c r="A952" s="19"/>
      <c r="B952" s="18"/>
      <c r="C952" s="18"/>
      <c r="D952" s="18"/>
      <c r="E952" s="18"/>
      <c r="F952" s="18"/>
      <c r="G952" s="18"/>
      <c r="H952" s="18"/>
      <c r="I952" s="18"/>
      <c r="J952" s="18"/>
      <c r="K952" s="18"/>
    </row>
    <row r="953" spans="1:11" ht="24.75" customHeight="1" x14ac:dyDescent="0.2">
      <c r="A953" s="19"/>
      <c r="B953" s="18"/>
      <c r="C953" s="18"/>
      <c r="D953" s="18"/>
      <c r="E953" s="18"/>
      <c r="F953" s="18"/>
      <c r="G953" s="18"/>
      <c r="H953" s="18"/>
      <c r="I953" s="18"/>
      <c r="J953" s="18"/>
      <c r="K953" s="18"/>
    </row>
    <row r="954" spans="1:11" ht="24.75" customHeight="1" x14ac:dyDescent="0.2">
      <c r="A954" s="19"/>
      <c r="B954" s="18"/>
      <c r="C954" s="18"/>
      <c r="D954" s="18"/>
      <c r="E954" s="18"/>
      <c r="F954" s="18"/>
      <c r="G954" s="18"/>
      <c r="H954" s="18"/>
      <c r="I954" s="18"/>
      <c r="J954" s="18"/>
      <c r="K954" s="18"/>
    </row>
    <row r="955" spans="1:11" ht="24.75" customHeight="1" x14ac:dyDescent="0.2">
      <c r="A955" s="19"/>
      <c r="B955" s="18"/>
      <c r="C955" s="18"/>
      <c r="D955" s="18"/>
      <c r="E955" s="18"/>
      <c r="F955" s="18"/>
      <c r="G955" s="18"/>
      <c r="H955" s="18"/>
      <c r="I955" s="18"/>
      <c r="J955" s="18"/>
      <c r="K955" s="18"/>
    </row>
    <row r="956" spans="1:11" ht="24.75" customHeight="1" x14ac:dyDescent="0.2">
      <c r="A956" s="19"/>
    </row>
    <row r="957" spans="1:11" ht="24.75" customHeight="1" x14ac:dyDescent="0.2">
      <c r="A957" s="19"/>
    </row>
    <row r="958" spans="1:11" ht="24.75" customHeight="1" x14ac:dyDescent="0.2">
      <c r="A958" s="19"/>
    </row>
    <row r="959" spans="1:11" ht="24.75" customHeight="1" x14ac:dyDescent="0.2">
      <c r="A959" s="19"/>
    </row>
    <row r="960" spans="1:11" ht="24.75" customHeight="1" x14ac:dyDescent="0.2">
      <c r="A960" s="19"/>
    </row>
    <row r="961" spans="1:1" ht="24.75" customHeight="1" x14ac:dyDescent="0.2">
      <c r="A961" s="19"/>
    </row>
    <row r="962" spans="1:1" ht="24.75" customHeight="1" x14ac:dyDescent="0.2">
      <c r="A962" s="19"/>
    </row>
    <row r="963" spans="1:1" ht="24.75" customHeight="1" x14ac:dyDescent="0.2">
      <c r="A963" s="19"/>
    </row>
    <row r="964" spans="1:1" ht="24.75" customHeight="1" x14ac:dyDescent="0.2">
      <c r="A964" s="19"/>
    </row>
    <row r="965" spans="1:1" ht="24.75" customHeight="1" x14ac:dyDescent="0.2">
      <c r="A965" s="19"/>
    </row>
    <row r="966" spans="1:1" ht="24.75" customHeight="1" x14ac:dyDescent="0.2">
      <c r="A966" s="19"/>
    </row>
    <row r="967" spans="1:1" ht="24.75" customHeight="1" x14ac:dyDescent="0.2">
      <c r="A967" s="19"/>
    </row>
    <row r="968" spans="1:1" ht="24.75" customHeight="1" x14ac:dyDescent="0.2">
      <c r="A968" s="19"/>
    </row>
    <row r="969" spans="1:1" ht="24.75" customHeight="1" x14ac:dyDescent="0.2">
      <c r="A969" s="19"/>
    </row>
    <row r="970" spans="1:1" ht="24.75" customHeight="1" x14ac:dyDescent="0.2">
      <c r="A970" s="19"/>
    </row>
    <row r="971" spans="1:1" ht="24.75" customHeight="1" x14ac:dyDescent="0.2">
      <c r="A971" s="19"/>
    </row>
    <row r="972" spans="1:1" ht="24.75" customHeight="1" x14ac:dyDescent="0.2">
      <c r="A972" s="19"/>
    </row>
    <row r="973" spans="1:1" ht="24.75" customHeight="1" x14ac:dyDescent="0.2">
      <c r="A973" s="19"/>
    </row>
    <row r="974" spans="1:1" ht="24.75" customHeight="1" x14ac:dyDescent="0.2">
      <c r="A974" s="19"/>
    </row>
    <row r="975" spans="1:1" ht="24.75" customHeight="1" x14ac:dyDescent="0.2">
      <c r="A975" s="19"/>
    </row>
    <row r="976" spans="1:1" ht="24.75" customHeight="1" x14ac:dyDescent="0.2">
      <c r="A976" s="19"/>
    </row>
    <row r="977" spans="1:1" ht="24.75" customHeight="1" x14ac:dyDescent="0.2">
      <c r="A977" s="19"/>
    </row>
    <row r="978" spans="1:1" ht="24.75" customHeight="1" x14ac:dyDescent="0.2">
      <c r="A978" s="19"/>
    </row>
    <row r="979" spans="1:1" ht="24.75" customHeight="1" x14ac:dyDescent="0.2">
      <c r="A979" s="19"/>
    </row>
    <row r="980" spans="1:1" ht="24.75" customHeight="1" x14ac:dyDescent="0.2">
      <c r="A980" s="19"/>
    </row>
    <row r="981" spans="1:1" ht="24.75" customHeight="1" x14ac:dyDescent="0.2">
      <c r="A981" s="19"/>
    </row>
    <row r="982" spans="1:1" ht="24.75" customHeight="1" x14ac:dyDescent="0.2">
      <c r="A982" s="19"/>
    </row>
    <row r="983" spans="1:1" ht="24.75" customHeight="1" x14ac:dyDescent="0.2">
      <c r="A983" s="19"/>
    </row>
    <row r="984" spans="1:1" ht="24.75" customHeight="1" x14ac:dyDescent="0.2">
      <c r="A984" s="19"/>
    </row>
    <row r="985" spans="1:1" ht="24.75" customHeight="1" x14ac:dyDescent="0.2">
      <c r="A985" s="19"/>
    </row>
    <row r="986" spans="1:1" ht="24.75" customHeight="1" x14ac:dyDescent="0.2">
      <c r="A986" s="19"/>
    </row>
    <row r="987" spans="1:1" ht="24.75" customHeight="1" x14ac:dyDescent="0.2">
      <c r="A987" s="19"/>
    </row>
    <row r="988" spans="1:1" ht="24.75" customHeight="1" x14ac:dyDescent="0.2">
      <c r="A988" s="19"/>
    </row>
    <row r="989" spans="1:1" ht="24.75" customHeight="1" x14ac:dyDescent="0.2">
      <c r="A989" s="19"/>
    </row>
    <row r="990" spans="1:1" ht="24.75" customHeight="1" x14ac:dyDescent="0.2">
      <c r="A990" s="19"/>
    </row>
    <row r="991" spans="1:1" ht="24.75" customHeight="1" x14ac:dyDescent="0.2">
      <c r="A991" s="19"/>
    </row>
    <row r="992" spans="1:1" ht="24.75" customHeight="1" x14ac:dyDescent="0.2">
      <c r="A992" s="19"/>
    </row>
    <row r="993" spans="1:1" ht="24.75" customHeight="1" x14ac:dyDescent="0.2">
      <c r="A993" s="19"/>
    </row>
    <row r="994" spans="1:1" ht="24.75" customHeight="1" x14ac:dyDescent="0.2">
      <c r="A994" s="19"/>
    </row>
    <row r="995" spans="1:1" ht="24.75" customHeight="1" x14ac:dyDescent="0.2">
      <c r="A995" s="19"/>
    </row>
    <row r="996" spans="1:1" ht="24.75" customHeight="1" x14ac:dyDescent="0.2">
      <c r="A996" s="19"/>
    </row>
    <row r="997" spans="1:1" ht="24.75" customHeight="1" x14ac:dyDescent="0.2">
      <c r="A997" s="19"/>
    </row>
    <row r="998" spans="1:1" ht="24.75" customHeight="1" x14ac:dyDescent="0.2">
      <c r="A998" s="19"/>
    </row>
    <row r="999" spans="1:1" ht="24.75" customHeight="1" x14ac:dyDescent="0.2">
      <c r="A999" s="19"/>
    </row>
    <row r="1000" spans="1:1" ht="24.75" customHeight="1" x14ac:dyDescent="0.2">
      <c r="A1000" s="19"/>
    </row>
  </sheetData>
  <sortState xmlns:xlrd2="http://schemas.microsoft.com/office/spreadsheetml/2017/richdata2" ref="A4:K868">
    <sortCondition ref="E3:E868"/>
  </sortState>
  <mergeCells count="2">
    <mergeCell ref="A1:A2"/>
    <mergeCell ref="B1:F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evaluation_sample_811_linksAdde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2022-01-14T06:24:22Z</dcterms:created>
  <dcterms:modified xsi:type="dcterms:W3CDTF">2022-01-25T17:03:52Z</dcterms:modified>
</cp:coreProperties>
</file>