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kiglobal-my.sharepoint.com/personal/erika_nilsson_midwayholding_se/Documents/Skrivbordet/"/>
    </mc:Choice>
  </mc:AlternateContent>
  <xr:revisionPtr revIDLastSave="77" documentId="8_{3A54E459-993E-45C4-BE4D-6315A479D7B5}" xr6:coauthVersionLast="47" xr6:coauthVersionMax="47" xr10:uidLastSave="{C9CAD7C2-8497-41C0-995D-E1B4429BBA7B}"/>
  <bookViews>
    <workbookView xWindow="-120" yWindow="-120" windowWidth="38640" windowHeight="21240" xr2:uid="{DA0CE98A-C749-4174-BB62-D865E6E31158}"/>
  </bookViews>
  <sheets>
    <sheet name="Härledningar" sheetId="1" r:id="rId1"/>
    <sheet name="Definitioner" sheetId="2" r:id="rId2"/>
  </sheets>
  <definedNames>
    <definedName name="_xlnm.Print_Area" localSheetId="0">Härledningar!$A$8:$AI$222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7" i="1" l="1"/>
  <c r="H77" i="1"/>
  <c r="H22" i="1"/>
  <c r="H20" i="1" l="1"/>
  <c r="I177" i="1"/>
  <c r="H177" i="1"/>
  <c r="G177" i="1"/>
  <c r="H26" i="1" l="1"/>
  <c r="I143" i="1"/>
  <c r="H143" i="1"/>
  <c r="G143" i="1"/>
  <c r="P83" i="1"/>
  <c r="P82" i="1"/>
  <c r="P81" i="1"/>
  <c r="J82" i="1"/>
  <c r="J79" i="1"/>
  <c r="J80" i="1"/>
  <c r="J81" i="1"/>
  <c r="J78" i="1"/>
  <c r="I82" i="1"/>
  <c r="H82" i="1"/>
  <c r="G82" i="1"/>
  <c r="F82" i="1"/>
  <c r="N82" i="1"/>
  <c r="O82" i="1"/>
  <c r="J19" i="1"/>
  <c r="H78" i="1" l="1"/>
  <c r="J35" i="1"/>
  <c r="J34" i="1"/>
  <c r="J33" i="1"/>
  <c r="J32" i="1"/>
  <c r="J31" i="1"/>
  <c r="J29" i="1"/>
  <c r="J27" i="1"/>
  <c r="J26" i="1"/>
  <c r="J25" i="1"/>
  <c r="J24" i="1"/>
  <c r="J23" i="1"/>
  <c r="J22" i="1"/>
  <c r="J21" i="1"/>
  <c r="J20" i="1"/>
  <c r="J18" i="1"/>
  <c r="J17" i="1"/>
  <c r="J15" i="1"/>
  <c r="J13" i="1"/>
  <c r="H35" i="1"/>
  <c r="G35" i="1"/>
  <c r="F35" i="1"/>
  <c r="H34" i="1"/>
  <c r="G34" i="1"/>
  <c r="F34" i="1"/>
  <c r="H32" i="1"/>
  <c r="F26" i="1" l="1"/>
  <c r="G26" i="1"/>
  <c r="H23" i="1"/>
  <c r="G22" i="1"/>
  <c r="H21" i="1"/>
  <c r="H19" i="1"/>
  <c r="H18" i="1"/>
  <c r="H15" i="1"/>
  <c r="H14" i="1" l="1"/>
  <c r="H13" i="1"/>
  <c r="J12" i="1"/>
  <c r="J14" i="1" l="1"/>
  <c r="J89" i="1"/>
  <c r="G165" i="1"/>
  <c r="G147" i="1"/>
  <c r="F143" i="1"/>
  <c r="G124" i="1"/>
  <c r="F89" i="1"/>
  <c r="G20" i="1" l="1"/>
  <c r="J16" i="1" l="1"/>
  <c r="AO17" i="1"/>
  <c r="AO16" i="1"/>
  <c r="AO15" i="1"/>
  <c r="T34" i="1" l="1"/>
  <c r="S34" i="1"/>
  <c r="R34" i="1"/>
  <c r="R143" i="1" s="1"/>
  <c r="Q34" i="1"/>
  <c r="Q143" i="1" s="1"/>
  <c r="O34" i="1"/>
  <c r="O35" i="1" s="1"/>
  <c r="O144" i="1" s="1"/>
  <c r="N34" i="1"/>
  <c r="N143" i="1" s="1"/>
  <c r="M34" i="1"/>
  <c r="L34" i="1"/>
  <c r="L35" i="1" s="1"/>
  <c r="S143" i="1"/>
  <c r="T143" i="1"/>
  <c r="O143" i="1"/>
  <c r="U33" i="1"/>
  <c r="M35" i="1"/>
  <c r="M144" i="1" s="1"/>
  <c r="U34" i="1"/>
  <c r="U32" i="1"/>
  <c r="P33" i="1"/>
  <c r="P32" i="1"/>
  <c r="N35" i="1" l="1"/>
  <c r="N144" i="1" s="1"/>
  <c r="L143" i="1"/>
  <c r="F144" i="1"/>
  <c r="M143" i="1"/>
  <c r="L144" i="1"/>
  <c r="F16" i="1"/>
  <c r="F147" i="1" s="1"/>
  <c r="U16" i="1" l="1"/>
  <c r="P16" i="1"/>
  <c r="P15" i="1"/>
  <c r="L89" i="1" l="1"/>
  <c r="F77" i="1"/>
  <c r="J30" i="1"/>
  <c r="J28" i="1"/>
  <c r="L26" i="1" l="1"/>
  <c r="F19" i="1"/>
  <c r="G97" i="1" l="1"/>
  <c r="I20" i="1"/>
  <c r="I190" i="1"/>
  <c r="H190" i="1"/>
  <c r="G190" i="1"/>
  <c r="F190" i="1"/>
  <c r="J180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65" i="1"/>
  <c r="H165" i="1"/>
  <c r="F165" i="1"/>
  <c r="I162" i="1"/>
  <c r="H162" i="1"/>
  <c r="G162" i="1"/>
  <c r="F162" i="1"/>
  <c r="I153" i="1"/>
  <c r="I160" i="1" s="1"/>
  <c r="I171" i="1" s="1"/>
  <c r="I184" i="1" s="1"/>
  <c r="H153" i="1"/>
  <c r="H160" i="1" s="1"/>
  <c r="H171" i="1" s="1"/>
  <c r="H184" i="1" s="1"/>
  <c r="G153" i="1"/>
  <c r="G160" i="1" s="1"/>
  <c r="G171" i="1" s="1"/>
  <c r="G184" i="1" s="1"/>
  <c r="F153" i="1"/>
  <c r="F160" i="1" s="1"/>
  <c r="F171" i="1" s="1"/>
  <c r="F184" i="1" s="1"/>
  <c r="I147" i="1"/>
  <c r="H147" i="1"/>
  <c r="I140" i="1"/>
  <c r="H140" i="1"/>
  <c r="G140" i="1"/>
  <c r="F140" i="1"/>
  <c r="I134" i="1"/>
  <c r="H134" i="1"/>
  <c r="F134" i="1"/>
  <c r="I131" i="1"/>
  <c r="H131" i="1"/>
  <c r="G131" i="1"/>
  <c r="F131" i="1"/>
  <c r="I126" i="1"/>
  <c r="H126" i="1"/>
  <c r="G126" i="1"/>
  <c r="F126" i="1"/>
  <c r="I125" i="1"/>
  <c r="H125" i="1"/>
  <c r="G125" i="1"/>
  <c r="G128" i="1" s="1"/>
  <c r="F125" i="1"/>
  <c r="F128" i="1" s="1"/>
  <c r="I124" i="1"/>
  <c r="I128" i="1" s="1"/>
  <c r="H124" i="1"/>
  <c r="F124" i="1"/>
  <c r="H121" i="1"/>
  <c r="G121" i="1"/>
  <c r="F121" i="1"/>
  <c r="J115" i="1"/>
  <c r="I115" i="1"/>
  <c r="H115" i="1"/>
  <c r="G115" i="1"/>
  <c r="F115" i="1"/>
  <c r="I114" i="1"/>
  <c r="H114" i="1"/>
  <c r="G114" i="1"/>
  <c r="F114" i="1"/>
  <c r="I109" i="1"/>
  <c r="I111" i="1" s="1"/>
  <c r="H109" i="1"/>
  <c r="H111" i="1" s="1"/>
  <c r="F109" i="1"/>
  <c r="F111" i="1" s="1"/>
  <c r="I100" i="1"/>
  <c r="H100" i="1"/>
  <c r="G100" i="1"/>
  <c r="F100" i="1"/>
  <c r="I97" i="1"/>
  <c r="H97" i="1"/>
  <c r="F97" i="1"/>
  <c r="H89" i="1"/>
  <c r="I71" i="1"/>
  <c r="H71" i="1"/>
  <c r="F71" i="1"/>
  <c r="I70" i="1"/>
  <c r="H70" i="1"/>
  <c r="G70" i="1"/>
  <c r="F70" i="1"/>
  <c r="I62" i="1"/>
  <c r="H62" i="1"/>
  <c r="F62" i="1"/>
  <c r="I52" i="1"/>
  <c r="H52" i="1"/>
  <c r="F52" i="1"/>
  <c r="I51" i="1"/>
  <c r="H51" i="1"/>
  <c r="G51" i="1"/>
  <c r="F51" i="1"/>
  <c r="J48" i="1"/>
  <c r="I48" i="1"/>
  <c r="H48" i="1"/>
  <c r="G48" i="1"/>
  <c r="F48" i="1"/>
  <c r="J40" i="1"/>
  <c r="J68" i="1" s="1"/>
  <c r="J75" i="1" s="1"/>
  <c r="I40" i="1"/>
  <c r="H40" i="1"/>
  <c r="H92" i="1" s="1"/>
  <c r="H104" i="1" s="1"/>
  <c r="G40" i="1"/>
  <c r="G92" i="1" s="1"/>
  <c r="G104" i="1" s="1"/>
  <c r="F40" i="1"/>
  <c r="F68" i="1" s="1"/>
  <c r="F75" i="1" s="1"/>
  <c r="I34" i="1"/>
  <c r="I35" i="1" s="1"/>
  <c r="I26" i="1"/>
  <c r="H155" i="1"/>
  <c r="G155" i="1"/>
  <c r="F155" i="1"/>
  <c r="J114" i="1"/>
  <c r="I19" i="1"/>
  <c r="G71" i="1"/>
  <c r="J62" i="1"/>
  <c r="J51" i="1"/>
  <c r="F12" i="1"/>
  <c r="F95" i="1" s="1"/>
  <c r="F116" i="1" l="1"/>
  <c r="H116" i="1"/>
  <c r="F177" i="1"/>
  <c r="H128" i="1"/>
  <c r="H180" i="1"/>
  <c r="I180" i="1"/>
  <c r="F101" i="1"/>
  <c r="F72" i="1"/>
  <c r="F98" i="1"/>
  <c r="H59" i="1"/>
  <c r="G180" i="1"/>
  <c r="J116" i="1"/>
  <c r="F180" i="1"/>
  <c r="I116" i="1"/>
  <c r="J100" i="1"/>
  <c r="I53" i="1"/>
  <c r="I83" i="1"/>
  <c r="H72" i="1"/>
  <c r="H54" i="1"/>
  <c r="H53" i="1"/>
  <c r="I54" i="1"/>
  <c r="G68" i="1"/>
  <c r="G75" i="1" s="1"/>
  <c r="I72" i="1"/>
  <c r="G87" i="1"/>
  <c r="F107" i="1"/>
  <c r="F112" i="1" s="1"/>
  <c r="I164" i="1"/>
  <c r="I166" i="1" s="1"/>
  <c r="I168" i="1" s="1"/>
  <c r="H68" i="1"/>
  <c r="H75" i="1" s="1"/>
  <c r="J87" i="1"/>
  <c r="G72" i="1"/>
  <c r="G54" i="1"/>
  <c r="F53" i="1"/>
  <c r="F54" i="1" s="1"/>
  <c r="G59" i="1"/>
  <c r="G116" i="1"/>
  <c r="J54" i="1"/>
  <c r="J52" i="1"/>
  <c r="J53" i="1" s="1"/>
  <c r="I155" i="1"/>
  <c r="J70" i="1"/>
  <c r="F87" i="1"/>
  <c r="J71" i="1"/>
  <c r="J72" i="1" s="1"/>
  <c r="J109" i="1"/>
  <c r="J111" i="1" s="1"/>
  <c r="J97" i="1"/>
  <c r="I68" i="1"/>
  <c r="I59" i="1"/>
  <c r="I92" i="1"/>
  <c r="I104" i="1" s="1"/>
  <c r="G19" i="1"/>
  <c r="G62" i="1"/>
  <c r="F92" i="1"/>
  <c r="F104" i="1" s="1"/>
  <c r="J92" i="1"/>
  <c r="J104" i="1" s="1"/>
  <c r="G109" i="1"/>
  <c r="G111" i="1" s="1"/>
  <c r="G52" i="1"/>
  <c r="G53" i="1" s="1"/>
  <c r="G77" i="1"/>
  <c r="G12" i="1"/>
  <c r="F59" i="1"/>
  <c r="J59" i="1"/>
  <c r="AC14" i="1"/>
  <c r="U15" i="1"/>
  <c r="P34" i="1"/>
  <c r="P27" i="1"/>
  <c r="P28" i="1"/>
  <c r="P29" i="1"/>
  <c r="P30" i="1"/>
  <c r="P31" i="1"/>
  <c r="P25" i="1"/>
  <c r="P24" i="1"/>
  <c r="P23" i="1"/>
  <c r="F117" i="1" l="1"/>
  <c r="H87" i="1"/>
  <c r="I156" i="1"/>
  <c r="I157" i="1" s="1"/>
  <c r="I146" i="1"/>
  <c r="I148" i="1" s="1"/>
  <c r="I135" i="1"/>
  <c r="I137" i="1" s="1"/>
  <c r="J77" i="1"/>
  <c r="I87" i="1"/>
  <c r="I75" i="1"/>
  <c r="G107" i="1"/>
  <c r="G117" i="1" s="1"/>
  <c r="G95" i="1"/>
  <c r="H12" i="1"/>
  <c r="O26" i="1"/>
  <c r="P26" i="1" s="1"/>
  <c r="N26" i="1"/>
  <c r="M26" i="1"/>
  <c r="O19" i="1"/>
  <c r="H95" i="1" l="1"/>
  <c r="H101" i="1" s="1"/>
  <c r="I12" i="1"/>
  <c r="H107" i="1"/>
  <c r="G101" i="1"/>
  <c r="G98" i="1"/>
  <c r="G112" i="1"/>
  <c r="AS16" i="1"/>
  <c r="J95" i="1" l="1"/>
  <c r="J107" i="1"/>
  <c r="H112" i="1"/>
  <c r="H117" i="1"/>
  <c r="I107" i="1"/>
  <c r="I95" i="1"/>
  <c r="AS15" i="1"/>
  <c r="J117" i="1" l="1"/>
  <c r="J112" i="1"/>
  <c r="I98" i="1"/>
  <c r="I101" i="1"/>
  <c r="I117" i="1"/>
  <c r="I112" i="1"/>
  <c r="J101" i="1"/>
  <c r="J98" i="1"/>
  <c r="AS17" i="1"/>
  <c r="AS18" i="1" s="1"/>
  <c r="AO18" i="1" l="1"/>
  <c r="G15" i="1" s="1"/>
  <c r="O165" i="1"/>
  <c r="O155" i="1"/>
  <c r="I61" i="1" l="1"/>
  <c r="I64" i="1" s="1"/>
  <c r="F15" i="1"/>
  <c r="F78" i="1" l="1"/>
  <c r="J61" i="1"/>
  <c r="J64" i="1" s="1"/>
  <c r="F61" i="1"/>
  <c r="F64" i="1" s="1"/>
  <c r="G61" i="1"/>
  <c r="G64" i="1" s="1"/>
  <c r="G78" i="1"/>
  <c r="G83" i="1" s="1"/>
  <c r="H83" i="1"/>
  <c r="H61" i="1"/>
  <c r="H64" i="1" s="1"/>
  <c r="N134" i="1"/>
  <c r="N78" i="1"/>
  <c r="N77" i="1"/>
  <c r="G144" i="1" l="1"/>
  <c r="H144" i="1"/>
  <c r="J83" i="1"/>
  <c r="F83" i="1"/>
  <c r="I144" i="1"/>
  <c r="I150" i="1" s="1"/>
  <c r="Q89" i="1"/>
  <c r="N70" i="1"/>
  <c r="O70" i="1"/>
  <c r="M78" i="1"/>
  <c r="M21" i="1"/>
  <c r="M18" i="1"/>
  <c r="P18" i="1" s="1"/>
  <c r="M17" i="1"/>
  <c r="F20" i="1" s="1"/>
  <c r="M14" i="1"/>
  <c r="P14" i="1" s="1"/>
  <c r="M13" i="1"/>
  <c r="G89" i="1" s="1"/>
  <c r="U78" i="1"/>
  <c r="Q71" i="1"/>
  <c r="Q70" i="1"/>
  <c r="L70" i="1"/>
  <c r="R78" i="1"/>
  <c r="S78" i="1"/>
  <c r="T78" i="1"/>
  <c r="Q78" i="1"/>
  <c r="Q77" i="1"/>
  <c r="P80" i="1"/>
  <c r="P79" i="1"/>
  <c r="L78" i="1"/>
  <c r="L77" i="1"/>
  <c r="P61" i="1"/>
  <c r="L61" i="1"/>
  <c r="M11" i="1"/>
  <c r="N11" i="1" s="1"/>
  <c r="O11" i="1" s="1"/>
  <c r="T26" i="1"/>
  <c r="S26" i="1"/>
  <c r="R26" i="1"/>
  <c r="Q26" i="1"/>
  <c r="R23" i="1"/>
  <c r="S23" i="1" s="1"/>
  <c r="T23" i="1" s="1"/>
  <c r="R21" i="1"/>
  <c r="Q20" i="1"/>
  <c r="Q19" i="1"/>
  <c r="R18" i="1"/>
  <c r="R17" i="1"/>
  <c r="R14" i="1"/>
  <c r="R13" i="1"/>
  <c r="S13" i="1" s="1"/>
  <c r="AB26" i="1"/>
  <c r="AA26" i="1"/>
  <c r="Y26" i="1"/>
  <c r="Y19" i="1"/>
  <c r="Z18" i="1"/>
  <c r="T61" i="1"/>
  <c r="S61" i="1"/>
  <c r="R61" i="1"/>
  <c r="Q61" i="1"/>
  <c r="O61" i="1"/>
  <c r="N61" i="1"/>
  <c r="M61" i="1"/>
  <c r="Q62" i="1"/>
  <c r="L62" i="1"/>
  <c r="P21" i="1" l="1"/>
  <c r="F22" i="1"/>
  <c r="F146" i="1"/>
  <c r="F148" i="1" s="1"/>
  <c r="F150" i="1"/>
  <c r="P13" i="1"/>
  <c r="P70" i="1" s="1"/>
  <c r="I89" i="1"/>
  <c r="H156" i="1"/>
  <c r="G156" i="1"/>
  <c r="G157" i="1" s="1"/>
  <c r="O22" i="1"/>
  <c r="P22" i="1" s="1"/>
  <c r="S14" i="1"/>
  <c r="T14" i="1" s="1"/>
  <c r="T62" i="1" s="1"/>
  <c r="T64" i="1" s="1"/>
  <c r="O20" i="1"/>
  <c r="P17" i="1"/>
  <c r="T13" i="1"/>
  <c r="T70" i="1" s="1"/>
  <c r="N89" i="1"/>
  <c r="M89" i="1"/>
  <c r="P89" i="1"/>
  <c r="N83" i="1"/>
  <c r="R89" i="1"/>
  <c r="M77" i="1"/>
  <c r="M82" i="1" s="1"/>
  <c r="L82" i="1"/>
  <c r="L83" i="1" s="1"/>
  <c r="M70" i="1"/>
  <c r="S70" i="1"/>
  <c r="U61" i="1"/>
  <c r="R70" i="1"/>
  <c r="P78" i="1"/>
  <c r="R77" i="1"/>
  <c r="Q64" i="1"/>
  <c r="R62" i="1"/>
  <c r="R64" i="1" s="1"/>
  <c r="R20" i="1"/>
  <c r="S17" i="1"/>
  <c r="R19" i="1"/>
  <c r="S18" i="1"/>
  <c r="R22" i="1"/>
  <c r="S21" i="1"/>
  <c r="Z19" i="1"/>
  <c r="AA18" i="1"/>
  <c r="L64" i="1"/>
  <c r="U14" i="1" l="1"/>
  <c r="H135" i="1"/>
  <c r="H137" i="1" s="1"/>
  <c r="H146" i="1"/>
  <c r="H148" i="1" s="1"/>
  <c r="H150" i="1" s="1"/>
  <c r="H164" i="1"/>
  <c r="H166" i="1" s="1"/>
  <c r="H168" i="1" s="1"/>
  <c r="G164" i="1"/>
  <c r="G166" i="1" s="1"/>
  <c r="G168" i="1" s="1"/>
  <c r="G146" i="1"/>
  <c r="G148" i="1" s="1"/>
  <c r="G150" i="1" s="1"/>
  <c r="G135" i="1"/>
  <c r="G137" i="1" s="1"/>
  <c r="F164" i="1"/>
  <c r="F166" i="1" s="1"/>
  <c r="F168" i="1" s="1"/>
  <c r="F135" i="1"/>
  <c r="F137" i="1" s="1"/>
  <c r="S77" i="1"/>
  <c r="P20" i="1"/>
  <c r="O146" i="1"/>
  <c r="O135" i="1"/>
  <c r="O164" i="1"/>
  <c r="S62" i="1"/>
  <c r="S64" i="1" s="1"/>
  <c r="T77" i="1"/>
  <c r="U13" i="1"/>
  <c r="U70" i="1" s="1"/>
  <c r="P77" i="1"/>
  <c r="P19" i="1"/>
  <c r="M83" i="1"/>
  <c r="U62" i="1"/>
  <c r="U64" i="1" s="1"/>
  <c r="U77" i="1"/>
  <c r="M62" i="1"/>
  <c r="M64" i="1" s="1"/>
  <c r="S22" i="1"/>
  <c r="T21" i="1"/>
  <c r="M22" i="1" s="1"/>
  <c r="S19" i="1"/>
  <c r="T18" i="1"/>
  <c r="S20" i="1"/>
  <c r="T17" i="1"/>
  <c r="N20" i="1" s="1"/>
  <c r="AA19" i="1"/>
  <c r="AB19" i="1"/>
  <c r="M134" i="1"/>
  <c r="L19" i="1"/>
  <c r="L20" i="1" l="1"/>
  <c r="T22" i="1"/>
  <c r="M20" i="1"/>
  <c r="T19" i="1"/>
  <c r="L22" i="1"/>
  <c r="N22" i="1"/>
  <c r="T20" i="1"/>
  <c r="U17" i="1"/>
  <c r="U20" i="1" s="1"/>
  <c r="U18" i="1"/>
  <c r="U21" i="1"/>
  <c r="M19" i="1"/>
  <c r="N62" i="1"/>
  <c r="N64" i="1" s="1"/>
  <c r="P180" i="1"/>
  <c r="F156" i="1" l="1"/>
  <c r="F157" i="1" s="1"/>
  <c r="M135" i="1"/>
  <c r="M137" i="1" s="1"/>
  <c r="U71" i="1"/>
  <c r="U19" i="1"/>
  <c r="O62" i="1"/>
  <c r="O64" i="1" s="1"/>
  <c r="P62" i="1"/>
  <c r="P64" i="1" s="1"/>
  <c r="N19" i="1"/>
  <c r="S89" i="1"/>
  <c r="L134" i="1"/>
  <c r="T121" i="1"/>
  <c r="M71" i="1"/>
  <c r="N71" i="1"/>
  <c r="L71" i="1"/>
  <c r="O71" i="1" l="1"/>
  <c r="O89" i="1"/>
  <c r="S71" i="1"/>
  <c r="R71" i="1"/>
  <c r="P71" i="1" l="1"/>
  <c r="T71" i="1"/>
  <c r="R40" i="1" l="1"/>
  <c r="R59" i="1" s="1"/>
  <c r="S40" i="1"/>
  <c r="S59" i="1" s="1"/>
  <c r="T40" i="1"/>
  <c r="T59" i="1" s="1"/>
  <c r="U40" i="1"/>
  <c r="U59" i="1" s="1"/>
  <c r="Q40" i="1"/>
  <c r="Q59" i="1" s="1"/>
  <c r="M40" i="1"/>
  <c r="M59" i="1" s="1"/>
  <c r="N40" i="1"/>
  <c r="N59" i="1" s="1"/>
  <c r="O40" i="1"/>
  <c r="P40" i="1"/>
  <c r="P59" i="1" s="1"/>
  <c r="L40" i="1"/>
  <c r="L59" i="1" s="1"/>
  <c r="Q12" i="1"/>
  <c r="U23" i="1"/>
  <c r="U24" i="1"/>
  <c r="U25" i="1"/>
  <c r="U27" i="1"/>
  <c r="U28" i="1"/>
  <c r="U29" i="1"/>
  <c r="U30" i="1"/>
  <c r="U31" i="1"/>
  <c r="AB34" i="1"/>
  <c r="AA34" i="1"/>
  <c r="AA35" i="1" s="1"/>
  <c r="Y34" i="1"/>
  <c r="AC31" i="1"/>
  <c r="AC30" i="1"/>
  <c r="AC29" i="1"/>
  <c r="AC28" i="1"/>
  <c r="AC27" i="1"/>
  <c r="AC25" i="1"/>
  <c r="AC26" i="1" s="1"/>
  <c r="AC24" i="1"/>
  <c r="AC21" i="1"/>
  <c r="U22" i="1" s="1"/>
  <c r="AC17" i="1"/>
  <c r="AC20" i="1" s="1"/>
  <c r="AC16" i="1"/>
  <c r="Y12" i="1"/>
  <c r="AB35" i="1" l="1"/>
  <c r="U35" i="1"/>
  <c r="Y35" i="1"/>
  <c r="Q35" i="1"/>
  <c r="P35" i="1"/>
  <c r="AC34" i="1"/>
  <c r="T35" i="1" s="1"/>
  <c r="O92" i="1"/>
  <c r="O104" i="1" s="1"/>
  <c r="O59" i="1"/>
  <c r="O68" i="1"/>
  <c r="AC22" i="1"/>
  <c r="N92" i="1"/>
  <c r="N104" i="1" s="1"/>
  <c r="N68" i="1"/>
  <c r="M92" i="1"/>
  <c r="M104" i="1" s="1"/>
  <c r="M68" i="1"/>
  <c r="M75" i="1" s="1"/>
  <c r="M87" i="1"/>
  <c r="U26" i="1"/>
  <c r="P92" i="1"/>
  <c r="P104" i="1" s="1"/>
  <c r="P68" i="1"/>
  <c r="P75" i="1" s="1"/>
  <c r="P87" i="1"/>
  <c r="AC13" i="1"/>
  <c r="U89" i="1" s="1"/>
  <c r="T89" i="1"/>
  <c r="U92" i="1"/>
  <c r="U104" i="1" s="1"/>
  <c r="U68" i="1"/>
  <c r="T92" i="1"/>
  <c r="T104" i="1" s="1"/>
  <c r="T68" i="1"/>
  <c r="S92" i="1"/>
  <c r="S104" i="1" s="1"/>
  <c r="S68" i="1"/>
  <c r="R92" i="1"/>
  <c r="R104" i="1" s="1"/>
  <c r="R68" i="1"/>
  <c r="Q92" i="1"/>
  <c r="Q104" i="1" s="1"/>
  <c r="Q68" i="1"/>
  <c r="L92" i="1"/>
  <c r="L104" i="1" s="1"/>
  <c r="L68" i="1"/>
  <c r="AC23" i="1"/>
  <c r="T97" i="1"/>
  <c r="O97" i="1"/>
  <c r="O147" i="1"/>
  <c r="U95" i="1"/>
  <c r="AC35" i="1" l="1"/>
  <c r="L87" i="1"/>
  <c r="L75" i="1"/>
  <c r="Q87" i="1"/>
  <c r="Q75" i="1"/>
  <c r="S87" i="1"/>
  <c r="S75" i="1"/>
  <c r="T87" i="1"/>
  <c r="T75" i="1"/>
  <c r="O87" i="1"/>
  <c r="O75" i="1"/>
  <c r="U87" i="1"/>
  <c r="U75" i="1"/>
  <c r="R87" i="1"/>
  <c r="R75" i="1"/>
  <c r="N87" i="1"/>
  <c r="N75" i="1"/>
  <c r="T144" i="1"/>
  <c r="T162" i="1"/>
  <c r="T124" i="1"/>
  <c r="T125" i="1"/>
  <c r="T126" i="1"/>
  <c r="T109" i="1"/>
  <c r="T111" i="1" s="1"/>
  <c r="T112" i="1" s="1"/>
  <c r="T114" i="1"/>
  <c r="T115" i="1"/>
  <c r="T95" i="1"/>
  <c r="T98" i="1" s="1"/>
  <c r="T100" i="1"/>
  <c r="T155" i="1"/>
  <c r="T156" i="1"/>
  <c r="T176" i="1"/>
  <c r="T175" i="1"/>
  <c r="T174" i="1"/>
  <c r="T190" i="1"/>
  <c r="O190" i="1"/>
  <c r="O174" i="1"/>
  <c r="O175" i="1"/>
  <c r="O176" i="1"/>
  <c r="O162" i="1"/>
  <c r="O156" i="1"/>
  <c r="O134" i="1"/>
  <c r="O137" i="1" s="1"/>
  <c r="O124" i="1"/>
  <c r="O125" i="1"/>
  <c r="O126" i="1"/>
  <c r="O109" i="1"/>
  <c r="O111" i="1" s="1"/>
  <c r="O114" i="1"/>
  <c r="O115" i="1"/>
  <c r="O100" i="1"/>
  <c r="P100" i="1"/>
  <c r="T157" i="1" l="1"/>
  <c r="T116" i="1"/>
  <c r="T117" i="1" s="1"/>
  <c r="O116" i="1"/>
  <c r="P97" i="1"/>
  <c r="O157" i="1"/>
  <c r="T101" i="1"/>
  <c r="T165" i="1"/>
  <c r="T147" i="1"/>
  <c r="T134" i="1"/>
  <c r="T164" i="1"/>
  <c r="T146" i="1"/>
  <c r="T135" i="1"/>
  <c r="O166" i="1"/>
  <c r="O168" i="1" s="1"/>
  <c r="O148" i="1"/>
  <c r="O128" i="1"/>
  <c r="O177" i="1"/>
  <c r="O180" i="1" s="1"/>
  <c r="T128" i="1"/>
  <c r="T177" i="1"/>
  <c r="T180" i="1" s="1"/>
  <c r="T52" i="1"/>
  <c r="T51" i="1"/>
  <c r="O52" i="1"/>
  <c r="O48" i="1" s="1"/>
  <c r="O51" i="1"/>
  <c r="O72" i="1" s="1"/>
  <c r="T54" i="1" l="1"/>
  <c r="T72" i="1"/>
  <c r="T148" i="1"/>
  <c r="T150" i="1" s="1"/>
  <c r="T166" i="1"/>
  <c r="T168" i="1" s="1"/>
  <c r="O150" i="1"/>
  <c r="T137" i="1"/>
  <c r="O54" i="1"/>
  <c r="O53" i="1"/>
  <c r="T53" i="1"/>
  <c r="P52" i="1"/>
  <c r="T153" i="1"/>
  <c r="T160" i="1" s="1"/>
  <c r="T171" i="1" s="1"/>
  <c r="T184" i="1" s="1"/>
  <c r="O153" i="1"/>
  <c r="O160" i="1" s="1"/>
  <c r="O171" i="1" s="1"/>
  <c r="O184" i="1" s="1"/>
  <c r="T140" i="1"/>
  <c r="O140" i="1"/>
  <c r="T131" i="1"/>
  <c r="O131" i="1"/>
  <c r="L131" i="1"/>
  <c r="M131" i="1"/>
  <c r="N131" i="1"/>
  <c r="Q131" i="1"/>
  <c r="R131" i="1"/>
  <c r="S131" i="1"/>
  <c r="L121" i="1"/>
  <c r="M121" i="1"/>
  <c r="N121" i="1"/>
  <c r="Q121" i="1"/>
  <c r="R121" i="1"/>
  <c r="S121" i="1"/>
  <c r="S156" i="1" l="1"/>
  <c r="M156" i="1"/>
  <c r="S135" i="1" l="1"/>
  <c r="S52" i="1"/>
  <c r="U114" i="1"/>
  <c r="N100" i="1"/>
  <c r="S95" i="1"/>
  <c r="L12" i="1" l="1"/>
  <c r="M12" i="1" s="1"/>
  <c r="N12" i="1" s="1"/>
  <c r="O12" i="1" s="1"/>
  <c r="Q100" i="1"/>
  <c r="S144" i="1" l="1"/>
  <c r="O107" i="1" l="1"/>
  <c r="O95" i="1"/>
  <c r="P12" i="1"/>
  <c r="U97" i="1"/>
  <c r="U98" i="1" s="1"/>
  <c r="T198" i="1" s="1"/>
  <c r="O112" i="1" l="1"/>
  <c r="O117" i="1"/>
  <c r="O98" i="1"/>
  <c r="O101" i="1"/>
  <c r="S190" i="1"/>
  <c r="S176" i="1"/>
  <c r="S175" i="1"/>
  <c r="S174" i="1"/>
  <c r="S165" i="1"/>
  <c r="S162" i="1"/>
  <c r="S153" i="1"/>
  <c r="S160" i="1" s="1"/>
  <c r="S171" i="1" s="1"/>
  <c r="S184" i="1" s="1"/>
  <c r="S147" i="1"/>
  <c r="S140" i="1"/>
  <c r="S134" i="1"/>
  <c r="S126" i="1"/>
  <c r="S125" i="1"/>
  <c r="S124" i="1"/>
  <c r="S114" i="1"/>
  <c r="S115" i="1"/>
  <c r="S109" i="1"/>
  <c r="S111" i="1" s="1"/>
  <c r="S112" i="1" s="1"/>
  <c r="S100" i="1"/>
  <c r="S101" i="1" s="1"/>
  <c r="S97" i="1"/>
  <c r="S51" i="1"/>
  <c r="S72" i="1" s="1"/>
  <c r="S164" i="1"/>
  <c r="S53" i="1" l="1"/>
  <c r="S54" i="1"/>
  <c r="S166" i="1"/>
  <c r="S168" i="1" s="1"/>
  <c r="S128" i="1"/>
  <c r="S177" i="1"/>
  <c r="S180" i="1" s="1"/>
  <c r="S116" i="1"/>
  <c r="S117" i="1" s="1"/>
  <c r="S137" i="1"/>
  <c r="S146" i="1"/>
  <c r="S148" i="1" s="1"/>
  <c r="N190" i="1"/>
  <c r="N176" i="1"/>
  <c r="N175" i="1"/>
  <c r="N174" i="1"/>
  <c r="N165" i="1"/>
  <c r="N162" i="1"/>
  <c r="N153" i="1"/>
  <c r="N160" i="1" s="1"/>
  <c r="N171" i="1" s="1"/>
  <c r="N184" i="1" s="1"/>
  <c r="N147" i="1"/>
  <c r="N140" i="1"/>
  <c r="N126" i="1"/>
  <c r="N125" i="1"/>
  <c r="N124" i="1"/>
  <c r="N115" i="1"/>
  <c r="N114" i="1"/>
  <c r="N109" i="1"/>
  <c r="N111" i="1" s="1"/>
  <c r="N97" i="1"/>
  <c r="N51" i="1"/>
  <c r="N72" i="1" s="1"/>
  <c r="N52" i="1"/>
  <c r="N155" i="1"/>
  <c r="N164" i="1"/>
  <c r="N107" i="1"/>
  <c r="N177" i="1" l="1"/>
  <c r="N48" i="1"/>
  <c r="N54" i="1" s="1"/>
  <c r="N53" i="1"/>
  <c r="N112" i="1"/>
  <c r="N166" i="1"/>
  <c r="N168" i="1" s="1"/>
  <c r="N116" i="1"/>
  <c r="N117" i="1" s="1"/>
  <c r="N180" i="1"/>
  <c r="N95" i="1"/>
  <c r="N101" i="1" s="1"/>
  <c r="N146" i="1"/>
  <c r="N148" i="1" s="1"/>
  <c r="N150" i="1" s="1"/>
  <c r="N128" i="1"/>
  <c r="N135" i="1"/>
  <c r="N137" i="1" s="1"/>
  <c r="R176" i="1"/>
  <c r="L164" i="1" l="1"/>
  <c r="Q156" i="1"/>
  <c r="L156" i="1"/>
  <c r="L147" i="1"/>
  <c r="L146" i="1"/>
  <c r="Q134" i="1"/>
  <c r="L135" i="1"/>
  <c r="L137" i="1" s="1"/>
  <c r="Q135" i="1"/>
  <c r="Q110" i="1"/>
  <c r="L148" i="1" l="1"/>
  <c r="M115" i="1"/>
  <c r="P115" i="1"/>
  <c r="Q115" i="1"/>
  <c r="L115" i="1"/>
  <c r="R109" i="1"/>
  <c r="R110" i="1"/>
  <c r="R115" i="1" s="1"/>
  <c r="M52" i="1" l="1"/>
  <c r="M153" i="1" l="1"/>
  <c r="M160" i="1" s="1"/>
  <c r="M171" i="1" s="1"/>
  <c r="M184" i="1" s="1"/>
  <c r="Q153" i="1"/>
  <c r="Q160" i="1" s="1"/>
  <c r="Q171" i="1" s="1"/>
  <c r="Q184" i="1" s="1"/>
  <c r="R153" i="1"/>
  <c r="R160" i="1" s="1"/>
  <c r="R171" i="1" s="1"/>
  <c r="R184" i="1" s="1"/>
  <c r="L153" i="1"/>
  <c r="L160" i="1" s="1"/>
  <c r="L171" i="1" s="1"/>
  <c r="L184" i="1" s="1"/>
  <c r="M140" i="1"/>
  <c r="Q140" i="1"/>
  <c r="R140" i="1"/>
  <c r="L140" i="1"/>
  <c r="U109" i="1" l="1"/>
  <c r="U115" i="1"/>
  <c r="U116" i="1" s="1"/>
  <c r="S150" i="1"/>
  <c r="S155" i="1"/>
  <c r="S157" i="1" s="1"/>
  <c r="Q144" i="1"/>
  <c r="R144" i="1"/>
  <c r="Q155" i="1"/>
  <c r="L155" i="1"/>
  <c r="M48" i="1"/>
  <c r="U52" i="1"/>
  <c r="Q52" i="1"/>
  <c r="Q48" i="1" s="1"/>
  <c r="R52" i="1"/>
  <c r="R48" i="1" s="1"/>
  <c r="L52" i="1"/>
  <c r="P48" i="1"/>
  <c r="U51" i="1"/>
  <c r="U72" i="1" s="1"/>
  <c r="Q190" i="1"/>
  <c r="Q176" i="1"/>
  <c r="Q175" i="1"/>
  <c r="Q174" i="1"/>
  <c r="Q162" i="1"/>
  <c r="Q126" i="1"/>
  <c r="Q125" i="1"/>
  <c r="Q124" i="1"/>
  <c r="Q114" i="1"/>
  <c r="Q116" i="1" s="1"/>
  <c r="Q117" i="1" s="1"/>
  <c r="Q109" i="1"/>
  <c r="Q97" i="1"/>
  <c r="Q51" i="1"/>
  <c r="Q72" i="1" s="1"/>
  <c r="Q165" i="1"/>
  <c r="Q95" i="1"/>
  <c r="P114" i="1"/>
  <c r="P116" i="1" s="1"/>
  <c r="P51" i="1"/>
  <c r="P53" i="1" s="1"/>
  <c r="L190" i="1"/>
  <c r="L176" i="1"/>
  <c r="L175" i="1"/>
  <c r="L174" i="1"/>
  <c r="L162" i="1"/>
  <c r="L126" i="1"/>
  <c r="L125" i="1"/>
  <c r="L124" i="1"/>
  <c r="L114" i="1"/>
  <c r="L116" i="1" s="1"/>
  <c r="L109" i="1"/>
  <c r="L111" i="1" s="1"/>
  <c r="L100" i="1"/>
  <c r="L97" i="1"/>
  <c r="L51" i="1"/>
  <c r="L72" i="1" s="1"/>
  <c r="L107" i="1"/>
  <c r="L177" i="1" l="1"/>
  <c r="L180" i="1" s="1"/>
  <c r="P72" i="1"/>
  <c r="U54" i="1"/>
  <c r="L48" i="1"/>
  <c r="L53" i="1"/>
  <c r="L54" i="1" s="1"/>
  <c r="U53" i="1"/>
  <c r="Q98" i="1"/>
  <c r="N156" i="1"/>
  <c r="N157" i="1" s="1"/>
  <c r="U117" i="1"/>
  <c r="U100" i="1"/>
  <c r="U101" i="1" s="1"/>
  <c r="U111" i="1"/>
  <c r="U112" i="1" s="1"/>
  <c r="Q128" i="1"/>
  <c r="R135" i="1"/>
  <c r="P109" i="1"/>
  <c r="P111" i="1" s="1"/>
  <c r="L165" i="1"/>
  <c r="P54" i="1"/>
  <c r="L128" i="1"/>
  <c r="Q157" i="1"/>
  <c r="L157" i="1"/>
  <c r="Q146" i="1"/>
  <c r="Q164" i="1"/>
  <c r="Q166" i="1" s="1"/>
  <c r="Q168" i="1" s="1"/>
  <c r="Q177" i="1"/>
  <c r="Q180" i="1" s="1"/>
  <c r="L112" i="1"/>
  <c r="Q111" i="1"/>
  <c r="Q112" i="1" s="1"/>
  <c r="Q101" i="1"/>
  <c r="Q137" i="1"/>
  <c r="Q147" i="1"/>
  <c r="L117" i="1"/>
  <c r="L95" i="1"/>
  <c r="L101" i="1" s="1"/>
  <c r="L166" i="1" l="1"/>
  <c r="L168" i="1" s="1"/>
  <c r="Q148" i="1"/>
  <c r="L98" i="1"/>
  <c r="M51" i="1" l="1"/>
  <c r="M72" i="1" s="1"/>
  <c r="P95" i="1" l="1"/>
  <c r="P107" i="1"/>
  <c r="M53" i="1"/>
  <c r="M54" i="1"/>
  <c r="P98" i="1" l="1"/>
  <c r="P101" i="1"/>
  <c r="P117" i="1"/>
  <c r="P112" i="1"/>
  <c r="U215" i="1"/>
  <c r="U218" i="1" s="1"/>
  <c r="U209" i="1"/>
  <c r="U200" i="1"/>
  <c r="R190" i="1"/>
  <c r="M190" i="1"/>
  <c r="C209" i="1"/>
  <c r="C200" i="1"/>
  <c r="R114" i="1"/>
  <c r="M114" i="1"/>
  <c r="M116" i="1" s="1"/>
  <c r="M109" i="1"/>
  <c r="M111" i="1" s="1"/>
  <c r="R116" i="1" l="1"/>
  <c r="R117" i="1" s="1"/>
  <c r="R111" i="1"/>
  <c r="R112" i="1" s="1"/>
  <c r="T215" i="1"/>
  <c r="T216" i="1"/>
  <c r="R100" i="1"/>
  <c r="M100" i="1"/>
  <c r="M97" i="1"/>
  <c r="R97" i="1"/>
  <c r="R156" i="1"/>
  <c r="T218" i="1" l="1"/>
  <c r="T200" i="1" l="1"/>
  <c r="M107" i="1" l="1"/>
  <c r="M112" i="1" l="1"/>
  <c r="M117" i="1"/>
  <c r="M95" i="1"/>
  <c r="R95" i="1"/>
  <c r="R98" i="1" l="1"/>
  <c r="R101" i="1"/>
  <c r="M101" i="1"/>
  <c r="M98" i="1"/>
  <c r="R51" i="1"/>
  <c r="R72" i="1" s="1"/>
  <c r="R174" i="1"/>
  <c r="R175" i="1"/>
  <c r="M176" i="1"/>
  <c r="M175" i="1"/>
  <c r="M174" i="1"/>
  <c r="M177" i="1" l="1"/>
  <c r="M180" i="1" s="1"/>
  <c r="R177" i="1"/>
  <c r="R180" i="1" s="1"/>
  <c r="R162" i="1"/>
  <c r="M162" i="1"/>
  <c r="C168" i="1"/>
  <c r="C150" i="1"/>
  <c r="Q150" i="1"/>
  <c r="L150" i="1"/>
  <c r="R126" i="1"/>
  <c r="M126" i="1"/>
  <c r="C128" i="1"/>
  <c r="C157" i="1"/>
  <c r="R125" i="1"/>
  <c r="M125" i="1"/>
  <c r="R155" i="1"/>
  <c r="R157" i="1" s="1"/>
  <c r="M155" i="1"/>
  <c r="M157" i="1" s="1"/>
  <c r="R124" i="1"/>
  <c r="M124" i="1"/>
  <c r="R128" i="1" l="1"/>
  <c r="R134" i="1"/>
  <c r="M164" i="1"/>
  <c r="R165" i="1"/>
  <c r="R164" i="1"/>
  <c r="M165" i="1"/>
  <c r="R146" i="1"/>
  <c r="M147" i="1"/>
  <c r="M146" i="1"/>
  <c r="R147" i="1"/>
  <c r="M128" i="1"/>
  <c r="R137" i="1" l="1"/>
  <c r="R166" i="1"/>
  <c r="R168" i="1" s="1"/>
  <c r="M166" i="1"/>
  <c r="M168" i="1" s="1"/>
  <c r="R148" i="1"/>
  <c r="M148" i="1"/>
  <c r="M150" i="1" s="1"/>
  <c r="R150" i="1" l="1"/>
  <c r="Q82" i="1" l="1"/>
  <c r="Q83" i="1" s="1"/>
  <c r="S82" i="1" l="1"/>
  <c r="S83" i="1" s="1"/>
  <c r="T82" i="1"/>
  <c r="T83" i="1" s="1"/>
  <c r="R82" i="1"/>
  <c r="R83" i="1" s="1"/>
  <c r="U82" i="1" l="1"/>
  <c r="U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Pia Österlin</author>
  </authors>
  <commentList>
    <comment ref="C23" authorId="0" shapeId="0" xr:uid="{3156BD23-EE16-4ED2-A999-20CC2488C73C}">
      <text>
        <r>
          <rPr>
            <b/>
            <sz val="9"/>
            <color indexed="81"/>
            <rFont val="Tahoma"/>
            <family val="2"/>
          </rPr>
          <t>Pia Österlin:</t>
        </r>
        <r>
          <rPr>
            <sz val="9"/>
            <color indexed="81"/>
            <rFont val="Tahoma"/>
            <family val="2"/>
          </rPr>
          <t xml:space="preserve">
Inkl avvecklad verksamhet</t>
        </r>
      </text>
    </comment>
    <comment ref="M30" authorId="0" shapeId="0" xr:uid="{BA658C3C-7544-4747-A262-7506998018F0}">
      <text>
        <r>
          <rPr>
            <b/>
            <sz val="9"/>
            <color indexed="81"/>
            <rFont val="Tahoma"/>
            <family val="2"/>
          </rPr>
          <t>Pia Österlin:</t>
        </r>
        <r>
          <rPr>
            <sz val="9"/>
            <color indexed="81"/>
            <rFont val="Tahoma"/>
            <family val="2"/>
          </rPr>
          <t xml:space="preserve">
här ingår earnoutskuld 72</t>
        </r>
      </text>
    </comment>
  </commentList>
</comments>
</file>

<file path=xl/sharedStrings.xml><?xml version="1.0" encoding="utf-8"?>
<sst xmlns="http://schemas.openxmlformats.org/spreadsheetml/2006/main" count="319" uniqueCount="206">
  <si>
    <t>Q</t>
  </si>
  <si>
    <t>Ack</t>
  </si>
  <si>
    <t>Helår</t>
  </si>
  <si>
    <t>BASDATA</t>
  </si>
  <si>
    <t>Q1 2022</t>
  </si>
  <si>
    <t>Q2 2022</t>
  </si>
  <si>
    <t>Q3 2022</t>
  </si>
  <si>
    <t>Q4 2022</t>
  </si>
  <si>
    <t>Q1 2021</t>
  </si>
  <si>
    <t>Q2 2021</t>
  </si>
  <si>
    <t>Q3 2021</t>
  </si>
  <si>
    <t>Q4 2021</t>
  </si>
  <si>
    <t>Q1-Q4 2021</t>
  </si>
  <si>
    <t>Q1 2020</t>
  </si>
  <si>
    <t>Q2 2020</t>
  </si>
  <si>
    <t>Q3 2020</t>
  </si>
  <si>
    <t>Q4 2020</t>
  </si>
  <si>
    <t>Q1-Q4 2020</t>
  </si>
  <si>
    <t>Q1-Q4 2019</t>
  </si>
  <si>
    <t>Q1-Q4 2018</t>
  </si>
  <si>
    <t>Q1-Q4 2017</t>
  </si>
  <si>
    <t>Antal aktier</t>
  </si>
  <si>
    <t>-</t>
  </si>
  <si>
    <t>Genomsnittligt antal aktier</t>
  </si>
  <si>
    <t>Nettoomsättning</t>
  </si>
  <si>
    <t>Rörelseresultat</t>
  </si>
  <si>
    <t>knackat fr covfil</t>
  </si>
  <si>
    <t>Resultat före skatt</t>
  </si>
  <si>
    <t>Bruttoresultat</t>
  </si>
  <si>
    <t>Bruttomarginal</t>
  </si>
  <si>
    <t>Resultat efter skatt</t>
  </si>
  <si>
    <t>Nettoresultat R12</t>
  </si>
  <si>
    <t>Nettoresultat total verksamhet</t>
  </si>
  <si>
    <t>Kortfristiga placeringar och likvida medel</t>
  </si>
  <si>
    <t>Eget kapital UB</t>
  </si>
  <si>
    <t>Genomsnittligt EK</t>
  </si>
  <si>
    <t>Ej räntebärande kortfr skulder</t>
  </si>
  <si>
    <t>Balansomslutning</t>
  </si>
  <si>
    <t>Alternativa nyckeltal -relaterade till resultaträkningen</t>
  </si>
  <si>
    <t>Rörelseresultat och  rörelsemarginal</t>
  </si>
  <si>
    <t>Justeringsposter:</t>
  </si>
  <si>
    <t>Safe Access Solutions</t>
  </si>
  <si>
    <t>Industrial Services</t>
  </si>
  <si>
    <t>Centralt</t>
  </si>
  <si>
    <t>Justerat rörelseresultat, Mkr</t>
  </si>
  <si>
    <t>Rörelseresultat justerat för jämförelsestörande poster</t>
  </si>
  <si>
    <t>Nettoomsättning, Mkr</t>
  </si>
  <si>
    <t>Rörelseresultat, Mkr</t>
  </si>
  <si>
    <t>Rörelsemarginal</t>
  </si>
  <si>
    <t>Justerad rörelsemarginal</t>
  </si>
  <si>
    <t>Rörelseresultat i relation till omsättning</t>
  </si>
  <si>
    <t>Rörelseresultat exklusive avskrivningar på förvärvade immateriella tillgångar</t>
  </si>
  <si>
    <t>Avskrivningar på förvärvade immateriella tillgångar, Mkr</t>
  </si>
  <si>
    <t>Bruttoresultat och Bruttomarginal</t>
  </si>
  <si>
    <t>Bruttoresultat, Mkr</t>
  </si>
  <si>
    <t>EBITA</t>
  </si>
  <si>
    <t>EBITA %</t>
  </si>
  <si>
    <t>Nettoomsättningstillväxt</t>
  </si>
  <si>
    <t>Resultat per aktie</t>
  </si>
  <si>
    <t>Årets resultat i relation till genomsnittligt antal aktier</t>
  </si>
  <si>
    <t>Genomsnittligt antal aktier, tusental</t>
  </si>
  <si>
    <t>Nettoresultat kvarvarande verksamhet, Mkr</t>
  </si>
  <si>
    <t>Resultat per aktie kvarvarande verksamhet, kr</t>
  </si>
  <si>
    <t>Nettoresultat total verksamhet, Mkr</t>
  </si>
  <si>
    <t>Resultat per aktie total verksamhet, kr</t>
  </si>
  <si>
    <t>Resultat per aktie efter full utspädning</t>
  </si>
  <si>
    <t>Årets resultat i relation till genomsnittligt antal aktier justerat med utspädningseffekten för utestående konvertibler. Utspädningseffekten för konvertibler är det antal aktier som kan tillkomma vid full konvertering.</t>
  </si>
  <si>
    <t>Genomsnittligt antal aktier vid full konvertering, tusental</t>
  </si>
  <si>
    <t>ok</t>
  </si>
  <si>
    <t>Nettoresultat kvarvarande verksamhet Mkr</t>
  </si>
  <si>
    <t>Resultat Q1 2019 justerat med räntekostn 2Mkr per kvartal och skatteeffekt 400 som hade uteblivit vid full konvertering</t>
  </si>
  <si>
    <t>Återläggning av räntekostnad för konvertibler, Mkr</t>
  </si>
  <si>
    <t>Nettoresultat kvarvarande verksamhet utan kostnad för konvertibler, Mkr</t>
  </si>
  <si>
    <t>Resultat per aktie kvarvarande verksamhet efter full utspädning, kr</t>
  </si>
  <si>
    <t>Nettoresultat total verksamhet utan kostnad för konvertibler, Mkr</t>
  </si>
  <si>
    <t>Resultat per aktie total verksamhet efter full utspädning, kr</t>
  </si>
  <si>
    <t>Alternativa nyckeltal -relaterade till balansdag</t>
  </si>
  <si>
    <t>Soliditet</t>
  </si>
  <si>
    <t>Eget kapital inklusive minoritetsintressen i relation till balansomslutningen</t>
  </si>
  <si>
    <t>Eget kapital, Mkr</t>
  </si>
  <si>
    <t>Balansomslutning, Mkr</t>
  </si>
  <si>
    <t>Konvertibelt lån, Mkr</t>
  </si>
  <si>
    <t>Räntetäckningsgrad</t>
  </si>
  <si>
    <t>Resultatet före skatt plus räntekostnader i relation till finansiella kostnader</t>
  </si>
  <si>
    <t>Räntekostnader rullande 12, Mkr</t>
  </si>
  <si>
    <t>Resultat före skatt rullande 12, Mkr</t>
  </si>
  <si>
    <t>Räntetäckningsgrad, ggr</t>
  </si>
  <si>
    <t>Genomsnittligt sysselsatt kapital, Mkr</t>
  </si>
  <si>
    <t>Avkastning, Mkr</t>
  </si>
  <si>
    <t xml:space="preserve">Avkastning på eget kapital efter skatt </t>
  </si>
  <si>
    <t>Årets resultat i relation till genomsnittligt eget kapital</t>
  </si>
  <si>
    <t>Genomsnittligt Eget kapital, Mkr</t>
  </si>
  <si>
    <t>Nettoresultat rullande 12, Mkr</t>
  </si>
  <si>
    <t xml:space="preserve">Avkastning på totalt kapital före skatt </t>
  </si>
  <si>
    <t>Resultatet före skatt plus räntekostnader i relation till totalt kapital</t>
  </si>
  <si>
    <t>Räntebärande Nettoskuld</t>
  </si>
  <si>
    <t>Räntebärande skulder, inklusive avsättningar men exklusive konvertibelt förlagslån, med avdrag för likvida medel och kortfristiga placeringar</t>
  </si>
  <si>
    <t>Avsättningar för pensioner, Mkr</t>
  </si>
  <si>
    <t>Räntebärande skulder, Mkr</t>
  </si>
  <si>
    <t>Likvida medel och kortfristiga placeringar, Mkr</t>
  </si>
  <si>
    <t>Nettoskuld, Mkr</t>
  </si>
  <si>
    <t>Räntebärande skulder hänförliga till IFRS16, Mkr</t>
  </si>
  <si>
    <t>Nettoskuld exkl. IFRS16-effekt, Mkr</t>
  </si>
  <si>
    <t>Nettoinvesteringar</t>
  </si>
  <si>
    <t>Årets investeringar minskade med årets avyttringar</t>
  </si>
  <si>
    <t>Årets investeringar, Mkr</t>
  </si>
  <si>
    <t>Årets avyttringar, Mkr</t>
  </si>
  <si>
    <t>Nettoinvesteringar, Mkr</t>
  </si>
  <si>
    <t>enbart materiella</t>
  </si>
  <si>
    <t>Alternativa nyckeltal som endast förekommer i årsredovisningen</t>
  </si>
  <si>
    <t>P/E-tal</t>
  </si>
  <si>
    <t>Börskurs på B-aktien vid årets slut i relation till resultat per aktie</t>
  </si>
  <si>
    <t>Börskurs per balansdagen, kr</t>
  </si>
  <si>
    <t>Resultat per aktie, kr</t>
  </si>
  <si>
    <t>Direktavkastning</t>
  </si>
  <si>
    <t>Aktieutdelning i procent av börskurs på B-aktien vid årets slut</t>
  </si>
  <si>
    <t>Utdelning, kr</t>
  </si>
  <si>
    <t>0*</t>
  </si>
  <si>
    <t>*I årsredovisningen för 2019 kommunicerades ett förslag till utdelning om 0,60 kr per aktie. Detta förslag drogs tillbaka enligt pressmeddelande 2020-04-01</t>
  </si>
  <si>
    <t>Skuldsättningsgrad</t>
  </si>
  <si>
    <t>Räntebärande skulder i relation till eget kapital</t>
  </si>
  <si>
    <t>Skuldsättningsgrad, ggr</t>
  </si>
  <si>
    <t xml:space="preserve">Avkastning på sysselsatt kapital </t>
  </si>
  <si>
    <t>Resultatet före skatt plus räntekostnader i relation till genomsnittligt sysselsatt kapital.</t>
  </si>
  <si>
    <t>Resultatet före skatt plus räntekostnader i relation till totalt kapital.</t>
  </si>
  <si>
    <t xml:space="preserve">Justerat rörelseresultat </t>
  </si>
  <si>
    <t>Rörelseresultat justerat för jämförelsestörande poster.</t>
  </si>
  <si>
    <t xml:space="preserve">Nettoskuld </t>
  </si>
  <si>
    <t>Räntebärande skulder, inklusive avsättningar men exklusive konvertibelt förlagslån, med avdrag för likvida medel och kortfristiga placeringar.</t>
  </si>
  <si>
    <t xml:space="preserve">Räntetäckningsgrad </t>
  </si>
  <si>
    <t>Resultatet före skatt plus räntekostnader i relation till finansiella kostnader.</t>
  </si>
  <si>
    <t xml:space="preserve">Rörelsemarginal </t>
  </si>
  <si>
    <t>Rörelseresultat i relation till omsättning.</t>
  </si>
  <si>
    <t xml:space="preserve">Justerad rörelsemarginal </t>
  </si>
  <si>
    <t>Justerat rörelseresultat i relation till omsättning.</t>
  </si>
  <si>
    <t xml:space="preserve">Soliditet </t>
  </si>
  <si>
    <t>Eget kapital inklusive minoritetsintressen i relation till balansomslutningen.</t>
  </si>
  <si>
    <t xml:space="preserve">Sysselsatt kapital </t>
  </si>
  <si>
    <t>Balansomslutning minskad med kortfristiga ej räntebärande skulder.</t>
  </si>
  <si>
    <t>Avvecklad verksamhet</t>
  </si>
  <si>
    <t>I avvecklad verksamhet ingår Gustaf E Bil, Midtrailer, Sporrong, Stans &amp; Press samt Sigarth.</t>
  </si>
  <si>
    <t>Kvarvarande verksamhet*</t>
  </si>
  <si>
    <t>Kvarvarande verksamhet Safe Access Solutions: HAKI, inklusive Span Access.</t>
  </si>
  <si>
    <t>Kvarvarande verksamhet Industrial Services: FAS, Landqvist Mekaniska Verkstad, Norgeodesi &amp; Normann Olsen Maskin (NOM Holding).</t>
  </si>
  <si>
    <t xml:space="preserve">Total verksamhet </t>
  </si>
  <si>
    <t>Total verksamhet innefattar avvecklad och kvarvarande verksamhet.</t>
  </si>
  <si>
    <t xml:space="preserve">Denna fil är underlag till websidan -&gt; Investerare -&gt; Alternativa nyckeltal. </t>
  </si>
  <si>
    <t>Konvertibelt lån</t>
  </si>
  <si>
    <t>Avskrivningar på förvärvade immateriella tillgångar</t>
  </si>
  <si>
    <t>Underlag från:</t>
  </si>
  <si>
    <t>Beräkning</t>
  </si>
  <si>
    <t>Delårsrapporten</t>
  </si>
  <si>
    <t>Underlag till nyckeltal</t>
  </si>
  <si>
    <t>Den nedre sektionen uppdateras automatiskt från den övre sektionen.</t>
  </si>
  <si>
    <t xml:space="preserve">Fyll i den övre sektionen gröna celler detta kvartal så summeras ackumulerade kvartal automatiskt. </t>
  </si>
  <si>
    <t>Ändra rubrik på kolumn Ackumulerat detta år.</t>
  </si>
  <si>
    <t xml:space="preserve">Ändra summeringen i kolumn Ackumulerat detta år i de celler med orange färg, dessa ska ha samma värde som kolumnen för detta kvartal. </t>
  </si>
  <si>
    <t>Underlag till nyckeltal / Beräkning</t>
  </si>
  <si>
    <t>Resultat före skatt R12 (denna rad beräknas här men stäm av mot nyckeltalsfilen också)</t>
  </si>
  <si>
    <t xml:space="preserve">Räntekostnader, R12 </t>
  </si>
  <si>
    <t>Avs period</t>
  </si>
  <si>
    <t>10 år</t>
  </si>
  <si>
    <t>MLOC</t>
  </si>
  <si>
    <t>MSEK</t>
  </si>
  <si>
    <t>Avskrivning per månad MSEK</t>
  </si>
  <si>
    <t>Övervärde Novacorp Kundrelationer fr o m 1 juli 2022</t>
  </si>
  <si>
    <t>5 år</t>
  </si>
  <si>
    <t xml:space="preserve">Kurs </t>
  </si>
  <si>
    <t xml:space="preserve">vid </t>
  </si>
  <si>
    <t xml:space="preserve">förvärv </t>
  </si>
  <si>
    <t>Räknad till average rate denna period</t>
  </si>
  <si>
    <t>EUR</t>
  </si>
  <si>
    <t>GBP</t>
  </si>
  <si>
    <t>Beräkning av Avskrivningar på förvärvade tillgångar baseras på beräkning i denna fil som måste uppdateras med ny average kurs samt nya övervärden om det uppstår.</t>
  </si>
  <si>
    <t>TILLÄGG Beräkning av avskrivning på övervärden, ändra averagekurs varje kvartal</t>
  </si>
  <si>
    <t>Q1-Q4 2022</t>
  </si>
  <si>
    <t>Övervärde Vertemax Kundrelationer fr o m 1 mars 2022</t>
  </si>
  <si>
    <t>6 år</t>
  </si>
  <si>
    <t>Övervärde EKRO Kundrelationer fr o m 1 okt 2022</t>
  </si>
  <si>
    <t>Q1 2023</t>
  </si>
  <si>
    <t>Q2 2023</t>
  </si>
  <si>
    <t>Q3 2023</t>
  </si>
  <si>
    <t>Q4 2023</t>
  </si>
  <si>
    <t>Check kvartalsavskrivning 2024</t>
  </si>
  <si>
    <t>Räntebärande skulder inklusive leasingskulder</t>
  </si>
  <si>
    <t xml:space="preserve">Eget kapital </t>
  </si>
  <si>
    <t>Räntebärande pensionsavsättning</t>
  </si>
  <si>
    <t>Goodwill</t>
  </si>
  <si>
    <t>NY beräkning 2023 samt omräknat 2022</t>
  </si>
  <si>
    <t>NY beräkning 2023 samt omräknat 2023</t>
  </si>
  <si>
    <t>Genomsnittligt Sysselsatt kapital exkl goodwill</t>
  </si>
  <si>
    <t>Denna rad behövs till beräkning av andra nyckeltal nedan</t>
  </si>
  <si>
    <t xml:space="preserve">Sysselsatt kapital, Mkr </t>
  </si>
  <si>
    <t xml:space="preserve">Resultatet före skatt plus räntekostnader i relation till genomsnittligt sysselsatt kapital </t>
  </si>
  <si>
    <t>Denna rad behövs ej längre för beräkning av sysselsatt kapital</t>
  </si>
  <si>
    <t>Omvärdering tilläggsköpeskillingar</t>
  </si>
  <si>
    <t>neg</t>
  </si>
  <si>
    <t>Q1-Q3 2023</t>
  </si>
  <si>
    <t>Fr.o.m Q3 AARO</t>
  </si>
  <si>
    <t>AARO 1899+1999</t>
  </si>
  <si>
    <t>AARO 2210</t>
  </si>
  <si>
    <t>Räntebärande skulder inkl leasingskulder</t>
  </si>
  <si>
    <t>AARO 2TLE</t>
  </si>
  <si>
    <t>AARO 20SE</t>
  </si>
  <si>
    <t>AARO 1070</t>
  </si>
  <si>
    <t>Kolla raden för omvärdering tilläggsköpeskillingar rad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</si>
</sst>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%"/>
    <numFmt numFmtId="165" formatCode="0.0"/>
    <numFmt numFmtId="166" formatCode="_-* #,##0_-;\-* #,##0_-;_-* &quot;-&quot;??_-;_-@_-"/>
    <numFmt numFmtId="167" formatCode="#,##0.00000"/>
    <numFmt numFmtId="168" formatCode="#,##0.0"/>
    <numFmt numFmtId="169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Fira Sans"/>
      <family val="2"/>
    </font>
    <font>
      <sz val="11"/>
      <color theme="1"/>
      <name val="Fira Sans"/>
      <family val="2"/>
    </font>
    <font>
      <sz val="11"/>
      <color theme="1"/>
      <name val="Playfair Display Black"/>
    </font>
    <font>
      <b/>
      <sz val="11"/>
      <color theme="4"/>
      <name val="Playfair Display Black"/>
    </font>
    <font>
      <i/>
      <sz val="11"/>
      <color theme="1"/>
      <name val="Fira Sans"/>
      <family val="2"/>
    </font>
    <font>
      <b/>
      <sz val="11"/>
      <color theme="4"/>
      <name val="Fira Sans"/>
      <family val="2"/>
    </font>
    <font>
      <sz val="11"/>
      <color theme="4"/>
      <name val="Fira Sans"/>
      <family val="2"/>
    </font>
    <font>
      <i/>
      <sz val="9"/>
      <color theme="1"/>
      <name val="Calibri"/>
      <family val="2"/>
      <scheme val="minor"/>
    </font>
    <font>
      <b/>
      <sz val="15"/>
      <color theme="4"/>
      <name val="Playfair Display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Raleway"/>
    </font>
    <font>
      <b/>
      <sz val="11"/>
      <color theme="4"/>
      <name val="Raleway"/>
    </font>
    <font>
      <i/>
      <sz val="11"/>
      <color theme="1"/>
      <name val="Raleway"/>
    </font>
    <font>
      <sz val="11"/>
      <color theme="4"/>
      <name val="Raleway"/>
    </font>
    <font>
      <b/>
      <sz val="15"/>
      <color rgb="FF01435C"/>
      <name val="Raleway"/>
    </font>
    <font>
      <sz val="11"/>
      <color rgb="FF01435C"/>
      <name val="Raleway"/>
    </font>
    <font>
      <b/>
      <sz val="11"/>
      <color rgb="FF01435C"/>
      <name val="Raleway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1435C"/>
      </bottom>
      <diagonal/>
    </border>
    <border>
      <left/>
      <right/>
      <top/>
      <bottom style="dashed">
        <color rgb="FF01435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6" fillId="0" borderId="1" xfId="0" applyFont="1" applyBorder="1" applyAlignment="1">
      <alignment vertical="top"/>
    </xf>
    <xf numFmtId="0" fontId="10" fillId="0" borderId="1" xfId="0" applyFont="1" applyBorder="1" applyAlignment="1">
      <alignment horizontal="right"/>
    </xf>
    <xf numFmtId="17" fontId="7" fillId="0" borderId="1" xfId="0" quotePrefix="1" applyNumberFormat="1" applyFont="1" applyBorder="1" applyAlignment="1">
      <alignment wrapText="1"/>
    </xf>
    <xf numFmtId="0" fontId="0" fillId="2" borderId="0" xfId="0" applyFill="1"/>
    <xf numFmtId="0" fontId="0" fillId="4" borderId="0" xfId="0" applyFill="1"/>
    <xf numFmtId="0" fontId="3" fillId="2" borderId="0" xfId="0" applyFont="1" applyFill="1"/>
    <xf numFmtId="1" fontId="3" fillId="2" borderId="0" xfId="0" applyNumberFormat="1" applyFont="1" applyFill="1"/>
    <xf numFmtId="0" fontId="0" fillId="0" borderId="0" xfId="0" applyAlignment="1">
      <alignment horizontal="right"/>
    </xf>
    <xf numFmtId="166" fontId="0" fillId="0" borderId="0" xfId="2" applyNumberFormat="1" applyFont="1"/>
    <xf numFmtId="165" fontId="0" fillId="0" borderId="0" xfId="0" applyNumberFormat="1"/>
    <xf numFmtId="0" fontId="11" fillId="0" borderId="0" xfId="0" applyFont="1"/>
    <xf numFmtId="17" fontId="7" fillId="3" borderId="1" xfId="0" quotePrefix="1" applyNumberFormat="1" applyFont="1" applyFill="1" applyBorder="1" applyAlignment="1">
      <alignment wrapText="1"/>
    </xf>
    <xf numFmtId="165" fontId="0" fillId="2" borderId="0" xfId="0" applyNumberFormat="1" applyFill="1"/>
    <xf numFmtId="0" fontId="3" fillId="5" borderId="0" xfId="0" applyFont="1" applyFill="1"/>
    <xf numFmtId="166" fontId="0" fillId="0" borderId="0" xfId="2" applyNumberFormat="1" applyFont="1" applyFill="1"/>
    <xf numFmtId="0" fontId="0" fillId="5" borderId="0" xfId="0" applyFill="1"/>
    <xf numFmtId="166" fontId="14" fillId="0" borderId="0" xfId="2" applyNumberFormat="1" applyFont="1"/>
    <xf numFmtId="0" fontId="14" fillId="0" borderId="0" xfId="0" applyFont="1"/>
    <xf numFmtId="166" fontId="14" fillId="2" borderId="0" xfId="2" applyNumberFormat="1" applyFont="1" applyFill="1"/>
    <xf numFmtId="1" fontId="0" fillId="2" borderId="0" xfId="0" applyNumberFormat="1" applyFill="1"/>
    <xf numFmtId="1" fontId="0" fillId="0" borderId="0" xfId="0" applyNumberFormat="1"/>
    <xf numFmtId="0" fontId="12" fillId="5" borderId="0" xfId="0" applyFont="1" applyFill="1"/>
    <xf numFmtId="0" fontId="7" fillId="5" borderId="1" xfId="0" applyFont="1" applyFill="1" applyBorder="1"/>
    <xf numFmtId="0" fontId="6" fillId="5" borderId="1" xfId="0" applyFont="1" applyFill="1" applyBorder="1" applyAlignment="1">
      <alignment vertical="top"/>
    </xf>
    <xf numFmtId="17" fontId="7" fillId="5" borderId="1" xfId="0" quotePrefix="1" applyNumberFormat="1" applyFont="1" applyFill="1" applyBorder="1" applyAlignment="1">
      <alignment horizontal="right" wrapText="1"/>
    </xf>
    <xf numFmtId="0" fontId="8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right"/>
    </xf>
    <xf numFmtId="0" fontId="8" fillId="5" borderId="0" xfId="0" applyFont="1" applyFill="1" applyAlignment="1">
      <alignment vertical="top"/>
    </xf>
    <xf numFmtId="0" fontId="5" fillId="5" borderId="0" xfId="0" applyFont="1" applyFill="1"/>
    <xf numFmtId="165" fontId="5" fillId="5" borderId="0" xfId="0" applyNumberFormat="1" applyFont="1" applyFill="1" applyAlignment="1">
      <alignment horizontal="right"/>
    </xf>
    <xf numFmtId="0" fontId="5" fillId="5" borderId="0" xfId="0" quotePrefix="1" applyFont="1" applyFill="1" applyAlignment="1">
      <alignment horizontal="right"/>
    </xf>
    <xf numFmtId="4" fontId="5" fillId="5" borderId="0" xfId="0" applyNumberFormat="1" applyFont="1" applyFill="1" applyAlignment="1">
      <alignment horizontal="right"/>
    </xf>
    <xf numFmtId="1" fontId="5" fillId="5" borderId="0" xfId="0" applyNumberFormat="1" applyFont="1" applyFill="1" applyAlignment="1">
      <alignment horizontal="right"/>
    </xf>
    <xf numFmtId="0" fontId="9" fillId="5" borderId="1" xfId="0" applyFont="1" applyFill="1" applyBorder="1"/>
    <xf numFmtId="0" fontId="10" fillId="5" borderId="1" xfId="0" applyFont="1" applyFill="1" applyBorder="1" applyAlignment="1">
      <alignment horizontal="right"/>
    </xf>
    <xf numFmtId="1" fontId="9" fillId="5" borderId="1" xfId="1" applyNumberFormat="1" applyFont="1" applyFill="1" applyBorder="1" applyAlignment="1">
      <alignment horizontal="right"/>
    </xf>
    <xf numFmtId="0" fontId="11" fillId="5" borderId="0" xfId="0" applyFont="1" applyFill="1"/>
    <xf numFmtId="167" fontId="5" fillId="5" borderId="0" xfId="0" applyNumberFormat="1" applyFont="1" applyFill="1" applyAlignment="1">
      <alignment horizontal="right"/>
    </xf>
    <xf numFmtId="164" fontId="9" fillId="5" borderId="1" xfId="1" applyNumberFormat="1" applyFont="1" applyFill="1" applyBorder="1" applyAlignment="1">
      <alignment horizontal="right"/>
    </xf>
    <xf numFmtId="165" fontId="9" fillId="5" borderId="1" xfId="1" applyNumberFormat="1" applyFont="1" applyFill="1" applyBorder="1" applyAlignment="1">
      <alignment horizontal="right"/>
    </xf>
    <xf numFmtId="0" fontId="3" fillId="6" borderId="0" xfId="0" applyFont="1" applyFill="1"/>
    <xf numFmtId="0" fontId="0" fillId="6" borderId="0" xfId="0" applyFill="1"/>
    <xf numFmtId="9" fontId="0" fillId="2" borderId="0" xfId="1" applyFont="1" applyFill="1"/>
    <xf numFmtId="0" fontId="15" fillId="0" borderId="0" xfId="0" applyFont="1"/>
    <xf numFmtId="3" fontId="0" fillId="6" borderId="0" xfId="0" applyNumberFormat="1" applyFill="1"/>
    <xf numFmtId="3" fontId="0" fillId="2" borderId="0" xfId="0" applyNumberFormat="1" applyFill="1"/>
    <xf numFmtId="3" fontId="0" fillId="4" borderId="0" xfId="0" applyNumberFormat="1" applyFill="1"/>
    <xf numFmtId="3" fontId="3" fillId="2" borderId="0" xfId="0" applyNumberFormat="1" applyFont="1" applyFill="1"/>
    <xf numFmtId="3" fontId="3" fillId="6" borderId="0" xfId="0" applyNumberFormat="1" applyFont="1" applyFill="1"/>
    <xf numFmtId="3" fontId="0" fillId="0" borderId="0" xfId="0" applyNumberFormat="1"/>
    <xf numFmtId="1" fontId="0" fillId="4" borderId="0" xfId="0" applyNumberFormat="1" applyFill="1"/>
    <xf numFmtId="0" fontId="0" fillId="0" borderId="3" xfId="0" applyBorder="1"/>
    <xf numFmtId="165" fontId="0" fillId="6" borderId="0" xfId="0" applyNumberFormat="1" applyFill="1"/>
    <xf numFmtId="165" fontId="0" fillId="4" borderId="0" xfId="0" applyNumberFormat="1" applyFill="1"/>
    <xf numFmtId="168" fontId="0" fillId="6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0" fillId="0" borderId="3" xfId="0" applyNumberFormat="1" applyBorder="1" applyAlignment="1">
      <alignment horizontal="left"/>
    </xf>
    <xf numFmtId="0" fontId="0" fillId="0" borderId="10" xfId="0" applyBorder="1"/>
    <xf numFmtId="17" fontId="7" fillId="0" borderId="0" xfId="0" quotePrefix="1" applyNumberFormat="1" applyFont="1" applyAlignment="1">
      <alignment wrapText="1"/>
    </xf>
    <xf numFmtId="166" fontId="14" fillId="0" borderId="0" xfId="2" applyNumberFormat="1" applyFont="1" applyFill="1"/>
    <xf numFmtId="17" fontId="7" fillId="0" borderId="0" xfId="0" applyNumberFormat="1" applyFont="1" applyAlignment="1">
      <alignment wrapText="1"/>
    </xf>
    <xf numFmtId="168" fontId="0" fillId="2" borderId="0" xfId="0" applyNumberFormat="1" applyFill="1"/>
    <xf numFmtId="169" fontId="0" fillId="6" borderId="0" xfId="0" applyNumberFormat="1" applyFill="1"/>
    <xf numFmtId="168" fontId="0" fillId="0" borderId="0" xfId="0" applyNumberFormat="1" applyAlignment="1">
      <alignment horizontal="left"/>
    </xf>
    <xf numFmtId="0" fontId="15" fillId="0" borderId="0" xfId="0" applyFont="1" applyAlignment="1">
      <alignment horizontal="left"/>
    </xf>
    <xf numFmtId="168" fontId="0" fillId="0" borderId="0" xfId="0" applyNumberFormat="1"/>
    <xf numFmtId="4" fontId="0" fillId="0" borderId="0" xfId="0" applyNumberFormat="1" applyAlignment="1">
      <alignment horizontal="right"/>
    </xf>
    <xf numFmtId="4" fontId="0" fillId="0" borderId="3" xfId="0" applyNumberFormat="1" applyBorder="1" applyAlignment="1">
      <alignment horizontal="right"/>
    </xf>
    <xf numFmtId="2" fontId="1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3" fontId="3" fillId="5" borderId="0" xfId="0" applyNumberFormat="1" applyFont="1" applyFill="1"/>
    <xf numFmtId="0" fontId="0" fillId="8" borderId="0" xfId="0" applyFill="1"/>
    <xf numFmtId="164" fontId="0" fillId="2" borderId="0" xfId="1" applyNumberFormat="1" applyFont="1" applyFill="1"/>
    <xf numFmtId="165" fontId="0" fillId="7" borderId="0" xfId="0" applyNumberFormat="1" applyFill="1"/>
    <xf numFmtId="0" fontId="18" fillId="0" borderId="0" xfId="0" applyFont="1"/>
    <xf numFmtId="0" fontId="19" fillId="0" borderId="1" xfId="0" applyFont="1" applyBorder="1"/>
    <xf numFmtId="0" fontId="18" fillId="0" borderId="1" xfId="0" applyFont="1" applyBorder="1" applyAlignment="1">
      <alignment vertical="top"/>
    </xf>
    <xf numFmtId="17" fontId="19" fillId="3" borderId="1" xfId="0" quotePrefix="1" applyNumberFormat="1" applyFont="1" applyFill="1" applyBorder="1" applyAlignment="1">
      <alignment horizontal="right" wrapText="1"/>
    </xf>
    <xf numFmtId="17" fontId="19" fillId="0" borderId="1" xfId="0" quotePrefix="1" applyNumberFormat="1" applyFont="1" applyBorder="1" applyAlignment="1">
      <alignment horizontal="right" wrapText="1"/>
    </xf>
    <xf numFmtId="0" fontId="18" fillId="0" borderId="0" xfId="0" applyFont="1" applyAlignment="1">
      <alignment horizontal="right"/>
    </xf>
    <xf numFmtId="0" fontId="18" fillId="3" borderId="0" xfId="0" applyFont="1" applyFill="1" applyAlignment="1">
      <alignment horizontal="right"/>
    </xf>
    <xf numFmtId="0" fontId="21" fillId="0" borderId="1" xfId="0" applyFont="1" applyBorder="1" applyAlignment="1">
      <alignment horizontal="right"/>
    </xf>
    <xf numFmtId="0" fontId="20" fillId="0" borderId="0" xfId="0" applyFont="1" applyAlignment="1">
      <alignment vertical="top"/>
    </xf>
    <xf numFmtId="0" fontId="18" fillId="0" borderId="0" xfId="0" quotePrefix="1" applyFont="1" applyAlignment="1">
      <alignment horizontal="right"/>
    </xf>
    <xf numFmtId="1" fontId="18" fillId="3" borderId="0" xfId="0" applyNumberFormat="1" applyFont="1" applyFill="1" applyAlignment="1">
      <alignment horizontal="right"/>
    </xf>
    <xf numFmtId="1" fontId="18" fillId="0" borderId="0" xfId="0" applyNumberFormat="1" applyFont="1" applyAlignment="1">
      <alignment horizontal="right"/>
    </xf>
    <xf numFmtId="1" fontId="19" fillId="3" borderId="1" xfId="1" applyNumberFormat="1" applyFont="1" applyFill="1" applyBorder="1" applyAlignment="1">
      <alignment horizontal="right"/>
    </xf>
    <xf numFmtId="1" fontId="19" fillId="0" borderId="1" xfId="1" applyNumberFormat="1" applyFont="1" applyFill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1" xfId="0" applyFont="1" applyBorder="1"/>
    <xf numFmtId="0" fontId="23" fillId="0" borderId="1" xfId="0" applyFont="1" applyBorder="1" applyAlignment="1">
      <alignment vertical="top"/>
    </xf>
    <xf numFmtId="17" fontId="24" fillId="3" borderId="1" xfId="0" quotePrefix="1" applyNumberFormat="1" applyFont="1" applyFill="1" applyBorder="1" applyAlignment="1">
      <alignment horizontal="right" wrapText="1"/>
    </xf>
    <xf numFmtId="17" fontId="24" fillId="0" borderId="1" xfId="0" quotePrefix="1" applyNumberFormat="1" applyFont="1" applyBorder="1" applyAlignment="1">
      <alignment horizontal="right" wrapText="1"/>
    </xf>
    <xf numFmtId="0" fontId="23" fillId="0" borderId="0" xfId="0" applyFont="1" applyAlignment="1">
      <alignment horizontal="right"/>
    </xf>
    <xf numFmtId="0" fontId="23" fillId="3" borderId="0" xfId="0" applyFont="1" applyFill="1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right"/>
    </xf>
    <xf numFmtId="0" fontId="23" fillId="0" borderId="2" xfId="0" applyFont="1" applyBorder="1"/>
    <xf numFmtId="0" fontId="23" fillId="0" borderId="2" xfId="0" applyFont="1" applyBorder="1" applyAlignment="1">
      <alignment horizontal="right"/>
    </xf>
    <xf numFmtId="0" fontId="24" fillId="0" borderId="0" xfId="0" quotePrefix="1" applyFont="1" applyAlignment="1">
      <alignment horizontal="right"/>
    </xf>
    <xf numFmtId="1" fontId="24" fillId="3" borderId="0" xfId="0" applyNumberFormat="1" applyFont="1" applyFill="1" applyAlignment="1">
      <alignment horizontal="right"/>
    </xf>
    <xf numFmtId="1" fontId="24" fillId="0" borderId="0" xfId="0" applyNumberFormat="1" applyFont="1" applyAlignment="1">
      <alignment horizontal="right"/>
    </xf>
    <xf numFmtId="0" fontId="23" fillId="0" borderId="0" xfId="0" quotePrefix="1" applyFont="1" applyAlignment="1">
      <alignment horizontal="right"/>
    </xf>
    <xf numFmtId="1" fontId="23" fillId="0" borderId="0" xfId="0" applyNumberFormat="1" applyFont="1" applyAlignment="1">
      <alignment horizontal="right"/>
    </xf>
    <xf numFmtId="1" fontId="23" fillId="3" borderId="0" xfId="0" applyNumberFormat="1" applyFont="1" applyFill="1" applyAlignment="1">
      <alignment horizontal="right"/>
    </xf>
    <xf numFmtId="3" fontId="23" fillId="3" borderId="0" xfId="0" applyNumberFormat="1" applyFont="1" applyFill="1" applyAlignment="1">
      <alignment horizontal="right"/>
    </xf>
    <xf numFmtId="3" fontId="23" fillId="0" borderId="0" xfId="0" applyNumberFormat="1" applyFont="1" applyAlignment="1">
      <alignment horizontal="right"/>
    </xf>
    <xf numFmtId="164" fontId="24" fillId="0" borderId="0" xfId="1" applyNumberFormat="1" applyFont="1" applyAlignment="1">
      <alignment horizontal="right"/>
    </xf>
    <xf numFmtId="164" fontId="24" fillId="0" borderId="0" xfId="1" applyNumberFormat="1" applyFont="1" applyFill="1" applyAlignment="1">
      <alignment horizontal="right"/>
    </xf>
    <xf numFmtId="0" fontId="23" fillId="0" borderId="1" xfId="0" applyFont="1" applyBorder="1" applyAlignment="1">
      <alignment horizontal="right"/>
    </xf>
    <xf numFmtId="164" fontId="24" fillId="3" borderId="1" xfId="1" applyNumberFormat="1" applyFont="1" applyFill="1" applyBorder="1" applyAlignment="1">
      <alignment horizontal="right"/>
    </xf>
    <xf numFmtId="9" fontId="24" fillId="0" borderId="1" xfId="1" applyFont="1" applyBorder="1" applyAlignment="1">
      <alignment horizontal="right"/>
    </xf>
    <xf numFmtId="17" fontId="24" fillId="3" borderId="1" xfId="0" applyNumberFormat="1" applyFont="1" applyFill="1" applyBorder="1" applyAlignment="1">
      <alignment horizontal="right" wrapText="1"/>
    </xf>
    <xf numFmtId="17" fontId="24" fillId="0" borderId="1" xfId="0" applyNumberFormat="1" applyFont="1" applyBorder="1" applyAlignment="1">
      <alignment horizontal="right" wrapText="1"/>
    </xf>
    <xf numFmtId="1" fontId="24" fillId="3" borderId="0" xfId="1" applyNumberFormat="1" applyFont="1" applyFill="1" applyAlignment="1">
      <alignment horizontal="right"/>
    </xf>
    <xf numFmtId="1" fontId="24" fillId="0" borderId="0" xfId="1" applyNumberFormat="1" applyFont="1" applyAlignment="1">
      <alignment horizontal="right"/>
    </xf>
    <xf numFmtId="164" fontId="24" fillId="0" borderId="1" xfId="1" applyNumberFormat="1" applyFont="1" applyBorder="1" applyAlignment="1">
      <alignment horizontal="right"/>
    </xf>
    <xf numFmtId="0" fontId="23" fillId="0" borderId="0" xfId="0" applyFont="1" applyAlignment="1">
      <alignment vertical="top"/>
    </xf>
    <xf numFmtId="17" fontId="24" fillId="0" borderId="0" xfId="0" quotePrefix="1" applyNumberFormat="1" applyFont="1" applyAlignment="1">
      <alignment horizontal="right" wrapText="1"/>
    </xf>
    <xf numFmtId="3" fontId="23" fillId="0" borderId="0" xfId="0" applyNumberFormat="1" applyFont="1"/>
    <xf numFmtId="164" fontId="23" fillId="0" borderId="0" xfId="1" applyNumberFormat="1" applyFont="1" applyAlignment="1">
      <alignment horizontal="right"/>
    </xf>
    <xf numFmtId="4" fontId="24" fillId="3" borderId="0" xfId="0" applyNumberFormat="1" applyFont="1" applyFill="1" applyAlignment="1">
      <alignment horizontal="right"/>
    </xf>
    <xf numFmtId="4" fontId="24" fillId="0" borderId="0" xfId="0" applyNumberFormat="1" applyFont="1" applyAlignment="1">
      <alignment horizontal="right"/>
    </xf>
    <xf numFmtId="2" fontId="24" fillId="3" borderId="1" xfId="1" applyNumberFormat="1" applyFont="1" applyFill="1" applyBorder="1" applyAlignment="1">
      <alignment horizontal="right"/>
    </xf>
    <xf numFmtId="2" fontId="24" fillId="0" borderId="1" xfId="1" applyNumberFormat="1" applyFont="1" applyBorder="1" applyAlignment="1">
      <alignment horizontal="right"/>
    </xf>
    <xf numFmtId="3" fontId="23" fillId="3" borderId="2" xfId="0" applyNumberFormat="1" applyFont="1" applyFill="1" applyBorder="1" applyAlignment="1">
      <alignment horizontal="right"/>
    </xf>
    <xf numFmtId="3" fontId="23" fillId="0" borderId="2" xfId="0" applyNumberFormat="1" applyFont="1" applyBorder="1" applyAlignment="1">
      <alignment horizontal="right"/>
    </xf>
    <xf numFmtId="3" fontId="23" fillId="3" borderId="0" xfId="1" applyNumberFormat="1" applyFont="1" applyFill="1" applyAlignment="1">
      <alignment horizontal="right"/>
    </xf>
    <xf numFmtId="3" fontId="23" fillId="0" borderId="0" xfId="1" applyNumberFormat="1" applyFont="1" applyFill="1" applyAlignment="1">
      <alignment horizontal="right"/>
    </xf>
    <xf numFmtId="0" fontId="23" fillId="0" borderId="0" xfId="0" applyFont="1" applyAlignment="1">
      <alignment vertical="top" wrapText="1"/>
    </xf>
    <xf numFmtId="0" fontId="23" fillId="0" borderId="2" xfId="0" quotePrefix="1" applyFont="1" applyBorder="1" applyAlignment="1">
      <alignment horizontal="right"/>
    </xf>
    <xf numFmtId="1" fontId="23" fillId="3" borderId="2" xfId="0" applyNumberFormat="1" applyFont="1" applyFill="1" applyBorder="1" applyAlignment="1">
      <alignment horizontal="right"/>
    </xf>
    <xf numFmtId="1" fontId="23" fillId="0" borderId="2" xfId="0" applyNumberFormat="1" applyFont="1" applyBorder="1" applyAlignment="1">
      <alignment horizontal="right"/>
    </xf>
    <xf numFmtId="1" fontId="24" fillId="7" borderId="0" xfId="0" applyNumberFormat="1" applyFont="1" applyFill="1" applyAlignment="1">
      <alignment horizontal="right"/>
    </xf>
    <xf numFmtId="0" fontId="24" fillId="0" borderId="11" xfId="0" applyFont="1" applyBorder="1"/>
    <xf numFmtId="0" fontId="23" fillId="0" borderId="11" xfId="0" applyFont="1" applyBorder="1" applyAlignment="1">
      <alignment vertical="top"/>
    </xf>
    <xf numFmtId="17" fontId="24" fillId="3" borderId="11" xfId="0" quotePrefix="1" applyNumberFormat="1" applyFont="1" applyFill="1" applyBorder="1" applyAlignment="1">
      <alignment horizontal="right" wrapText="1"/>
    </xf>
    <xf numFmtId="17" fontId="24" fillId="0" borderId="11" xfId="0" quotePrefix="1" applyNumberFormat="1" applyFont="1" applyBorder="1" applyAlignment="1">
      <alignment horizontal="right" wrapText="1"/>
    </xf>
    <xf numFmtId="0" fontId="23" fillId="0" borderId="11" xfId="0" applyFont="1" applyBorder="1" applyAlignment="1">
      <alignment horizontal="right"/>
    </xf>
    <xf numFmtId="164" fontId="24" fillId="3" borderId="11" xfId="1" applyNumberFormat="1" applyFont="1" applyFill="1" applyBorder="1" applyAlignment="1">
      <alignment horizontal="right"/>
    </xf>
    <xf numFmtId="9" fontId="24" fillId="0" borderId="11" xfId="1" applyFont="1" applyBorder="1" applyAlignment="1">
      <alignment horizontal="right"/>
    </xf>
    <xf numFmtId="164" fontId="24" fillId="0" borderId="11" xfId="1" applyNumberFormat="1" applyFont="1" applyFill="1" applyBorder="1" applyAlignment="1">
      <alignment horizontal="right"/>
    </xf>
    <xf numFmtId="9" fontId="24" fillId="3" borderId="11" xfId="1" applyFont="1" applyFill="1" applyBorder="1" applyAlignment="1">
      <alignment horizontal="right"/>
    </xf>
    <xf numFmtId="9" fontId="24" fillId="0" borderId="11" xfId="1" applyFont="1" applyFill="1" applyBorder="1" applyAlignment="1">
      <alignment horizontal="right"/>
    </xf>
    <xf numFmtId="165" fontId="23" fillId="3" borderId="11" xfId="0" applyNumberFormat="1" applyFont="1" applyFill="1" applyBorder="1" applyAlignment="1">
      <alignment horizontal="right"/>
    </xf>
    <xf numFmtId="165" fontId="23" fillId="0" borderId="11" xfId="0" applyNumberFormat="1" applyFont="1" applyBorder="1" applyAlignment="1">
      <alignment horizontal="right"/>
    </xf>
    <xf numFmtId="164" fontId="24" fillId="0" borderId="11" xfId="1" applyNumberFormat="1" applyFont="1" applyBorder="1" applyAlignment="1">
      <alignment horizontal="right"/>
    </xf>
    <xf numFmtId="0" fontId="23" fillId="0" borderId="12" xfId="0" applyFont="1" applyBorder="1"/>
    <xf numFmtId="0" fontId="23" fillId="0" borderId="12" xfId="0" quotePrefix="1" applyFont="1" applyBorder="1" applyAlignment="1">
      <alignment horizontal="right"/>
    </xf>
    <xf numFmtId="1" fontId="23" fillId="3" borderId="12" xfId="0" applyNumberFormat="1" applyFont="1" applyFill="1" applyBorder="1" applyAlignment="1">
      <alignment horizontal="right"/>
    </xf>
    <xf numFmtId="1" fontId="23" fillId="0" borderId="12" xfId="0" applyNumberFormat="1" applyFont="1" applyBorder="1" applyAlignment="1">
      <alignment horizontal="right"/>
    </xf>
    <xf numFmtId="17" fontId="24" fillId="9" borderId="11" xfId="0" quotePrefix="1" applyNumberFormat="1" applyFont="1" applyFill="1" applyBorder="1" applyAlignment="1">
      <alignment horizontal="right" wrapText="1"/>
    </xf>
    <xf numFmtId="17" fontId="24" fillId="9" borderId="0" xfId="0" quotePrefix="1" applyNumberFormat="1" applyFont="1" applyFill="1" applyAlignment="1">
      <alignment horizontal="right" wrapText="1"/>
    </xf>
    <xf numFmtId="3" fontId="23" fillId="9" borderId="0" xfId="0" applyNumberFormat="1" applyFont="1" applyFill="1" applyAlignment="1">
      <alignment horizontal="right"/>
    </xf>
    <xf numFmtId="164" fontId="24" fillId="9" borderId="0" xfId="1" applyNumberFormat="1" applyFont="1" applyFill="1" applyAlignment="1">
      <alignment horizontal="right"/>
    </xf>
    <xf numFmtId="164" fontId="24" fillId="9" borderId="11" xfId="1" applyNumberFormat="1" applyFont="1" applyFill="1" applyBorder="1" applyAlignment="1">
      <alignment horizontal="right"/>
    </xf>
    <xf numFmtId="0" fontId="23" fillId="9" borderId="0" xfId="0" applyFont="1" applyFill="1" applyAlignment="1">
      <alignment horizontal="right"/>
    </xf>
    <xf numFmtId="0" fontId="23" fillId="9" borderId="0" xfId="0" applyFont="1" applyFill="1"/>
    <xf numFmtId="0" fontId="24" fillId="9" borderId="0" xfId="0" applyFont="1" applyFill="1" applyAlignment="1">
      <alignment horizontal="right"/>
    </xf>
    <xf numFmtId="0" fontId="23" fillId="9" borderId="2" xfId="0" applyFont="1" applyFill="1" applyBorder="1" applyAlignment="1">
      <alignment horizontal="right"/>
    </xf>
    <xf numFmtId="1" fontId="24" fillId="9" borderId="0" xfId="0" applyNumberFormat="1" applyFont="1" applyFill="1" applyAlignment="1">
      <alignment horizontal="right"/>
    </xf>
    <xf numFmtId="1" fontId="23" fillId="9" borderId="0" xfId="0" applyNumberFormat="1" applyFont="1" applyFill="1" applyAlignment="1">
      <alignment horizontal="right"/>
    </xf>
    <xf numFmtId="1" fontId="24" fillId="9" borderId="0" xfId="1" applyNumberFormat="1" applyFont="1" applyFill="1" applyAlignment="1">
      <alignment horizontal="right"/>
    </xf>
    <xf numFmtId="164" fontId="23" fillId="9" borderId="0" xfId="1" applyNumberFormat="1" applyFont="1" applyFill="1" applyAlignment="1">
      <alignment horizontal="right"/>
    </xf>
    <xf numFmtId="9" fontId="24" fillId="9" borderId="11" xfId="1" applyFont="1" applyFill="1" applyBorder="1" applyAlignment="1">
      <alignment horizontal="right"/>
    </xf>
    <xf numFmtId="165" fontId="23" fillId="9" borderId="11" xfId="0" applyNumberFormat="1" applyFont="1" applyFill="1" applyBorder="1" applyAlignment="1">
      <alignment horizontal="right"/>
    </xf>
    <xf numFmtId="1" fontId="23" fillId="9" borderId="12" xfId="0" applyNumberFormat="1" applyFont="1" applyFill="1" applyBorder="1" applyAlignment="1">
      <alignment horizontal="right"/>
    </xf>
    <xf numFmtId="1" fontId="23" fillId="9" borderId="2" xfId="0" applyNumberFormat="1" applyFont="1" applyFill="1" applyBorder="1" applyAlignment="1">
      <alignment horizontal="right"/>
    </xf>
  </cellXfs>
  <cellStyles count="3">
    <cellStyle name="Normal" xfId="0" builtinId="0"/>
    <cellStyle name="Procent" xfId="1" builtinId="5"/>
    <cellStyle name="Tusental" xfId="2" builtinId="3"/>
  </cellStyles>
  <dxfs count="0"/>
  <tableStyles count="0" defaultTableStyle="TableStyleMedium2" defaultPivotStyle="PivotStyleLight16"/>
  <colors>
    <mruColors>
      <color rgb="FF0143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8AC9-D9CF-4402-AED7-32041620DE2F}">
  <sheetPr>
    <pageSetUpPr fitToPage="1"/>
  </sheetPr>
  <dimension ref="A1:FO219"/>
  <sheetViews>
    <sheetView showGridLines="0" tabSelected="1" topLeftCell="A38" zoomScaleNormal="100" workbookViewId="0">
      <selection activeCell="X123" sqref="X123"/>
    </sheetView>
  </sheetViews>
  <sheetFormatPr defaultRowHeight="15" outlineLevelRow="2" outlineLevelCol="2" x14ac:dyDescent="0.25"/>
  <cols>
    <col min="2" max="2" width="24.85546875" customWidth="1"/>
    <col min="3" max="3" width="35" customWidth="1"/>
    <col min="4" max="5" width="12.140625" customWidth="1"/>
    <col min="6" max="6" width="9.42578125" customWidth="1" outlineLevel="1"/>
    <col min="7" max="7" width="10.85546875" customWidth="1" outlineLevel="1"/>
    <col min="8" max="8" width="13.28515625" bestFit="1" customWidth="1" outlineLevel="1"/>
    <col min="9" max="9" width="13.28515625" hidden="1" customWidth="1" outlineLevel="1"/>
    <col min="10" max="10" width="9.42578125" customWidth="1"/>
    <col min="11" max="11" width="2.7109375" customWidth="1"/>
    <col min="12" max="14" width="9.42578125" customWidth="1" outlineLevel="1"/>
    <col min="15" max="15" width="10.28515625" customWidth="1" outlineLevel="1"/>
    <col min="16" max="16" width="9.42578125" customWidth="1"/>
    <col min="17" max="20" width="9.42578125" hidden="1" customWidth="1" outlineLevel="1"/>
    <col min="21" max="21" width="9.42578125" customWidth="1" collapsed="1"/>
    <col min="22" max="22" width="9.28515625" customWidth="1"/>
    <col min="23" max="23" width="7.5703125" customWidth="1"/>
    <col min="25" max="27" width="11.28515625" hidden="1" customWidth="1" outlineLevel="2"/>
    <col min="28" max="28" width="11.28515625" hidden="1" customWidth="1" outlineLevel="1"/>
    <col min="29" max="29" width="7.5703125" customWidth="1" collapsed="1"/>
    <col min="30" max="30" width="7.5703125" customWidth="1"/>
    <col min="31" max="31" width="11.28515625" customWidth="1"/>
    <col min="37" max="37" width="22.140625" customWidth="1"/>
    <col min="38" max="38" width="7.42578125" customWidth="1"/>
    <col min="39" max="39" width="6.5703125" customWidth="1"/>
    <col min="40" max="40" width="9.85546875" customWidth="1"/>
  </cols>
  <sheetData>
    <row r="1" spans="1:171" x14ac:dyDescent="0.25">
      <c r="C1" t="s">
        <v>146</v>
      </c>
    </row>
    <row r="2" spans="1:171" x14ac:dyDescent="0.25">
      <c r="C2" t="s">
        <v>154</v>
      </c>
    </row>
    <row r="3" spans="1:171" x14ac:dyDescent="0.25">
      <c r="C3" t="s">
        <v>155</v>
      </c>
    </row>
    <row r="4" spans="1:171" x14ac:dyDescent="0.25">
      <c r="C4" s="11" t="s">
        <v>156</v>
      </c>
    </row>
    <row r="5" spans="1:171" x14ac:dyDescent="0.25">
      <c r="C5" t="s">
        <v>173</v>
      </c>
    </row>
    <row r="6" spans="1:171" x14ac:dyDescent="0.25">
      <c r="C6" t="s">
        <v>153</v>
      </c>
    </row>
    <row r="7" spans="1:171" x14ac:dyDescent="0.25">
      <c r="C7" t="s">
        <v>205</v>
      </c>
      <c r="AH7" t="s">
        <v>174</v>
      </c>
    </row>
    <row r="8" spans="1:171" x14ac:dyDescent="0.25">
      <c r="F8" t="s">
        <v>0</v>
      </c>
      <c r="G8" t="s">
        <v>0</v>
      </c>
      <c r="H8" t="s">
        <v>0</v>
      </c>
      <c r="I8" t="s">
        <v>0</v>
      </c>
      <c r="J8" t="s">
        <v>1</v>
      </c>
      <c r="L8" t="s">
        <v>0</v>
      </c>
      <c r="M8" t="s">
        <v>0</v>
      </c>
      <c r="N8" t="s">
        <v>0</v>
      </c>
      <c r="O8" t="s">
        <v>0</v>
      </c>
      <c r="P8" t="s">
        <v>1</v>
      </c>
      <c r="Q8" t="s">
        <v>0</v>
      </c>
      <c r="R8" t="s">
        <v>0</v>
      </c>
      <c r="S8" t="s">
        <v>0</v>
      </c>
      <c r="T8" t="s">
        <v>0</v>
      </c>
      <c r="U8" t="s">
        <v>1</v>
      </c>
      <c r="Y8" t="s">
        <v>0</v>
      </c>
      <c r="Z8" t="s">
        <v>0</v>
      </c>
      <c r="AA8" s="22" t="s">
        <v>0</v>
      </c>
      <c r="AB8" t="s">
        <v>1</v>
      </c>
      <c r="AC8" t="s">
        <v>2</v>
      </c>
    </row>
    <row r="9" spans="1:171" ht="36.6" customHeight="1" thickBot="1" x14ac:dyDescent="0.45">
      <c r="B9" t="s">
        <v>149</v>
      </c>
      <c r="C9" t="s">
        <v>3</v>
      </c>
      <c r="F9" s="18" t="s">
        <v>179</v>
      </c>
      <c r="G9" s="18" t="s">
        <v>180</v>
      </c>
      <c r="H9" s="18" t="s">
        <v>181</v>
      </c>
      <c r="I9" s="18" t="s">
        <v>182</v>
      </c>
      <c r="J9" s="18" t="s">
        <v>197</v>
      </c>
      <c r="L9" s="18" t="s">
        <v>4</v>
      </c>
      <c r="M9" s="18" t="s">
        <v>5</v>
      </c>
      <c r="N9" s="18" t="s">
        <v>6</v>
      </c>
      <c r="O9" s="18" t="s">
        <v>7</v>
      </c>
      <c r="P9" s="18" t="s">
        <v>175</v>
      </c>
      <c r="Q9" s="9" t="s">
        <v>8</v>
      </c>
      <c r="R9" s="9" t="s">
        <v>9</v>
      </c>
      <c r="S9" s="9" t="s">
        <v>10</v>
      </c>
      <c r="T9" s="9" t="s">
        <v>11</v>
      </c>
      <c r="U9" s="9" t="s">
        <v>12</v>
      </c>
      <c r="V9" s="9"/>
      <c r="Y9" s="9" t="s">
        <v>13</v>
      </c>
      <c r="Z9" s="9" t="s">
        <v>14</v>
      </c>
      <c r="AA9" s="9" t="s">
        <v>15</v>
      </c>
      <c r="AB9" s="9" t="s">
        <v>16</v>
      </c>
      <c r="AC9" s="9" t="s">
        <v>17</v>
      </c>
      <c r="AD9" s="9" t="s">
        <v>18</v>
      </c>
      <c r="AE9" s="9" t="s">
        <v>19</v>
      </c>
      <c r="AF9" s="9" t="s">
        <v>20</v>
      </c>
      <c r="AG9" s="70"/>
      <c r="AH9" s="72"/>
    </row>
    <row r="10" spans="1:171" ht="15.75" outlineLevel="1" thickTop="1" x14ac:dyDescent="0.25">
      <c r="AH10" s="62"/>
      <c r="AI10" s="63"/>
      <c r="AJ10" s="63"/>
      <c r="AK10" s="63"/>
      <c r="AL10" s="63"/>
      <c r="AM10" s="63"/>
      <c r="AN10" s="63"/>
      <c r="AO10" s="63"/>
      <c r="AP10" s="63"/>
      <c r="AQ10" s="63"/>
      <c r="AR10" s="64"/>
    </row>
    <row r="11" spans="1:171" outlineLevel="1" x14ac:dyDescent="0.25">
      <c r="C11" t="s">
        <v>21</v>
      </c>
      <c r="F11" s="23">
        <v>27329</v>
      </c>
      <c r="G11" s="23">
        <v>27329</v>
      </c>
      <c r="H11" s="23">
        <v>27329</v>
      </c>
      <c r="I11" s="23"/>
      <c r="J11" s="23"/>
      <c r="L11" s="23">
        <v>27329.135999999999</v>
      </c>
      <c r="M11" s="23">
        <f t="shared" ref="M11:O12" si="0">L11</f>
        <v>27329.135999999999</v>
      </c>
      <c r="N11" s="23">
        <f t="shared" si="0"/>
        <v>27329.135999999999</v>
      </c>
      <c r="O11" s="23">
        <f t="shared" si="0"/>
        <v>27329.135999999999</v>
      </c>
      <c r="P11" s="23"/>
      <c r="Q11" s="23">
        <v>27329</v>
      </c>
      <c r="R11" s="23">
        <v>27329</v>
      </c>
      <c r="S11" s="23">
        <v>27329</v>
      </c>
      <c r="T11" s="23">
        <v>27329</v>
      </c>
      <c r="U11" s="23">
        <v>27329</v>
      </c>
      <c r="V11" s="23"/>
      <c r="W11" s="23"/>
      <c r="X11" s="24"/>
      <c r="Y11" s="23">
        <v>25900</v>
      </c>
      <c r="Z11" s="23">
        <v>27245</v>
      </c>
      <c r="AA11" s="23">
        <v>27245</v>
      </c>
      <c r="AB11" s="23">
        <v>27245</v>
      </c>
      <c r="AC11" s="23">
        <v>25923</v>
      </c>
      <c r="AD11" s="23"/>
      <c r="AE11" s="23" t="s">
        <v>22</v>
      </c>
      <c r="AF11" s="23">
        <v>24517.272000000001</v>
      </c>
      <c r="AG11" s="71"/>
      <c r="AH11" s="65"/>
      <c r="AM11" t="s">
        <v>167</v>
      </c>
      <c r="AO11" t="s">
        <v>170</v>
      </c>
      <c r="AR11" s="66"/>
    </row>
    <row r="12" spans="1:171" s="10" customFormat="1" outlineLevel="1" x14ac:dyDescent="0.25">
      <c r="A12"/>
      <c r="B12" s="10" t="s">
        <v>150</v>
      </c>
      <c r="C12" s="10" t="s">
        <v>23</v>
      </c>
      <c r="F12" s="25">
        <f t="shared" ref="F12" si="1">F11</f>
        <v>27329</v>
      </c>
      <c r="G12" s="25">
        <f t="shared" ref="G12" si="2">F12</f>
        <v>27329</v>
      </c>
      <c r="H12" s="25">
        <f t="shared" ref="H12" si="3">G12</f>
        <v>27329</v>
      </c>
      <c r="I12" s="25">
        <f t="shared" ref="I12" si="4">H12</f>
        <v>27329</v>
      </c>
      <c r="J12" s="25">
        <f>(F12+G12+H12+I12)/4</f>
        <v>27329</v>
      </c>
      <c r="K12"/>
      <c r="L12" s="25">
        <f t="shared" ref="L12:Q12" si="5">L11</f>
        <v>27329.135999999999</v>
      </c>
      <c r="M12" s="25">
        <f t="shared" si="0"/>
        <v>27329.135999999999</v>
      </c>
      <c r="N12" s="25">
        <f t="shared" si="0"/>
        <v>27329.135999999999</v>
      </c>
      <c r="O12" s="25">
        <f t="shared" si="0"/>
        <v>27329.135999999999</v>
      </c>
      <c r="P12" s="25">
        <f>(L12+M12+N12+O12)/4</f>
        <v>27329.135999999999</v>
      </c>
      <c r="Q12" s="25">
        <f t="shared" si="5"/>
        <v>27329</v>
      </c>
      <c r="R12" s="25">
        <v>27245</v>
      </c>
      <c r="S12" s="25">
        <v>27329</v>
      </c>
      <c r="T12" s="25">
        <v>27329</v>
      </c>
      <c r="U12" s="25">
        <v>27329</v>
      </c>
      <c r="V12" s="25"/>
      <c r="W12" s="23"/>
      <c r="X12" s="24"/>
      <c r="Y12" s="25">
        <f t="shared" ref="Y12" si="6">Y11</f>
        <v>25900</v>
      </c>
      <c r="Z12" s="25">
        <v>27245</v>
      </c>
      <c r="AA12" s="25">
        <v>27329</v>
      </c>
      <c r="AB12" s="25">
        <v>27329</v>
      </c>
      <c r="AC12" s="25">
        <v>26626</v>
      </c>
      <c r="AD12" s="25"/>
      <c r="AE12" s="25">
        <v>24517.272000000001</v>
      </c>
      <c r="AF12" s="25">
        <v>24517.272000000001</v>
      </c>
      <c r="AG12" s="71"/>
      <c r="AH12" s="65"/>
      <c r="AI12"/>
      <c r="AJ12"/>
      <c r="AK12"/>
      <c r="AL12"/>
      <c r="AM12" t="s">
        <v>168</v>
      </c>
      <c r="AN12"/>
      <c r="AO12" t="s">
        <v>171</v>
      </c>
      <c r="AP12" s="74">
        <v>11.323499999999999</v>
      </c>
      <c r="AQ12"/>
      <c r="AR12" s="66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</row>
    <row r="13" spans="1:171" outlineLevel="1" x14ac:dyDescent="0.25">
      <c r="B13" t="s">
        <v>151</v>
      </c>
      <c r="C13" t="s">
        <v>24</v>
      </c>
      <c r="F13" s="56">
        <v>355</v>
      </c>
      <c r="G13" s="56">
        <v>311</v>
      </c>
      <c r="H13" s="56">
        <f>917-666</f>
        <v>251</v>
      </c>
      <c r="I13" s="56"/>
      <c r="J13" s="52">
        <f>+F13+G13+H13+I13</f>
        <v>917</v>
      </c>
      <c r="L13" s="51">
        <v>281</v>
      </c>
      <c r="M13" s="51">
        <f>608-L13</f>
        <v>327</v>
      </c>
      <c r="N13" s="51">
        <v>299</v>
      </c>
      <c r="O13" s="51">
        <v>261</v>
      </c>
      <c r="P13" s="52">
        <f>+L13+M13+N13+O13</f>
        <v>1168</v>
      </c>
      <c r="Q13" s="48">
        <v>175</v>
      </c>
      <c r="R13" s="48">
        <f>414-Q13</f>
        <v>239</v>
      </c>
      <c r="S13" s="48">
        <f>627-R13-Q13</f>
        <v>213</v>
      </c>
      <c r="T13" s="48">
        <f>863-S13-R13-Q13</f>
        <v>236</v>
      </c>
      <c r="U13" s="10">
        <f>+Q13+R13+S13+T13</f>
        <v>863</v>
      </c>
      <c r="W13" s="15"/>
      <c r="Y13">
        <v>157</v>
      </c>
      <c r="Z13">
        <v>134</v>
      </c>
      <c r="AA13">
        <v>146</v>
      </c>
      <c r="AB13">
        <v>151</v>
      </c>
      <c r="AC13" s="10">
        <f>+Y13+Z13+AA13+AB13</f>
        <v>588</v>
      </c>
      <c r="AD13" s="10"/>
      <c r="AH13" s="65"/>
      <c r="AM13" t="s">
        <v>169</v>
      </c>
      <c r="AO13" t="s">
        <v>172</v>
      </c>
      <c r="AP13" s="74">
        <v>12.917999999999999</v>
      </c>
      <c r="AR13" s="66"/>
    </row>
    <row r="14" spans="1:171" outlineLevel="1" x14ac:dyDescent="0.25">
      <c r="B14" t="s">
        <v>151</v>
      </c>
      <c r="C14" t="s">
        <v>25</v>
      </c>
      <c r="F14" s="56">
        <v>32</v>
      </c>
      <c r="G14" s="56">
        <v>30</v>
      </c>
      <c r="H14" s="56">
        <f>80-62</f>
        <v>18</v>
      </c>
      <c r="I14" s="56"/>
      <c r="J14" s="52">
        <f>+F14+G14+H14+I14</f>
        <v>80</v>
      </c>
      <c r="L14" s="51">
        <v>35</v>
      </c>
      <c r="M14" s="51">
        <f>72-L14</f>
        <v>37</v>
      </c>
      <c r="N14" s="51">
        <v>30</v>
      </c>
      <c r="O14" s="51">
        <v>0</v>
      </c>
      <c r="P14" s="52">
        <f>+L14+M14+N14+O14</f>
        <v>102</v>
      </c>
      <c r="Q14" s="48">
        <v>9</v>
      </c>
      <c r="R14" s="48">
        <f>35-Q14</f>
        <v>26</v>
      </c>
      <c r="S14" s="48">
        <f>57-R14-Q14</f>
        <v>22</v>
      </c>
      <c r="T14" s="48">
        <f>70-S14-R14-Q14</f>
        <v>13</v>
      </c>
      <c r="U14" s="11">
        <f>+Q14+R14+S14+T14</f>
        <v>70</v>
      </c>
      <c r="W14" s="15"/>
      <c r="Y14">
        <v>2</v>
      </c>
      <c r="Z14">
        <v>2</v>
      </c>
      <c r="AA14">
        <v>10</v>
      </c>
      <c r="AB14">
        <v>3</v>
      </c>
      <c r="AC14" s="11">
        <f>+Y14+Z14+AA14+AB14</f>
        <v>17</v>
      </c>
      <c r="AD14" s="11"/>
      <c r="AH14" s="65"/>
      <c r="AL14" t="s">
        <v>162</v>
      </c>
      <c r="AM14" t="s">
        <v>163</v>
      </c>
      <c r="AN14" t="s">
        <v>160</v>
      </c>
      <c r="AO14" t="s">
        <v>164</v>
      </c>
      <c r="AR14" s="66"/>
    </row>
    <row r="15" spans="1:171" outlineLevel="1" x14ac:dyDescent="0.25">
      <c r="B15" t="s">
        <v>198</v>
      </c>
      <c r="C15" t="s">
        <v>148</v>
      </c>
      <c r="F15" s="77">
        <f>AO18*3</f>
        <v>2.2111387542375001</v>
      </c>
      <c r="G15" s="77">
        <f>+AO18*3</f>
        <v>2.2111387542375001</v>
      </c>
      <c r="H15" s="77">
        <f>6.5-G15-F15</f>
        <v>2.0777224915249999</v>
      </c>
      <c r="I15" s="77"/>
      <c r="J15" s="73">
        <f>+F15+G15+H15+I15</f>
        <v>6.5</v>
      </c>
      <c r="L15" s="61">
        <v>1.2872074250000001</v>
      </c>
      <c r="M15" s="61">
        <v>1.2872074250000001</v>
      </c>
      <c r="N15" s="61">
        <v>1.6485525945425001</v>
      </c>
      <c r="O15" s="61">
        <v>2.1109613753224998</v>
      </c>
      <c r="P15" s="73">
        <f>+L15+M15+N15+O15</f>
        <v>6.3339288198650001</v>
      </c>
      <c r="Q15" s="48">
        <v>0</v>
      </c>
      <c r="R15" s="48">
        <v>1</v>
      </c>
      <c r="S15" s="48">
        <v>1</v>
      </c>
      <c r="T15" s="48">
        <v>1</v>
      </c>
      <c r="U15" s="11">
        <f>+Q15+R15+S15+T99+T15+1</f>
        <v>4</v>
      </c>
      <c r="W15" s="15"/>
      <c r="Y15" s="48">
        <v>0</v>
      </c>
      <c r="Z15" s="48">
        <v>0</v>
      </c>
      <c r="AA15" s="48">
        <v>0</v>
      </c>
      <c r="AB15" s="48">
        <v>0</v>
      </c>
      <c r="AC15" s="11"/>
      <c r="AD15" s="11"/>
      <c r="AH15" s="65" t="s">
        <v>165</v>
      </c>
      <c r="AL15" s="75">
        <v>1.3595010000000001</v>
      </c>
      <c r="AM15" s="75">
        <v>10.7491</v>
      </c>
      <c r="AN15" s="75" t="s">
        <v>161</v>
      </c>
      <c r="AO15" s="78">
        <f>AL15/10/12*AP12</f>
        <v>0.12828591311250001</v>
      </c>
      <c r="AR15" s="66"/>
      <c r="AS15" s="80">
        <f>3*AO15</f>
        <v>0.3848577393375</v>
      </c>
    </row>
    <row r="16" spans="1:171" outlineLevel="1" x14ac:dyDescent="0.25">
      <c r="B16" s="83" t="s">
        <v>152</v>
      </c>
      <c r="C16" t="s">
        <v>159</v>
      </c>
      <c r="F16" s="16">
        <f>O16-1+5.6</f>
        <v>12.7</v>
      </c>
      <c r="G16" s="16">
        <v>16.7</v>
      </c>
      <c r="H16" s="85">
        <v>18.399999999999999</v>
      </c>
      <c r="I16" s="77"/>
      <c r="J16" s="60">
        <f>G16</f>
        <v>16.7</v>
      </c>
      <c r="L16" s="59">
        <v>4.2469999999999999</v>
      </c>
      <c r="M16" s="59">
        <v>4.0999999999999996</v>
      </c>
      <c r="N16" s="59">
        <v>4.4000000000000004</v>
      </c>
      <c r="O16" s="61">
        <v>8.1</v>
      </c>
      <c r="P16" s="73">
        <f>+L16+M16+N16+O16</f>
        <v>20.847000000000001</v>
      </c>
      <c r="Q16" s="16">
        <v>3.07</v>
      </c>
      <c r="R16" s="16">
        <v>3.31</v>
      </c>
      <c r="S16" s="16">
        <v>4</v>
      </c>
      <c r="T16" s="16">
        <v>3.8</v>
      </c>
      <c r="U16" s="16">
        <f>T16</f>
        <v>3.8</v>
      </c>
      <c r="V16" s="16"/>
      <c r="W16" s="21" t="s">
        <v>26</v>
      </c>
      <c r="Y16">
        <v>3.7</v>
      </c>
      <c r="Z16">
        <v>3.5</v>
      </c>
      <c r="AA16">
        <v>3.2</v>
      </c>
      <c r="AB16">
        <v>3</v>
      </c>
      <c r="AC16">
        <f>AB16</f>
        <v>3</v>
      </c>
      <c r="AE16" s="16">
        <v>12</v>
      </c>
      <c r="AH16" s="65" t="s">
        <v>178</v>
      </c>
      <c r="AL16" s="75">
        <v>0.86986799999999997</v>
      </c>
      <c r="AM16" s="75">
        <v>10.78</v>
      </c>
      <c r="AN16" s="75" t="s">
        <v>166</v>
      </c>
      <c r="AO16" s="78">
        <f>AL16/5/12*AP12</f>
        <v>0.16416583829999998</v>
      </c>
      <c r="AR16" s="66"/>
      <c r="AS16" s="80">
        <f>3*AO16</f>
        <v>0.49249751489999993</v>
      </c>
    </row>
    <row r="17" spans="1:171" outlineLevel="1" x14ac:dyDescent="0.25">
      <c r="B17" t="s">
        <v>151</v>
      </c>
      <c r="C17" t="s">
        <v>27</v>
      </c>
      <c r="F17" s="56">
        <v>25</v>
      </c>
      <c r="G17" s="56">
        <v>33</v>
      </c>
      <c r="H17" s="56">
        <v>10</v>
      </c>
      <c r="I17" s="56"/>
      <c r="J17" s="52">
        <f>+F17+G17+H17+I17</f>
        <v>68</v>
      </c>
      <c r="L17" s="51">
        <v>36</v>
      </c>
      <c r="M17" s="51">
        <f>70-L17</f>
        <v>34</v>
      </c>
      <c r="N17" s="51">
        <v>32.6</v>
      </c>
      <c r="O17" s="51">
        <v>-11</v>
      </c>
      <c r="P17" s="52">
        <f>+L17+M17+N17+O17</f>
        <v>91.6</v>
      </c>
      <c r="Q17" s="48">
        <v>19</v>
      </c>
      <c r="R17" s="48">
        <f>41-Q17</f>
        <v>22</v>
      </c>
      <c r="S17" s="48">
        <f>62-R17-Q17</f>
        <v>21</v>
      </c>
      <c r="T17" s="48">
        <f>78-S17-R17-Q17</f>
        <v>16</v>
      </c>
      <c r="U17" s="10">
        <f>+Q17+R17+S17+T17</f>
        <v>78</v>
      </c>
      <c r="W17" s="15"/>
      <c r="Y17">
        <v>-6</v>
      </c>
      <c r="Z17">
        <v>-3</v>
      </c>
      <c r="AA17">
        <v>9</v>
      </c>
      <c r="AB17">
        <v>-1</v>
      </c>
      <c r="AC17" s="10">
        <f>+Y17+Z17+AA17+AB17</f>
        <v>-1</v>
      </c>
      <c r="AD17" s="10"/>
      <c r="AE17">
        <v>56</v>
      </c>
      <c r="AF17">
        <v>-28</v>
      </c>
      <c r="AH17" s="67" t="s">
        <v>176</v>
      </c>
      <c r="AI17" s="58"/>
      <c r="AJ17" s="58"/>
      <c r="AK17" s="58"/>
      <c r="AL17" s="68">
        <v>2.0649999999999999</v>
      </c>
      <c r="AM17" s="68">
        <v>11.7598</v>
      </c>
      <c r="AN17" s="68" t="s">
        <v>177</v>
      </c>
      <c r="AO17" s="79">
        <f>AL17/5/12*AP13</f>
        <v>0.44459449999999995</v>
      </c>
      <c r="AP17" s="58"/>
      <c r="AQ17" s="58"/>
      <c r="AR17" s="69"/>
      <c r="AS17" s="80">
        <f>3*AO17</f>
        <v>1.3337834999999998</v>
      </c>
    </row>
    <row r="18" spans="1:171" outlineLevel="1" x14ac:dyDescent="0.25">
      <c r="B18" t="s">
        <v>151</v>
      </c>
      <c r="C18" t="s">
        <v>28</v>
      </c>
      <c r="F18" s="56">
        <v>112</v>
      </c>
      <c r="G18" s="56">
        <v>111</v>
      </c>
      <c r="H18" s="56">
        <f>307-111-F18</f>
        <v>84</v>
      </c>
      <c r="I18" s="56"/>
      <c r="J18" s="52">
        <f>SUM(F18:I18)</f>
        <v>307</v>
      </c>
      <c r="L18" s="51">
        <v>92</v>
      </c>
      <c r="M18" s="51">
        <f>194-L18</f>
        <v>102</v>
      </c>
      <c r="N18" s="51">
        <v>94.4</v>
      </c>
      <c r="O18" s="51">
        <v>74</v>
      </c>
      <c r="P18" s="52">
        <f>SUM(L18:O18)</f>
        <v>362.4</v>
      </c>
      <c r="Q18" s="48">
        <v>53</v>
      </c>
      <c r="R18" s="48">
        <f>135-Q18</f>
        <v>82</v>
      </c>
      <c r="S18" s="48">
        <f>204-R18-Q18</f>
        <v>69</v>
      </c>
      <c r="T18" s="48">
        <f>277-S18-R18-Q18</f>
        <v>73</v>
      </c>
      <c r="U18" s="10">
        <f>+Q18+R18+S18+T18</f>
        <v>277</v>
      </c>
      <c r="W18" s="15"/>
      <c r="Y18" s="16">
        <v>47.252000000000002</v>
      </c>
      <c r="Z18" s="16">
        <f>88.2-Y18</f>
        <v>40.948</v>
      </c>
      <c r="AA18" s="16">
        <f>129.2-Z18-Y18</f>
        <v>40.999999999999979</v>
      </c>
      <c r="AB18" s="16">
        <v>43.8</v>
      </c>
      <c r="AC18" s="10"/>
      <c r="AD18" s="10"/>
      <c r="AO18" s="78">
        <f>SUM(AO15:AO17)</f>
        <v>0.73704625141250002</v>
      </c>
      <c r="AS18" s="81">
        <f>SUM(AS15:AS17)</f>
        <v>2.2111387542374996</v>
      </c>
    </row>
    <row r="19" spans="1:171" outlineLevel="1" x14ac:dyDescent="0.25">
      <c r="B19" s="10" t="s">
        <v>150</v>
      </c>
      <c r="C19" s="10" t="s">
        <v>29</v>
      </c>
      <c r="D19" s="10"/>
      <c r="E19" s="10"/>
      <c r="F19" s="84">
        <f>F18/F13</f>
        <v>0.3154929577464789</v>
      </c>
      <c r="G19" s="84">
        <f t="shared" ref="G19" si="7">G18/G13</f>
        <v>0.35691318327974275</v>
      </c>
      <c r="H19" s="84">
        <f>H18/H13</f>
        <v>0.33466135458167329</v>
      </c>
      <c r="I19" s="84" t="e">
        <f>I18/I13</f>
        <v>#DIV/0!</v>
      </c>
      <c r="J19" s="84">
        <f>J18/J13</f>
        <v>0.33478735005452565</v>
      </c>
      <c r="L19" s="49">
        <f t="shared" ref="L19:U19" si="8">L18/L13</f>
        <v>0.32740213523131673</v>
      </c>
      <c r="M19" s="49">
        <f t="shared" si="8"/>
        <v>0.31192660550458717</v>
      </c>
      <c r="N19" s="49">
        <f t="shared" si="8"/>
        <v>0.3157190635451505</v>
      </c>
      <c r="O19" s="49">
        <f>O18/O13</f>
        <v>0.28352490421455939</v>
      </c>
      <c r="P19" s="49">
        <f>P18/P13</f>
        <v>0.3102739726027397</v>
      </c>
      <c r="Q19" s="49">
        <f t="shared" si="8"/>
        <v>0.30285714285714288</v>
      </c>
      <c r="R19" s="49">
        <f t="shared" si="8"/>
        <v>0.34309623430962344</v>
      </c>
      <c r="S19" s="49">
        <f t="shared" si="8"/>
        <v>0.323943661971831</v>
      </c>
      <c r="T19" s="49">
        <f t="shared" si="8"/>
        <v>0.30932203389830509</v>
      </c>
      <c r="U19" s="49">
        <f t="shared" si="8"/>
        <v>0.32097334878331402</v>
      </c>
      <c r="V19" s="10"/>
      <c r="W19" s="15"/>
      <c r="Y19" s="49">
        <f t="shared" ref="Y19:AB19" si="9">Y18/Y13</f>
        <v>0.30096815286624207</v>
      </c>
      <c r="Z19" s="49">
        <f t="shared" si="9"/>
        <v>0.30558208955223881</v>
      </c>
      <c r="AA19" s="49">
        <f t="shared" si="9"/>
        <v>0.28082191780821902</v>
      </c>
      <c r="AB19" s="49">
        <f t="shared" si="9"/>
        <v>0.29006622516556291</v>
      </c>
      <c r="AC19" s="10"/>
      <c r="AD19" s="10"/>
      <c r="AS19" s="76" t="s">
        <v>183</v>
      </c>
    </row>
    <row r="20" spans="1:171" s="10" customFormat="1" outlineLevel="1" x14ac:dyDescent="0.25">
      <c r="A20"/>
      <c r="B20" s="83" t="s">
        <v>157</v>
      </c>
      <c r="C20" s="10" t="s">
        <v>158</v>
      </c>
      <c r="F20" s="26">
        <f>F17+M17+N17+O17</f>
        <v>80.599999999999994</v>
      </c>
      <c r="G20" s="26">
        <f>N17+O17+F17+G17</f>
        <v>79.599999999999994</v>
      </c>
      <c r="H20" s="73">
        <f>H17+G17+F17+O17</f>
        <v>57</v>
      </c>
      <c r="I20" s="52">
        <f>F17+G17+H17+I17</f>
        <v>68</v>
      </c>
      <c r="J20" s="57">
        <f>H20</f>
        <v>57</v>
      </c>
      <c r="K20"/>
      <c r="L20" s="26">
        <f>+R17+S17+T17+L17</f>
        <v>95</v>
      </c>
      <c r="M20" s="26">
        <f>+S17+T17+L17+M17</f>
        <v>107</v>
      </c>
      <c r="N20" s="52">
        <f>L17+M17+N17+T17</f>
        <v>118.6</v>
      </c>
      <c r="O20" s="52">
        <f>+L17+M17+N17+O17</f>
        <v>91.6</v>
      </c>
      <c r="P20" s="57">
        <f>O20</f>
        <v>91.6</v>
      </c>
      <c r="Q20" s="26">
        <f>+W17+X17+Y17+Q17</f>
        <v>13</v>
      </c>
      <c r="R20" s="10">
        <f>+R17+Q17+Y17+X17</f>
        <v>35</v>
      </c>
      <c r="S20" s="10">
        <f>+S17+R17+Q17+Y17</f>
        <v>56</v>
      </c>
      <c r="T20" s="10">
        <f>T17+S17+R17+Q17</f>
        <v>78</v>
      </c>
      <c r="U20" s="10">
        <f>+U17</f>
        <v>78</v>
      </c>
      <c r="W20" s="15"/>
      <c r="X20"/>
      <c r="Y20" s="10">
        <v>36</v>
      </c>
      <c r="Z20" s="10">
        <v>14</v>
      </c>
      <c r="AA20" s="10">
        <v>5</v>
      </c>
      <c r="AB20" s="10">
        <v>-1</v>
      </c>
      <c r="AC20" s="10">
        <f>+AC17</f>
        <v>-1</v>
      </c>
      <c r="AE20" s="10">
        <v>56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</row>
    <row r="21" spans="1:171" outlineLevel="1" x14ac:dyDescent="0.25">
      <c r="B21" t="s">
        <v>151</v>
      </c>
      <c r="C21" t="s">
        <v>30</v>
      </c>
      <c r="F21" s="51">
        <v>19</v>
      </c>
      <c r="G21" s="51">
        <v>25</v>
      </c>
      <c r="H21" s="51">
        <f>55-44</f>
        <v>11</v>
      </c>
      <c r="I21" s="51"/>
      <c r="J21" s="52">
        <f>+F21+G21+H21+I21</f>
        <v>55</v>
      </c>
      <c r="L21" s="51">
        <v>28</v>
      </c>
      <c r="M21" s="51">
        <f>55-L21</f>
        <v>27</v>
      </c>
      <c r="N21" s="51">
        <v>26</v>
      </c>
      <c r="O21" s="51">
        <v>-11</v>
      </c>
      <c r="P21" s="52">
        <f>+L21+M21+N21+O21</f>
        <v>70</v>
      </c>
      <c r="Q21" s="48">
        <v>15</v>
      </c>
      <c r="R21" s="48">
        <f>32-Q21</f>
        <v>17</v>
      </c>
      <c r="S21" s="48">
        <f>49-R21-Q21</f>
        <v>17</v>
      </c>
      <c r="T21" s="48">
        <f>58-S21-R21-Q21</f>
        <v>9</v>
      </c>
      <c r="U21" s="10">
        <f>+Q21+R21+S21+T21</f>
        <v>58</v>
      </c>
      <c r="W21" s="15"/>
      <c r="Y21">
        <v>-5.3</v>
      </c>
      <c r="Z21">
        <v>-2</v>
      </c>
      <c r="AA21">
        <v>7</v>
      </c>
      <c r="AB21">
        <v>0</v>
      </c>
      <c r="AC21" s="10">
        <f>+Y21+Z21+AA21+AB21</f>
        <v>-0.29999999999999982</v>
      </c>
      <c r="AD21" s="10"/>
      <c r="AE21">
        <v>47</v>
      </c>
      <c r="AF21">
        <v>-31</v>
      </c>
      <c r="AK21" t="s">
        <v>201</v>
      </c>
    </row>
    <row r="22" spans="1:171" s="10" customFormat="1" outlineLevel="1" x14ac:dyDescent="0.25">
      <c r="A22"/>
      <c r="B22" s="10" t="s">
        <v>150</v>
      </c>
      <c r="C22" s="10" t="s">
        <v>31</v>
      </c>
      <c r="F22" s="51">
        <f>F21+M21+N21+O21</f>
        <v>61</v>
      </c>
      <c r="G22" s="51">
        <f>F21+G21+N21+O21</f>
        <v>59</v>
      </c>
      <c r="H22" s="51">
        <f>+H21+G21+F21+O21</f>
        <v>44</v>
      </c>
      <c r="I22" s="51"/>
      <c r="J22" s="53">
        <f>H22</f>
        <v>44</v>
      </c>
      <c r="K22"/>
      <c r="L22" s="51">
        <f>+L21+R21+S21+T21</f>
        <v>71</v>
      </c>
      <c r="M22" s="51">
        <f>+S21+T21+L21+M21</f>
        <v>81</v>
      </c>
      <c r="N22" s="51">
        <f>T21+L21+M21+N21</f>
        <v>90</v>
      </c>
      <c r="O22" s="51">
        <f>+L21+M21+N21+O21</f>
        <v>70</v>
      </c>
      <c r="P22" s="53">
        <f>O22</f>
        <v>70</v>
      </c>
      <c r="Q22" s="48">
        <v>20</v>
      </c>
      <c r="R22" s="48">
        <f>+R21+Q21+Y21+X21</f>
        <v>26.7</v>
      </c>
      <c r="S22" s="48">
        <f>+S21+R21+Q21+Y21</f>
        <v>43.7</v>
      </c>
      <c r="T22" s="48">
        <f>Q21+R21+S21+T21</f>
        <v>58</v>
      </c>
      <c r="U22" s="11">
        <f>AC21-AC21+U21</f>
        <v>58</v>
      </c>
      <c r="W22" s="15"/>
      <c r="X22"/>
      <c r="Y22" s="10">
        <v>32</v>
      </c>
      <c r="Z22" s="10">
        <v>16</v>
      </c>
      <c r="AA22" s="10">
        <v>7</v>
      </c>
      <c r="AB22" s="10">
        <v>0</v>
      </c>
      <c r="AC22" s="11">
        <f>AM21-AM21+AC21</f>
        <v>-0.29999999999999982</v>
      </c>
      <c r="AD22" s="11"/>
      <c r="AE22" s="10">
        <v>47</v>
      </c>
      <c r="AG22"/>
      <c r="AH22"/>
      <c r="AI22"/>
      <c r="AJ22"/>
      <c r="AK22">
        <v>2350</v>
      </c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</row>
    <row r="23" spans="1:171" outlineLevel="1" x14ac:dyDescent="0.25">
      <c r="B23" t="s">
        <v>151</v>
      </c>
      <c r="C23" t="s">
        <v>32</v>
      </c>
      <c r="F23" s="51">
        <v>19</v>
      </c>
      <c r="G23" s="51">
        <v>25</v>
      </c>
      <c r="H23" s="51">
        <f>+H21</f>
        <v>11</v>
      </c>
      <c r="I23" s="51"/>
      <c r="J23" s="52">
        <f>F23+G23+H23+I23</f>
        <v>55</v>
      </c>
      <c r="L23" s="51">
        <v>28</v>
      </c>
      <c r="M23" s="51">
        <v>27</v>
      </c>
      <c r="N23" s="51">
        <v>26</v>
      </c>
      <c r="O23" s="51">
        <v>-5</v>
      </c>
      <c r="P23" s="52">
        <f>L23+M23+N23+O23</f>
        <v>76</v>
      </c>
      <c r="Q23" s="48">
        <v>15</v>
      </c>
      <c r="R23" s="48">
        <f>32-Q23</f>
        <v>17</v>
      </c>
      <c r="S23" s="48">
        <f>49-R23-Q23</f>
        <v>17</v>
      </c>
      <c r="T23" s="48">
        <f>58-S23-R23-Q23</f>
        <v>9</v>
      </c>
      <c r="U23" s="19">
        <f>+Q23+R23+S23+T23</f>
        <v>58</v>
      </c>
      <c r="W23" s="15"/>
      <c r="Y23">
        <v>-5.2</v>
      </c>
      <c r="Z23">
        <v>-2</v>
      </c>
      <c r="AA23">
        <v>7</v>
      </c>
      <c r="AB23">
        <v>0</v>
      </c>
      <c r="AC23" s="19">
        <f>+Y23+Z23+AA23+AB23</f>
        <v>-0.20000000000000018</v>
      </c>
      <c r="AD23" s="19"/>
      <c r="AK23">
        <v>2385</v>
      </c>
    </row>
    <row r="24" spans="1:171" s="2" customFormat="1" outlineLevel="1" x14ac:dyDescent="0.25">
      <c r="A24"/>
      <c r="B24" t="s">
        <v>199</v>
      </c>
      <c r="C24" s="2" t="s">
        <v>33</v>
      </c>
      <c r="F24" s="51">
        <v>89</v>
      </c>
      <c r="G24" s="51">
        <v>92</v>
      </c>
      <c r="H24" s="51">
        <v>38</v>
      </c>
      <c r="I24" s="51"/>
      <c r="J24" s="53">
        <f>H24</f>
        <v>38</v>
      </c>
      <c r="L24" s="51">
        <v>45.816000000000003</v>
      </c>
      <c r="M24" s="51">
        <v>130</v>
      </c>
      <c r="N24" s="51">
        <v>138</v>
      </c>
      <c r="O24" s="51">
        <v>32</v>
      </c>
      <c r="P24" s="53">
        <f>O24</f>
        <v>32</v>
      </c>
      <c r="Q24" s="47">
        <v>72</v>
      </c>
      <c r="R24" s="48">
        <v>52</v>
      </c>
      <c r="S24" s="48">
        <v>22</v>
      </c>
      <c r="T24" s="48">
        <v>40</v>
      </c>
      <c r="U24" s="12">
        <f>+T24</f>
        <v>40</v>
      </c>
      <c r="W24" s="15"/>
      <c r="X24"/>
      <c r="Y24" s="2">
        <v>50</v>
      </c>
      <c r="Z24" s="2">
        <v>47</v>
      </c>
      <c r="AA24" s="2">
        <v>30</v>
      </c>
      <c r="AB24" s="2">
        <v>33</v>
      </c>
      <c r="AC24" s="12">
        <f>+AB24</f>
        <v>33</v>
      </c>
      <c r="AD24" s="12"/>
      <c r="AE24" s="2">
        <v>109</v>
      </c>
      <c r="AF24" s="2">
        <v>93</v>
      </c>
      <c r="AK24">
        <v>2386</v>
      </c>
    </row>
    <row r="25" spans="1:171" s="2" customFormat="1" outlineLevel="1" x14ac:dyDescent="0.25">
      <c r="A25"/>
      <c r="B25" t="s">
        <v>203</v>
      </c>
      <c r="C25" s="2" t="s">
        <v>34</v>
      </c>
      <c r="F25" s="51">
        <v>632</v>
      </c>
      <c r="G25" s="51">
        <v>664</v>
      </c>
      <c r="H25" s="51">
        <v>660</v>
      </c>
      <c r="I25" s="51"/>
      <c r="J25" s="53">
        <f>H25</f>
        <v>660</v>
      </c>
      <c r="L25" s="51">
        <v>570</v>
      </c>
      <c r="M25" s="51">
        <v>583</v>
      </c>
      <c r="N25" s="51">
        <v>609</v>
      </c>
      <c r="O25" s="51">
        <v>608</v>
      </c>
      <c r="P25" s="53">
        <f>O25</f>
        <v>608</v>
      </c>
      <c r="Q25" s="47">
        <v>491</v>
      </c>
      <c r="R25" s="47">
        <v>506</v>
      </c>
      <c r="S25" s="48">
        <v>523</v>
      </c>
      <c r="T25" s="48">
        <v>540</v>
      </c>
      <c r="U25" s="12">
        <f>T25</f>
        <v>540</v>
      </c>
      <c r="W25" s="15"/>
      <c r="X25"/>
      <c r="Y25" s="2">
        <v>473</v>
      </c>
      <c r="Z25" s="2">
        <v>465</v>
      </c>
      <c r="AA25" s="2">
        <v>472</v>
      </c>
      <c r="AB25" s="2">
        <v>471</v>
      </c>
      <c r="AC25" s="12">
        <f>AB25</f>
        <v>471</v>
      </c>
      <c r="AD25" s="12"/>
      <c r="AE25" s="2">
        <v>390</v>
      </c>
      <c r="AF25" s="2">
        <v>390</v>
      </c>
      <c r="AK25">
        <v>2410</v>
      </c>
    </row>
    <row r="26" spans="1:171" s="12" customFormat="1" outlineLevel="1" x14ac:dyDescent="0.25">
      <c r="A26"/>
      <c r="B26" s="10" t="s">
        <v>150</v>
      </c>
      <c r="C26" s="12" t="s">
        <v>35</v>
      </c>
      <c r="F26" s="54">
        <f>(F25+L25)/2</f>
        <v>601</v>
      </c>
      <c r="G26" s="54">
        <f>(G25+L25)/2</f>
        <v>617</v>
      </c>
      <c r="H26" s="54">
        <f>(H25+N25)/2</f>
        <v>634.5</v>
      </c>
      <c r="I26" s="54">
        <f>(I25+M25)/2</f>
        <v>291.5</v>
      </c>
      <c r="J26" s="53">
        <f>H26</f>
        <v>634.5</v>
      </c>
      <c r="K26" s="2"/>
      <c r="L26" s="54">
        <f>(L25+Q25)/2</f>
        <v>530.5</v>
      </c>
      <c r="M26" s="54">
        <f>(M25+R25)/2</f>
        <v>544.5</v>
      </c>
      <c r="N26" s="54">
        <f>(N25+S25)/2</f>
        <v>566</v>
      </c>
      <c r="O26" s="54">
        <f>(O25+T25)/2</f>
        <v>574</v>
      </c>
      <c r="P26" s="53">
        <f>O26</f>
        <v>574</v>
      </c>
      <c r="Q26" s="12">
        <f>(Q25+V25)/2</f>
        <v>245.5</v>
      </c>
      <c r="R26" s="12">
        <f>(R25+W25)/2</f>
        <v>253</v>
      </c>
      <c r="S26" s="12">
        <f>(S25+X25)/2</f>
        <v>261.5</v>
      </c>
      <c r="T26" s="12">
        <f>(T25+Y25)/2</f>
        <v>506.5</v>
      </c>
      <c r="U26" s="12">
        <f>(U25+AB25)/2</f>
        <v>505.5</v>
      </c>
      <c r="V26" s="13"/>
      <c r="W26" s="15"/>
      <c r="X26"/>
      <c r="Y26" s="12">
        <f>(Y25+AI25)/2</f>
        <v>236.5</v>
      </c>
      <c r="Z26" s="12">
        <v>446</v>
      </c>
      <c r="AA26" s="12">
        <f>(AA25+AL25)/2</f>
        <v>236</v>
      </c>
      <c r="AB26" s="12">
        <f>+AB25</f>
        <v>471</v>
      </c>
      <c r="AC26" s="12">
        <f>(AC25+AL25)/2</f>
        <v>235.5</v>
      </c>
      <c r="AE26" s="12">
        <v>390</v>
      </c>
      <c r="AG26" s="2"/>
      <c r="AH26" s="2"/>
      <c r="AI26" s="2"/>
      <c r="AJ26" s="2"/>
      <c r="AK26">
        <v>2845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</row>
    <row r="27" spans="1:171" s="2" customFormat="1" outlineLevel="1" x14ac:dyDescent="0.25">
      <c r="A27"/>
      <c r="B27" s="22" t="s">
        <v>200</v>
      </c>
      <c r="C27" s="2" t="s">
        <v>186</v>
      </c>
      <c r="F27" s="55">
        <v>11</v>
      </c>
      <c r="G27" s="55">
        <v>11</v>
      </c>
      <c r="H27" s="55">
        <v>12</v>
      </c>
      <c r="I27" s="55"/>
      <c r="J27" s="53">
        <f>H27</f>
        <v>12</v>
      </c>
      <c r="L27" s="55">
        <v>12</v>
      </c>
      <c r="M27" s="55">
        <v>12</v>
      </c>
      <c r="N27" s="55">
        <v>12</v>
      </c>
      <c r="O27" s="55">
        <v>12</v>
      </c>
      <c r="P27" s="53">
        <f t="shared" ref="P27:P33" si="10">O27</f>
        <v>12</v>
      </c>
      <c r="Q27" s="47">
        <v>12</v>
      </c>
      <c r="R27" s="47">
        <v>16</v>
      </c>
      <c r="S27" s="47">
        <v>17</v>
      </c>
      <c r="T27" s="47">
        <v>14</v>
      </c>
      <c r="U27" s="12">
        <f t="shared" ref="U27:U33" si="11">+T27</f>
        <v>14</v>
      </c>
      <c r="W27" s="15"/>
      <c r="X27"/>
      <c r="Y27" s="2">
        <v>14</v>
      </c>
      <c r="Z27" s="2">
        <v>14</v>
      </c>
      <c r="AA27" s="2">
        <v>15</v>
      </c>
      <c r="AB27" s="2">
        <v>14</v>
      </c>
      <c r="AC27" s="12">
        <f>+AB27</f>
        <v>14</v>
      </c>
      <c r="AD27" s="12"/>
      <c r="AE27" s="2">
        <v>64</v>
      </c>
      <c r="AF27" s="2">
        <v>74</v>
      </c>
      <c r="AK27">
        <v>2846</v>
      </c>
    </row>
    <row r="28" spans="1:171" s="2" customFormat="1" hidden="1" outlineLevel="1" x14ac:dyDescent="0.25">
      <c r="A28"/>
      <c r="B28" s="22" t="s">
        <v>151</v>
      </c>
      <c r="C28" s="2" t="s">
        <v>147</v>
      </c>
      <c r="F28" s="55">
        <v>0</v>
      </c>
      <c r="G28" s="55">
        <v>0</v>
      </c>
      <c r="H28" s="55">
        <v>0</v>
      </c>
      <c r="I28" s="55"/>
      <c r="J28" s="53">
        <f t="shared" ref="J28:J30" si="12">F28</f>
        <v>0</v>
      </c>
      <c r="L28" s="55">
        <v>0</v>
      </c>
      <c r="M28" s="55">
        <v>0</v>
      </c>
      <c r="N28" s="55">
        <v>0</v>
      </c>
      <c r="O28" s="55"/>
      <c r="P28" s="53">
        <f t="shared" si="10"/>
        <v>0</v>
      </c>
      <c r="Q28" s="47">
        <v>0</v>
      </c>
      <c r="R28" s="47">
        <v>0</v>
      </c>
      <c r="S28" s="47">
        <v>0</v>
      </c>
      <c r="T28" s="47">
        <v>0</v>
      </c>
      <c r="U28" s="12">
        <f t="shared" si="11"/>
        <v>0</v>
      </c>
      <c r="W28" s="15"/>
      <c r="X28"/>
      <c r="Y28" s="2">
        <v>0</v>
      </c>
      <c r="Z28" s="2">
        <v>0</v>
      </c>
      <c r="AA28" s="2">
        <v>0</v>
      </c>
      <c r="AB28" s="2">
        <v>0</v>
      </c>
      <c r="AC28" s="12">
        <f>+AB28</f>
        <v>0</v>
      </c>
      <c r="AD28" s="12"/>
      <c r="AE28" s="2">
        <v>96</v>
      </c>
      <c r="AF28" s="2">
        <v>93</v>
      </c>
      <c r="AK28">
        <v>2480</v>
      </c>
    </row>
    <row r="29" spans="1:171" s="2" customFormat="1" outlineLevel="1" x14ac:dyDescent="0.25">
      <c r="A29"/>
      <c r="B29" s="22" t="s">
        <v>151</v>
      </c>
      <c r="C29" s="2" t="s">
        <v>184</v>
      </c>
      <c r="F29" s="55">
        <v>429</v>
      </c>
      <c r="G29" s="55">
        <v>429</v>
      </c>
      <c r="H29" s="55">
        <v>422</v>
      </c>
      <c r="I29" s="55"/>
      <c r="J29" s="53">
        <f>H29</f>
        <v>422</v>
      </c>
      <c r="L29" s="55">
        <v>208</v>
      </c>
      <c r="M29" s="55">
        <v>315</v>
      </c>
      <c r="N29" s="55">
        <v>377</v>
      </c>
      <c r="O29" s="55">
        <v>424</v>
      </c>
      <c r="P29" s="53">
        <f t="shared" si="10"/>
        <v>424</v>
      </c>
      <c r="Q29" s="47">
        <v>242</v>
      </c>
      <c r="R29" s="47">
        <v>180</v>
      </c>
      <c r="S29" s="47">
        <v>154</v>
      </c>
      <c r="T29" s="47">
        <v>117</v>
      </c>
      <c r="U29" s="12">
        <f t="shared" si="11"/>
        <v>117</v>
      </c>
      <c r="W29" s="15"/>
      <c r="X29"/>
      <c r="Y29" s="2">
        <v>141</v>
      </c>
      <c r="Z29" s="2">
        <v>111</v>
      </c>
      <c r="AA29" s="2">
        <v>85</v>
      </c>
      <c r="AB29" s="2">
        <v>49</v>
      </c>
      <c r="AC29" s="12">
        <f>+AB29</f>
        <v>49</v>
      </c>
      <c r="AD29" s="12"/>
      <c r="AE29" s="2">
        <v>134</v>
      </c>
      <c r="AF29" s="2">
        <v>305</v>
      </c>
      <c r="AK29">
        <v>2390</v>
      </c>
    </row>
    <row r="30" spans="1:171" s="2" customFormat="1" outlineLevel="1" x14ac:dyDescent="0.25">
      <c r="A30" t="s">
        <v>194</v>
      </c>
      <c r="B30" s="22" t="s">
        <v>151</v>
      </c>
      <c r="C30" s="2" t="s">
        <v>36</v>
      </c>
      <c r="F30" s="55"/>
      <c r="G30" s="55"/>
      <c r="H30" s="55"/>
      <c r="I30" s="55"/>
      <c r="J30" s="53">
        <f t="shared" si="12"/>
        <v>0</v>
      </c>
      <c r="L30" s="55">
        <v>230</v>
      </c>
      <c r="M30" s="55">
        <v>336</v>
      </c>
      <c r="N30" s="55">
        <v>248</v>
      </c>
      <c r="O30" s="55">
        <v>222</v>
      </c>
      <c r="P30" s="53">
        <f t="shared" si="10"/>
        <v>222</v>
      </c>
      <c r="Q30" s="47">
        <v>191</v>
      </c>
      <c r="R30" s="47">
        <v>188</v>
      </c>
      <c r="S30" s="47">
        <v>188</v>
      </c>
      <c r="T30" s="47">
        <v>231</v>
      </c>
      <c r="U30" s="12">
        <f t="shared" si="11"/>
        <v>231</v>
      </c>
      <c r="W30" s="15"/>
      <c r="X30"/>
      <c r="Y30" s="2">
        <v>140</v>
      </c>
      <c r="Z30" s="20">
        <v>136</v>
      </c>
      <c r="AA30" s="20">
        <v>145</v>
      </c>
      <c r="AB30" s="20">
        <v>128</v>
      </c>
      <c r="AC30" s="12">
        <f>+AB30</f>
        <v>128</v>
      </c>
      <c r="AD30" s="12"/>
      <c r="AE30" s="2">
        <v>187</v>
      </c>
    </row>
    <row r="31" spans="1:171" s="2" customFormat="1" outlineLevel="1" x14ac:dyDescent="0.25">
      <c r="A31" t="s">
        <v>191</v>
      </c>
      <c r="B31" s="22" t="s">
        <v>202</v>
      </c>
      <c r="C31" s="2" t="s">
        <v>37</v>
      </c>
      <c r="F31" s="55">
        <v>1503</v>
      </c>
      <c r="G31" s="55">
        <v>1554</v>
      </c>
      <c r="H31" s="55">
        <v>1410</v>
      </c>
      <c r="I31" s="55"/>
      <c r="J31" s="53">
        <f>H31</f>
        <v>1410</v>
      </c>
      <c r="L31" s="55">
        <v>1099.652</v>
      </c>
      <c r="M31" s="55">
        <v>1257</v>
      </c>
      <c r="N31" s="55">
        <v>1420</v>
      </c>
      <c r="O31" s="55">
        <v>1439</v>
      </c>
      <c r="P31" s="53">
        <f t="shared" si="10"/>
        <v>1439</v>
      </c>
      <c r="Q31" s="47">
        <v>1038</v>
      </c>
      <c r="R31" s="47">
        <v>988</v>
      </c>
      <c r="S31" s="47">
        <v>973</v>
      </c>
      <c r="T31" s="47">
        <v>984</v>
      </c>
      <c r="U31" s="12">
        <f t="shared" si="11"/>
        <v>984</v>
      </c>
      <c r="W31" s="15"/>
      <c r="X31"/>
      <c r="Y31" s="2">
        <v>778</v>
      </c>
      <c r="Z31" s="2">
        <v>736</v>
      </c>
      <c r="AA31" s="2">
        <v>717</v>
      </c>
      <c r="AB31" s="2">
        <v>669</v>
      </c>
      <c r="AC31" s="12">
        <f>+AB31</f>
        <v>669</v>
      </c>
      <c r="AD31" s="12"/>
      <c r="AE31" s="2">
        <v>879</v>
      </c>
      <c r="AF31" s="2">
        <v>1075</v>
      </c>
    </row>
    <row r="32" spans="1:171" s="2" customFormat="1" outlineLevel="1" x14ac:dyDescent="0.25">
      <c r="A32"/>
      <c r="B32" t="s">
        <v>203</v>
      </c>
      <c r="C32" s="2" t="s">
        <v>185</v>
      </c>
      <c r="F32" s="55">
        <v>632</v>
      </c>
      <c r="G32" s="55">
        <v>664</v>
      </c>
      <c r="H32" s="55">
        <f>+H25</f>
        <v>660</v>
      </c>
      <c r="I32" s="55"/>
      <c r="J32" s="53">
        <f>H32</f>
        <v>660</v>
      </c>
      <c r="L32" s="55">
        <v>570</v>
      </c>
      <c r="M32" s="55">
        <v>583</v>
      </c>
      <c r="N32" s="55">
        <v>609</v>
      </c>
      <c r="O32" s="55">
        <v>608</v>
      </c>
      <c r="P32" s="53">
        <f t="shared" si="10"/>
        <v>608</v>
      </c>
      <c r="Q32" s="47">
        <v>491</v>
      </c>
      <c r="R32" s="47">
        <v>506</v>
      </c>
      <c r="S32" s="47">
        <v>523</v>
      </c>
      <c r="T32" s="47">
        <v>540</v>
      </c>
      <c r="U32" s="12">
        <f t="shared" si="11"/>
        <v>540</v>
      </c>
      <c r="W32" s="15"/>
      <c r="X32"/>
      <c r="AC32" s="12"/>
      <c r="AD32" s="12"/>
    </row>
    <row r="33" spans="1:171" s="2" customFormat="1" outlineLevel="1" x14ac:dyDescent="0.25">
      <c r="A33"/>
      <c r="B33" t="s">
        <v>204</v>
      </c>
      <c r="C33" s="2" t="s">
        <v>187</v>
      </c>
      <c r="F33" s="55">
        <v>370</v>
      </c>
      <c r="G33" s="55">
        <v>390</v>
      </c>
      <c r="H33" s="55">
        <v>379</v>
      </c>
      <c r="I33" s="55"/>
      <c r="J33" s="53">
        <f>H33</f>
        <v>379</v>
      </c>
      <c r="L33" s="55">
        <v>216</v>
      </c>
      <c r="M33" s="55">
        <v>220</v>
      </c>
      <c r="N33" s="55">
        <v>337</v>
      </c>
      <c r="O33" s="55">
        <v>363</v>
      </c>
      <c r="P33" s="53">
        <f t="shared" si="10"/>
        <v>363</v>
      </c>
      <c r="Q33" s="47">
        <v>218</v>
      </c>
      <c r="R33" s="47">
        <v>218</v>
      </c>
      <c r="S33" s="47">
        <v>209</v>
      </c>
      <c r="T33" s="47">
        <v>216</v>
      </c>
      <c r="U33" s="12">
        <f t="shared" si="11"/>
        <v>216</v>
      </c>
      <c r="W33" s="15"/>
      <c r="X33"/>
      <c r="AC33" s="12"/>
      <c r="AD33" s="12"/>
    </row>
    <row r="34" spans="1:171" s="12" customFormat="1" outlineLevel="1" x14ac:dyDescent="0.25">
      <c r="A34" t="s">
        <v>188</v>
      </c>
      <c r="B34" s="22"/>
      <c r="C34" s="20" t="s">
        <v>137</v>
      </c>
      <c r="F34" s="54">
        <f>F32+F27+F29</f>
        <v>1072</v>
      </c>
      <c r="G34" s="54">
        <f>G32+G27+G29</f>
        <v>1104</v>
      </c>
      <c r="H34" s="54">
        <f>H32+H27+H29</f>
        <v>1094</v>
      </c>
      <c r="I34" s="54">
        <f>I31-I30</f>
        <v>0</v>
      </c>
      <c r="J34" s="53">
        <f>H34</f>
        <v>1094</v>
      </c>
      <c r="K34" s="2"/>
      <c r="L34" s="54">
        <f t="shared" ref="L34:O34" si="13">L32+L27+L29</f>
        <v>790</v>
      </c>
      <c r="M34" s="54">
        <f t="shared" si="13"/>
        <v>910</v>
      </c>
      <c r="N34" s="54">
        <f t="shared" si="13"/>
        <v>998</v>
      </c>
      <c r="O34" s="54">
        <f t="shared" si="13"/>
        <v>1044</v>
      </c>
      <c r="P34" s="53">
        <f>O34</f>
        <v>1044</v>
      </c>
      <c r="Q34" s="82">
        <f t="shared" ref="Q34:T34" si="14">Q32+Q27+Q29</f>
        <v>745</v>
      </c>
      <c r="R34" s="82">
        <f t="shared" si="14"/>
        <v>702</v>
      </c>
      <c r="S34" s="82">
        <f t="shared" si="14"/>
        <v>694</v>
      </c>
      <c r="T34" s="82">
        <f t="shared" si="14"/>
        <v>671</v>
      </c>
      <c r="U34" s="54">
        <f>T34</f>
        <v>671</v>
      </c>
      <c r="W34" s="15"/>
      <c r="X34"/>
      <c r="Y34" s="12">
        <f t="shared" ref="Y34" si="15">Y31-Y30</f>
        <v>638</v>
      </c>
      <c r="Z34" s="12">
        <v>732</v>
      </c>
      <c r="AA34" s="12">
        <f>AA31-AA30</f>
        <v>572</v>
      </c>
      <c r="AB34" s="12">
        <f>AB31-AB30</f>
        <v>541</v>
      </c>
      <c r="AC34" s="12">
        <f t="shared" ref="AC34" si="16">AC31-AC30</f>
        <v>541</v>
      </c>
      <c r="AE34" s="12">
        <v>692</v>
      </c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</row>
    <row r="35" spans="1:171" s="12" customFormat="1" outlineLevel="1" x14ac:dyDescent="0.25">
      <c r="A35" t="s">
        <v>189</v>
      </c>
      <c r="B35" s="22" t="s">
        <v>150</v>
      </c>
      <c r="C35" s="20" t="s">
        <v>190</v>
      </c>
      <c r="F35" s="13">
        <f>(F34+L34)/2</f>
        <v>931</v>
      </c>
      <c r="G35" s="13">
        <f>(G34+M34)/2</f>
        <v>1007</v>
      </c>
      <c r="H35" s="13">
        <f>(H34+N34)/2</f>
        <v>1046</v>
      </c>
      <c r="I35" s="13">
        <f>(I34+O34)/2</f>
        <v>522</v>
      </c>
      <c r="J35" s="53">
        <f>H35</f>
        <v>1046</v>
      </c>
      <c r="K35" s="2"/>
      <c r="L35" s="54">
        <f>(L34+Q34)/2</f>
        <v>767.5</v>
      </c>
      <c r="M35" s="54">
        <f>(M34+R34)/2</f>
        <v>806</v>
      </c>
      <c r="N35" s="54">
        <f>(N34+S34)/2</f>
        <v>846</v>
      </c>
      <c r="O35" s="54">
        <f>(O34+T34)/2</f>
        <v>857.5</v>
      </c>
      <c r="P35" s="53">
        <f>O35</f>
        <v>857.5</v>
      </c>
      <c r="Q35" s="13">
        <f>(Q34+Y34)/2</f>
        <v>691.5</v>
      </c>
      <c r="R35" s="13">
        <v>666</v>
      </c>
      <c r="S35" s="13">
        <v>643.5</v>
      </c>
      <c r="T35" s="13">
        <f>(T34+AC34)/2</f>
        <v>606</v>
      </c>
      <c r="U35" s="12">
        <f>(U34+AB34)/2</f>
        <v>606</v>
      </c>
      <c r="V35" s="13"/>
      <c r="W35" s="15"/>
      <c r="X35"/>
      <c r="Y35" s="12">
        <f>(Y34+AI34)/2</f>
        <v>319</v>
      </c>
      <c r="Z35" s="12">
        <v>800.5</v>
      </c>
      <c r="AA35" s="12">
        <f>(AA34+AL34)/2</f>
        <v>286</v>
      </c>
      <c r="AB35" s="12">
        <f>(AB34+AM34)/2</f>
        <v>270.5</v>
      </c>
      <c r="AC35" s="12">
        <f>(AC34+AL34)/2</f>
        <v>270.5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</row>
    <row r="36" spans="1:171" outlineLevel="1" x14ac:dyDescent="0.25"/>
    <row r="37" spans="1:171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</row>
    <row r="38" spans="1:171" ht="9" customHeight="1" x14ac:dyDescent="0.25"/>
    <row r="39" spans="1:171" ht="24.95" customHeight="1" x14ac:dyDescent="0.45">
      <c r="C39" s="100" t="s">
        <v>38</v>
      </c>
      <c r="D39" s="101"/>
      <c r="E39" s="101"/>
      <c r="F39" s="101"/>
      <c r="G39" s="101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</row>
    <row r="40" spans="1:171" ht="37.5" customHeight="1" thickBot="1" x14ac:dyDescent="0.4">
      <c r="C40" s="147" t="s">
        <v>39</v>
      </c>
      <c r="D40" s="148"/>
      <c r="E40" s="148"/>
      <c r="F40" s="164" t="str">
        <f>+F9</f>
        <v>Q1 2023</v>
      </c>
      <c r="G40" s="164" t="str">
        <f t="shared" ref="G40:J40" si="17">+G9</f>
        <v>Q2 2023</v>
      </c>
      <c r="H40" s="164" t="str">
        <f t="shared" si="17"/>
        <v>Q3 2023</v>
      </c>
      <c r="I40" s="164" t="str">
        <f t="shared" si="17"/>
        <v>Q4 2023</v>
      </c>
      <c r="J40" s="164" t="str">
        <f t="shared" si="17"/>
        <v>Q1-Q3 2023</v>
      </c>
      <c r="K40" s="148"/>
      <c r="L40" s="164" t="str">
        <f>+L9</f>
        <v>Q1 2022</v>
      </c>
      <c r="M40" s="164" t="str">
        <f t="shared" ref="M40:P40" si="18">+M9</f>
        <v>Q2 2022</v>
      </c>
      <c r="N40" s="164" t="str">
        <f t="shared" si="18"/>
        <v>Q3 2022</v>
      </c>
      <c r="O40" s="164" t="str">
        <f t="shared" si="18"/>
        <v>Q4 2022</v>
      </c>
      <c r="P40" s="164" t="str">
        <f t="shared" si="18"/>
        <v>Q1-Q4 2022</v>
      </c>
      <c r="Q40" s="150" t="str">
        <f>+Q9</f>
        <v>Q1 2021</v>
      </c>
      <c r="R40" s="150" t="str">
        <f t="shared" ref="R40:U40" si="19">+R9</f>
        <v>Q2 2021</v>
      </c>
      <c r="S40" s="150" t="str">
        <f t="shared" si="19"/>
        <v>Q3 2021</v>
      </c>
      <c r="T40" s="150" t="str">
        <f t="shared" si="19"/>
        <v>Q4 2021</v>
      </c>
      <c r="U40" s="150" t="str">
        <f t="shared" si="19"/>
        <v>Q1-Q4 2021</v>
      </c>
    </row>
    <row r="41" spans="1:171" ht="18" outlineLevel="1" x14ac:dyDescent="0.35">
      <c r="C41" s="101"/>
      <c r="D41" s="106"/>
      <c r="E41" s="106"/>
      <c r="F41" s="169"/>
      <c r="G41" s="169"/>
      <c r="H41" s="169"/>
      <c r="I41" s="169"/>
      <c r="J41" s="169"/>
      <c r="K41" s="106"/>
      <c r="L41" s="169"/>
      <c r="M41" s="169"/>
      <c r="N41" s="169"/>
      <c r="O41" s="169"/>
      <c r="P41" s="169"/>
      <c r="Q41" s="106"/>
      <c r="R41" s="106"/>
      <c r="S41" s="106"/>
      <c r="T41" s="106"/>
      <c r="U41" s="106"/>
    </row>
    <row r="42" spans="1:171" ht="18" hidden="1" outlineLevel="1" x14ac:dyDescent="0.35">
      <c r="C42" s="101"/>
      <c r="D42" s="101"/>
      <c r="E42" s="101"/>
      <c r="F42" s="170"/>
      <c r="G42" s="170"/>
      <c r="H42" s="170"/>
      <c r="I42" s="170"/>
      <c r="J42" s="170"/>
      <c r="K42" s="101"/>
      <c r="L42" s="170"/>
      <c r="M42" s="170"/>
      <c r="N42" s="170"/>
      <c r="O42" s="170"/>
      <c r="P42" s="170"/>
      <c r="Q42" s="101"/>
      <c r="R42" s="101"/>
      <c r="S42" s="101"/>
      <c r="T42" s="101"/>
      <c r="U42" s="101"/>
      <c r="V42" s="27"/>
    </row>
    <row r="43" spans="1:171" ht="18" hidden="1" outlineLevel="1" x14ac:dyDescent="0.35">
      <c r="C43" s="108"/>
      <c r="D43" s="109"/>
      <c r="E43" s="109"/>
      <c r="F43" s="171"/>
      <c r="G43" s="171"/>
      <c r="H43" s="171"/>
      <c r="I43" s="171"/>
      <c r="J43" s="171"/>
      <c r="K43" s="109"/>
      <c r="L43" s="171"/>
      <c r="M43" s="171"/>
      <c r="N43" s="171"/>
      <c r="O43" s="171"/>
      <c r="P43" s="171"/>
      <c r="Q43" s="109"/>
      <c r="R43" s="109"/>
      <c r="S43" s="109"/>
      <c r="T43" s="109"/>
      <c r="U43" s="109"/>
    </row>
    <row r="44" spans="1:171" ht="18" hidden="1" outlineLevel="1" x14ac:dyDescent="0.35">
      <c r="C44" s="101" t="s">
        <v>40</v>
      </c>
      <c r="D44" s="106"/>
      <c r="E44" s="106"/>
      <c r="F44" s="169"/>
      <c r="G44" s="169"/>
      <c r="H44" s="169"/>
      <c r="I44" s="169"/>
      <c r="J44" s="169"/>
      <c r="K44" s="106"/>
      <c r="L44" s="169"/>
      <c r="M44" s="169"/>
      <c r="N44" s="169"/>
      <c r="O44" s="169"/>
      <c r="P44" s="169"/>
      <c r="Q44" s="106"/>
      <c r="R44" s="106"/>
      <c r="S44" s="106"/>
      <c r="T44" s="106"/>
      <c r="U44" s="106"/>
    </row>
    <row r="45" spans="1:171" ht="18" hidden="1" outlineLevel="1" x14ac:dyDescent="0.35">
      <c r="C45" s="101" t="s">
        <v>41</v>
      </c>
      <c r="D45" s="106"/>
      <c r="E45" s="106"/>
      <c r="F45" s="169" t="s">
        <v>22</v>
      </c>
      <c r="G45" s="169" t="s">
        <v>22</v>
      </c>
      <c r="H45" s="169" t="s">
        <v>22</v>
      </c>
      <c r="I45" s="169" t="s">
        <v>22</v>
      </c>
      <c r="J45" s="169" t="s">
        <v>22</v>
      </c>
      <c r="K45" s="106"/>
      <c r="L45" s="169" t="s">
        <v>22</v>
      </c>
      <c r="M45" s="169" t="s">
        <v>22</v>
      </c>
      <c r="N45" s="169" t="s">
        <v>22</v>
      </c>
      <c r="O45" s="169" t="s">
        <v>22</v>
      </c>
      <c r="P45" s="169" t="s">
        <v>22</v>
      </c>
      <c r="Q45" s="106" t="s">
        <v>22</v>
      </c>
      <c r="R45" s="106" t="s">
        <v>22</v>
      </c>
      <c r="S45" s="106" t="s">
        <v>22</v>
      </c>
      <c r="T45" s="106" t="s">
        <v>22</v>
      </c>
      <c r="U45" s="106" t="s">
        <v>22</v>
      </c>
    </row>
    <row r="46" spans="1:171" ht="18" hidden="1" outlineLevel="1" x14ac:dyDescent="0.35">
      <c r="C46" s="101" t="s">
        <v>42</v>
      </c>
      <c r="D46" s="106"/>
      <c r="E46" s="106"/>
      <c r="F46" s="169" t="s">
        <v>22</v>
      </c>
      <c r="G46" s="169" t="s">
        <v>22</v>
      </c>
      <c r="H46" s="169" t="s">
        <v>22</v>
      </c>
      <c r="I46" s="169" t="s">
        <v>22</v>
      </c>
      <c r="J46" s="169" t="s">
        <v>22</v>
      </c>
      <c r="K46" s="106"/>
      <c r="L46" s="169" t="s">
        <v>22</v>
      </c>
      <c r="M46" s="169" t="s">
        <v>22</v>
      </c>
      <c r="N46" s="169" t="s">
        <v>22</v>
      </c>
      <c r="O46" s="169" t="s">
        <v>22</v>
      </c>
      <c r="P46" s="169" t="s">
        <v>22</v>
      </c>
      <c r="Q46" s="106" t="s">
        <v>22</v>
      </c>
      <c r="R46" s="106" t="s">
        <v>22</v>
      </c>
      <c r="S46" s="106" t="s">
        <v>22</v>
      </c>
      <c r="T46" s="106" t="s">
        <v>22</v>
      </c>
      <c r="U46" s="106" t="s">
        <v>22</v>
      </c>
    </row>
    <row r="47" spans="1:171" ht="18" hidden="1" outlineLevel="1" x14ac:dyDescent="0.35">
      <c r="C47" s="110" t="s">
        <v>43</v>
      </c>
      <c r="D47" s="111"/>
      <c r="E47" s="111"/>
      <c r="F47" s="172" t="s">
        <v>22</v>
      </c>
      <c r="G47" s="172" t="s">
        <v>22</v>
      </c>
      <c r="H47" s="172" t="s">
        <v>22</v>
      </c>
      <c r="I47" s="172" t="s">
        <v>22</v>
      </c>
      <c r="J47" s="172" t="s">
        <v>22</v>
      </c>
      <c r="K47" s="111"/>
      <c r="L47" s="172" t="s">
        <v>22</v>
      </c>
      <c r="M47" s="172" t="s">
        <v>22</v>
      </c>
      <c r="N47" s="172" t="s">
        <v>22</v>
      </c>
      <c r="O47" s="172" t="s">
        <v>22</v>
      </c>
      <c r="P47" s="172" t="s">
        <v>22</v>
      </c>
      <c r="Q47" s="111" t="s">
        <v>22</v>
      </c>
      <c r="R47" s="111" t="s">
        <v>22</v>
      </c>
      <c r="S47" s="111" t="s">
        <v>22</v>
      </c>
      <c r="T47" s="111" t="s">
        <v>22</v>
      </c>
      <c r="U47" s="111" t="s">
        <v>22</v>
      </c>
    </row>
    <row r="48" spans="1:171" ht="18" hidden="1" outlineLevel="1" x14ac:dyDescent="0.35">
      <c r="C48" s="108" t="s">
        <v>44</v>
      </c>
      <c r="D48" s="112"/>
      <c r="E48" s="112"/>
      <c r="F48" s="173">
        <f t="shared" ref="F48:J48" si="20">SUM(F42:F47)</f>
        <v>0</v>
      </c>
      <c r="G48" s="173">
        <f t="shared" si="20"/>
        <v>0</v>
      </c>
      <c r="H48" s="173">
        <f t="shared" si="20"/>
        <v>0</v>
      </c>
      <c r="I48" s="173">
        <f t="shared" si="20"/>
        <v>0</v>
      </c>
      <c r="J48" s="173">
        <f t="shared" si="20"/>
        <v>0</v>
      </c>
      <c r="K48" s="112"/>
      <c r="L48" s="173">
        <f t="shared" ref="L48:R48" si="21">SUM(L42:L47)</f>
        <v>0</v>
      </c>
      <c r="M48" s="173">
        <f t="shared" si="21"/>
        <v>0</v>
      </c>
      <c r="N48" s="173">
        <f t="shared" si="21"/>
        <v>0</v>
      </c>
      <c r="O48" s="173">
        <f t="shared" si="21"/>
        <v>0</v>
      </c>
      <c r="P48" s="173">
        <f t="shared" si="21"/>
        <v>0</v>
      </c>
      <c r="Q48" s="114">
        <f t="shared" si="21"/>
        <v>0</v>
      </c>
      <c r="R48" s="114">
        <f t="shared" si="21"/>
        <v>0</v>
      </c>
      <c r="S48" s="114">
        <v>10</v>
      </c>
      <c r="T48" s="114">
        <v>3</v>
      </c>
      <c r="U48" s="114">
        <v>17</v>
      </c>
    </row>
    <row r="49" spans="3:23" ht="36" hidden="1" outlineLevel="1" x14ac:dyDescent="0.35">
      <c r="C49" s="142" t="s">
        <v>45</v>
      </c>
      <c r="D49" s="115"/>
      <c r="E49" s="115"/>
      <c r="F49" s="169"/>
      <c r="G49" s="169"/>
      <c r="H49" s="169"/>
      <c r="I49" s="169"/>
      <c r="J49" s="169"/>
      <c r="K49" s="115"/>
      <c r="L49" s="169"/>
      <c r="M49" s="169"/>
      <c r="N49" s="169"/>
      <c r="O49" s="169"/>
      <c r="P49" s="169"/>
      <c r="Q49" s="106"/>
      <c r="R49" s="106"/>
      <c r="S49" s="106"/>
      <c r="T49" s="106"/>
      <c r="U49" s="106"/>
    </row>
    <row r="50" spans="3:23" ht="18" hidden="1" outlineLevel="1" x14ac:dyDescent="0.35">
      <c r="C50" s="101"/>
      <c r="D50" s="106"/>
      <c r="E50" s="106"/>
      <c r="F50" s="169"/>
      <c r="G50" s="169"/>
      <c r="H50" s="169"/>
      <c r="I50" s="169"/>
      <c r="J50" s="169"/>
      <c r="K50" s="106"/>
      <c r="L50" s="169"/>
      <c r="M50" s="169"/>
      <c r="N50" s="169"/>
      <c r="O50" s="169"/>
      <c r="P50" s="169"/>
      <c r="Q50" s="116"/>
      <c r="R50" s="116"/>
      <c r="S50" s="116"/>
      <c r="T50" s="116"/>
      <c r="U50" s="106"/>
    </row>
    <row r="51" spans="3:23" ht="18" outlineLevel="1" x14ac:dyDescent="0.35">
      <c r="C51" s="101" t="s">
        <v>46</v>
      </c>
      <c r="D51" s="106"/>
      <c r="E51" s="106"/>
      <c r="F51" s="174">
        <f t="shared" ref="F51:J51" si="22">F13</f>
        <v>355</v>
      </c>
      <c r="G51" s="174">
        <f t="shared" si="22"/>
        <v>311</v>
      </c>
      <c r="H51" s="174">
        <f t="shared" si="22"/>
        <v>251</v>
      </c>
      <c r="I51" s="174">
        <f t="shared" si="22"/>
        <v>0</v>
      </c>
      <c r="J51" s="174">
        <f t="shared" si="22"/>
        <v>917</v>
      </c>
      <c r="K51" s="106"/>
      <c r="L51" s="174">
        <f t="shared" ref="L51:U51" si="23">L13</f>
        <v>281</v>
      </c>
      <c r="M51" s="174">
        <f t="shared" si="23"/>
        <v>327</v>
      </c>
      <c r="N51" s="174">
        <f t="shared" si="23"/>
        <v>299</v>
      </c>
      <c r="O51" s="174">
        <f t="shared" si="23"/>
        <v>261</v>
      </c>
      <c r="P51" s="174">
        <f t="shared" si="23"/>
        <v>1168</v>
      </c>
      <c r="Q51" s="116">
        <f t="shared" si="23"/>
        <v>175</v>
      </c>
      <c r="R51" s="116">
        <f t="shared" si="23"/>
        <v>239</v>
      </c>
      <c r="S51" s="116">
        <f t="shared" si="23"/>
        <v>213</v>
      </c>
      <c r="T51" s="116">
        <f t="shared" si="23"/>
        <v>236</v>
      </c>
      <c r="U51" s="116">
        <f t="shared" si="23"/>
        <v>863</v>
      </c>
    </row>
    <row r="52" spans="3:23" ht="18" outlineLevel="1" x14ac:dyDescent="0.35">
      <c r="C52" s="101" t="s">
        <v>47</v>
      </c>
      <c r="D52" s="106"/>
      <c r="E52" s="106"/>
      <c r="F52" s="166">
        <f t="shared" ref="F52:J52" si="24">F14</f>
        <v>32</v>
      </c>
      <c r="G52" s="166">
        <f t="shared" si="24"/>
        <v>30</v>
      </c>
      <c r="H52" s="166">
        <f t="shared" si="24"/>
        <v>18</v>
      </c>
      <c r="I52" s="166">
        <f t="shared" si="24"/>
        <v>0</v>
      </c>
      <c r="J52" s="166">
        <f t="shared" si="24"/>
        <v>80</v>
      </c>
      <c r="K52" s="106"/>
      <c r="L52" s="166">
        <f t="shared" ref="L52:U52" si="25">L14</f>
        <v>35</v>
      </c>
      <c r="M52" s="166">
        <f t="shared" si="25"/>
        <v>37</v>
      </c>
      <c r="N52" s="166">
        <f t="shared" si="25"/>
        <v>30</v>
      </c>
      <c r="O52" s="166">
        <f t="shared" si="25"/>
        <v>0</v>
      </c>
      <c r="P52" s="166">
        <f t="shared" si="25"/>
        <v>102</v>
      </c>
      <c r="Q52" s="119">
        <f t="shared" si="25"/>
        <v>9</v>
      </c>
      <c r="R52" s="119">
        <f t="shared" si="25"/>
        <v>26</v>
      </c>
      <c r="S52" s="119">
        <f t="shared" si="25"/>
        <v>22</v>
      </c>
      <c r="T52" s="119">
        <f t="shared" si="25"/>
        <v>13</v>
      </c>
      <c r="U52" s="119">
        <f t="shared" si="25"/>
        <v>70</v>
      </c>
    </row>
    <row r="53" spans="3:23" ht="18" outlineLevel="1" x14ac:dyDescent="0.35">
      <c r="C53" s="108" t="s">
        <v>48</v>
      </c>
      <c r="D53" s="109"/>
      <c r="E53" s="109"/>
      <c r="F53" s="167">
        <f>F52/F51</f>
        <v>9.014084507042254E-2</v>
      </c>
      <c r="G53" s="167">
        <f>G52/G51</f>
        <v>9.6463022508038579E-2</v>
      </c>
      <c r="H53" s="167">
        <f>H52/H51</f>
        <v>7.1713147410358571E-2</v>
      </c>
      <c r="I53" s="167" t="e">
        <f>I52/I51</f>
        <v>#DIV/0!</v>
      </c>
      <c r="J53" s="167">
        <f>J52/J51</f>
        <v>8.7241003271537623E-2</v>
      </c>
      <c r="K53" s="109"/>
      <c r="L53" s="167">
        <f>L52/L51</f>
        <v>0.12455516014234876</v>
      </c>
      <c r="M53" s="167">
        <f>M52/M51</f>
        <v>0.11314984709480122</v>
      </c>
      <c r="N53" s="167">
        <f>N52/N51</f>
        <v>0.10033444816053512</v>
      </c>
      <c r="O53" s="167">
        <f>O52/O51</f>
        <v>0</v>
      </c>
      <c r="P53" s="167">
        <f>P52/P51</f>
        <v>8.7328767123287673E-2</v>
      </c>
      <c r="Q53" s="120">
        <v>0.121</v>
      </c>
      <c r="R53" s="120">
        <v>9.7000000000000003E-2</v>
      </c>
      <c r="S53" s="120">
        <f>S52/S51</f>
        <v>0.10328638497652583</v>
      </c>
      <c r="T53" s="120">
        <f>T52/T51</f>
        <v>5.5084745762711863E-2</v>
      </c>
      <c r="U53" s="120">
        <f>U52/U51</f>
        <v>8.1112398609501743E-2</v>
      </c>
    </row>
    <row r="54" spans="3:23" ht="18" hidden="1" outlineLevel="1" x14ac:dyDescent="0.35">
      <c r="C54" s="108" t="s">
        <v>49</v>
      </c>
      <c r="D54" s="112"/>
      <c r="E54" s="112"/>
      <c r="F54" s="167">
        <f>F53</f>
        <v>9.014084507042254E-2</v>
      </c>
      <c r="G54" s="167">
        <f>G48/G51</f>
        <v>0</v>
      </c>
      <c r="H54" s="167">
        <f>H48/H51</f>
        <v>0</v>
      </c>
      <c r="I54" s="167" t="e">
        <f>I48/I51</f>
        <v>#DIV/0!</v>
      </c>
      <c r="J54" s="167">
        <f>J48/J51</f>
        <v>0</v>
      </c>
      <c r="K54" s="112"/>
      <c r="L54" s="167">
        <f>L53</f>
        <v>0.12455516014234876</v>
      </c>
      <c r="M54" s="167">
        <f>M48/M51</f>
        <v>0</v>
      </c>
      <c r="N54" s="167">
        <f>N48/N51</f>
        <v>0</v>
      </c>
      <c r="O54" s="167">
        <f>O48/O51</f>
        <v>0</v>
      </c>
      <c r="P54" s="167">
        <f>P48/P51</f>
        <v>0</v>
      </c>
      <c r="Q54" s="121">
        <v>0.121</v>
      </c>
      <c r="R54" s="121">
        <v>9.7000000000000003E-2</v>
      </c>
      <c r="S54" s="121">
        <f>S48/S51</f>
        <v>4.6948356807511735E-2</v>
      </c>
      <c r="T54" s="121">
        <f>T48/T51</f>
        <v>1.2711864406779662E-2</v>
      </c>
      <c r="U54" s="121">
        <f>U48/U51</f>
        <v>1.9698725376593278E-2</v>
      </c>
      <c r="W54" s="50"/>
    </row>
    <row r="55" spans="3:23" ht="36" hidden="1" outlineLevel="1" x14ac:dyDescent="0.35">
      <c r="C55" s="142" t="s">
        <v>50</v>
      </c>
      <c r="D55" s="115"/>
      <c r="E55" s="115"/>
      <c r="F55" s="169"/>
      <c r="G55" s="169"/>
      <c r="H55" s="169"/>
      <c r="I55" s="169"/>
      <c r="J55" s="169"/>
      <c r="K55" s="115"/>
      <c r="L55" s="169"/>
      <c r="M55" s="169"/>
      <c r="N55" s="169"/>
      <c r="O55" s="169"/>
      <c r="P55" s="169"/>
      <c r="Q55" s="116"/>
      <c r="R55" s="116"/>
      <c r="S55" s="116"/>
      <c r="T55" s="116"/>
      <c r="U55" s="106"/>
    </row>
    <row r="56" spans="3:23" ht="18.75" outlineLevel="1" thickBot="1" x14ac:dyDescent="0.4">
      <c r="C56" s="147"/>
      <c r="D56" s="151"/>
      <c r="E56" s="151"/>
      <c r="F56" s="168"/>
      <c r="G56" s="168"/>
      <c r="H56" s="168"/>
      <c r="I56" s="168"/>
      <c r="J56" s="168"/>
      <c r="K56" s="151"/>
      <c r="L56" s="168"/>
      <c r="M56" s="168"/>
      <c r="N56" s="168"/>
      <c r="O56" s="168"/>
      <c r="P56" s="168"/>
      <c r="Q56" s="153"/>
      <c r="R56" s="153"/>
      <c r="S56" s="153"/>
      <c r="T56" s="153"/>
      <c r="U56" s="154"/>
    </row>
    <row r="57" spans="3:23" ht="18" x14ac:dyDescent="0.35"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3:23" ht="18" hidden="1" x14ac:dyDescent="0.35"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3:23" ht="36.75" hidden="1" thickBot="1" x14ac:dyDescent="0.4">
      <c r="C59" s="102" t="s">
        <v>51</v>
      </c>
      <c r="D59" s="103"/>
      <c r="E59" s="103"/>
      <c r="F59" s="125" t="str">
        <f t="shared" ref="F59:J59" si="26">+F40</f>
        <v>Q1 2023</v>
      </c>
      <c r="G59" s="125" t="str">
        <f t="shared" si="26"/>
        <v>Q2 2023</v>
      </c>
      <c r="H59" s="125" t="str">
        <f t="shared" si="26"/>
        <v>Q3 2023</v>
      </c>
      <c r="I59" s="125" t="str">
        <f t="shared" si="26"/>
        <v>Q4 2023</v>
      </c>
      <c r="J59" s="125" t="str">
        <f t="shared" si="26"/>
        <v>Q1-Q3 2023</v>
      </c>
      <c r="K59" s="103"/>
      <c r="L59" s="125" t="str">
        <f t="shared" ref="L59:U59" si="27">+L40</f>
        <v>Q1 2022</v>
      </c>
      <c r="M59" s="125" t="str">
        <f t="shared" si="27"/>
        <v>Q2 2022</v>
      </c>
      <c r="N59" s="125" t="str">
        <f t="shared" si="27"/>
        <v>Q3 2022</v>
      </c>
      <c r="O59" s="125" t="str">
        <f t="shared" si="27"/>
        <v>Q4 2022</v>
      </c>
      <c r="P59" s="125" t="str">
        <f t="shared" si="27"/>
        <v>Q1-Q4 2022</v>
      </c>
      <c r="Q59" s="126" t="str">
        <f t="shared" si="27"/>
        <v>Q1 2021</v>
      </c>
      <c r="R59" s="126" t="str">
        <f t="shared" si="27"/>
        <v>Q2 2021</v>
      </c>
      <c r="S59" s="126" t="str">
        <f t="shared" si="27"/>
        <v>Q3 2021</v>
      </c>
      <c r="T59" s="126" t="str">
        <f t="shared" si="27"/>
        <v>Q4 2021</v>
      </c>
      <c r="U59" s="126" t="str">
        <f t="shared" si="27"/>
        <v>Q1-Q4 2021</v>
      </c>
    </row>
    <row r="60" spans="3:23" ht="18" hidden="1" x14ac:dyDescent="0.35">
      <c r="C60" s="108"/>
      <c r="D60" s="101"/>
      <c r="E60" s="101"/>
      <c r="F60" s="107"/>
      <c r="G60" s="107"/>
      <c r="H60" s="107"/>
      <c r="I60" s="107"/>
      <c r="J60" s="107"/>
      <c r="K60" s="101"/>
      <c r="L60" s="107"/>
      <c r="M60" s="107"/>
      <c r="N60" s="107"/>
      <c r="O60" s="107"/>
      <c r="P60" s="107"/>
      <c r="Q60" s="101"/>
      <c r="R60" s="101"/>
      <c r="S60" s="101"/>
      <c r="T60" s="101"/>
      <c r="U60" s="101"/>
    </row>
    <row r="61" spans="3:23" ht="18" hidden="1" x14ac:dyDescent="0.35">
      <c r="C61" s="101" t="s">
        <v>52</v>
      </c>
      <c r="D61" s="101"/>
      <c r="E61" s="101"/>
      <c r="F61" s="118">
        <f>F15</f>
        <v>2.2111387542375001</v>
      </c>
      <c r="G61" s="107">
        <f t="shared" ref="G61:J61" si="28">G15</f>
        <v>2.2111387542375001</v>
      </c>
      <c r="H61" s="107">
        <f t="shared" si="28"/>
        <v>2.0777224915249999</v>
      </c>
      <c r="I61" s="107">
        <f t="shared" si="28"/>
        <v>0</v>
      </c>
      <c r="J61" s="107">
        <f t="shared" si="28"/>
        <v>6.5</v>
      </c>
      <c r="K61" s="101"/>
      <c r="L61" s="118">
        <f>L15</f>
        <v>1.2872074250000001</v>
      </c>
      <c r="M61" s="107">
        <f t="shared" ref="M61:U61" si="29">M15</f>
        <v>1.2872074250000001</v>
      </c>
      <c r="N61" s="107">
        <f t="shared" si="29"/>
        <v>1.6485525945425001</v>
      </c>
      <c r="O61" s="107">
        <f t="shared" si="29"/>
        <v>2.1109613753224998</v>
      </c>
      <c r="P61" s="107">
        <f t="shared" si="29"/>
        <v>6.3339288198650001</v>
      </c>
      <c r="Q61" s="101">
        <f t="shared" si="29"/>
        <v>0</v>
      </c>
      <c r="R61" s="101">
        <f t="shared" si="29"/>
        <v>1</v>
      </c>
      <c r="S61" s="101">
        <f t="shared" si="29"/>
        <v>1</v>
      </c>
      <c r="T61" s="101">
        <f t="shared" si="29"/>
        <v>1</v>
      </c>
      <c r="U61" s="101">
        <f t="shared" si="29"/>
        <v>4</v>
      </c>
    </row>
    <row r="62" spans="3:23" ht="18" hidden="1" x14ac:dyDescent="0.35">
      <c r="C62" s="101" t="s">
        <v>47</v>
      </c>
      <c r="D62" s="106"/>
      <c r="E62" s="106"/>
      <c r="F62" s="118">
        <f>F14</f>
        <v>32</v>
      </c>
      <c r="G62" s="117">
        <f t="shared" ref="G62:J62" si="30">G14</f>
        <v>30</v>
      </c>
      <c r="H62" s="117">
        <f t="shared" si="30"/>
        <v>18</v>
      </c>
      <c r="I62" s="117">
        <f t="shared" si="30"/>
        <v>0</v>
      </c>
      <c r="J62" s="117">
        <f t="shared" si="30"/>
        <v>80</v>
      </c>
      <c r="K62" s="106"/>
      <c r="L62" s="118">
        <f>L14</f>
        <v>35</v>
      </c>
      <c r="M62" s="117">
        <f t="shared" ref="M62:U62" si="31">M14</f>
        <v>37</v>
      </c>
      <c r="N62" s="117">
        <f t="shared" si="31"/>
        <v>30</v>
      </c>
      <c r="O62" s="117">
        <f t="shared" si="31"/>
        <v>0</v>
      </c>
      <c r="P62" s="117">
        <f t="shared" si="31"/>
        <v>102</v>
      </c>
      <c r="Q62" s="116">
        <f t="shared" si="31"/>
        <v>9</v>
      </c>
      <c r="R62" s="116">
        <f t="shared" si="31"/>
        <v>26</v>
      </c>
      <c r="S62" s="116">
        <f t="shared" si="31"/>
        <v>22</v>
      </c>
      <c r="T62" s="116">
        <f t="shared" si="31"/>
        <v>13</v>
      </c>
      <c r="U62" s="116">
        <f t="shared" si="31"/>
        <v>70</v>
      </c>
    </row>
    <row r="63" spans="3:23" ht="18" hidden="1" x14ac:dyDescent="0.35">
      <c r="C63" s="101"/>
      <c r="D63" s="106"/>
      <c r="E63" s="106"/>
      <c r="F63" s="117"/>
      <c r="G63" s="117"/>
      <c r="H63" s="117"/>
      <c r="I63" s="117"/>
      <c r="J63" s="117"/>
      <c r="K63" s="106"/>
      <c r="L63" s="117"/>
      <c r="M63" s="117"/>
      <c r="N63" s="117"/>
      <c r="O63" s="117"/>
      <c r="P63" s="117"/>
      <c r="Q63" s="116"/>
      <c r="R63" s="116"/>
      <c r="S63" s="116"/>
      <c r="T63" s="116"/>
      <c r="U63" s="116"/>
    </row>
    <row r="64" spans="3:23" ht="18" hidden="1" x14ac:dyDescent="0.35">
      <c r="C64" s="108" t="s">
        <v>51</v>
      </c>
      <c r="D64" s="109"/>
      <c r="E64" s="109"/>
      <c r="F64" s="127">
        <f>F62+F61</f>
        <v>34.211138754237503</v>
      </c>
      <c r="G64" s="127">
        <f t="shared" ref="G64:J64" si="32">G62+G61</f>
        <v>32.211138754237503</v>
      </c>
      <c r="H64" s="127">
        <f t="shared" si="32"/>
        <v>20.077722491525002</v>
      </c>
      <c r="I64" s="127">
        <f t="shared" si="32"/>
        <v>0</v>
      </c>
      <c r="J64" s="127">
        <f t="shared" si="32"/>
        <v>86.5</v>
      </c>
      <c r="K64" s="109"/>
      <c r="L64" s="127">
        <f>L62+L61</f>
        <v>36.287207424999998</v>
      </c>
      <c r="M64" s="127">
        <f t="shared" ref="M64:U64" si="33">M62+M61</f>
        <v>38.287207424999998</v>
      </c>
      <c r="N64" s="127">
        <f t="shared" si="33"/>
        <v>31.648552594542501</v>
      </c>
      <c r="O64" s="127">
        <f t="shared" si="33"/>
        <v>2.1109613753224998</v>
      </c>
      <c r="P64" s="127">
        <f t="shared" si="33"/>
        <v>108.33392881986499</v>
      </c>
      <c r="Q64" s="128">
        <f t="shared" si="33"/>
        <v>9</v>
      </c>
      <c r="R64" s="128">
        <f t="shared" si="33"/>
        <v>27</v>
      </c>
      <c r="S64" s="128">
        <f t="shared" si="33"/>
        <v>23</v>
      </c>
      <c r="T64" s="128">
        <f t="shared" si="33"/>
        <v>14</v>
      </c>
      <c r="U64" s="128">
        <f t="shared" si="33"/>
        <v>74</v>
      </c>
    </row>
    <row r="65" spans="3:21" ht="18.75" hidden="1" thickBot="1" x14ac:dyDescent="0.4">
      <c r="C65" s="102"/>
      <c r="D65" s="122"/>
      <c r="E65" s="122"/>
      <c r="F65" s="123"/>
      <c r="G65" s="123"/>
      <c r="H65" s="123"/>
      <c r="I65" s="123"/>
      <c r="J65" s="123"/>
      <c r="K65" s="122"/>
      <c r="L65" s="123"/>
      <c r="M65" s="123"/>
      <c r="N65" s="123"/>
      <c r="O65" s="123"/>
      <c r="P65" s="123"/>
      <c r="Q65" s="124"/>
      <c r="R65" s="124"/>
      <c r="S65" s="124"/>
      <c r="T65" s="124"/>
      <c r="U65" s="129"/>
    </row>
    <row r="66" spans="3:21" ht="18" hidden="1" x14ac:dyDescent="0.35"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3:21" ht="18" hidden="1" x14ac:dyDescent="0.35"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3:21" ht="37.5" customHeight="1" thickBot="1" x14ac:dyDescent="0.4">
      <c r="C68" s="147" t="s">
        <v>53</v>
      </c>
      <c r="D68" s="148"/>
      <c r="E68" s="148"/>
      <c r="F68" s="164" t="str">
        <f t="shared" ref="F68:J68" si="34">+F40</f>
        <v>Q1 2023</v>
      </c>
      <c r="G68" s="164" t="str">
        <f t="shared" si="34"/>
        <v>Q2 2023</v>
      </c>
      <c r="H68" s="164" t="str">
        <f t="shared" si="34"/>
        <v>Q3 2023</v>
      </c>
      <c r="I68" s="164" t="str">
        <f t="shared" si="34"/>
        <v>Q4 2023</v>
      </c>
      <c r="J68" s="164" t="str">
        <f t="shared" si="34"/>
        <v>Q1-Q3 2023</v>
      </c>
      <c r="K68" s="148"/>
      <c r="L68" s="164" t="str">
        <f t="shared" ref="L68:Q68" si="35">+L40</f>
        <v>Q1 2022</v>
      </c>
      <c r="M68" s="164" t="str">
        <f t="shared" si="35"/>
        <v>Q2 2022</v>
      </c>
      <c r="N68" s="164" t="str">
        <f t="shared" si="35"/>
        <v>Q3 2022</v>
      </c>
      <c r="O68" s="164" t="str">
        <f t="shared" si="35"/>
        <v>Q4 2022</v>
      </c>
      <c r="P68" s="164" t="str">
        <f t="shared" si="35"/>
        <v>Q1-Q4 2022</v>
      </c>
      <c r="Q68" s="150" t="str">
        <f t="shared" si="35"/>
        <v>Q1 2021</v>
      </c>
      <c r="R68" s="150" t="str">
        <f t="shared" ref="R68:U68" si="36">+R40</f>
        <v>Q2 2021</v>
      </c>
      <c r="S68" s="150" t="str">
        <f t="shared" si="36"/>
        <v>Q3 2021</v>
      </c>
      <c r="T68" s="150" t="str">
        <f t="shared" si="36"/>
        <v>Q4 2021</v>
      </c>
      <c r="U68" s="150" t="str">
        <f t="shared" si="36"/>
        <v>Q1-Q4 2021</v>
      </c>
    </row>
    <row r="69" spans="3:21" ht="18" x14ac:dyDescent="0.35">
      <c r="C69" s="108"/>
      <c r="D69" s="130"/>
      <c r="E69" s="130"/>
      <c r="F69" s="165"/>
      <c r="G69" s="165"/>
      <c r="H69" s="165"/>
      <c r="I69" s="165"/>
      <c r="J69" s="165"/>
      <c r="K69" s="130"/>
      <c r="L69" s="165"/>
      <c r="M69" s="165"/>
      <c r="N69" s="165"/>
      <c r="O69" s="165"/>
      <c r="P69" s="165"/>
      <c r="Q69" s="131"/>
      <c r="R69" s="131"/>
      <c r="S69" s="131"/>
      <c r="T69" s="131"/>
      <c r="U69" s="131"/>
    </row>
    <row r="70" spans="3:21" ht="18" x14ac:dyDescent="0.35">
      <c r="C70" s="101" t="s">
        <v>46</v>
      </c>
      <c r="D70" s="130"/>
      <c r="E70" s="130"/>
      <c r="F70" s="166">
        <f>+F13</f>
        <v>355</v>
      </c>
      <c r="G70" s="166">
        <f t="shared" ref="G70:J70" si="37">+G13</f>
        <v>311</v>
      </c>
      <c r="H70" s="166">
        <f t="shared" si="37"/>
        <v>251</v>
      </c>
      <c r="I70" s="166">
        <f t="shared" si="37"/>
        <v>0</v>
      </c>
      <c r="J70" s="166">
        <f t="shared" si="37"/>
        <v>917</v>
      </c>
      <c r="K70" s="130"/>
      <c r="L70" s="166">
        <f>+L13</f>
        <v>281</v>
      </c>
      <c r="M70" s="166">
        <f t="shared" ref="M70:P70" si="38">+M13</f>
        <v>327</v>
      </c>
      <c r="N70" s="166">
        <f t="shared" si="38"/>
        <v>299</v>
      </c>
      <c r="O70" s="166">
        <f t="shared" si="38"/>
        <v>261</v>
      </c>
      <c r="P70" s="166">
        <f t="shared" si="38"/>
        <v>1168</v>
      </c>
      <c r="Q70" s="119">
        <f>+Q13</f>
        <v>175</v>
      </c>
      <c r="R70" s="119">
        <f t="shared" ref="R70:U70" si="39">+R13</f>
        <v>239</v>
      </c>
      <c r="S70" s="119">
        <f t="shared" si="39"/>
        <v>213</v>
      </c>
      <c r="T70" s="119">
        <f t="shared" si="39"/>
        <v>236</v>
      </c>
      <c r="U70" s="119">
        <f t="shared" si="39"/>
        <v>863</v>
      </c>
    </row>
    <row r="71" spans="3:21" ht="18" x14ac:dyDescent="0.35">
      <c r="C71" s="101" t="s">
        <v>54</v>
      </c>
      <c r="D71" s="106"/>
      <c r="E71" s="106"/>
      <c r="F71" s="166">
        <f t="shared" ref="F71:J71" si="40">+F18</f>
        <v>112</v>
      </c>
      <c r="G71" s="166">
        <f t="shared" si="40"/>
        <v>111</v>
      </c>
      <c r="H71" s="166">
        <f t="shared" si="40"/>
        <v>84</v>
      </c>
      <c r="I71" s="166">
        <f t="shared" si="40"/>
        <v>0</v>
      </c>
      <c r="J71" s="166">
        <f t="shared" si="40"/>
        <v>307</v>
      </c>
      <c r="K71" s="106"/>
      <c r="L71" s="166">
        <f t="shared" ref="L71:T71" si="41">+L18</f>
        <v>92</v>
      </c>
      <c r="M71" s="166">
        <f t="shared" si="41"/>
        <v>102</v>
      </c>
      <c r="N71" s="166">
        <f t="shared" si="41"/>
        <v>94.4</v>
      </c>
      <c r="O71" s="166">
        <f t="shared" si="41"/>
        <v>74</v>
      </c>
      <c r="P71" s="166">
        <f t="shared" si="41"/>
        <v>362.4</v>
      </c>
      <c r="Q71" s="119">
        <f t="shared" si="41"/>
        <v>53</v>
      </c>
      <c r="R71" s="119">
        <f t="shared" si="41"/>
        <v>82</v>
      </c>
      <c r="S71" s="119">
        <f t="shared" si="41"/>
        <v>69</v>
      </c>
      <c r="T71" s="119">
        <f t="shared" si="41"/>
        <v>73</v>
      </c>
      <c r="U71" s="119">
        <f>+U18</f>
        <v>277</v>
      </c>
    </row>
    <row r="72" spans="3:21" ht="18" x14ac:dyDescent="0.35">
      <c r="C72" s="108" t="s">
        <v>29</v>
      </c>
      <c r="D72" s="109"/>
      <c r="E72" s="109"/>
      <c r="F72" s="167">
        <f>+F71/F51</f>
        <v>0.3154929577464789</v>
      </c>
      <c r="G72" s="167">
        <f t="shared" ref="G72:J72" si="42">+G71/G51</f>
        <v>0.35691318327974275</v>
      </c>
      <c r="H72" s="167">
        <f t="shared" si="42"/>
        <v>0.33466135458167329</v>
      </c>
      <c r="I72" s="167" t="e">
        <f t="shared" si="42"/>
        <v>#DIV/0!</v>
      </c>
      <c r="J72" s="167">
        <f t="shared" si="42"/>
        <v>0.33478735005452565</v>
      </c>
      <c r="K72" s="109"/>
      <c r="L72" s="167">
        <f>+L71/L51</f>
        <v>0.32740213523131673</v>
      </c>
      <c r="M72" s="167">
        <f t="shared" ref="M72:T72" si="43">+M71/M51</f>
        <v>0.31192660550458717</v>
      </c>
      <c r="N72" s="167">
        <f t="shared" si="43"/>
        <v>0.3157190635451505</v>
      </c>
      <c r="O72" s="167">
        <f t="shared" si="43"/>
        <v>0.28352490421455939</v>
      </c>
      <c r="P72" s="167">
        <f t="shared" si="43"/>
        <v>0.3102739726027397</v>
      </c>
      <c r="Q72" s="120">
        <f t="shared" si="43"/>
        <v>0.30285714285714288</v>
      </c>
      <c r="R72" s="120">
        <f t="shared" si="43"/>
        <v>0.34309623430962344</v>
      </c>
      <c r="S72" s="120">
        <f t="shared" si="43"/>
        <v>0.323943661971831</v>
      </c>
      <c r="T72" s="120">
        <f t="shared" si="43"/>
        <v>0.30932203389830509</v>
      </c>
      <c r="U72" s="120">
        <f>+U71/U51</f>
        <v>0.32097334878331402</v>
      </c>
    </row>
    <row r="73" spans="3:21" ht="18.75" thickBot="1" x14ac:dyDescent="0.4">
      <c r="C73" s="147"/>
      <c r="D73" s="151"/>
      <c r="E73" s="151"/>
      <c r="F73" s="168"/>
      <c r="G73" s="168"/>
      <c r="H73" s="168"/>
      <c r="I73" s="168"/>
      <c r="J73" s="168"/>
      <c r="K73" s="151"/>
      <c r="L73" s="168"/>
      <c r="M73" s="168"/>
      <c r="N73" s="168"/>
      <c r="O73" s="168"/>
      <c r="P73" s="168"/>
      <c r="Q73" s="153"/>
      <c r="R73" s="153"/>
      <c r="S73" s="153"/>
      <c r="T73" s="153"/>
      <c r="U73" s="154"/>
    </row>
    <row r="74" spans="3:21" ht="18" x14ac:dyDescent="0.35"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3:21" ht="37.5" customHeight="1" thickBot="1" x14ac:dyDescent="0.4">
      <c r="C75" s="147" t="s">
        <v>55</v>
      </c>
      <c r="D75" s="148"/>
      <c r="E75" s="148"/>
      <c r="F75" s="164" t="str">
        <f>+F68</f>
        <v>Q1 2023</v>
      </c>
      <c r="G75" s="164" t="str">
        <f t="shared" ref="G75:J75" si="44">+G68</f>
        <v>Q2 2023</v>
      </c>
      <c r="H75" s="164" t="str">
        <f t="shared" si="44"/>
        <v>Q3 2023</v>
      </c>
      <c r="I75" s="164" t="str">
        <f t="shared" si="44"/>
        <v>Q4 2023</v>
      </c>
      <c r="J75" s="164" t="str">
        <f t="shared" si="44"/>
        <v>Q1-Q3 2023</v>
      </c>
      <c r="K75" s="148"/>
      <c r="L75" s="164" t="str">
        <f>+L68</f>
        <v>Q1 2022</v>
      </c>
      <c r="M75" s="164" t="str">
        <f t="shared" ref="M75:P75" si="45">+M68</f>
        <v>Q2 2022</v>
      </c>
      <c r="N75" s="164" t="str">
        <f t="shared" si="45"/>
        <v>Q3 2022</v>
      </c>
      <c r="O75" s="164" t="str">
        <f t="shared" si="45"/>
        <v>Q4 2022</v>
      </c>
      <c r="P75" s="164" t="str">
        <f t="shared" si="45"/>
        <v>Q1-Q4 2022</v>
      </c>
      <c r="Q75" s="150" t="str">
        <f>+Q68</f>
        <v>Q1 2021</v>
      </c>
      <c r="R75" s="150" t="str">
        <f t="shared" ref="R75:U75" si="46">+R68</f>
        <v>Q2 2021</v>
      </c>
      <c r="S75" s="150" t="str">
        <f t="shared" si="46"/>
        <v>Q3 2021</v>
      </c>
      <c r="T75" s="150" t="str">
        <f t="shared" si="46"/>
        <v>Q4 2021</v>
      </c>
      <c r="U75" s="150" t="str">
        <f t="shared" si="46"/>
        <v>Q1-Q4 2021</v>
      </c>
    </row>
    <row r="76" spans="3:21" ht="18" x14ac:dyDescent="0.35">
      <c r="C76" s="108"/>
      <c r="D76" s="130"/>
      <c r="E76" s="130"/>
      <c r="F76" s="165"/>
      <c r="G76" s="165"/>
      <c r="H76" s="165"/>
      <c r="I76" s="165"/>
      <c r="J76" s="165"/>
      <c r="K76" s="130"/>
      <c r="L76" s="165"/>
      <c r="M76" s="165"/>
      <c r="N76" s="165"/>
      <c r="O76" s="165"/>
      <c r="P76" s="165"/>
      <c r="Q76" s="131"/>
      <c r="R76" s="131"/>
      <c r="S76" s="131"/>
      <c r="T76" s="131"/>
      <c r="U76" s="131"/>
    </row>
    <row r="77" spans="3:21" ht="18" x14ac:dyDescent="0.35">
      <c r="C77" s="101" t="s">
        <v>25</v>
      </c>
      <c r="D77" s="106"/>
      <c r="E77" s="106"/>
      <c r="F77" s="166">
        <f>+F14</f>
        <v>32</v>
      </c>
      <c r="G77" s="166">
        <f t="shared" ref="G77" si="47">+G14</f>
        <v>30</v>
      </c>
      <c r="H77" s="166">
        <f>+H14</f>
        <v>18</v>
      </c>
      <c r="I77" s="166"/>
      <c r="J77" s="166">
        <f>SUM(F77:I77)</f>
        <v>80</v>
      </c>
      <c r="K77" s="106"/>
      <c r="L77" s="166">
        <f t="shared" ref="L77:N78" si="48">+L14</f>
        <v>35</v>
      </c>
      <c r="M77" s="166">
        <f t="shared" si="48"/>
        <v>37</v>
      </c>
      <c r="N77" s="166">
        <f t="shared" si="48"/>
        <v>30</v>
      </c>
      <c r="O77" s="166">
        <v>0</v>
      </c>
      <c r="P77" s="166">
        <f>SUM(L77:O77)</f>
        <v>102</v>
      </c>
      <c r="Q77" s="132">
        <f>+Q14</f>
        <v>9</v>
      </c>
      <c r="R77" s="132">
        <f t="shared" ref="R77:U77" si="49">+R14</f>
        <v>26</v>
      </c>
      <c r="S77" s="132">
        <f t="shared" si="49"/>
        <v>22</v>
      </c>
      <c r="T77" s="132">
        <f t="shared" si="49"/>
        <v>13</v>
      </c>
      <c r="U77" s="132">
        <f t="shared" si="49"/>
        <v>70</v>
      </c>
    </row>
    <row r="78" spans="3:21" ht="18" x14ac:dyDescent="0.35">
      <c r="C78" s="101" t="s">
        <v>148</v>
      </c>
      <c r="D78" s="106"/>
      <c r="E78" s="106"/>
      <c r="F78" s="166">
        <f>+F15</f>
        <v>2.2111387542375001</v>
      </c>
      <c r="G78" s="166">
        <f t="shared" ref="G78" si="50">+G15</f>
        <v>2.2111387542375001</v>
      </c>
      <c r="H78" s="166">
        <f>+H15</f>
        <v>2.0777224915249999</v>
      </c>
      <c r="I78" s="166"/>
      <c r="J78" s="166">
        <f>SUM(F78:I78)</f>
        <v>6.5</v>
      </c>
      <c r="K78" s="106"/>
      <c r="L78" s="166">
        <f t="shared" si="48"/>
        <v>1.2872074250000001</v>
      </c>
      <c r="M78" s="166">
        <f t="shared" si="48"/>
        <v>1.2872074250000001</v>
      </c>
      <c r="N78" s="166">
        <f t="shared" si="48"/>
        <v>1.6485525945425001</v>
      </c>
      <c r="O78" s="166">
        <v>2</v>
      </c>
      <c r="P78" s="166">
        <f>SUM(L78:O78)</f>
        <v>6.2229674445425003</v>
      </c>
      <c r="Q78" s="132">
        <f>+Q15</f>
        <v>0</v>
      </c>
      <c r="R78" s="132">
        <f t="shared" ref="R78:U78" si="51">+R15</f>
        <v>1</v>
      </c>
      <c r="S78" s="132">
        <f t="shared" si="51"/>
        <v>1</v>
      </c>
      <c r="T78" s="132">
        <f t="shared" si="51"/>
        <v>1</v>
      </c>
      <c r="U78" s="132">
        <f t="shared" si="51"/>
        <v>4</v>
      </c>
    </row>
    <row r="79" spans="3:21" ht="18" hidden="1" x14ac:dyDescent="0.35">
      <c r="C79" s="101"/>
      <c r="D79" s="106"/>
      <c r="E79" s="106"/>
      <c r="F79" s="166"/>
      <c r="G79" s="166"/>
      <c r="H79" s="166"/>
      <c r="I79" s="166"/>
      <c r="J79" s="166">
        <f t="shared" ref="J79:J81" si="52">SUM(F79:I79)</f>
        <v>0</v>
      </c>
      <c r="K79" s="106"/>
      <c r="L79" s="166"/>
      <c r="M79" s="166"/>
      <c r="N79" s="166"/>
      <c r="O79" s="166"/>
      <c r="P79" s="166">
        <f>SUM(L79:O79)</f>
        <v>0</v>
      </c>
      <c r="Q79" s="119"/>
      <c r="R79" s="119"/>
      <c r="S79" s="119"/>
      <c r="T79" s="119"/>
      <c r="U79" s="119"/>
    </row>
    <row r="80" spans="3:21" ht="18" hidden="1" x14ac:dyDescent="0.35">
      <c r="C80" s="101"/>
      <c r="D80" s="106"/>
      <c r="E80" s="106"/>
      <c r="F80" s="166"/>
      <c r="G80" s="166"/>
      <c r="H80" s="166"/>
      <c r="I80" s="166"/>
      <c r="J80" s="166">
        <f t="shared" si="52"/>
        <v>0</v>
      </c>
      <c r="K80" s="106"/>
      <c r="L80" s="166"/>
      <c r="M80" s="166"/>
      <c r="N80" s="166"/>
      <c r="O80" s="166"/>
      <c r="P80" s="166">
        <f>SUM(L80:O80)</f>
        <v>0</v>
      </c>
      <c r="Q80" s="119"/>
      <c r="R80" s="119"/>
      <c r="S80" s="119"/>
      <c r="T80" s="119"/>
      <c r="U80" s="119"/>
    </row>
    <row r="81" spans="3:21" ht="18" x14ac:dyDescent="0.35">
      <c r="C81" s="101" t="s">
        <v>195</v>
      </c>
      <c r="D81" s="106"/>
      <c r="E81" s="106"/>
      <c r="F81" s="166" t="s">
        <v>22</v>
      </c>
      <c r="G81" s="166" t="s">
        <v>22</v>
      </c>
      <c r="H81" s="166">
        <v>11</v>
      </c>
      <c r="I81" s="166"/>
      <c r="J81" s="166">
        <f t="shared" si="52"/>
        <v>11</v>
      </c>
      <c r="K81" s="106"/>
      <c r="L81" s="166" t="s">
        <v>22</v>
      </c>
      <c r="M81" s="166" t="s">
        <v>22</v>
      </c>
      <c r="N81" s="166">
        <v>7</v>
      </c>
      <c r="O81" s="166">
        <v>18</v>
      </c>
      <c r="P81" s="166">
        <f>SUM(L81:O81)</f>
        <v>25</v>
      </c>
      <c r="Q81" s="119"/>
      <c r="R81" s="119"/>
      <c r="S81" s="119"/>
      <c r="T81" s="119"/>
      <c r="U81" s="119">
        <v>0</v>
      </c>
    </row>
    <row r="82" spans="3:21" ht="18" x14ac:dyDescent="0.35">
      <c r="C82" s="108" t="s">
        <v>55</v>
      </c>
      <c r="D82" s="109"/>
      <c r="E82" s="109"/>
      <c r="F82" s="175">
        <f>SUM(F77:F81)</f>
        <v>34.211138754237503</v>
      </c>
      <c r="G82" s="175">
        <f>SUM(G77:G81)</f>
        <v>32.211138754237503</v>
      </c>
      <c r="H82" s="175">
        <f>SUM(H77:H81)</f>
        <v>31.077722491525002</v>
      </c>
      <c r="I82" s="175">
        <f>SUM(I77:I81)</f>
        <v>0</v>
      </c>
      <c r="J82" s="175">
        <f>SUM(J77:J81)</f>
        <v>97.5</v>
      </c>
      <c r="K82" s="109"/>
      <c r="L82" s="175">
        <f>SUM(L77:L80)</f>
        <v>36.287207424999998</v>
      </c>
      <c r="M82" s="175">
        <f t="shared" ref="M82" si="53">SUM(M77:M80)</f>
        <v>38.287207424999998</v>
      </c>
      <c r="N82" s="175">
        <f>N77+N78-N81</f>
        <v>24.648552594542501</v>
      </c>
      <c r="O82" s="175">
        <f>O77+O78-O81+1</f>
        <v>-15</v>
      </c>
      <c r="P82" s="175">
        <f>P77+P78-P81+1</f>
        <v>84.222967444542505</v>
      </c>
      <c r="Q82" s="128">
        <f>SUM(Q77:Q80)</f>
        <v>9</v>
      </c>
      <c r="R82" s="128">
        <f t="shared" ref="R82:U82" si="54">SUM(R77:R80)</f>
        <v>27</v>
      </c>
      <c r="S82" s="128">
        <f t="shared" si="54"/>
        <v>23</v>
      </c>
      <c r="T82" s="128">
        <f t="shared" si="54"/>
        <v>14</v>
      </c>
      <c r="U82" s="128">
        <f t="shared" si="54"/>
        <v>74</v>
      </c>
    </row>
    <row r="83" spans="3:21" ht="18" outlineLevel="1" x14ac:dyDescent="0.35">
      <c r="C83" s="142" t="s">
        <v>56</v>
      </c>
      <c r="D83" s="115"/>
      <c r="E83" s="115"/>
      <c r="F83" s="176">
        <f>+F82/F70</f>
        <v>9.6369404941514095E-2</v>
      </c>
      <c r="G83" s="176">
        <f>+G82/G70</f>
        <v>0.10357279342198554</v>
      </c>
      <c r="H83" s="176">
        <f>+H82/H70</f>
        <v>0.1238156274562749</v>
      </c>
      <c r="I83" s="176" t="e">
        <f>+I82/I70</f>
        <v>#DIV/0!</v>
      </c>
      <c r="J83" s="176">
        <f>+J82/J70-0.001</f>
        <v>0.10532497273718648</v>
      </c>
      <c r="K83" s="106"/>
      <c r="L83" s="176">
        <f>+L82/L70</f>
        <v>0.12913596948398576</v>
      </c>
      <c r="M83" s="176">
        <f t="shared" ref="M83:N83" si="55">+M82/M70</f>
        <v>0.11708626123853211</v>
      </c>
      <c r="N83" s="176">
        <f t="shared" si="55"/>
        <v>8.2436630750978263E-2</v>
      </c>
      <c r="O83" s="176" t="s">
        <v>196</v>
      </c>
      <c r="P83" s="176">
        <f>+P82/P70</f>
        <v>7.2108705003889134E-2</v>
      </c>
      <c r="Q83" s="133">
        <f>+Q82/Q70</f>
        <v>5.1428571428571428E-2</v>
      </c>
      <c r="R83" s="133">
        <f t="shared" ref="R83:U83" si="56">+R82/R70</f>
        <v>0.11297071129707113</v>
      </c>
      <c r="S83" s="133">
        <f t="shared" si="56"/>
        <v>0.107981220657277</v>
      </c>
      <c r="T83" s="133">
        <f t="shared" si="56"/>
        <v>5.9322033898305086E-2</v>
      </c>
      <c r="U83" s="133">
        <f t="shared" si="56"/>
        <v>8.574739281575898E-2</v>
      </c>
    </row>
    <row r="84" spans="3:21" ht="18.75" thickBot="1" x14ac:dyDescent="0.4">
      <c r="C84" s="147"/>
      <c r="D84" s="151"/>
      <c r="E84" s="151"/>
      <c r="F84" s="168"/>
      <c r="G84" s="168"/>
      <c r="H84" s="168"/>
      <c r="I84" s="168"/>
      <c r="J84" s="168"/>
      <c r="K84" s="151"/>
      <c r="L84" s="168"/>
      <c r="M84" s="168"/>
      <c r="N84" s="168"/>
      <c r="O84" s="168"/>
      <c r="P84" s="168"/>
      <c r="Q84" s="153"/>
      <c r="R84" s="153"/>
      <c r="S84" s="153"/>
      <c r="T84" s="153"/>
      <c r="U84" s="154"/>
    </row>
    <row r="85" spans="3:21" ht="14.45" customHeight="1" x14ac:dyDescent="0.35"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3:21" ht="6.6" hidden="1" customHeight="1" x14ac:dyDescent="0.35"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3:21" ht="37.5" customHeight="1" thickBot="1" x14ac:dyDescent="0.4">
      <c r="C87" s="147" t="s">
        <v>57</v>
      </c>
      <c r="D87" s="148"/>
      <c r="E87" s="148"/>
      <c r="F87" s="164" t="str">
        <f>+F68</f>
        <v>Q1 2023</v>
      </c>
      <c r="G87" s="164" t="str">
        <f>+G40</f>
        <v>Q2 2023</v>
      </c>
      <c r="H87" s="164" t="str">
        <f>+H68</f>
        <v>Q3 2023</v>
      </c>
      <c r="I87" s="164" t="str">
        <f>+I68</f>
        <v>Q4 2023</v>
      </c>
      <c r="J87" s="164" t="str">
        <f>+J40</f>
        <v>Q1-Q3 2023</v>
      </c>
      <c r="K87" s="148"/>
      <c r="L87" s="164" t="str">
        <f>+L68</f>
        <v>Q1 2022</v>
      </c>
      <c r="M87" s="164" t="str">
        <f>+M40</f>
        <v>Q2 2022</v>
      </c>
      <c r="N87" s="164" t="str">
        <f>+N68</f>
        <v>Q3 2022</v>
      </c>
      <c r="O87" s="164" t="str">
        <f>+O68</f>
        <v>Q4 2022</v>
      </c>
      <c r="P87" s="164" t="str">
        <f>+P40</f>
        <v>Q1-Q4 2022</v>
      </c>
      <c r="Q87" s="150" t="str">
        <f>+Q68</f>
        <v>Q1 2021</v>
      </c>
      <c r="R87" s="150" t="str">
        <f t="shared" ref="R87:U87" si="57">+R68</f>
        <v>Q2 2021</v>
      </c>
      <c r="S87" s="150" t="str">
        <f t="shared" si="57"/>
        <v>Q3 2021</v>
      </c>
      <c r="T87" s="150" t="str">
        <f t="shared" si="57"/>
        <v>Q4 2021</v>
      </c>
      <c r="U87" s="150" t="str">
        <f t="shared" si="57"/>
        <v>Q1-Q4 2021</v>
      </c>
    </row>
    <row r="88" spans="3:21" ht="18" x14ac:dyDescent="0.35">
      <c r="C88" s="101"/>
      <c r="D88" s="101"/>
      <c r="E88" s="101"/>
      <c r="F88" s="165"/>
      <c r="G88" s="165"/>
      <c r="H88" s="165"/>
      <c r="I88" s="165"/>
      <c r="J88" s="165"/>
      <c r="K88" s="101"/>
      <c r="L88" s="165"/>
      <c r="M88" s="165"/>
      <c r="N88" s="165"/>
      <c r="O88" s="165"/>
      <c r="P88" s="165"/>
      <c r="Q88" s="101"/>
      <c r="R88" s="101"/>
      <c r="S88" s="101"/>
      <c r="T88" s="101"/>
      <c r="U88" s="101"/>
    </row>
    <row r="89" spans="3:21" ht="18" x14ac:dyDescent="0.35">
      <c r="C89" s="108" t="s">
        <v>57</v>
      </c>
      <c r="D89" s="109"/>
      <c r="E89" s="109"/>
      <c r="F89" s="167">
        <f>(F13/L13)-1</f>
        <v>0.26334519572953741</v>
      </c>
      <c r="G89" s="167">
        <f>(G13/M13)-1</f>
        <v>-4.8929663608562657E-2</v>
      </c>
      <c r="H89" s="167">
        <f>(H13/L13)-1</f>
        <v>-0.10676156583629892</v>
      </c>
      <c r="I89" s="167">
        <f>(I13/M13)-1</f>
        <v>-1</v>
      </c>
      <c r="J89" s="167">
        <f>(SUM(F13:I13)/SUM(L51:M51))-1</f>
        <v>0.50822368421052633</v>
      </c>
      <c r="K89" s="109"/>
      <c r="L89" s="167">
        <f>(L13/Q13)-1</f>
        <v>0.60571428571428565</v>
      </c>
      <c r="M89" s="167">
        <f>(M13/R13)-1</f>
        <v>0.36820083682008375</v>
      </c>
      <c r="N89" s="167">
        <f>(N13/S13)-1</f>
        <v>0.40375586854460099</v>
      </c>
      <c r="O89" s="167">
        <f>(O13/T13)-1</f>
        <v>0.10593220338983045</v>
      </c>
      <c r="P89" s="167">
        <f>(SUM(L13:O13)/SUM(Q13:R13))-1</f>
        <v>1.8212560386473431</v>
      </c>
      <c r="Q89" s="120">
        <f>(Q13/Y13)-1</f>
        <v>0.11464968152866239</v>
      </c>
      <c r="R89" s="120">
        <f>(R13/Z13)-1</f>
        <v>0.78358208955223874</v>
      </c>
      <c r="S89" s="120">
        <f>(S13/AA13)-1</f>
        <v>0.45890410958904115</v>
      </c>
      <c r="T89" s="120">
        <f>(T13/AB13)-1</f>
        <v>0.5629139072847682</v>
      </c>
      <c r="U89" s="120">
        <f>(U13/AC13)-1</f>
        <v>0.46768707482993199</v>
      </c>
    </row>
    <row r="90" spans="3:21" ht="18.75" thickBot="1" x14ac:dyDescent="0.4">
      <c r="C90" s="147"/>
      <c r="D90" s="151"/>
      <c r="E90" s="151"/>
      <c r="F90" s="168"/>
      <c r="G90" s="168"/>
      <c r="H90" s="168"/>
      <c r="I90" s="168"/>
      <c r="J90" s="168"/>
      <c r="K90" s="151"/>
      <c r="L90" s="168"/>
      <c r="M90" s="168"/>
      <c r="N90" s="168"/>
      <c r="O90" s="168"/>
      <c r="P90" s="168"/>
      <c r="Q90" s="153"/>
      <c r="R90" s="153"/>
      <c r="S90" s="153"/>
      <c r="T90" s="153"/>
      <c r="U90" s="154"/>
    </row>
    <row r="91" spans="3:21" ht="18" x14ac:dyDescent="0.35"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3:21" ht="39" hidden="1" customHeight="1" outlineLevel="1" thickBot="1" x14ac:dyDescent="0.4">
      <c r="C92" s="102" t="s">
        <v>58</v>
      </c>
      <c r="D92" s="103"/>
      <c r="E92" s="103"/>
      <c r="F92" s="104" t="str">
        <f t="shared" ref="F92:J92" si="58">+F40</f>
        <v>Q1 2023</v>
      </c>
      <c r="G92" s="104" t="str">
        <f t="shared" si="58"/>
        <v>Q2 2023</v>
      </c>
      <c r="H92" s="104" t="str">
        <f t="shared" si="58"/>
        <v>Q3 2023</v>
      </c>
      <c r="I92" s="104" t="str">
        <f t="shared" si="58"/>
        <v>Q4 2023</v>
      </c>
      <c r="J92" s="104" t="str">
        <f t="shared" si="58"/>
        <v>Q1-Q3 2023</v>
      </c>
      <c r="K92" s="103"/>
      <c r="L92" s="104" t="str">
        <f t="shared" ref="L92:U92" si="59">+L40</f>
        <v>Q1 2022</v>
      </c>
      <c r="M92" s="104" t="str">
        <f t="shared" si="59"/>
        <v>Q2 2022</v>
      </c>
      <c r="N92" s="104" t="str">
        <f t="shared" si="59"/>
        <v>Q3 2022</v>
      </c>
      <c r="O92" s="104" t="str">
        <f t="shared" si="59"/>
        <v>Q4 2022</v>
      </c>
      <c r="P92" s="104" t="str">
        <f t="shared" si="59"/>
        <v>Q1-Q4 2022</v>
      </c>
      <c r="Q92" s="105" t="str">
        <f t="shared" si="59"/>
        <v>Q1 2021</v>
      </c>
      <c r="R92" s="105" t="str">
        <f t="shared" si="59"/>
        <v>Q2 2021</v>
      </c>
      <c r="S92" s="105" t="str">
        <f t="shared" si="59"/>
        <v>Q3 2021</v>
      </c>
      <c r="T92" s="105" t="str">
        <f t="shared" si="59"/>
        <v>Q4 2021</v>
      </c>
      <c r="U92" s="105" t="str">
        <f t="shared" si="59"/>
        <v>Q1-Q4 2021</v>
      </c>
    </row>
    <row r="93" spans="3:21" ht="36.75" hidden="1" outlineLevel="2" thickTop="1" x14ac:dyDescent="0.35">
      <c r="C93" s="142" t="s">
        <v>59</v>
      </c>
      <c r="D93" s="106"/>
      <c r="E93" s="106"/>
      <c r="F93" s="107"/>
      <c r="G93" s="107"/>
      <c r="H93" s="107"/>
      <c r="I93" s="107"/>
      <c r="J93" s="107"/>
      <c r="K93" s="106"/>
      <c r="L93" s="107"/>
      <c r="M93" s="107"/>
      <c r="N93" s="107"/>
      <c r="O93" s="107"/>
      <c r="P93" s="107"/>
      <c r="Q93" s="106"/>
      <c r="R93" s="106"/>
      <c r="S93" s="106"/>
      <c r="T93" s="106"/>
      <c r="U93" s="106"/>
    </row>
    <row r="94" spans="3:21" ht="18" hidden="1" outlineLevel="2" x14ac:dyDescent="0.35">
      <c r="C94" s="130"/>
      <c r="D94" s="106"/>
      <c r="E94" s="106"/>
      <c r="F94" s="107"/>
      <c r="G94" s="107"/>
      <c r="H94" s="107"/>
      <c r="I94" s="107"/>
      <c r="J94" s="107"/>
      <c r="K94" s="106"/>
      <c r="L94" s="107"/>
      <c r="M94" s="107"/>
      <c r="N94" s="107"/>
      <c r="O94" s="107"/>
      <c r="P94" s="107"/>
      <c r="Q94" s="106"/>
      <c r="R94" s="106"/>
      <c r="S94" s="106"/>
      <c r="T94" s="106"/>
      <c r="U94" s="106"/>
    </row>
    <row r="95" spans="3:21" ht="18" hidden="1" outlineLevel="2" x14ac:dyDescent="0.35">
      <c r="C95" s="101" t="s">
        <v>60</v>
      </c>
      <c r="D95" s="106"/>
      <c r="E95" s="106"/>
      <c r="F95" s="118">
        <f t="shared" ref="F95:J95" si="60">F12</f>
        <v>27329</v>
      </c>
      <c r="G95" s="118">
        <f t="shared" si="60"/>
        <v>27329</v>
      </c>
      <c r="H95" s="118">
        <f t="shared" si="60"/>
        <v>27329</v>
      </c>
      <c r="I95" s="118">
        <f t="shared" si="60"/>
        <v>27329</v>
      </c>
      <c r="J95" s="118">
        <f t="shared" si="60"/>
        <v>27329</v>
      </c>
      <c r="K95" s="106"/>
      <c r="L95" s="118">
        <f t="shared" ref="L95:U95" si="61">L12</f>
        <v>27329.135999999999</v>
      </c>
      <c r="M95" s="118">
        <f t="shared" si="61"/>
        <v>27329.135999999999</v>
      </c>
      <c r="N95" s="118">
        <f t="shared" si="61"/>
        <v>27329.135999999999</v>
      </c>
      <c r="O95" s="118">
        <f t="shared" si="61"/>
        <v>27329.135999999999</v>
      </c>
      <c r="P95" s="118">
        <f t="shared" si="61"/>
        <v>27329.135999999999</v>
      </c>
      <c r="Q95" s="119">
        <f t="shared" si="61"/>
        <v>27329</v>
      </c>
      <c r="R95" s="119">
        <f t="shared" si="61"/>
        <v>27245</v>
      </c>
      <c r="S95" s="119">
        <f t="shared" si="61"/>
        <v>27329</v>
      </c>
      <c r="T95" s="119">
        <f t="shared" si="61"/>
        <v>27329</v>
      </c>
      <c r="U95" s="119">
        <f t="shared" si="61"/>
        <v>27329</v>
      </c>
    </row>
    <row r="96" spans="3:21" ht="18" hidden="1" outlineLevel="2" x14ac:dyDescent="0.35">
      <c r="C96" s="101"/>
      <c r="D96" s="115"/>
      <c r="E96" s="115"/>
      <c r="F96" s="118"/>
      <c r="G96" s="118"/>
      <c r="H96" s="118"/>
      <c r="I96" s="118"/>
      <c r="J96" s="118"/>
      <c r="K96" s="115"/>
      <c r="L96" s="118"/>
      <c r="M96" s="118"/>
      <c r="N96" s="118"/>
      <c r="O96" s="118"/>
      <c r="P96" s="118"/>
      <c r="Q96" s="119"/>
      <c r="R96" s="119"/>
      <c r="S96" s="119"/>
      <c r="T96" s="119"/>
      <c r="U96" s="119"/>
    </row>
    <row r="97" spans="3:32" ht="18" hidden="1" outlineLevel="2" x14ac:dyDescent="0.35">
      <c r="C97" s="101" t="s">
        <v>61</v>
      </c>
      <c r="D97" s="115"/>
      <c r="E97" s="115"/>
      <c r="F97" s="118">
        <f t="shared" ref="F97:J97" si="62">F21</f>
        <v>19</v>
      </c>
      <c r="G97" s="118">
        <f t="shared" si="62"/>
        <v>25</v>
      </c>
      <c r="H97" s="118">
        <f t="shared" si="62"/>
        <v>11</v>
      </c>
      <c r="I97" s="118">
        <f t="shared" si="62"/>
        <v>0</v>
      </c>
      <c r="J97" s="118">
        <f t="shared" si="62"/>
        <v>55</v>
      </c>
      <c r="K97" s="115"/>
      <c r="L97" s="118">
        <f t="shared" ref="L97:U97" si="63">L21</f>
        <v>28</v>
      </c>
      <c r="M97" s="118">
        <f t="shared" si="63"/>
        <v>27</v>
      </c>
      <c r="N97" s="118">
        <f t="shared" si="63"/>
        <v>26</v>
      </c>
      <c r="O97" s="118">
        <f t="shared" si="63"/>
        <v>-11</v>
      </c>
      <c r="P97" s="118">
        <f t="shared" si="63"/>
        <v>70</v>
      </c>
      <c r="Q97" s="119">
        <f t="shared" si="63"/>
        <v>15</v>
      </c>
      <c r="R97" s="119">
        <f t="shared" si="63"/>
        <v>17</v>
      </c>
      <c r="S97" s="119">
        <f t="shared" si="63"/>
        <v>17</v>
      </c>
      <c r="T97" s="119">
        <f t="shared" si="63"/>
        <v>9</v>
      </c>
      <c r="U97" s="119">
        <f t="shared" si="63"/>
        <v>58</v>
      </c>
    </row>
    <row r="98" spans="3:32" ht="18" hidden="1" outlineLevel="2" x14ac:dyDescent="0.35">
      <c r="C98" s="108" t="s">
        <v>62</v>
      </c>
      <c r="D98" s="115"/>
      <c r="E98" s="115"/>
      <c r="F98" s="134">
        <f>F97/(F95/1000)</f>
        <v>0.69523217095393175</v>
      </c>
      <c r="G98" s="134">
        <f>G97/(G95/1000)</f>
        <v>0.91477917230780492</v>
      </c>
      <c r="H98" s="134">
        <v>0.26</v>
      </c>
      <c r="I98" s="134">
        <f>I97/(I95/1000)</f>
        <v>0</v>
      </c>
      <c r="J98" s="134">
        <f>J97/(J95/1000)</f>
        <v>2.0125141790771708</v>
      </c>
      <c r="K98" s="115"/>
      <c r="L98" s="134">
        <f>L97/(L95/1000)</f>
        <v>1.0245475744275268</v>
      </c>
      <c r="M98" s="134">
        <f>M97/(M95/1000)</f>
        <v>0.98795658962654365</v>
      </c>
      <c r="N98" s="134">
        <v>0.26</v>
      </c>
      <c r="O98" s="134">
        <f>O97/(O95/1000)</f>
        <v>-0.40250083281081411</v>
      </c>
      <c r="P98" s="134">
        <f>P97/(P95/1000)</f>
        <v>2.561368936068817</v>
      </c>
      <c r="Q98" s="135">
        <f t="shared" ref="Q98" si="64">Q97/(Q95/1000)</f>
        <v>0.54886750338468293</v>
      </c>
      <c r="R98" s="135">
        <f>R97/(R95/1000)</f>
        <v>0.62396770049550376</v>
      </c>
      <c r="S98" s="135">
        <v>0.59</v>
      </c>
      <c r="T98" s="135">
        <f>T97/(T95/1000)</f>
        <v>0.32932050203080976</v>
      </c>
      <c r="U98" s="135">
        <f>U97/(U95/1000)</f>
        <v>2.1222876797541073</v>
      </c>
    </row>
    <row r="99" spans="3:32" ht="18" hidden="1" outlineLevel="2" x14ac:dyDescent="0.35">
      <c r="C99" s="108"/>
      <c r="D99" s="115"/>
      <c r="E99" s="115"/>
      <c r="F99" s="107"/>
      <c r="G99" s="107"/>
      <c r="H99" s="107"/>
      <c r="I99" s="107"/>
      <c r="J99" s="107"/>
      <c r="K99" s="115"/>
      <c r="L99" s="107"/>
      <c r="M99" s="107"/>
      <c r="N99" s="107"/>
      <c r="O99" s="107"/>
      <c r="P99" s="107"/>
      <c r="Q99" s="106"/>
      <c r="R99" s="106"/>
      <c r="S99" s="106"/>
      <c r="T99" s="106"/>
      <c r="U99" s="106"/>
    </row>
    <row r="100" spans="3:32" ht="18" hidden="1" outlineLevel="2" x14ac:dyDescent="0.35">
      <c r="C100" s="101" t="s">
        <v>63</v>
      </c>
      <c r="D100" s="112"/>
      <c r="E100" s="112"/>
      <c r="F100" s="118">
        <f t="shared" ref="F100:J100" si="65">F23</f>
        <v>19</v>
      </c>
      <c r="G100" s="118">
        <f t="shared" si="65"/>
        <v>25</v>
      </c>
      <c r="H100" s="118">
        <f t="shared" si="65"/>
        <v>11</v>
      </c>
      <c r="I100" s="118">
        <f t="shared" si="65"/>
        <v>0</v>
      </c>
      <c r="J100" s="118">
        <f t="shared" si="65"/>
        <v>55</v>
      </c>
      <c r="K100" s="112"/>
      <c r="L100" s="118">
        <f t="shared" ref="L100:U100" si="66">L23</f>
        <v>28</v>
      </c>
      <c r="M100" s="118">
        <f t="shared" si="66"/>
        <v>27</v>
      </c>
      <c r="N100" s="118">
        <f t="shared" si="66"/>
        <v>26</v>
      </c>
      <c r="O100" s="118">
        <f t="shared" si="66"/>
        <v>-5</v>
      </c>
      <c r="P100" s="118">
        <f t="shared" si="66"/>
        <v>76</v>
      </c>
      <c r="Q100" s="119">
        <f t="shared" si="66"/>
        <v>15</v>
      </c>
      <c r="R100" s="119">
        <f t="shared" si="66"/>
        <v>17</v>
      </c>
      <c r="S100" s="119">
        <f t="shared" si="66"/>
        <v>17</v>
      </c>
      <c r="T100" s="119">
        <f t="shared" si="66"/>
        <v>9</v>
      </c>
      <c r="U100" s="119">
        <f t="shared" si="66"/>
        <v>58</v>
      </c>
    </row>
    <row r="101" spans="3:32" ht="18.75" hidden="1" outlineLevel="2" thickBot="1" x14ac:dyDescent="0.4">
      <c r="C101" s="102" t="s">
        <v>64</v>
      </c>
      <c r="D101" s="122"/>
      <c r="E101" s="122"/>
      <c r="F101" s="136">
        <f>F100/(F95/1000)</f>
        <v>0.69523217095393175</v>
      </c>
      <c r="G101" s="136">
        <f>G100/(G95/1000)</f>
        <v>0.91477917230780492</v>
      </c>
      <c r="H101" s="136">
        <f>H100/(H95/1000)</f>
        <v>0.40250283581543417</v>
      </c>
      <c r="I101" s="136">
        <f>I100/(I95/1000)</f>
        <v>0</v>
      </c>
      <c r="J101" s="136">
        <f>J100/(J95/1000)</f>
        <v>2.0125141790771708</v>
      </c>
      <c r="K101" s="122"/>
      <c r="L101" s="136">
        <f>L100/(L95/1000)</f>
        <v>1.0245475744275268</v>
      </c>
      <c r="M101" s="136">
        <f>M100/(M95/1000)</f>
        <v>0.98795658962654365</v>
      </c>
      <c r="N101" s="136">
        <f>N100/(N95/1000)</f>
        <v>0.95136560482556054</v>
      </c>
      <c r="O101" s="136">
        <f>O100/(O95/1000)</f>
        <v>-0.1829549240049155</v>
      </c>
      <c r="P101" s="136">
        <f>P100/(P95/1000)</f>
        <v>2.7809148448747156</v>
      </c>
      <c r="Q101" s="137">
        <f t="shared" ref="Q101" si="67">Q100/(Q95/1000)</f>
        <v>0.54886750338468293</v>
      </c>
      <c r="R101" s="137">
        <f>R100/(R95/1000)</f>
        <v>0.62396770049550376</v>
      </c>
      <c r="S101" s="137">
        <f>S100/(S95/1000)</f>
        <v>0.62204983716930728</v>
      </c>
      <c r="T101" s="137">
        <f>T100/(T95/1000)</f>
        <v>0.32932050203080976</v>
      </c>
      <c r="U101" s="137">
        <f>U100/(U95/1000)</f>
        <v>2.1222876797541073</v>
      </c>
    </row>
    <row r="102" spans="3:32" ht="18.75" hidden="1" outlineLevel="1" collapsed="1" thickTop="1" x14ac:dyDescent="0.35"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3:32" ht="18" hidden="1" outlineLevel="1" x14ac:dyDescent="0.35"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3:32" ht="43.9" hidden="1" customHeight="1" outlineLevel="1" thickBot="1" x14ac:dyDescent="0.4">
      <c r="C104" s="102" t="s">
        <v>65</v>
      </c>
      <c r="D104" s="103"/>
      <c r="E104" s="103"/>
      <c r="F104" s="104" t="str">
        <f>+F92</f>
        <v>Q1 2023</v>
      </c>
      <c r="G104" s="104" t="str">
        <f t="shared" ref="G104:J104" si="68">+G92</f>
        <v>Q2 2023</v>
      </c>
      <c r="H104" s="104" t="str">
        <f t="shared" si="68"/>
        <v>Q3 2023</v>
      </c>
      <c r="I104" s="104" t="str">
        <f t="shared" si="68"/>
        <v>Q4 2023</v>
      </c>
      <c r="J104" s="104" t="str">
        <f t="shared" si="68"/>
        <v>Q1-Q3 2023</v>
      </c>
      <c r="K104" s="103"/>
      <c r="L104" s="104" t="str">
        <f>+L92</f>
        <v>Q1 2022</v>
      </c>
      <c r="M104" s="104" t="str">
        <f t="shared" ref="M104:P104" si="69">+M92</f>
        <v>Q2 2022</v>
      </c>
      <c r="N104" s="104" t="str">
        <f t="shared" si="69"/>
        <v>Q3 2022</v>
      </c>
      <c r="O104" s="104" t="str">
        <f t="shared" si="69"/>
        <v>Q4 2022</v>
      </c>
      <c r="P104" s="104" t="str">
        <f t="shared" si="69"/>
        <v>Q1-Q4 2022</v>
      </c>
      <c r="Q104" s="105" t="str">
        <f>+Q92</f>
        <v>Q1 2021</v>
      </c>
      <c r="R104" s="105" t="str">
        <f t="shared" ref="R104:U104" si="70">+R92</f>
        <v>Q2 2021</v>
      </c>
      <c r="S104" s="105" t="str">
        <f t="shared" si="70"/>
        <v>Q3 2021</v>
      </c>
      <c r="T104" s="105" t="str">
        <f t="shared" si="70"/>
        <v>Q4 2021</v>
      </c>
      <c r="U104" s="105" t="str">
        <f t="shared" si="70"/>
        <v>Q1-Q4 2021</v>
      </c>
    </row>
    <row r="105" spans="3:32" ht="162.75" hidden="1" outlineLevel="2" thickTop="1" x14ac:dyDescent="0.35">
      <c r="C105" s="142" t="s">
        <v>66</v>
      </c>
      <c r="D105" s="106"/>
      <c r="E105" s="106"/>
      <c r="F105" s="107"/>
      <c r="G105" s="107"/>
      <c r="H105" s="107"/>
      <c r="I105" s="107"/>
      <c r="J105" s="107"/>
      <c r="K105" s="106"/>
      <c r="L105" s="107"/>
      <c r="M105" s="107"/>
      <c r="N105" s="107"/>
      <c r="O105" s="107"/>
      <c r="P105" s="107"/>
      <c r="Q105" s="106"/>
      <c r="R105" s="106"/>
      <c r="S105" s="106"/>
      <c r="T105" s="106"/>
      <c r="U105" s="106"/>
    </row>
    <row r="106" spans="3:32" ht="18" hidden="1" outlineLevel="2" x14ac:dyDescent="0.35">
      <c r="C106" s="130"/>
      <c r="D106" s="106"/>
      <c r="E106" s="106"/>
      <c r="F106" s="107"/>
      <c r="G106" s="107"/>
      <c r="H106" s="107"/>
      <c r="I106" s="107"/>
      <c r="J106" s="107"/>
      <c r="K106" s="106"/>
      <c r="L106" s="107"/>
      <c r="M106" s="107"/>
      <c r="N106" s="107"/>
      <c r="O106" s="107"/>
      <c r="P106" s="107"/>
      <c r="Q106" s="106"/>
      <c r="R106" s="106"/>
      <c r="S106" s="106"/>
      <c r="T106" s="106"/>
      <c r="U106" s="106"/>
    </row>
    <row r="107" spans="3:32" ht="18" hidden="1" outlineLevel="2" x14ac:dyDescent="0.35">
      <c r="C107" s="101" t="s">
        <v>67</v>
      </c>
      <c r="D107" s="106"/>
      <c r="E107" s="106"/>
      <c r="F107" s="118">
        <f>F12</f>
        <v>27329</v>
      </c>
      <c r="G107" s="118">
        <f>G12</f>
        <v>27329</v>
      </c>
      <c r="H107" s="118">
        <f>H12</f>
        <v>27329</v>
      </c>
      <c r="I107" s="118">
        <f>I12</f>
        <v>27329</v>
      </c>
      <c r="J107" s="118">
        <f>J12</f>
        <v>27329</v>
      </c>
      <c r="K107" s="106"/>
      <c r="L107" s="118">
        <f>L12</f>
        <v>27329.135999999999</v>
      </c>
      <c r="M107" s="118">
        <f>M12</f>
        <v>27329.135999999999</v>
      </c>
      <c r="N107" s="118">
        <f>N12</f>
        <v>27329.135999999999</v>
      </c>
      <c r="O107" s="118">
        <f>O12</f>
        <v>27329.135999999999</v>
      </c>
      <c r="P107" s="118">
        <f>P12</f>
        <v>27329.135999999999</v>
      </c>
      <c r="Q107" s="119">
        <v>29409</v>
      </c>
      <c r="R107" s="119">
        <v>27329</v>
      </c>
      <c r="S107" s="119">
        <v>27329</v>
      </c>
      <c r="T107" s="119">
        <v>27329</v>
      </c>
      <c r="U107" s="119">
        <v>29409</v>
      </c>
      <c r="Y107" t="s">
        <v>68</v>
      </c>
    </row>
    <row r="108" spans="3:32" ht="18" hidden="1" outlineLevel="2" x14ac:dyDescent="0.35">
      <c r="C108" s="101"/>
      <c r="D108" s="115"/>
      <c r="E108" s="115"/>
      <c r="F108" s="118"/>
      <c r="G108" s="118"/>
      <c r="H108" s="118"/>
      <c r="I108" s="118"/>
      <c r="J108" s="118"/>
      <c r="K108" s="115"/>
      <c r="L108" s="118"/>
      <c r="M108" s="118"/>
      <c r="N108" s="118"/>
      <c r="O108" s="118"/>
      <c r="P108" s="118"/>
      <c r="Q108" s="119"/>
      <c r="R108" s="119"/>
      <c r="S108" s="119"/>
      <c r="T108" s="119"/>
      <c r="U108" s="119"/>
    </row>
    <row r="109" spans="3:32" ht="18" hidden="1" outlineLevel="2" x14ac:dyDescent="0.35">
      <c r="C109" s="101" t="s">
        <v>69</v>
      </c>
      <c r="D109" s="115"/>
      <c r="E109" s="115"/>
      <c r="F109" s="118">
        <f t="shared" ref="F109:J109" si="71">F21</f>
        <v>19</v>
      </c>
      <c r="G109" s="118">
        <f t="shared" si="71"/>
        <v>25</v>
      </c>
      <c r="H109" s="118">
        <f t="shared" si="71"/>
        <v>11</v>
      </c>
      <c r="I109" s="118">
        <f t="shared" si="71"/>
        <v>0</v>
      </c>
      <c r="J109" s="118">
        <f t="shared" si="71"/>
        <v>55</v>
      </c>
      <c r="K109" s="115"/>
      <c r="L109" s="118">
        <f t="shared" ref="L109:U109" si="72">L21</f>
        <v>28</v>
      </c>
      <c r="M109" s="118">
        <f t="shared" si="72"/>
        <v>27</v>
      </c>
      <c r="N109" s="118">
        <f t="shared" si="72"/>
        <v>26</v>
      </c>
      <c r="O109" s="118">
        <f t="shared" si="72"/>
        <v>-11</v>
      </c>
      <c r="P109" s="118">
        <f t="shared" si="72"/>
        <v>70</v>
      </c>
      <c r="Q109" s="119">
        <f t="shared" si="72"/>
        <v>15</v>
      </c>
      <c r="R109" s="119">
        <f t="shared" si="72"/>
        <v>17</v>
      </c>
      <c r="S109" s="119">
        <f t="shared" si="72"/>
        <v>17</v>
      </c>
      <c r="T109" s="119">
        <f t="shared" si="72"/>
        <v>9</v>
      </c>
      <c r="U109" s="119">
        <f t="shared" si="72"/>
        <v>58</v>
      </c>
      <c r="AF109" t="s">
        <v>70</v>
      </c>
    </row>
    <row r="110" spans="3:32" ht="18" hidden="1" outlineLevel="2" x14ac:dyDescent="0.35">
      <c r="C110" s="110" t="s">
        <v>71</v>
      </c>
      <c r="D110" s="111"/>
      <c r="E110" s="111"/>
      <c r="F110" s="138">
        <v>0</v>
      </c>
      <c r="G110" s="138">
        <v>0</v>
      </c>
      <c r="H110" s="138">
        <v>0</v>
      </c>
      <c r="I110" s="138">
        <v>0</v>
      </c>
      <c r="J110" s="138">
        <v>0</v>
      </c>
      <c r="K110" s="111"/>
      <c r="L110" s="138">
        <v>0</v>
      </c>
      <c r="M110" s="138">
        <v>0</v>
      </c>
      <c r="N110" s="138">
        <v>0</v>
      </c>
      <c r="O110" s="138">
        <v>0</v>
      </c>
      <c r="P110" s="138">
        <v>0</v>
      </c>
      <c r="Q110" s="139">
        <f>2-0.4</f>
        <v>1.6</v>
      </c>
      <c r="R110" s="139">
        <f>0.7-0.14</f>
        <v>0.55999999999999994</v>
      </c>
      <c r="S110" s="139">
        <v>0</v>
      </c>
      <c r="T110" s="139">
        <v>0</v>
      </c>
      <c r="U110" s="139">
        <v>6.3</v>
      </c>
    </row>
    <row r="111" spans="3:32" ht="18" hidden="1" outlineLevel="2" x14ac:dyDescent="0.35">
      <c r="C111" s="101" t="s">
        <v>72</v>
      </c>
      <c r="D111" s="106"/>
      <c r="E111" s="106"/>
      <c r="F111" s="118">
        <f>SUM(F109:F110)</f>
        <v>19</v>
      </c>
      <c r="G111" s="118">
        <f>SUM(G109:G110)</f>
        <v>25</v>
      </c>
      <c r="H111" s="118">
        <f>SUM(H109:H110)</f>
        <v>11</v>
      </c>
      <c r="I111" s="118">
        <f>SUM(I109:I110)</f>
        <v>0</v>
      </c>
      <c r="J111" s="118">
        <f>SUM(J109:J110)</f>
        <v>55</v>
      </c>
      <c r="K111" s="106"/>
      <c r="L111" s="118">
        <f>SUM(L109:L110)</f>
        <v>28</v>
      </c>
      <c r="M111" s="118">
        <f>SUM(M109:M110)</f>
        <v>27</v>
      </c>
      <c r="N111" s="118">
        <f>SUM(N109:N110)</f>
        <v>26</v>
      </c>
      <c r="O111" s="118">
        <f>SUM(O109:O110)</f>
        <v>-11</v>
      </c>
      <c r="P111" s="118">
        <f>SUM(P109:P110)</f>
        <v>70</v>
      </c>
      <c r="Q111" s="119">
        <f t="shared" ref="Q111" si="73">SUM(Q109:Q110)</f>
        <v>16.600000000000001</v>
      </c>
      <c r="R111" s="119">
        <f t="shared" ref="R111" si="74">SUM(R109:R110)</f>
        <v>17.559999999999999</v>
      </c>
      <c r="S111" s="119">
        <f t="shared" ref="S111:T111" si="75">SUM(S109:S110)</f>
        <v>17</v>
      </c>
      <c r="T111" s="119">
        <f t="shared" si="75"/>
        <v>9</v>
      </c>
      <c r="U111" s="119">
        <f t="shared" ref="U111" si="76">SUM(U109:U110)</f>
        <v>64.3</v>
      </c>
    </row>
    <row r="112" spans="3:32" ht="18" hidden="1" outlineLevel="2" x14ac:dyDescent="0.35">
      <c r="C112" s="108" t="s">
        <v>73</v>
      </c>
      <c r="D112" s="115"/>
      <c r="E112" s="115"/>
      <c r="F112" s="134">
        <f t="shared" ref="F112:J112" si="77">F111/(F107/1000)</f>
        <v>0.69523217095393175</v>
      </c>
      <c r="G112" s="134">
        <f t="shared" si="77"/>
        <v>0.91477917230780492</v>
      </c>
      <c r="H112" s="134">
        <f t="shared" si="77"/>
        <v>0.40250283581543417</v>
      </c>
      <c r="I112" s="134">
        <f t="shared" si="77"/>
        <v>0</v>
      </c>
      <c r="J112" s="134">
        <f t="shared" si="77"/>
        <v>2.0125141790771708</v>
      </c>
      <c r="K112" s="115"/>
      <c r="L112" s="134">
        <f t="shared" ref="L112:U112" si="78">L111/(L107/1000)</f>
        <v>1.0245475744275268</v>
      </c>
      <c r="M112" s="134">
        <f t="shared" si="78"/>
        <v>0.98795658962654365</v>
      </c>
      <c r="N112" s="134">
        <f t="shared" si="78"/>
        <v>0.95136560482556054</v>
      </c>
      <c r="O112" s="134">
        <f t="shared" si="78"/>
        <v>-0.40250083281081411</v>
      </c>
      <c r="P112" s="134">
        <f t="shared" si="78"/>
        <v>2.561368936068817</v>
      </c>
      <c r="Q112" s="135">
        <f t="shared" si="78"/>
        <v>0.56445305858750727</v>
      </c>
      <c r="R112" s="135">
        <f t="shared" si="78"/>
        <v>0.6425408906290021</v>
      </c>
      <c r="S112" s="135">
        <f t="shared" si="78"/>
        <v>0.62204983716930728</v>
      </c>
      <c r="T112" s="135">
        <f t="shared" si="78"/>
        <v>0.32932050203080976</v>
      </c>
      <c r="U112" s="135">
        <f t="shared" si="78"/>
        <v>2.1864055221190792</v>
      </c>
    </row>
    <row r="113" spans="1:31" ht="18" hidden="1" outlineLevel="2" x14ac:dyDescent="0.35">
      <c r="C113" s="108"/>
      <c r="D113" s="115"/>
      <c r="E113" s="115"/>
      <c r="F113" s="107"/>
      <c r="G113" s="107"/>
      <c r="H113" s="107"/>
      <c r="I113" s="107"/>
      <c r="J113" s="107"/>
      <c r="K113" s="115"/>
      <c r="L113" s="107"/>
      <c r="M113" s="107"/>
      <c r="N113" s="107"/>
      <c r="O113" s="107"/>
      <c r="P113" s="107"/>
      <c r="Q113" s="106"/>
      <c r="R113" s="106"/>
      <c r="S113" s="106"/>
      <c r="T113" s="106"/>
      <c r="U113" s="106"/>
    </row>
    <row r="114" spans="1:31" ht="18" hidden="1" outlineLevel="2" x14ac:dyDescent="0.35">
      <c r="C114" s="101" t="s">
        <v>63</v>
      </c>
      <c r="D114" s="112"/>
      <c r="E114" s="112"/>
      <c r="F114" s="118">
        <f t="shared" ref="F114:J114" si="79">F23</f>
        <v>19</v>
      </c>
      <c r="G114" s="118">
        <f t="shared" si="79"/>
        <v>25</v>
      </c>
      <c r="H114" s="118">
        <f t="shared" si="79"/>
        <v>11</v>
      </c>
      <c r="I114" s="118">
        <f t="shared" si="79"/>
        <v>0</v>
      </c>
      <c r="J114" s="118">
        <f t="shared" si="79"/>
        <v>55</v>
      </c>
      <c r="K114" s="112"/>
      <c r="L114" s="118">
        <f t="shared" ref="L114:U114" si="80">L23</f>
        <v>28</v>
      </c>
      <c r="M114" s="118">
        <f t="shared" si="80"/>
        <v>27</v>
      </c>
      <c r="N114" s="118">
        <f t="shared" si="80"/>
        <v>26</v>
      </c>
      <c r="O114" s="118">
        <f t="shared" si="80"/>
        <v>-5</v>
      </c>
      <c r="P114" s="118">
        <f t="shared" si="80"/>
        <v>76</v>
      </c>
      <c r="Q114" s="119">
        <f t="shared" si="80"/>
        <v>15</v>
      </c>
      <c r="R114" s="119">
        <f t="shared" si="80"/>
        <v>17</v>
      </c>
      <c r="S114" s="119">
        <f t="shared" si="80"/>
        <v>17</v>
      </c>
      <c r="T114" s="119">
        <f t="shared" si="80"/>
        <v>9</v>
      </c>
      <c r="U114" s="119">
        <f t="shared" si="80"/>
        <v>58</v>
      </c>
    </row>
    <row r="115" spans="1:31" ht="18" hidden="1" outlineLevel="2" x14ac:dyDescent="0.35">
      <c r="C115" s="110" t="s">
        <v>71</v>
      </c>
      <c r="D115" s="111"/>
      <c r="E115" s="111"/>
      <c r="F115" s="138">
        <f>F110</f>
        <v>0</v>
      </c>
      <c r="G115" s="138">
        <f t="shared" ref="G115:J115" si="81">G110</f>
        <v>0</v>
      </c>
      <c r="H115" s="138">
        <f t="shared" si="81"/>
        <v>0</v>
      </c>
      <c r="I115" s="138">
        <f t="shared" si="81"/>
        <v>0</v>
      </c>
      <c r="J115" s="138">
        <f t="shared" si="81"/>
        <v>0</v>
      </c>
      <c r="K115" s="111"/>
      <c r="L115" s="138">
        <f>L110</f>
        <v>0</v>
      </c>
      <c r="M115" s="138">
        <f t="shared" ref="M115:R115" si="82">M110</f>
        <v>0</v>
      </c>
      <c r="N115" s="138">
        <f t="shared" ref="N115:O115" si="83">N110</f>
        <v>0</v>
      </c>
      <c r="O115" s="138">
        <f t="shared" si="83"/>
        <v>0</v>
      </c>
      <c r="P115" s="138">
        <f t="shared" si="82"/>
        <v>0</v>
      </c>
      <c r="Q115" s="139">
        <f t="shared" si="82"/>
        <v>1.6</v>
      </c>
      <c r="R115" s="139">
        <f t="shared" si="82"/>
        <v>0.55999999999999994</v>
      </c>
      <c r="S115" s="139">
        <f t="shared" ref="S115:T115" si="84">S110</f>
        <v>0</v>
      </c>
      <c r="T115" s="139">
        <f t="shared" si="84"/>
        <v>0</v>
      </c>
      <c r="U115" s="139">
        <f>U110</f>
        <v>6.3</v>
      </c>
    </row>
    <row r="116" spans="1:31" ht="18" hidden="1" outlineLevel="2" x14ac:dyDescent="0.35">
      <c r="C116" s="101" t="s">
        <v>74</v>
      </c>
      <c r="D116" s="115"/>
      <c r="E116" s="115"/>
      <c r="F116" s="140">
        <f t="shared" ref="F116:G116" si="85">SUM(F114:F115)</f>
        <v>19</v>
      </c>
      <c r="G116" s="140">
        <f t="shared" si="85"/>
        <v>25</v>
      </c>
      <c r="H116" s="140">
        <f t="shared" ref="H116:I116" si="86">SUM(H114:H115)</f>
        <v>11</v>
      </c>
      <c r="I116" s="140">
        <f t="shared" si="86"/>
        <v>0</v>
      </c>
      <c r="J116" s="140">
        <f t="shared" ref="J116" si="87">SUM(J114:J115)</f>
        <v>55</v>
      </c>
      <c r="K116" s="115"/>
      <c r="L116" s="140">
        <f t="shared" ref="L116:R116" si="88">SUM(L114:L115)</f>
        <v>28</v>
      </c>
      <c r="M116" s="140">
        <f t="shared" si="88"/>
        <v>27</v>
      </c>
      <c r="N116" s="140">
        <f t="shared" ref="N116:O116" si="89">SUM(N114:N115)</f>
        <v>26</v>
      </c>
      <c r="O116" s="140">
        <f t="shared" si="89"/>
        <v>-5</v>
      </c>
      <c r="P116" s="140">
        <f t="shared" si="88"/>
        <v>76</v>
      </c>
      <c r="Q116" s="141">
        <f t="shared" si="88"/>
        <v>16.600000000000001</v>
      </c>
      <c r="R116" s="141">
        <f t="shared" si="88"/>
        <v>17.559999999999999</v>
      </c>
      <c r="S116" s="141">
        <f t="shared" ref="S116:T116" si="90">SUM(S114:S115)</f>
        <v>17</v>
      </c>
      <c r="T116" s="141">
        <f t="shared" si="90"/>
        <v>9</v>
      </c>
      <c r="U116" s="141">
        <f>SUM(U114:U115)</f>
        <v>64.3</v>
      </c>
    </row>
    <row r="117" spans="1:31" ht="18.75" hidden="1" outlineLevel="2" thickBot="1" x14ac:dyDescent="0.4">
      <c r="C117" s="102" t="s">
        <v>75</v>
      </c>
      <c r="D117" s="122"/>
      <c r="E117" s="122"/>
      <c r="F117" s="136">
        <f t="shared" ref="F117:J117" si="91">F116/(F107/1000)</f>
        <v>0.69523217095393175</v>
      </c>
      <c r="G117" s="136">
        <f t="shared" si="91"/>
        <v>0.91477917230780492</v>
      </c>
      <c r="H117" s="136">
        <f t="shared" si="91"/>
        <v>0.40250283581543417</v>
      </c>
      <c r="I117" s="136">
        <f t="shared" si="91"/>
        <v>0</v>
      </c>
      <c r="J117" s="136">
        <f t="shared" si="91"/>
        <v>2.0125141790771708</v>
      </c>
      <c r="K117" s="122"/>
      <c r="L117" s="136">
        <f t="shared" ref="L117:M117" si="92">L116/(L107/1000)</f>
        <v>1.0245475744275268</v>
      </c>
      <c r="M117" s="136">
        <f t="shared" si="92"/>
        <v>0.98795658962654365</v>
      </c>
      <c r="N117" s="136">
        <f t="shared" ref="N117:U117" si="93">N116/(N107/1000)</f>
        <v>0.95136560482556054</v>
      </c>
      <c r="O117" s="136">
        <f t="shared" si="93"/>
        <v>-0.1829549240049155</v>
      </c>
      <c r="P117" s="136">
        <f t="shared" si="93"/>
        <v>2.7809148448747156</v>
      </c>
      <c r="Q117" s="137">
        <f t="shared" si="93"/>
        <v>0.56445305858750727</v>
      </c>
      <c r="R117" s="137">
        <f t="shared" si="93"/>
        <v>0.6425408906290021</v>
      </c>
      <c r="S117" s="137">
        <f t="shared" si="93"/>
        <v>0.62204983716930728</v>
      </c>
      <c r="T117" s="137">
        <f t="shared" si="93"/>
        <v>0.32932050203080976</v>
      </c>
      <c r="U117" s="137">
        <f t="shared" si="93"/>
        <v>2.1864055221190792</v>
      </c>
    </row>
    <row r="118" spans="1:31" ht="18.75" hidden="1" outlineLevel="1" collapsed="1" thickTop="1" x14ac:dyDescent="0.35"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</row>
    <row r="119" spans="1:31" ht="18" collapsed="1" x14ac:dyDescent="0.35"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</row>
    <row r="120" spans="1:31" ht="24" x14ac:dyDescent="0.45">
      <c r="C120" s="100" t="s">
        <v>76</v>
      </c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</row>
    <row r="121" spans="1:31" ht="37.5" customHeight="1" thickBot="1" x14ac:dyDescent="0.4">
      <c r="C121" s="147" t="s">
        <v>77</v>
      </c>
      <c r="D121" s="148"/>
      <c r="E121" s="148"/>
      <c r="F121" s="164" t="str">
        <f>F9</f>
        <v>Q1 2023</v>
      </c>
      <c r="G121" s="164" t="str">
        <f>G9</f>
        <v>Q2 2023</v>
      </c>
      <c r="H121" s="164" t="str">
        <f>H9</f>
        <v>Q3 2023</v>
      </c>
      <c r="I121" s="149" t="s">
        <v>16</v>
      </c>
      <c r="J121" s="164"/>
      <c r="K121" s="148"/>
      <c r="L121" s="164" t="str">
        <f>L9</f>
        <v>Q1 2022</v>
      </c>
      <c r="M121" s="164" t="str">
        <f>M9</f>
        <v>Q2 2022</v>
      </c>
      <c r="N121" s="164" t="str">
        <f>N9</f>
        <v>Q3 2022</v>
      </c>
      <c r="O121" s="164" t="s">
        <v>7</v>
      </c>
      <c r="P121" s="164"/>
      <c r="Q121" s="150" t="str">
        <f>Q9</f>
        <v>Q1 2021</v>
      </c>
      <c r="R121" s="150" t="str">
        <f>R9</f>
        <v>Q2 2021</v>
      </c>
      <c r="S121" s="150" t="str">
        <f>S9</f>
        <v>Q3 2021</v>
      </c>
      <c r="T121" s="150" t="str">
        <f>T9</f>
        <v>Q4 2021</v>
      </c>
      <c r="U121" s="150"/>
    </row>
    <row r="122" spans="1:31" ht="54" outlineLevel="1" x14ac:dyDescent="0.35">
      <c r="C122" s="142" t="s">
        <v>78</v>
      </c>
      <c r="D122" s="106"/>
      <c r="E122" s="106"/>
      <c r="F122" s="169"/>
      <c r="G122" s="169"/>
      <c r="H122" s="169"/>
      <c r="I122" s="107"/>
      <c r="J122" s="106"/>
      <c r="K122" s="106"/>
      <c r="L122" s="169"/>
      <c r="M122" s="169"/>
      <c r="N122" s="169"/>
      <c r="O122" s="169"/>
      <c r="P122" s="106"/>
      <c r="Q122" s="106"/>
      <c r="R122" s="106"/>
      <c r="S122" s="106"/>
      <c r="T122" s="106"/>
      <c r="U122" s="106"/>
    </row>
    <row r="123" spans="1:31" ht="18" outlineLevel="1" x14ac:dyDescent="0.35">
      <c r="C123" s="130"/>
      <c r="D123" s="106"/>
      <c r="E123" s="106"/>
      <c r="F123" s="169"/>
      <c r="G123" s="169"/>
      <c r="H123" s="169"/>
      <c r="I123" s="107"/>
      <c r="J123" s="106"/>
      <c r="K123" s="106"/>
      <c r="L123" s="169"/>
      <c r="M123" s="169"/>
      <c r="N123" s="169"/>
      <c r="O123" s="169"/>
      <c r="P123" s="106"/>
      <c r="Q123" s="106"/>
      <c r="R123" s="106"/>
      <c r="S123" s="106"/>
      <c r="T123" s="106"/>
      <c r="U123" s="106"/>
    </row>
    <row r="124" spans="1:31" ht="18" outlineLevel="1" x14ac:dyDescent="0.35">
      <c r="C124" s="101" t="s">
        <v>79</v>
      </c>
      <c r="D124" s="106"/>
      <c r="E124" s="106"/>
      <c r="F124" s="166">
        <f>F25</f>
        <v>632</v>
      </c>
      <c r="G124" s="166">
        <f>G25-11</f>
        <v>653</v>
      </c>
      <c r="H124" s="169">
        <f>H25</f>
        <v>660</v>
      </c>
      <c r="I124" s="107">
        <f>I25</f>
        <v>0</v>
      </c>
      <c r="J124" s="106"/>
      <c r="K124" s="106"/>
      <c r="L124" s="166">
        <f>L25</f>
        <v>570</v>
      </c>
      <c r="M124" s="169">
        <f>M25</f>
        <v>583</v>
      </c>
      <c r="N124" s="169">
        <f>N25</f>
        <v>609</v>
      </c>
      <c r="O124" s="169">
        <f>O25</f>
        <v>608</v>
      </c>
      <c r="P124" s="106"/>
      <c r="Q124" s="106">
        <f>Q25</f>
        <v>491</v>
      </c>
      <c r="R124" s="106">
        <f>R25</f>
        <v>506</v>
      </c>
      <c r="S124" s="106">
        <f>S25</f>
        <v>523</v>
      </c>
      <c r="T124" s="106">
        <f>T25</f>
        <v>540</v>
      </c>
      <c r="U124" s="106"/>
    </row>
    <row r="125" spans="1:31" ht="18" outlineLevel="1" x14ac:dyDescent="0.35">
      <c r="C125" s="101" t="s">
        <v>80</v>
      </c>
      <c r="D125" s="115"/>
      <c r="E125" s="115"/>
      <c r="F125" s="166">
        <f>F31</f>
        <v>1503</v>
      </c>
      <c r="G125" s="169">
        <f>G31</f>
        <v>1554</v>
      </c>
      <c r="H125" s="169">
        <f>H31</f>
        <v>1410</v>
      </c>
      <c r="I125" s="107">
        <f>I31</f>
        <v>0</v>
      </c>
      <c r="J125" s="106"/>
      <c r="K125" s="115"/>
      <c r="L125" s="166">
        <f>L31</f>
        <v>1099.652</v>
      </c>
      <c r="M125" s="169">
        <f>M31</f>
        <v>1257</v>
      </c>
      <c r="N125" s="169">
        <f>N31</f>
        <v>1420</v>
      </c>
      <c r="O125" s="169">
        <f>O31</f>
        <v>1439</v>
      </c>
      <c r="P125" s="106"/>
      <c r="Q125" s="106">
        <f>Q31</f>
        <v>1038</v>
      </c>
      <c r="R125" s="106">
        <f>R31</f>
        <v>988</v>
      </c>
      <c r="S125" s="106">
        <f>S31</f>
        <v>973</v>
      </c>
      <c r="T125" s="106">
        <f>T31</f>
        <v>984</v>
      </c>
      <c r="U125" s="106"/>
      <c r="Y125" t="s">
        <v>68</v>
      </c>
    </row>
    <row r="126" spans="1:31" ht="18" hidden="1" outlineLevel="1" x14ac:dyDescent="0.35">
      <c r="C126" s="101" t="s">
        <v>81</v>
      </c>
      <c r="D126" s="115"/>
      <c r="E126" s="115"/>
      <c r="F126" s="169">
        <f>F28</f>
        <v>0</v>
      </c>
      <c r="G126" s="169">
        <f>G28</f>
        <v>0</v>
      </c>
      <c r="H126" s="169">
        <f>H28</f>
        <v>0</v>
      </c>
      <c r="I126" s="107">
        <f>I28</f>
        <v>0</v>
      </c>
      <c r="J126" s="106"/>
      <c r="K126" s="115"/>
      <c r="L126" s="169">
        <f>L28</f>
        <v>0</v>
      </c>
      <c r="M126" s="169">
        <f>M28</f>
        <v>0</v>
      </c>
      <c r="N126" s="169">
        <f>N28</f>
        <v>0</v>
      </c>
      <c r="O126" s="169">
        <f>O28</f>
        <v>0</v>
      </c>
      <c r="P126" s="106"/>
      <c r="Q126" s="106">
        <f>Q28</f>
        <v>0</v>
      </c>
      <c r="R126" s="106">
        <f>R28</f>
        <v>0</v>
      </c>
      <c r="S126" s="106">
        <f>S28</f>
        <v>0</v>
      </c>
      <c r="T126" s="106">
        <f>T28</f>
        <v>0</v>
      </c>
      <c r="U126" s="106"/>
    </row>
    <row r="127" spans="1:31" ht="18" outlineLevel="1" x14ac:dyDescent="0.35">
      <c r="C127" s="101"/>
      <c r="D127" s="115"/>
      <c r="E127" s="115"/>
      <c r="F127" s="169"/>
      <c r="G127" s="169"/>
      <c r="H127" s="169"/>
      <c r="I127" s="107"/>
      <c r="J127" s="106"/>
      <c r="K127" s="115"/>
      <c r="L127" s="169"/>
      <c r="M127" s="169"/>
      <c r="N127" s="169"/>
      <c r="O127" s="169"/>
      <c r="P127" s="106"/>
      <c r="Q127" s="106"/>
      <c r="R127" s="106"/>
      <c r="S127" s="106"/>
      <c r="T127" s="106"/>
      <c r="U127" s="106"/>
    </row>
    <row r="128" spans="1:31" s="3" customFormat="1" ht="24.6" customHeight="1" outlineLevel="1" thickBot="1" x14ac:dyDescent="0.4">
      <c r="A128"/>
      <c r="C128" s="147" t="str">
        <f>C121</f>
        <v>Soliditet</v>
      </c>
      <c r="D128" s="151"/>
      <c r="E128" s="151"/>
      <c r="F128" s="177">
        <f>F124/F125</f>
        <v>0.42049234863606122</v>
      </c>
      <c r="G128" s="177">
        <f>G124/G125</f>
        <v>0.42020592020592018</v>
      </c>
      <c r="H128" s="177">
        <f>H124/H125</f>
        <v>0.46808510638297873</v>
      </c>
      <c r="I128" s="155" t="e">
        <f>I124/I125</f>
        <v>#DIV/0!</v>
      </c>
      <c r="J128" s="156"/>
      <c r="K128" s="151"/>
      <c r="L128" s="177">
        <f>L124/L125</f>
        <v>0.5183458039452481</v>
      </c>
      <c r="M128" s="177">
        <f>M124/M125</f>
        <v>0.46380270485282421</v>
      </c>
      <c r="N128" s="177">
        <f>N124/N125</f>
        <v>0.4288732394366197</v>
      </c>
      <c r="O128" s="177">
        <f>O124/O125</f>
        <v>0.42251563585823487</v>
      </c>
      <c r="P128" s="156"/>
      <c r="Q128" s="153">
        <f>Q124/Q125</f>
        <v>0.47302504816955682</v>
      </c>
      <c r="R128" s="153">
        <f t="shared" ref="R128" si="94">R124/R125</f>
        <v>0.51214574898785425</v>
      </c>
      <c r="S128" s="153">
        <f t="shared" ref="S128:T128" si="95">S124/S125</f>
        <v>0.53751284686536482</v>
      </c>
      <c r="T128" s="153">
        <f t="shared" si="95"/>
        <v>0.54878048780487809</v>
      </c>
      <c r="U128" s="153"/>
      <c r="V128"/>
      <c r="W128"/>
      <c r="AC128"/>
      <c r="AD128"/>
      <c r="AE128"/>
    </row>
    <row r="129" spans="3:25" ht="18" x14ac:dyDescent="0.35">
      <c r="C129" s="101"/>
      <c r="D129" s="101"/>
      <c r="E129" s="101"/>
      <c r="F129" s="106"/>
      <c r="G129" s="106"/>
      <c r="H129" s="106"/>
      <c r="I129" s="106"/>
      <c r="J129" s="106"/>
      <c r="K129" s="101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</row>
    <row r="130" spans="3:25" ht="18" x14ac:dyDescent="0.35">
      <c r="C130" s="101"/>
      <c r="D130" s="101"/>
      <c r="E130" s="101"/>
      <c r="F130" s="106"/>
      <c r="G130" s="106"/>
      <c r="H130" s="106"/>
      <c r="I130" s="106"/>
      <c r="J130" s="106"/>
      <c r="K130" s="101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</row>
    <row r="131" spans="3:25" ht="37.5" customHeight="1" thickBot="1" x14ac:dyDescent="0.4">
      <c r="C131" s="147" t="s">
        <v>82</v>
      </c>
      <c r="D131" s="148"/>
      <c r="E131" s="148"/>
      <c r="F131" s="164" t="str">
        <f>F9</f>
        <v>Q1 2023</v>
      </c>
      <c r="G131" s="164" t="str">
        <f>G9</f>
        <v>Q2 2023</v>
      </c>
      <c r="H131" s="164" t="str">
        <f>H9</f>
        <v>Q3 2023</v>
      </c>
      <c r="I131" s="149" t="str">
        <f>I9</f>
        <v>Q4 2023</v>
      </c>
      <c r="J131" s="164"/>
      <c r="K131" s="148"/>
      <c r="L131" s="164" t="str">
        <f>L9</f>
        <v>Q1 2022</v>
      </c>
      <c r="M131" s="164" t="str">
        <f>M9</f>
        <v>Q2 2022</v>
      </c>
      <c r="N131" s="164" t="str">
        <f>N9</f>
        <v>Q3 2022</v>
      </c>
      <c r="O131" s="164" t="str">
        <f>O9</f>
        <v>Q4 2022</v>
      </c>
      <c r="P131" s="164"/>
      <c r="Q131" s="150" t="str">
        <f>Q9</f>
        <v>Q1 2021</v>
      </c>
      <c r="R131" s="150" t="str">
        <f>R9</f>
        <v>Q2 2021</v>
      </c>
      <c r="S131" s="150" t="str">
        <f>S9</f>
        <v>Q3 2021</v>
      </c>
      <c r="T131" s="150" t="str">
        <f>T9</f>
        <v>Q4 2021</v>
      </c>
      <c r="U131" s="150"/>
    </row>
    <row r="132" spans="3:25" ht="54" outlineLevel="1" x14ac:dyDescent="0.35">
      <c r="C132" s="142" t="s">
        <v>83</v>
      </c>
      <c r="D132" s="106"/>
      <c r="E132" s="106"/>
      <c r="F132" s="169"/>
      <c r="G132" s="169"/>
      <c r="H132" s="169"/>
      <c r="I132" s="107"/>
      <c r="J132" s="106"/>
      <c r="K132" s="106"/>
      <c r="L132" s="169"/>
      <c r="M132" s="169"/>
      <c r="N132" s="169"/>
      <c r="O132" s="169"/>
      <c r="P132" s="106"/>
      <c r="Q132" s="106"/>
      <c r="R132" s="106"/>
      <c r="S132" s="106"/>
      <c r="T132" s="106"/>
      <c r="U132" s="106"/>
    </row>
    <row r="133" spans="3:25" ht="18" outlineLevel="1" x14ac:dyDescent="0.35">
      <c r="C133" s="142"/>
      <c r="D133" s="106"/>
      <c r="E133" s="106"/>
      <c r="F133" s="169"/>
      <c r="G133" s="169"/>
      <c r="H133" s="169"/>
      <c r="I133" s="107"/>
      <c r="J133" s="106"/>
      <c r="K133" s="106"/>
      <c r="L133" s="169"/>
      <c r="M133" s="169"/>
      <c r="N133" s="169"/>
      <c r="O133" s="169"/>
      <c r="P133" s="106"/>
      <c r="Q133" s="106"/>
      <c r="R133" s="106"/>
      <c r="S133" s="106"/>
      <c r="T133" s="106"/>
      <c r="U133" s="106"/>
    </row>
    <row r="134" spans="3:25" ht="18" outlineLevel="1" x14ac:dyDescent="0.35">
      <c r="C134" s="101" t="s">
        <v>84</v>
      </c>
      <c r="D134" s="106"/>
      <c r="E134" s="106"/>
      <c r="F134" s="174">
        <f>F16</f>
        <v>12.7</v>
      </c>
      <c r="G134" s="174">
        <v>16.7</v>
      </c>
      <c r="H134" s="174">
        <f>H16</f>
        <v>18.399999999999999</v>
      </c>
      <c r="I134" s="117">
        <f>I16</f>
        <v>0</v>
      </c>
      <c r="J134" s="116"/>
      <c r="K134" s="106"/>
      <c r="L134" s="174">
        <f>L16</f>
        <v>4.2469999999999999</v>
      </c>
      <c r="M134" s="174">
        <f>M16</f>
        <v>4.0999999999999996</v>
      </c>
      <c r="N134" s="174">
        <f>N16</f>
        <v>4.4000000000000004</v>
      </c>
      <c r="O134" s="174">
        <f>O16</f>
        <v>8.1</v>
      </c>
      <c r="P134" s="116"/>
      <c r="Q134" s="116">
        <f>Q16</f>
        <v>3.07</v>
      </c>
      <c r="R134" s="116">
        <f>R16</f>
        <v>3.31</v>
      </c>
      <c r="S134" s="116">
        <f>S16</f>
        <v>4</v>
      </c>
      <c r="T134" s="116">
        <f>U16</f>
        <v>3.8</v>
      </c>
      <c r="U134" s="116"/>
      <c r="Y134" t="s">
        <v>68</v>
      </c>
    </row>
    <row r="135" spans="3:25" ht="18" outlineLevel="1" x14ac:dyDescent="0.35">
      <c r="C135" s="101" t="s">
        <v>85</v>
      </c>
      <c r="D135" s="115"/>
      <c r="E135" s="115"/>
      <c r="F135" s="174">
        <f>F20</f>
        <v>80.599999999999994</v>
      </c>
      <c r="G135" s="174">
        <f>G20</f>
        <v>79.599999999999994</v>
      </c>
      <c r="H135" s="174">
        <f>H20</f>
        <v>57</v>
      </c>
      <c r="I135" s="117">
        <f>I20</f>
        <v>68</v>
      </c>
      <c r="J135" s="106"/>
      <c r="K135" s="115"/>
      <c r="L135" s="174">
        <f>L20</f>
        <v>95</v>
      </c>
      <c r="M135" s="174">
        <f>M20</f>
        <v>107</v>
      </c>
      <c r="N135" s="174">
        <f>N20</f>
        <v>118.6</v>
      </c>
      <c r="O135" s="174">
        <f>O20</f>
        <v>91.6</v>
      </c>
      <c r="P135" s="106"/>
      <c r="Q135" s="116">
        <f>Q20</f>
        <v>13</v>
      </c>
      <c r="R135" s="116">
        <f>R20</f>
        <v>35</v>
      </c>
      <c r="S135" s="116">
        <f>S20</f>
        <v>56</v>
      </c>
      <c r="T135" s="116">
        <f>U20</f>
        <v>78</v>
      </c>
      <c r="U135" s="116"/>
      <c r="Y135" t="s">
        <v>68</v>
      </c>
    </row>
    <row r="136" spans="3:25" ht="18" outlineLevel="1" x14ac:dyDescent="0.35">
      <c r="C136" s="101"/>
      <c r="D136" s="106"/>
      <c r="E136" s="106"/>
      <c r="F136" s="169"/>
      <c r="G136" s="169"/>
      <c r="H136" s="169"/>
      <c r="I136" s="107"/>
      <c r="J136" s="106"/>
      <c r="K136" s="106"/>
      <c r="L136" s="169"/>
      <c r="M136" s="169"/>
      <c r="N136" s="169"/>
      <c r="O136" s="169"/>
      <c r="P136" s="106"/>
      <c r="Q136" s="106"/>
      <c r="R136" s="106"/>
      <c r="S136" s="106"/>
      <c r="T136" s="106"/>
      <c r="U136" s="106"/>
    </row>
    <row r="137" spans="3:25" ht="18.75" outlineLevel="1" thickBot="1" x14ac:dyDescent="0.4">
      <c r="C137" s="147" t="s">
        <v>86</v>
      </c>
      <c r="D137" s="151"/>
      <c r="E137" s="151"/>
      <c r="F137" s="178">
        <f>(F135+F134)/F134</f>
        <v>7.3464566929133861</v>
      </c>
      <c r="G137" s="178">
        <f>(G135+G134)/G134</f>
        <v>5.7664670658682633</v>
      </c>
      <c r="H137" s="178">
        <f>(H135+H134)/H134</f>
        <v>4.0978260869565224</v>
      </c>
      <c r="I137" s="157" t="e">
        <f>(I135+I134)/I134</f>
        <v>#DIV/0!</v>
      </c>
      <c r="J137" s="158"/>
      <c r="K137" s="151"/>
      <c r="L137" s="178">
        <f>(L135+L134)/L134</f>
        <v>23.368730868848601</v>
      </c>
      <c r="M137" s="178">
        <f>(M135+M134)/M134</f>
        <v>27.097560975609756</v>
      </c>
      <c r="N137" s="178">
        <f>(N135+N134)/N134</f>
        <v>27.954545454545453</v>
      </c>
      <c r="O137" s="178">
        <f>(O135+O134)/O134</f>
        <v>12.308641975308641</v>
      </c>
      <c r="P137" s="158"/>
      <c r="Q137" s="158">
        <f t="shared" ref="Q137:R137" si="96">(Q135+Q134)/Q134</f>
        <v>5.234527687296417</v>
      </c>
      <c r="R137" s="158">
        <f t="shared" si="96"/>
        <v>11.574018126888218</v>
      </c>
      <c r="S137" s="158">
        <f t="shared" ref="S137:T137" si="97">(S135+S134)/S134</f>
        <v>15</v>
      </c>
      <c r="T137" s="158">
        <f t="shared" si="97"/>
        <v>21.526315789473685</v>
      </c>
      <c r="U137" s="158"/>
      <c r="Y137" t="s">
        <v>68</v>
      </c>
    </row>
    <row r="138" spans="3:25" ht="18" x14ac:dyDescent="0.35">
      <c r="C138" s="101"/>
      <c r="D138" s="101"/>
      <c r="E138" s="101"/>
      <c r="F138" s="106"/>
      <c r="G138" s="106"/>
      <c r="H138" s="106"/>
      <c r="I138" s="106"/>
      <c r="J138" s="106"/>
      <c r="K138" s="101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</row>
    <row r="139" spans="3:25" ht="18" x14ac:dyDescent="0.35">
      <c r="C139" s="101"/>
      <c r="D139" s="101"/>
      <c r="E139" s="101"/>
      <c r="F139" s="106"/>
      <c r="G139" s="106"/>
      <c r="H139" s="106"/>
      <c r="I139" s="106"/>
      <c r="J139" s="106"/>
      <c r="K139" s="101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</row>
    <row r="140" spans="3:25" ht="37.5" customHeight="1" thickBot="1" x14ac:dyDescent="0.4">
      <c r="C140" s="147" t="s">
        <v>122</v>
      </c>
      <c r="D140" s="148"/>
      <c r="E140" s="148"/>
      <c r="F140" s="164" t="str">
        <f>F9</f>
        <v>Q1 2023</v>
      </c>
      <c r="G140" s="164" t="str">
        <f>G9</f>
        <v>Q2 2023</v>
      </c>
      <c r="H140" s="164" t="str">
        <f>H9</f>
        <v>Q3 2023</v>
      </c>
      <c r="I140" s="149" t="str">
        <f>I9</f>
        <v>Q4 2023</v>
      </c>
      <c r="J140" s="164"/>
      <c r="K140" s="148"/>
      <c r="L140" s="164" t="str">
        <f>L9</f>
        <v>Q1 2022</v>
      </c>
      <c r="M140" s="164" t="str">
        <f>M9</f>
        <v>Q2 2022</v>
      </c>
      <c r="N140" s="164" t="str">
        <f>N9</f>
        <v>Q3 2022</v>
      </c>
      <c r="O140" s="164" t="str">
        <f>O9</f>
        <v>Q4 2022</v>
      </c>
      <c r="P140" s="164"/>
      <c r="Q140" s="150" t="str">
        <f>Q9</f>
        <v>Q1 2021</v>
      </c>
      <c r="R140" s="150" t="str">
        <f>R9</f>
        <v>Q2 2021</v>
      </c>
      <c r="S140" s="150" t="str">
        <f>S9</f>
        <v>Q3 2021</v>
      </c>
      <c r="T140" s="150" t="str">
        <f>T9</f>
        <v>Q4 2021</v>
      </c>
      <c r="U140" s="150"/>
    </row>
    <row r="141" spans="3:25" ht="54" outlineLevel="1" x14ac:dyDescent="0.35">
      <c r="C141" s="142" t="s">
        <v>193</v>
      </c>
      <c r="D141" s="106"/>
      <c r="E141" s="106"/>
      <c r="F141" s="169"/>
      <c r="G141" s="169"/>
      <c r="H141" s="169"/>
      <c r="I141" s="107"/>
      <c r="J141" s="106"/>
      <c r="K141" s="106"/>
      <c r="L141" s="169"/>
      <c r="M141" s="169"/>
      <c r="N141" s="169"/>
      <c r="O141" s="169"/>
      <c r="P141" s="106"/>
      <c r="Q141" s="106"/>
      <c r="R141" s="106"/>
      <c r="S141" s="106"/>
      <c r="T141" s="106"/>
      <c r="U141" s="106"/>
    </row>
    <row r="142" spans="3:25" ht="18" outlineLevel="1" x14ac:dyDescent="0.35">
      <c r="C142" s="142"/>
      <c r="D142" s="106"/>
      <c r="E142" s="106"/>
      <c r="F142" s="169"/>
      <c r="G142" s="169"/>
      <c r="H142" s="169"/>
      <c r="I142" s="107"/>
      <c r="J142" s="106"/>
      <c r="K142" s="106"/>
      <c r="L142" s="169"/>
      <c r="M142" s="169"/>
      <c r="N142" s="169"/>
      <c r="O142" s="169"/>
      <c r="P142" s="106"/>
      <c r="Q142" s="106"/>
      <c r="R142" s="106"/>
      <c r="S142" s="106"/>
      <c r="T142" s="106"/>
      <c r="U142" s="106"/>
    </row>
    <row r="143" spans="3:25" ht="18" outlineLevel="1" x14ac:dyDescent="0.35">
      <c r="C143" s="142" t="s">
        <v>192</v>
      </c>
      <c r="D143" s="106"/>
      <c r="E143" s="106"/>
      <c r="F143" s="166">
        <f t="shared" ref="F143:I144" si="98">F34</f>
        <v>1072</v>
      </c>
      <c r="G143" s="166">
        <f t="shared" si="98"/>
        <v>1104</v>
      </c>
      <c r="H143" s="166">
        <f t="shared" si="98"/>
        <v>1094</v>
      </c>
      <c r="I143" s="118">
        <f t="shared" si="98"/>
        <v>0</v>
      </c>
      <c r="J143" s="106"/>
      <c r="K143" s="106"/>
      <c r="L143" s="166">
        <f t="shared" ref="L143:O143" si="99">L34</f>
        <v>790</v>
      </c>
      <c r="M143" s="166">
        <f t="shared" si="99"/>
        <v>910</v>
      </c>
      <c r="N143" s="166">
        <f t="shared" si="99"/>
        <v>998</v>
      </c>
      <c r="O143" s="166">
        <f t="shared" si="99"/>
        <v>1044</v>
      </c>
      <c r="P143" s="106"/>
      <c r="Q143" s="119">
        <f>Q34</f>
        <v>745</v>
      </c>
      <c r="R143" s="119">
        <f t="shared" ref="R143:T143" si="100">R34</f>
        <v>702</v>
      </c>
      <c r="S143" s="119">
        <f t="shared" si="100"/>
        <v>694</v>
      </c>
      <c r="T143" s="119">
        <f t="shared" si="100"/>
        <v>671</v>
      </c>
      <c r="U143" s="106"/>
    </row>
    <row r="144" spans="3:25" ht="36" outlineLevel="1" x14ac:dyDescent="0.35">
      <c r="C144" s="142" t="s">
        <v>87</v>
      </c>
      <c r="D144" s="115"/>
      <c r="E144" s="115"/>
      <c r="F144" s="166">
        <f t="shared" si="98"/>
        <v>931</v>
      </c>
      <c r="G144" s="169">
        <f t="shared" si="98"/>
        <v>1007</v>
      </c>
      <c r="H144" s="169">
        <f t="shared" si="98"/>
        <v>1046</v>
      </c>
      <c r="I144" s="107">
        <f t="shared" si="98"/>
        <v>522</v>
      </c>
      <c r="J144" s="106"/>
      <c r="K144" s="106"/>
      <c r="L144" s="166">
        <f t="shared" ref="L144:O144" si="101">L35</f>
        <v>767.5</v>
      </c>
      <c r="M144" s="166">
        <f t="shared" si="101"/>
        <v>806</v>
      </c>
      <c r="N144" s="166">
        <f t="shared" si="101"/>
        <v>846</v>
      </c>
      <c r="O144" s="166">
        <f t="shared" si="101"/>
        <v>857.5</v>
      </c>
      <c r="P144" s="106"/>
      <c r="Q144" s="106">
        <f>Q35</f>
        <v>691.5</v>
      </c>
      <c r="R144" s="116">
        <f>R35</f>
        <v>666</v>
      </c>
      <c r="S144" s="116">
        <f>S35</f>
        <v>643.5</v>
      </c>
      <c r="T144" s="116">
        <f>T35</f>
        <v>606</v>
      </c>
      <c r="U144" s="106"/>
    </row>
    <row r="145" spans="1:31" ht="18" outlineLevel="1" x14ac:dyDescent="0.35">
      <c r="C145" s="142"/>
      <c r="D145" s="106"/>
      <c r="E145" s="106"/>
      <c r="F145" s="169"/>
      <c r="G145" s="169"/>
      <c r="H145" s="169"/>
      <c r="I145" s="107"/>
      <c r="J145" s="106"/>
      <c r="K145" s="106"/>
      <c r="L145" s="169"/>
      <c r="M145" s="169"/>
      <c r="N145" s="169"/>
      <c r="O145" s="169"/>
      <c r="P145" s="106"/>
      <c r="Q145" s="106"/>
      <c r="R145" s="106"/>
      <c r="S145" s="106"/>
      <c r="T145" s="106"/>
      <c r="U145" s="106"/>
    </row>
    <row r="146" spans="1:31" ht="18" outlineLevel="1" x14ac:dyDescent="0.35">
      <c r="C146" s="101" t="s">
        <v>85</v>
      </c>
      <c r="D146" s="106"/>
      <c r="E146" s="106"/>
      <c r="F146" s="174">
        <f>F20</f>
        <v>80.599999999999994</v>
      </c>
      <c r="G146" s="174">
        <f>G20</f>
        <v>79.599999999999994</v>
      </c>
      <c r="H146" s="174">
        <f>H20</f>
        <v>57</v>
      </c>
      <c r="I146" s="117">
        <f>I20</f>
        <v>68</v>
      </c>
      <c r="J146" s="116"/>
      <c r="K146" s="106"/>
      <c r="L146" s="174">
        <f>L20</f>
        <v>95</v>
      </c>
      <c r="M146" s="174">
        <f>M20</f>
        <v>107</v>
      </c>
      <c r="N146" s="174">
        <f>N20</f>
        <v>118.6</v>
      </c>
      <c r="O146" s="174">
        <f>O20</f>
        <v>91.6</v>
      </c>
      <c r="P146" s="116"/>
      <c r="Q146" s="116">
        <f>Q20</f>
        <v>13</v>
      </c>
      <c r="R146" s="116">
        <f>R20</f>
        <v>35</v>
      </c>
      <c r="S146" s="116">
        <f>S20</f>
        <v>56</v>
      </c>
      <c r="T146" s="116">
        <f>U20</f>
        <v>78</v>
      </c>
      <c r="U146" s="116"/>
    </row>
    <row r="147" spans="1:31" ht="18" outlineLevel="1" x14ac:dyDescent="0.35">
      <c r="C147" s="160" t="s">
        <v>84</v>
      </c>
      <c r="D147" s="161"/>
      <c r="E147" s="161"/>
      <c r="F147" s="179">
        <f>F16</f>
        <v>12.7</v>
      </c>
      <c r="G147" s="179">
        <f>G134</f>
        <v>16.7</v>
      </c>
      <c r="H147" s="179">
        <f>H16</f>
        <v>18.399999999999999</v>
      </c>
      <c r="I147" s="162">
        <f>I16</f>
        <v>0</v>
      </c>
      <c r="J147" s="163"/>
      <c r="K147" s="161"/>
      <c r="L147" s="179">
        <f>L16</f>
        <v>4.2469999999999999</v>
      </c>
      <c r="M147" s="179">
        <f>M16</f>
        <v>4.0999999999999996</v>
      </c>
      <c r="N147" s="179">
        <f>N16</f>
        <v>4.4000000000000004</v>
      </c>
      <c r="O147" s="179">
        <f>O16</f>
        <v>8.1</v>
      </c>
      <c r="P147" s="163"/>
      <c r="Q147" s="163">
        <f>Q16</f>
        <v>3.07</v>
      </c>
      <c r="R147" s="163">
        <f>R16</f>
        <v>3.31</v>
      </c>
      <c r="S147" s="163">
        <f>S16</f>
        <v>4</v>
      </c>
      <c r="T147" s="163">
        <f>U16</f>
        <v>3.8</v>
      </c>
      <c r="U147" s="163"/>
    </row>
    <row r="148" spans="1:31" ht="18" outlineLevel="1" x14ac:dyDescent="0.35">
      <c r="C148" s="101" t="s">
        <v>88</v>
      </c>
      <c r="D148" s="115"/>
      <c r="E148" s="115"/>
      <c r="F148" s="174">
        <f>F146+F147</f>
        <v>93.3</v>
      </c>
      <c r="G148" s="174">
        <f>G146+G147</f>
        <v>96.3</v>
      </c>
      <c r="H148" s="174">
        <f>H146+H147</f>
        <v>75.400000000000006</v>
      </c>
      <c r="I148" s="117">
        <f>I146+I147</f>
        <v>68</v>
      </c>
      <c r="J148" s="116"/>
      <c r="K148" s="115"/>
      <c r="L148" s="174">
        <f>L146+L147</f>
        <v>99.247</v>
      </c>
      <c r="M148" s="174">
        <f>M146+M147</f>
        <v>111.1</v>
      </c>
      <c r="N148" s="174">
        <f>N146+N147</f>
        <v>123</v>
      </c>
      <c r="O148" s="174">
        <f>O146+O147</f>
        <v>99.699999999999989</v>
      </c>
      <c r="P148" s="116"/>
      <c r="Q148" s="116">
        <f>Q147+Q146</f>
        <v>16.07</v>
      </c>
      <c r="R148" s="116">
        <f>R147+R146</f>
        <v>38.31</v>
      </c>
      <c r="S148" s="116">
        <f>S147+S146</f>
        <v>60</v>
      </c>
      <c r="T148" s="116">
        <f>T147+T146</f>
        <v>81.8</v>
      </c>
      <c r="U148" s="116"/>
    </row>
    <row r="149" spans="1:31" ht="18" outlineLevel="1" x14ac:dyDescent="0.35">
      <c r="C149" s="101"/>
      <c r="D149" s="106"/>
      <c r="E149" s="106"/>
      <c r="F149" s="169"/>
      <c r="G149" s="169"/>
      <c r="H149" s="169"/>
      <c r="I149" s="107"/>
      <c r="J149" s="106"/>
      <c r="K149" s="106"/>
      <c r="L149" s="169"/>
      <c r="M149" s="169"/>
      <c r="N149" s="169"/>
      <c r="O149" s="169"/>
      <c r="P149" s="106"/>
      <c r="Q149" s="106"/>
      <c r="R149" s="106"/>
      <c r="S149" s="106"/>
      <c r="T149" s="106"/>
      <c r="U149" s="106"/>
    </row>
    <row r="150" spans="1:31" s="3" customFormat="1" ht="15.6" customHeight="1" outlineLevel="1" thickBot="1" x14ac:dyDescent="0.4">
      <c r="A150"/>
      <c r="C150" s="147" t="str">
        <f>C140</f>
        <v xml:space="preserve">Avkastning på sysselsatt kapital </v>
      </c>
      <c r="D150" s="151"/>
      <c r="E150" s="151"/>
      <c r="F150" s="168">
        <f>F148/F144</f>
        <v>0.10021482277121374</v>
      </c>
      <c r="G150" s="168">
        <f>G148/G144</f>
        <v>9.5630585898709028E-2</v>
      </c>
      <c r="H150" s="168">
        <f t="shared" ref="H150:I150" si="102">H148/H144</f>
        <v>7.2084130019120465E-2</v>
      </c>
      <c r="I150" s="152">
        <f t="shared" si="102"/>
        <v>0.13026819923371646</v>
      </c>
      <c r="J150" s="154"/>
      <c r="K150" s="151"/>
      <c r="L150" s="168">
        <f t="shared" ref="L150:R150" si="103">L148/L144</f>
        <v>0.12931205211726385</v>
      </c>
      <c r="M150" s="168">
        <f>M148/M144</f>
        <v>0.13784119106699752</v>
      </c>
      <c r="N150" s="168">
        <f t="shared" ref="N150:O150" si="104">N148/N144</f>
        <v>0.1453900709219858</v>
      </c>
      <c r="O150" s="168">
        <f t="shared" si="104"/>
        <v>0.11626822157434401</v>
      </c>
      <c r="P150" s="154"/>
      <c r="Q150" s="159">
        <f t="shared" si="103"/>
        <v>2.323933477946493E-2</v>
      </c>
      <c r="R150" s="159">
        <f t="shared" si="103"/>
        <v>5.7522522522522525E-2</v>
      </c>
      <c r="S150" s="159">
        <f t="shared" ref="S150:T150" si="105">S148/S144</f>
        <v>9.3240093240093247E-2</v>
      </c>
      <c r="T150" s="159">
        <f t="shared" si="105"/>
        <v>0.13498349834983497</v>
      </c>
      <c r="U150" s="159"/>
      <c r="V150"/>
      <c r="W150"/>
      <c r="AC150"/>
      <c r="AD150"/>
      <c r="AE150"/>
    </row>
    <row r="151" spans="1:31" ht="18" x14ac:dyDescent="0.35">
      <c r="C151" s="101"/>
      <c r="D151" s="101"/>
      <c r="E151" s="101"/>
      <c r="F151" s="106"/>
      <c r="G151" s="106"/>
      <c r="H151" s="106"/>
      <c r="I151" s="106"/>
      <c r="J151" s="106"/>
      <c r="K151" s="101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1:31" ht="18" x14ac:dyDescent="0.35">
      <c r="C152" s="101"/>
      <c r="D152" s="101"/>
      <c r="E152" s="101"/>
      <c r="F152" s="106"/>
      <c r="G152" s="106"/>
      <c r="H152" s="106"/>
      <c r="I152" s="106"/>
      <c r="J152" s="106"/>
      <c r="K152" s="101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1:31" ht="37.5" customHeight="1" thickBot="1" x14ac:dyDescent="0.4">
      <c r="C153" s="147" t="s">
        <v>89</v>
      </c>
      <c r="D153" s="148"/>
      <c r="E153" s="148"/>
      <c r="F153" s="164" t="str">
        <f>F9</f>
        <v>Q1 2023</v>
      </c>
      <c r="G153" s="164" t="str">
        <f>G9</f>
        <v>Q2 2023</v>
      </c>
      <c r="H153" s="164" t="str">
        <f>H9</f>
        <v>Q3 2023</v>
      </c>
      <c r="I153" s="149" t="str">
        <f>I9</f>
        <v>Q4 2023</v>
      </c>
      <c r="J153" s="164"/>
      <c r="K153" s="148"/>
      <c r="L153" s="164" t="str">
        <f>L9</f>
        <v>Q1 2022</v>
      </c>
      <c r="M153" s="164" t="str">
        <f>M9</f>
        <v>Q2 2022</v>
      </c>
      <c r="N153" s="164" t="str">
        <f>N9</f>
        <v>Q3 2022</v>
      </c>
      <c r="O153" s="164" t="str">
        <f>O9</f>
        <v>Q4 2022</v>
      </c>
      <c r="P153" s="164"/>
      <c r="Q153" s="150" t="str">
        <f>Q9</f>
        <v>Q1 2021</v>
      </c>
      <c r="R153" s="150" t="str">
        <f>R9</f>
        <v>Q2 2021</v>
      </c>
      <c r="S153" s="150" t="str">
        <f>S9</f>
        <v>Q3 2021</v>
      </c>
      <c r="T153" s="150" t="str">
        <f>T9</f>
        <v>Q4 2021</v>
      </c>
      <c r="U153" s="150"/>
    </row>
    <row r="154" spans="1:31" s="4" customFormat="1" ht="31.15" customHeight="1" outlineLevel="1" x14ac:dyDescent="0.35">
      <c r="A154"/>
      <c r="C154" s="130" t="s">
        <v>90</v>
      </c>
      <c r="D154" s="106"/>
      <c r="E154" s="106"/>
      <c r="F154" s="169"/>
      <c r="G154" s="169"/>
      <c r="H154" s="169"/>
      <c r="I154" s="107"/>
      <c r="J154" s="106"/>
      <c r="K154" s="106"/>
      <c r="L154" s="169"/>
      <c r="M154" s="169"/>
      <c r="N154" s="169"/>
      <c r="O154" s="169"/>
      <c r="P154" s="106"/>
      <c r="Q154" s="106"/>
      <c r="R154" s="106"/>
      <c r="S154" s="106"/>
      <c r="T154" s="106"/>
      <c r="U154" s="106"/>
      <c r="V154"/>
      <c r="W154"/>
      <c r="AC154"/>
      <c r="AD154"/>
      <c r="AE154"/>
    </row>
    <row r="155" spans="1:31" s="4" customFormat="1" ht="18" outlineLevel="1" x14ac:dyDescent="0.35">
      <c r="A155"/>
      <c r="C155" s="101" t="s">
        <v>91</v>
      </c>
      <c r="D155" s="115"/>
      <c r="E155" s="115"/>
      <c r="F155" s="166">
        <f>F26</f>
        <v>601</v>
      </c>
      <c r="G155" s="174">
        <f>G26</f>
        <v>617</v>
      </c>
      <c r="H155" s="174">
        <f>H26</f>
        <v>634.5</v>
      </c>
      <c r="I155" s="117">
        <f>I26</f>
        <v>291.5</v>
      </c>
      <c r="J155" s="106"/>
      <c r="K155" s="115"/>
      <c r="L155" s="166">
        <f>L26</f>
        <v>530.5</v>
      </c>
      <c r="M155" s="174">
        <f>M26</f>
        <v>544.5</v>
      </c>
      <c r="N155" s="174">
        <f>N26</f>
        <v>566</v>
      </c>
      <c r="O155" s="174">
        <f>O26</f>
        <v>574</v>
      </c>
      <c r="P155" s="106"/>
      <c r="Q155" s="106">
        <f>Q26</f>
        <v>245.5</v>
      </c>
      <c r="R155" s="106">
        <f>R26</f>
        <v>253</v>
      </c>
      <c r="S155" s="106">
        <f>S26</f>
        <v>261.5</v>
      </c>
      <c r="T155" s="106">
        <f>U26</f>
        <v>505.5</v>
      </c>
      <c r="U155" s="106"/>
      <c r="V155"/>
      <c r="W155"/>
      <c r="AC155"/>
      <c r="AD155"/>
      <c r="AE155"/>
    </row>
    <row r="156" spans="1:31" s="4" customFormat="1" ht="18" outlineLevel="1" x14ac:dyDescent="0.35">
      <c r="A156"/>
      <c r="C156" s="101" t="s">
        <v>92</v>
      </c>
      <c r="D156" s="106"/>
      <c r="E156" s="106"/>
      <c r="F156" s="166">
        <f>F22</f>
        <v>61</v>
      </c>
      <c r="G156" s="174">
        <f>G22</f>
        <v>59</v>
      </c>
      <c r="H156" s="174">
        <f>H22</f>
        <v>44</v>
      </c>
      <c r="I156" s="117">
        <f>I22</f>
        <v>0</v>
      </c>
      <c r="J156" s="106"/>
      <c r="K156" s="106"/>
      <c r="L156" s="166">
        <f>L22</f>
        <v>71</v>
      </c>
      <c r="M156" s="174">
        <f>M22</f>
        <v>81</v>
      </c>
      <c r="N156" s="174">
        <f>N22</f>
        <v>90</v>
      </c>
      <c r="O156" s="174">
        <f>O22</f>
        <v>70</v>
      </c>
      <c r="P156" s="106"/>
      <c r="Q156" s="116">
        <f>Q22</f>
        <v>20</v>
      </c>
      <c r="R156" s="116">
        <f>R22</f>
        <v>26.7</v>
      </c>
      <c r="S156" s="116">
        <f>S22</f>
        <v>43.7</v>
      </c>
      <c r="T156" s="116">
        <f>U22</f>
        <v>58</v>
      </c>
      <c r="U156" s="106"/>
      <c r="V156"/>
      <c r="W156"/>
      <c r="AC156"/>
      <c r="AD156"/>
      <c r="AE156"/>
    </row>
    <row r="157" spans="1:31" s="3" customFormat="1" ht="24.6" customHeight="1" outlineLevel="1" thickBot="1" x14ac:dyDescent="0.4">
      <c r="A157"/>
      <c r="C157" s="147" t="str">
        <f>C153</f>
        <v xml:space="preserve">Avkastning på eget kapital efter skatt </v>
      </c>
      <c r="D157" s="151"/>
      <c r="E157" s="151"/>
      <c r="F157" s="168">
        <f>F156/F155</f>
        <v>0.10149750415973377</v>
      </c>
      <c r="G157" s="168">
        <f>G156/G155</f>
        <v>9.5623987034035657E-2</v>
      </c>
      <c r="H157" s="168">
        <f>H156/H155</f>
        <v>6.9345941686367221E-2</v>
      </c>
      <c r="I157" s="152">
        <f>I156/I155</f>
        <v>0</v>
      </c>
      <c r="J157" s="154"/>
      <c r="K157" s="151"/>
      <c r="L157" s="168">
        <f>L156/L155</f>
        <v>0.13383600377002827</v>
      </c>
      <c r="M157" s="168">
        <f>M156/M155+0.001</f>
        <v>0.1497603305785124</v>
      </c>
      <c r="N157" s="168">
        <f>N156/N155</f>
        <v>0.15901060070671377</v>
      </c>
      <c r="O157" s="168">
        <f>O156/O155</f>
        <v>0.12195121951219512</v>
      </c>
      <c r="P157" s="154"/>
      <c r="Q157" s="159">
        <f>Q156/Q155</f>
        <v>8.1466395112016296E-2</v>
      </c>
      <c r="R157" s="159">
        <f>R156/R155+0.001</f>
        <v>0.10653359683794467</v>
      </c>
      <c r="S157" s="159">
        <f>S156/S155+0.001</f>
        <v>0.16811281070745698</v>
      </c>
      <c r="T157" s="159">
        <f>T156/T155+0.000001</f>
        <v>0.11473888328387735</v>
      </c>
      <c r="U157" s="154"/>
      <c r="V157"/>
      <c r="W157"/>
      <c r="AC157"/>
      <c r="AD157"/>
      <c r="AE157"/>
    </row>
    <row r="158" spans="1:31" s="4" customFormat="1" ht="18" x14ac:dyDescent="0.35">
      <c r="A158"/>
      <c r="C158" s="101"/>
      <c r="D158" s="101"/>
      <c r="E158" s="101"/>
      <c r="F158" s="106"/>
      <c r="G158" s="106"/>
      <c r="H158" s="106"/>
      <c r="I158" s="106"/>
      <c r="J158" s="106"/>
      <c r="K158" s="101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/>
      <c r="W158"/>
      <c r="AC158"/>
      <c r="AD158"/>
      <c r="AE158"/>
    </row>
    <row r="159" spans="1:31" s="4" customFormat="1" ht="18" x14ac:dyDescent="0.35">
      <c r="A159"/>
      <c r="C159" s="101"/>
      <c r="D159" s="101"/>
      <c r="E159" s="101"/>
      <c r="F159" s="106"/>
      <c r="G159" s="106"/>
      <c r="H159" s="106"/>
      <c r="I159" s="106"/>
      <c r="J159" s="106"/>
      <c r="K159" s="101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/>
      <c r="W159"/>
      <c r="AC159"/>
      <c r="AD159"/>
      <c r="AE159"/>
    </row>
    <row r="160" spans="1:31" ht="37.5" customHeight="1" thickBot="1" x14ac:dyDescent="0.4">
      <c r="C160" s="147" t="s">
        <v>93</v>
      </c>
      <c r="D160" s="148"/>
      <c r="E160" s="148"/>
      <c r="F160" s="164" t="str">
        <f>+F153</f>
        <v>Q1 2023</v>
      </c>
      <c r="G160" s="164" t="str">
        <f t="shared" ref="G160:I160" si="106">+G153</f>
        <v>Q2 2023</v>
      </c>
      <c r="H160" s="164" t="str">
        <f t="shared" si="106"/>
        <v>Q3 2023</v>
      </c>
      <c r="I160" s="149" t="str">
        <f t="shared" si="106"/>
        <v>Q4 2023</v>
      </c>
      <c r="J160" s="164"/>
      <c r="K160" s="148"/>
      <c r="L160" s="164" t="str">
        <f>+L153</f>
        <v>Q1 2022</v>
      </c>
      <c r="M160" s="164" t="str">
        <f t="shared" ref="M160:O160" si="107">+M153</f>
        <v>Q2 2022</v>
      </c>
      <c r="N160" s="164" t="str">
        <f t="shared" si="107"/>
        <v>Q3 2022</v>
      </c>
      <c r="O160" s="164" t="str">
        <f t="shared" si="107"/>
        <v>Q4 2022</v>
      </c>
      <c r="P160" s="164"/>
      <c r="Q160" s="150" t="str">
        <f>+Q153</f>
        <v>Q1 2021</v>
      </c>
      <c r="R160" s="150" t="str">
        <f t="shared" ref="R160:T160" si="108">+R153</f>
        <v>Q2 2021</v>
      </c>
      <c r="S160" s="150" t="str">
        <f t="shared" si="108"/>
        <v>Q3 2021</v>
      </c>
      <c r="T160" s="150" t="str">
        <f t="shared" si="108"/>
        <v>Q4 2021</v>
      </c>
      <c r="U160" s="150"/>
    </row>
    <row r="161" spans="1:31" s="4" customFormat="1" ht="31.15" customHeight="1" outlineLevel="1" x14ac:dyDescent="0.35">
      <c r="A161"/>
      <c r="C161" s="130" t="s">
        <v>94</v>
      </c>
      <c r="D161" s="106"/>
      <c r="E161" s="106"/>
      <c r="F161" s="169"/>
      <c r="G161" s="169"/>
      <c r="H161" s="169"/>
      <c r="I161" s="107"/>
      <c r="J161" s="106"/>
      <c r="K161" s="106"/>
      <c r="L161" s="169"/>
      <c r="M161" s="169"/>
      <c r="N161" s="169"/>
      <c r="O161" s="169"/>
      <c r="P161" s="106"/>
      <c r="Q161" s="106"/>
      <c r="R161" s="106"/>
      <c r="S161" s="106"/>
      <c r="T161" s="106"/>
      <c r="U161" s="106"/>
      <c r="V161"/>
      <c r="W161"/>
      <c r="AC161"/>
      <c r="AD161"/>
      <c r="AE161"/>
    </row>
    <row r="162" spans="1:31" s="4" customFormat="1" ht="18" outlineLevel="1" x14ac:dyDescent="0.35">
      <c r="A162"/>
      <c r="C162" s="101" t="s">
        <v>80</v>
      </c>
      <c r="D162" s="115"/>
      <c r="E162" s="115"/>
      <c r="F162" s="166">
        <f>F31</f>
        <v>1503</v>
      </c>
      <c r="G162" s="169">
        <f>G31</f>
        <v>1554</v>
      </c>
      <c r="H162" s="169">
        <f>H31</f>
        <v>1410</v>
      </c>
      <c r="I162" s="107">
        <f>I31</f>
        <v>0</v>
      </c>
      <c r="J162" s="106"/>
      <c r="K162" s="115"/>
      <c r="L162" s="166">
        <f>L31</f>
        <v>1099.652</v>
      </c>
      <c r="M162" s="169">
        <f>M31</f>
        <v>1257</v>
      </c>
      <c r="N162" s="169">
        <f>N31</f>
        <v>1420</v>
      </c>
      <c r="O162" s="169">
        <f>O31</f>
        <v>1439</v>
      </c>
      <c r="P162" s="106"/>
      <c r="Q162" s="106">
        <f>Q31</f>
        <v>1038</v>
      </c>
      <c r="R162" s="106">
        <f>R31</f>
        <v>988</v>
      </c>
      <c r="S162" s="106">
        <f>S31</f>
        <v>973</v>
      </c>
      <c r="T162" s="106">
        <f>T31</f>
        <v>984</v>
      </c>
      <c r="U162" s="106"/>
      <c r="V162"/>
      <c r="W162"/>
      <c r="AC162"/>
      <c r="AD162"/>
      <c r="AE162"/>
    </row>
    <row r="163" spans="1:31" s="4" customFormat="1" ht="15.6" customHeight="1" outlineLevel="1" x14ac:dyDescent="0.35">
      <c r="A163"/>
      <c r="C163" s="101"/>
      <c r="D163" s="115"/>
      <c r="E163" s="115"/>
      <c r="F163" s="169"/>
      <c r="G163" s="169"/>
      <c r="H163" s="169"/>
      <c r="I163" s="107"/>
      <c r="J163" s="106"/>
      <c r="K163" s="115"/>
      <c r="L163" s="169"/>
      <c r="M163" s="169"/>
      <c r="N163" s="169"/>
      <c r="O163" s="169"/>
      <c r="P163" s="106"/>
      <c r="Q163" s="106"/>
      <c r="R163" s="106"/>
      <c r="S163" s="106"/>
      <c r="T163" s="106"/>
      <c r="U163" s="106"/>
      <c r="V163"/>
      <c r="W163"/>
      <c r="AC163"/>
      <c r="AD163"/>
      <c r="AE163"/>
    </row>
    <row r="164" spans="1:31" ht="18" outlineLevel="1" x14ac:dyDescent="0.35">
      <c r="C164" s="101" t="s">
        <v>85</v>
      </c>
      <c r="D164" s="106"/>
      <c r="E164" s="106"/>
      <c r="F164" s="174">
        <f>F20</f>
        <v>80.599999999999994</v>
      </c>
      <c r="G164" s="174">
        <f>G20</f>
        <v>79.599999999999994</v>
      </c>
      <c r="H164" s="174">
        <f>H20</f>
        <v>57</v>
      </c>
      <c r="I164" s="117">
        <f>I20</f>
        <v>68</v>
      </c>
      <c r="J164" s="116"/>
      <c r="K164" s="106"/>
      <c r="L164" s="174">
        <f>L20</f>
        <v>95</v>
      </c>
      <c r="M164" s="174">
        <f>M20</f>
        <v>107</v>
      </c>
      <c r="N164" s="174">
        <f>N20</f>
        <v>118.6</v>
      </c>
      <c r="O164" s="174">
        <f>O20</f>
        <v>91.6</v>
      </c>
      <c r="P164" s="116"/>
      <c r="Q164" s="116">
        <f>Q20</f>
        <v>13</v>
      </c>
      <c r="R164" s="116">
        <f>R20</f>
        <v>35</v>
      </c>
      <c r="S164" s="116">
        <f>S20</f>
        <v>56</v>
      </c>
      <c r="T164" s="116">
        <f>U20</f>
        <v>78</v>
      </c>
      <c r="U164" s="116"/>
    </row>
    <row r="165" spans="1:31" ht="18" outlineLevel="1" x14ac:dyDescent="0.35">
      <c r="C165" s="160" t="s">
        <v>84</v>
      </c>
      <c r="D165" s="161"/>
      <c r="E165" s="161"/>
      <c r="F165" s="179">
        <f>F16</f>
        <v>12.7</v>
      </c>
      <c r="G165" s="179">
        <f>G134</f>
        <v>16.7</v>
      </c>
      <c r="H165" s="179">
        <f>H16</f>
        <v>18.399999999999999</v>
      </c>
      <c r="I165" s="162">
        <f>I16</f>
        <v>0</v>
      </c>
      <c r="J165" s="163"/>
      <c r="K165" s="161"/>
      <c r="L165" s="179">
        <f>L16</f>
        <v>4.2469999999999999</v>
      </c>
      <c r="M165" s="179">
        <f>M16</f>
        <v>4.0999999999999996</v>
      </c>
      <c r="N165" s="179">
        <f>N16</f>
        <v>4.4000000000000004</v>
      </c>
      <c r="O165" s="179">
        <f>O16</f>
        <v>8.1</v>
      </c>
      <c r="P165" s="163"/>
      <c r="Q165" s="163">
        <f>Q16</f>
        <v>3.07</v>
      </c>
      <c r="R165" s="163">
        <f>R16</f>
        <v>3.31</v>
      </c>
      <c r="S165" s="163">
        <f>S16</f>
        <v>4</v>
      </c>
      <c r="T165" s="163">
        <f>U16</f>
        <v>3.8</v>
      </c>
      <c r="U165" s="163"/>
    </row>
    <row r="166" spans="1:31" ht="18" outlineLevel="1" x14ac:dyDescent="0.35">
      <c r="C166" s="101" t="s">
        <v>88</v>
      </c>
      <c r="D166" s="115"/>
      <c r="E166" s="115"/>
      <c r="F166" s="174">
        <f>F164+F165</f>
        <v>93.3</v>
      </c>
      <c r="G166" s="174">
        <f>G164+G165</f>
        <v>96.3</v>
      </c>
      <c r="H166" s="174">
        <f>H164+H165</f>
        <v>75.400000000000006</v>
      </c>
      <c r="I166" s="117">
        <f>I164+I165</f>
        <v>68</v>
      </c>
      <c r="J166" s="116"/>
      <c r="K166" s="115"/>
      <c r="L166" s="174">
        <f>L164+L165</f>
        <v>99.247</v>
      </c>
      <c r="M166" s="174">
        <f>M164+M165</f>
        <v>111.1</v>
      </c>
      <c r="N166" s="174">
        <f>N164+N165</f>
        <v>123</v>
      </c>
      <c r="O166" s="174">
        <f>O164+O165</f>
        <v>99.699999999999989</v>
      </c>
      <c r="P166" s="116"/>
      <c r="Q166" s="116">
        <f>Q165+Q164</f>
        <v>16.07</v>
      </c>
      <c r="R166" s="116">
        <f>R165+R164</f>
        <v>38.31</v>
      </c>
      <c r="S166" s="116">
        <f>S165+S164</f>
        <v>60</v>
      </c>
      <c r="T166" s="116">
        <f>T165+T164</f>
        <v>81.8</v>
      </c>
      <c r="U166" s="116"/>
    </row>
    <row r="167" spans="1:31" s="4" customFormat="1" ht="18" outlineLevel="1" x14ac:dyDescent="0.35">
      <c r="A167"/>
      <c r="C167" s="101"/>
      <c r="D167" s="106"/>
      <c r="E167" s="106"/>
      <c r="F167" s="169"/>
      <c r="G167" s="169"/>
      <c r="H167" s="169"/>
      <c r="I167" s="107"/>
      <c r="J167" s="106"/>
      <c r="K167" s="106"/>
      <c r="L167" s="169"/>
      <c r="M167" s="169"/>
      <c r="N167" s="169"/>
      <c r="O167" s="169"/>
      <c r="P167" s="106"/>
      <c r="Q167" s="116"/>
      <c r="R167" s="116"/>
      <c r="S167" s="116"/>
      <c r="T167" s="116"/>
      <c r="U167" s="106"/>
      <c r="V167"/>
      <c r="W167"/>
      <c r="AC167"/>
      <c r="AD167"/>
      <c r="AE167"/>
    </row>
    <row r="168" spans="1:31" s="3" customFormat="1" ht="24.6" customHeight="1" outlineLevel="1" thickBot="1" x14ac:dyDescent="0.4">
      <c r="A168"/>
      <c r="C168" s="147" t="str">
        <f>C160</f>
        <v xml:space="preserve">Avkastning på totalt kapital före skatt </v>
      </c>
      <c r="D168" s="151"/>
      <c r="E168" s="151"/>
      <c r="F168" s="168">
        <f>F166/F162</f>
        <v>6.2075848303393209E-2</v>
      </c>
      <c r="G168" s="168">
        <f>G166/G162</f>
        <v>6.1969111969111965E-2</v>
      </c>
      <c r="H168" s="168">
        <f>H166/H162</f>
        <v>5.3475177304964545E-2</v>
      </c>
      <c r="I168" s="152" t="e">
        <f>I166/I162</f>
        <v>#DIV/0!</v>
      </c>
      <c r="J168" s="154"/>
      <c r="K168" s="151"/>
      <c r="L168" s="168">
        <f>L166/L162</f>
        <v>9.0253098252901828E-2</v>
      </c>
      <c r="M168" s="168">
        <f>M166/M162</f>
        <v>8.8385043754972151E-2</v>
      </c>
      <c r="N168" s="168">
        <f>N166/N162</f>
        <v>8.6619718309859151E-2</v>
      </c>
      <c r="O168" s="168">
        <f>O166/O162</f>
        <v>6.928422515635857E-2</v>
      </c>
      <c r="P168" s="154"/>
      <c r="Q168" s="159">
        <f>Q166/Q162</f>
        <v>1.5481695568400771E-2</v>
      </c>
      <c r="R168" s="159">
        <f>R166/R162</f>
        <v>3.8775303643724696E-2</v>
      </c>
      <c r="S168" s="159">
        <f>S166/S162</f>
        <v>6.1664953751284689E-2</v>
      </c>
      <c r="T168" s="159">
        <f>T166/T162</f>
        <v>8.3130081300813008E-2</v>
      </c>
      <c r="U168" s="154"/>
      <c r="V168"/>
      <c r="W168"/>
      <c r="AC168"/>
      <c r="AD168"/>
      <c r="AE168"/>
    </row>
    <row r="169" spans="1:31" s="4" customFormat="1" ht="18" x14ac:dyDescent="0.35">
      <c r="A169"/>
      <c r="C169" s="101"/>
      <c r="D169" s="101"/>
      <c r="E169" s="101"/>
      <c r="F169" s="106"/>
      <c r="G169" s="106"/>
      <c r="H169" s="106"/>
      <c r="I169" s="106"/>
      <c r="J169" s="106"/>
      <c r="K169" s="101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/>
      <c r="W169"/>
      <c r="AC169"/>
      <c r="AD169"/>
      <c r="AE169"/>
    </row>
    <row r="170" spans="1:31" ht="18" x14ac:dyDescent="0.35">
      <c r="C170" s="101"/>
      <c r="D170" s="101"/>
      <c r="E170" s="101"/>
      <c r="F170" s="106"/>
      <c r="G170" s="106"/>
      <c r="H170" s="106"/>
      <c r="I170" s="106"/>
      <c r="J170" s="106"/>
      <c r="K170" s="101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</row>
    <row r="171" spans="1:31" ht="37.5" customHeight="1" thickBot="1" x14ac:dyDescent="0.4">
      <c r="C171" s="147" t="s">
        <v>95</v>
      </c>
      <c r="D171" s="148"/>
      <c r="E171" s="148"/>
      <c r="F171" s="164" t="str">
        <f>+F160</f>
        <v>Q1 2023</v>
      </c>
      <c r="G171" s="164" t="str">
        <f>+G160</f>
        <v>Q2 2023</v>
      </c>
      <c r="H171" s="164" t="str">
        <f>+H160</f>
        <v>Q3 2023</v>
      </c>
      <c r="I171" s="149" t="str">
        <f>+I160</f>
        <v>Q4 2023</v>
      </c>
      <c r="J171" s="164"/>
      <c r="K171" s="148"/>
      <c r="L171" s="164" t="str">
        <f>+L160</f>
        <v>Q1 2022</v>
      </c>
      <c r="M171" s="164" t="str">
        <f>+M160</f>
        <v>Q2 2022</v>
      </c>
      <c r="N171" s="164" t="str">
        <f>+N160</f>
        <v>Q3 2022</v>
      </c>
      <c r="O171" s="164" t="str">
        <f>+O160</f>
        <v>Q4 2022</v>
      </c>
      <c r="P171" s="164"/>
      <c r="Q171" s="150" t="str">
        <f>+Q160</f>
        <v>Q1 2021</v>
      </c>
      <c r="R171" s="150" t="str">
        <f>+R160</f>
        <v>Q2 2021</v>
      </c>
      <c r="S171" s="150" t="str">
        <f>+S160</f>
        <v>Q3 2021</v>
      </c>
      <c r="T171" s="150" t="str">
        <f>+T160</f>
        <v>Q4 2021</v>
      </c>
      <c r="U171" s="150"/>
    </row>
    <row r="172" spans="1:31" ht="32.450000000000003" customHeight="1" outlineLevel="1" x14ac:dyDescent="0.35">
      <c r="C172" s="142" t="s">
        <v>96</v>
      </c>
      <c r="D172" s="106"/>
      <c r="E172" s="106"/>
      <c r="F172" s="169"/>
      <c r="G172" s="169"/>
      <c r="H172" s="169"/>
      <c r="I172" s="107"/>
      <c r="J172" s="106"/>
      <c r="K172" s="106"/>
      <c r="L172" s="169"/>
      <c r="M172" s="169"/>
      <c r="N172" s="169"/>
      <c r="O172" s="169"/>
      <c r="P172" s="106"/>
      <c r="Q172" s="106"/>
      <c r="R172" s="106"/>
      <c r="S172" s="106"/>
      <c r="T172" s="106"/>
      <c r="U172" s="106"/>
    </row>
    <row r="173" spans="1:31" ht="18" outlineLevel="1" x14ac:dyDescent="0.35">
      <c r="C173" s="142"/>
      <c r="D173" s="106"/>
      <c r="E173" s="106"/>
      <c r="F173" s="169"/>
      <c r="G173" s="169"/>
      <c r="H173" s="169"/>
      <c r="I173" s="107"/>
      <c r="J173" s="106"/>
      <c r="K173" s="106"/>
      <c r="L173" s="169"/>
      <c r="M173" s="169"/>
      <c r="N173" s="169"/>
      <c r="O173" s="169"/>
      <c r="P173" s="106"/>
      <c r="Q173" s="106"/>
      <c r="R173" s="106"/>
      <c r="S173" s="106"/>
      <c r="T173" s="106"/>
      <c r="U173" s="106"/>
    </row>
    <row r="174" spans="1:31" ht="18" outlineLevel="1" x14ac:dyDescent="0.35">
      <c r="C174" s="101" t="s">
        <v>97</v>
      </c>
      <c r="D174" s="115"/>
      <c r="E174" s="115"/>
      <c r="F174" s="166">
        <f>F27*-1</f>
        <v>-11</v>
      </c>
      <c r="G174" s="169">
        <f>G27*-1</f>
        <v>-11</v>
      </c>
      <c r="H174" s="169">
        <f>H27*-1</f>
        <v>-12</v>
      </c>
      <c r="I174" s="107">
        <f>I27*-1</f>
        <v>0</v>
      </c>
      <c r="J174" s="106"/>
      <c r="K174" s="115"/>
      <c r="L174" s="166">
        <f>L27*-1</f>
        <v>-12</v>
      </c>
      <c r="M174" s="169">
        <f>M27*-1</f>
        <v>-12</v>
      </c>
      <c r="N174" s="169">
        <f>N27*-1</f>
        <v>-12</v>
      </c>
      <c r="O174" s="169">
        <f>O27*-1</f>
        <v>-12</v>
      </c>
      <c r="P174" s="106"/>
      <c r="Q174" s="106">
        <f>Q27*-1</f>
        <v>-12</v>
      </c>
      <c r="R174" s="106">
        <f>R27*-1</f>
        <v>-16</v>
      </c>
      <c r="S174" s="106">
        <f>S27*-1</f>
        <v>-17</v>
      </c>
      <c r="T174" s="106">
        <f>T27*-1</f>
        <v>-14</v>
      </c>
      <c r="U174" s="106"/>
    </row>
    <row r="175" spans="1:31" ht="18" outlineLevel="1" x14ac:dyDescent="0.35">
      <c r="C175" s="101" t="s">
        <v>98</v>
      </c>
      <c r="D175" s="115"/>
      <c r="E175" s="115"/>
      <c r="F175" s="166">
        <f>F29*-1</f>
        <v>-429</v>
      </c>
      <c r="G175" s="169">
        <f>G29*-1</f>
        <v>-429</v>
      </c>
      <c r="H175" s="169">
        <f>H29*-1</f>
        <v>-422</v>
      </c>
      <c r="I175" s="107">
        <f>I29*-1</f>
        <v>0</v>
      </c>
      <c r="J175" s="106"/>
      <c r="K175" s="115"/>
      <c r="L175" s="166">
        <f>L29*-1</f>
        <v>-208</v>
      </c>
      <c r="M175" s="169">
        <f>M29*-1</f>
        <v>-315</v>
      </c>
      <c r="N175" s="169">
        <f>N29*-1</f>
        <v>-377</v>
      </c>
      <c r="O175" s="169">
        <f>O29*-1</f>
        <v>-424</v>
      </c>
      <c r="P175" s="106"/>
      <c r="Q175" s="106">
        <f>Q29*-1</f>
        <v>-242</v>
      </c>
      <c r="R175" s="106">
        <f>R29*-1</f>
        <v>-180</v>
      </c>
      <c r="S175" s="106">
        <f>S29*-1</f>
        <v>-154</v>
      </c>
      <c r="T175" s="106">
        <f>T29*-1</f>
        <v>-117</v>
      </c>
      <c r="U175" s="106"/>
    </row>
    <row r="176" spans="1:31" ht="18" outlineLevel="1" x14ac:dyDescent="0.35">
      <c r="C176" s="160" t="s">
        <v>99</v>
      </c>
      <c r="D176" s="161"/>
      <c r="E176" s="161"/>
      <c r="F176" s="179">
        <f>F24</f>
        <v>89</v>
      </c>
      <c r="G176" s="179">
        <f>G24</f>
        <v>92</v>
      </c>
      <c r="H176" s="179">
        <f>H24</f>
        <v>38</v>
      </c>
      <c r="I176" s="162">
        <f>I24</f>
        <v>0</v>
      </c>
      <c r="J176" s="163"/>
      <c r="K176" s="161"/>
      <c r="L176" s="179">
        <f>L24</f>
        <v>45.816000000000003</v>
      </c>
      <c r="M176" s="179">
        <f>M24</f>
        <v>130</v>
      </c>
      <c r="N176" s="179">
        <f>N24</f>
        <v>138</v>
      </c>
      <c r="O176" s="179">
        <f>O24</f>
        <v>32</v>
      </c>
      <c r="P176" s="163"/>
      <c r="Q176" s="163">
        <f>Q24</f>
        <v>72</v>
      </c>
      <c r="R176" s="163">
        <f>R24</f>
        <v>52</v>
      </c>
      <c r="S176" s="163">
        <f>S24</f>
        <v>22</v>
      </c>
      <c r="T176" s="163">
        <f>T24</f>
        <v>40</v>
      </c>
      <c r="U176" s="163"/>
    </row>
    <row r="177" spans="1:31" ht="18" outlineLevel="1" x14ac:dyDescent="0.35">
      <c r="C177" s="108" t="s">
        <v>100</v>
      </c>
      <c r="D177" s="112"/>
      <c r="E177" s="112"/>
      <c r="F177" s="173">
        <f>SUM(F174:F176)</f>
        <v>-351</v>
      </c>
      <c r="G177" s="173">
        <f>SUM(G174:G176)</f>
        <v>-348</v>
      </c>
      <c r="H177" s="173">
        <f>SUM(H174:H176)</f>
        <v>-396</v>
      </c>
      <c r="I177" s="113">
        <f>SUM(I174:I176)</f>
        <v>0</v>
      </c>
      <c r="J177" s="114"/>
      <c r="K177" s="112"/>
      <c r="L177" s="173">
        <f>SUM(L174:L176)</f>
        <v>-174.184</v>
      </c>
      <c r="M177" s="173">
        <f>SUM(M174:M176)</f>
        <v>-197</v>
      </c>
      <c r="N177" s="173">
        <f>SUM(N174:N176)</f>
        <v>-251</v>
      </c>
      <c r="O177" s="173">
        <f>SUM(O174:O176)</f>
        <v>-404</v>
      </c>
      <c r="P177" s="114"/>
      <c r="Q177" s="114">
        <f>SUM(Q174:Q176)</f>
        <v>-182</v>
      </c>
      <c r="R177" s="114">
        <f>SUM(R174:R176)</f>
        <v>-144</v>
      </c>
      <c r="S177" s="114">
        <f>SUM(S174:S176)</f>
        <v>-149</v>
      </c>
      <c r="T177" s="114">
        <f>SUM(T174:T176)</f>
        <v>-91</v>
      </c>
      <c r="U177" s="116"/>
    </row>
    <row r="178" spans="1:31" ht="18" hidden="1" outlineLevel="1" x14ac:dyDescent="0.35">
      <c r="C178" s="101"/>
      <c r="D178" s="115"/>
      <c r="E178" s="115"/>
      <c r="F178" s="174"/>
      <c r="G178" s="174"/>
      <c r="H178" s="174"/>
      <c r="I178" s="117"/>
      <c r="J178" s="116"/>
      <c r="K178" s="115"/>
      <c r="L178" s="174"/>
      <c r="M178" s="174"/>
      <c r="N178" s="174"/>
      <c r="O178" s="174"/>
      <c r="P178" s="116"/>
      <c r="Q178" s="116"/>
      <c r="R178" s="116"/>
      <c r="S178" s="116"/>
      <c r="T178" s="116"/>
      <c r="U178" s="116"/>
    </row>
    <row r="179" spans="1:31" ht="18" hidden="1" outlineLevel="1" x14ac:dyDescent="0.35">
      <c r="C179" s="110" t="s">
        <v>101</v>
      </c>
      <c r="D179" s="143"/>
      <c r="E179" s="143"/>
      <c r="F179" s="180">
        <v>-41</v>
      </c>
      <c r="G179" s="180"/>
      <c r="H179" s="180"/>
      <c r="I179" s="144"/>
      <c r="J179" s="145"/>
      <c r="K179" s="143"/>
      <c r="L179" s="180">
        <v>-41</v>
      </c>
      <c r="M179" s="180"/>
      <c r="N179" s="180"/>
      <c r="O179" s="180"/>
      <c r="P179" s="145"/>
      <c r="Q179" s="145">
        <v>-45</v>
      </c>
      <c r="R179" s="145">
        <v>-41</v>
      </c>
      <c r="S179" s="145">
        <v>-38</v>
      </c>
      <c r="T179" s="145">
        <v>-35</v>
      </c>
      <c r="U179" s="145"/>
    </row>
    <row r="180" spans="1:31" s="1" customFormat="1" ht="18" hidden="1" outlineLevel="1" x14ac:dyDescent="0.35">
      <c r="A180"/>
      <c r="C180" s="108" t="s">
        <v>102</v>
      </c>
      <c r="D180" s="112"/>
      <c r="E180" s="112"/>
      <c r="F180" s="173">
        <f>F177-F179</f>
        <v>-310</v>
      </c>
      <c r="G180" s="173">
        <f t="shared" ref="G180:J180" si="109">G177-G179</f>
        <v>-348</v>
      </c>
      <c r="H180" s="173">
        <f t="shared" si="109"/>
        <v>-396</v>
      </c>
      <c r="I180" s="113">
        <f t="shared" si="109"/>
        <v>0</v>
      </c>
      <c r="J180" s="113">
        <f t="shared" si="109"/>
        <v>0</v>
      </c>
      <c r="K180" s="112"/>
      <c r="L180" s="173">
        <f>L177-L179</f>
        <v>-133.184</v>
      </c>
      <c r="M180" s="173">
        <f t="shared" ref="M180:T180" si="110">M177-M179</f>
        <v>-197</v>
      </c>
      <c r="N180" s="173">
        <f t="shared" si="110"/>
        <v>-251</v>
      </c>
      <c r="O180" s="173">
        <f t="shared" si="110"/>
        <v>-404</v>
      </c>
      <c r="P180" s="113">
        <f t="shared" si="110"/>
        <v>0</v>
      </c>
      <c r="Q180" s="146">
        <f t="shared" si="110"/>
        <v>-137</v>
      </c>
      <c r="R180" s="146">
        <f t="shared" si="110"/>
        <v>-103</v>
      </c>
      <c r="S180" s="146">
        <f t="shared" si="110"/>
        <v>-111</v>
      </c>
      <c r="T180" s="146">
        <f t="shared" si="110"/>
        <v>-56</v>
      </c>
      <c r="U180" s="114"/>
      <c r="V180"/>
      <c r="W180"/>
      <c r="AC180"/>
      <c r="AD180"/>
      <c r="AE180"/>
    </row>
    <row r="181" spans="1:31" ht="18.75" outlineLevel="1" thickBot="1" x14ac:dyDescent="0.4">
      <c r="C181" s="147"/>
      <c r="D181" s="151"/>
      <c r="E181" s="151"/>
      <c r="F181" s="168"/>
      <c r="G181" s="168"/>
      <c r="H181" s="168"/>
      <c r="I181" s="152"/>
      <c r="J181" s="154"/>
      <c r="K181" s="151"/>
      <c r="L181" s="168"/>
      <c r="M181" s="168"/>
      <c r="N181" s="168"/>
      <c r="O181" s="168"/>
      <c r="P181" s="154"/>
      <c r="Q181" s="159"/>
      <c r="R181" s="159"/>
      <c r="S181" s="159"/>
      <c r="T181" s="159"/>
      <c r="U181" s="154"/>
    </row>
    <row r="182" spans="1:31" ht="18" x14ac:dyDescent="0.35">
      <c r="C182" s="86"/>
      <c r="D182" s="86"/>
      <c r="E182" s="86"/>
      <c r="F182" s="91"/>
      <c r="G182" s="91"/>
      <c r="H182" s="91"/>
      <c r="I182" s="91"/>
      <c r="J182" s="91"/>
      <c r="K182" s="86"/>
      <c r="L182" s="91"/>
      <c r="M182" s="91"/>
      <c r="N182" s="91"/>
      <c r="O182" s="91"/>
      <c r="P182" s="91"/>
      <c r="Q182" s="91"/>
      <c r="R182" s="91"/>
      <c r="S182" s="91"/>
      <c r="T182" s="91"/>
      <c r="U182" s="91"/>
    </row>
    <row r="183" spans="1:31" ht="18" x14ac:dyDescent="0.35">
      <c r="C183" s="86"/>
      <c r="D183" s="86"/>
      <c r="E183" s="86"/>
      <c r="F183" s="91"/>
      <c r="G183" s="91"/>
      <c r="H183" s="91"/>
      <c r="I183" s="91"/>
      <c r="J183" s="91"/>
      <c r="K183" s="86"/>
      <c r="L183" s="91"/>
      <c r="M183" s="91"/>
      <c r="N183" s="91"/>
      <c r="O183" s="91"/>
      <c r="P183" s="91"/>
      <c r="Q183" s="91"/>
      <c r="R183" s="91"/>
      <c r="S183" s="91"/>
      <c r="T183" s="91"/>
      <c r="U183" s="91"/>
    </row>
    <row r="184" spans="1:31" ht="18.75" hidden="1" outlineLevel="1" thickBot="1" x14ac:dyDescent="0.4">
      <c r="A184" s="22"/>
      <c r="C184" s="87" t="s">
        <v>103</v>
      </c>
      <c r="D184" s="88"/>
      <c r="E184" s="88"/>
      <c r="F184" s="89" t="str">
        <f>+F171</f>
        <v>Q1 2023</v>
      </c>
      <c r="G184" s="89" t="str">
        <f>+G171</f>
        <v>Q2 2023</v>
      </c>
      <c r="H184" s="89" t="str">
        <f>+H171</f>
        <v>Q3 2023</v>
      </c>
      <c r="I184" s="89" t="str">
        <f>+I171</f>
        <v>Q4 2023</v>
      </c>
      <c r="J184" s="90"/>
      <c r="K184" s="88"/>
      <c r="L184" s="89" t="str">
        <f>+L171</f>
        <v>Q1 2022</v>
      </c>
      <c r="M184" s="89" t="str">
        <f>+M171</f>
        <v>Q2 2022</v>
      </c>
      <c r="N184" s="89" t="str">
        <f>+N171</f>
        <v>Q3 2022</v>
      </c>
      <c r="O184" s="89" t="str">
        <f>+O171</f>
        <v>Q4 2022</v>
      </c>
      <c r="P184" s="90"/>
      <c r="Q184" s="90" t="str">
        <f>+Q171</f>
        <v>Q1 2021</v>
      </c>
      <c r="R184" s="90" t="str">
        <f>+R171</f>
        <v>Q2 2021</v>
      </c>
      <c r="S184" s="90" t="str">
        <f>+S171</f>
        <v>Q3 2021</v>
      </c>
      <c r="T184" s="90" t="str">
        <f>+T171</f>
        <v>Q4 2021</v>
      </c>
      <c r="U184" s="90"/>
      <c r="V184" s="14"/>
    </row>
    <row r="185" spans="1:31" ht="18" hidden="1" outlineLevel="2" x14ac:dyDescent="0.35">
      <c r="C185" s="94" t="s">
        <v>104</v>
      </c>
      <c r="D185" s="91"/>
      <c r="E185" s="91"/>
      <c r="F185" s="92"/>
      <c r="G185" s="92"/>
      <c r="H185" s="92"/>
      <c r="I185" s="92"/>
      <c r="J185" s="91"/>
      <c r="K185" s="91"/>
      <c r="L185" s="92"/>
      <c r="M185" s="92"/>
      <c r="N185" s="92"/>
      <c r="O185" s="92"/>
      <c r="P185" s="91"/>
      <c r="Q185" s="91"/>
      <c r="R185" s="91"/>
      <c r="S185" s="91"/>
      <c r="T185" s="91"/>
      <c r="U185" s="91"/>
      <c r="V185" s="14"/>
    </row>
    <row r="186" spans="1:31" ht="18" hidden="1" outlineLevel="2" x14ac:dyDescent="0.35">
      <c r="C186" s="86"/>
      <c r="D186" s="95"/>
      <c r="E186" s="95"/>
      <c r="F186" s="92"/>
      <c r="G186" s="92"/>
      <c r="H186" s="92"/>
      <c r="I186" s="92"/>
      <c r="J186" s="91"/>
      <c r="K186" s="95"/>
      <c r="L186" s="92"/>
      <c r="M186" s="92"/>
      <c r="N186" s="92"/>
      <c r="O186" s="92"/>
      <c r="P186" s="91"/>
      <c r="Q186" s="91"/>
      <c r="R186" s="91"/>
      <c r="S186" s="91"/>
      <c r="T186" s="91"/>
      <c r="U186" s="91"/>
      <c r="V186" s="14"/>
    </row>
    <row r="187" spans="1:31" ht="18" hidden="1" outlineLevel="2" x14ac:dyDescent="0.35">
      <c r="C187" s="86" t="s">
        <v>105</v>
      </c>
      <c r="D187" s="95"/>
      <c r="E187" s="95"/>
      <c r="F187" s="96">
        <v>16</v>
      </c>
      <c r="G187" s="96"/>
      <c r="H187" s="96"/>
      <c r="I187" s="96"/>
      <c r="J187" s="97"/>
      <c r="K187" s="95"/>
      <c r="L187" s="96">
        <v>16</v>
      </c>
      <c r="M187" s="96"/>
      <c r="N187" s="96"/>
      <c r="O187" s="96"/>
      <c r="P187" s="97"/>
      <c r="Q187" s="97">
        <v>28.1</v>
      </c>
      <c r="R187" s="97">
        <v>32</v>
      </c>
      <c r="S187" s="97">
        <v>76</v>
      </c>
      <c r="T187" s="97">
        <v>91</v>
      </c>
      <c r="U187" s="97"/>
      <c r="V187" s="14"/>
    </row>
    <row r="188" spans="1:31" ht="18" hidden="1" outlineLevel="2" x14ac:dyDescent="0.35">
      <c r="C188" s="86" t="s">
        <v>106</v>
      </c>
      <c r="D188" s="91"/>
      <c r="E188" s="91"/>
      <c r="F188" s="96">
        <v>-14</v>
      </c>
      <c r="G188" s="96"/>
      <c r="H188" s="96"/>
      <c r="I188" s="96"/>
      <c r="J188" s="97"/>
      <c r="K188" s="91"/>
      <c r="L188" s="96">
        <v>-14</v>
      </c>
      <c r="M188" s="96"/>
      <c r="N188" s="96"/>
      <c r="O188" s="96"/>
      <c r="P188" s="97"/>
      <c r="Q188" s="97">
        <v>-7.3</v>
      </c>
      <c r="R188" s="97">
        <v>-10</v>
      </c>
      <c r="S188" s="97">
        <v>-41</v>
      </c>
      <c r="T188" s="97">
        <v>-50</v>
      </c>
      <c r="U188" s="97"/>
      <c r="V188" s="14"/>
    </row>
    <row r="189" spans="1:31" ht="18" hidden="1" outlineLevel="2" x14ac:dyDescent="0.35">
      <c r="C189" s="86"/>
      <c r="D189" s="91"/>
      <c r="E189" s="91"/>
      <c r="F189" s="92"/>
      <c r="G189" s="92"/>
      <c r="H189" s="92"/>
      <c r="I189" s="92"/>
      <c r="J189" s="91"/>
      <c r="K189" s="91"/>
      <c r="L189" s="92"/>
      <c r="M189" s="92"/>
      <c r="N189" s="92"/>
      <c r="O189" s="92"/>
      <c r="P189" s="91"/>
      <c r="Q189" s="97"/>
      <c r="R189" s="97"/>
      <c r="S189" s="97"/>
      <c r="T189" s="97"/>
      <c r="U189" s="91"/>
      <c r="V189" s="14"/>
    </row>
    <row r="190" spans="1:31" ht="18.75" hidden="1" outlineLevel="2" thickBot="1" x14ac:dyDescent="0.4">
      <c r="C190" s="87" t="s">
        <v>107</v>
      </c>
      <c r="D190" s="93"/>
      <c r="E190" s="93"/>
      <c r="F190" s="98">
        <f>SUM(F187:F188)</f>
        <v>2</v>
      </c>
      <c r="G190" s="98">
        <f>SUM(G187:G188)</f>
        <v>0</v>
      </c>
      <c r="H190" s="98">
        <f>SUM(H187:H188)</f>
        <v>0</v>
      </c>
      <c r="I190" s="98">
        <f>SUM(I187:I188)</f>
        <v>0</v>
      </c>
      <c r="J190" s="99"/>
      <c r="K190" s="93"/>
      <c r="L190" s="98">
        <f>SUM(L187:L188)</f>
        <v>2</v>
      </c>
      <c r="M190" s="98">
        <f>SUM(M187:M188)</f>
        <v>0</v>
      </c>
      <c r="N190" s="98">
        <f>SUM(N187:N188)</f>
        <v>0</v>
      </c>
      <c r="O190" s="98">
        <f>SUM(O187:O188)</f>
        <v>0</v>
      </c>
      <c r="P190" s="99"/>
      <c r="Q190" s="99">
        <f t="shared" ref="Q190" si="111">SUM(Q187:Q188)</f>
        <v>20.8</v>
      </c>
      <c r="R190" s="99">
        <f t="shared" ref="R190" si="112">SUM(R187:R188)</f>
        <v>22</v>
      </c>
      <c r="S190" s="99">
        <f t="shared" ref="S190:T190" si="113">SUM(S187:S188)</f>
        <v>35</v>
      </c>
      <c r="T190" s="99">
        <f t="shared" si="113"/>
        <v>41</v>
      </c>
      <c r="U190" s="99"/>
      <c r="V190" s="14"/>
      <c r="AA190" t="s">
        <v>108</v>
      </c>
    </row>
    <row r="191" spans="1:31" ht="18" collapsed="1" x14ac:dyDescent="0.35"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14"/>
    </row>
    <row r="193" spans="3:21" ht="25.5" hidden="1" x14ac:dyDescent="0.5">
      <c r="C193" s="28" t="s">
        <v>109</v>
      </c>
      <c r="D193" s="22"/>
      <c r="E193" s="22"/>
      <c r="F193" s="22"/>
      <c r="G193" s="22"/>
      <c r="H193" s="22"/>
      <c r="I193" s="22"/>
      <c r="J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</row>
    <row r="194" spans="3:21" ht="39.75" hidden="1" thickBot="1" x14ac:dyDescent="0.45">
      <c r="C194" s="29" t="s">
        <v>110</v>
      </c>
      <c r="D194" s="30"/>
      <c r="E194" s="30"/>
      <c r="F194" s="30"/>
      <c r="G194" s="30"/>
      <c r="H194" s="30"/>
      <c r="I194" s="30"/>
      <c r="J194" s="30"/>
      <c r="K194" s="7"/>
      <c r="L194" s="30"/>
      <c r="M194" s="30"/>
      <c r="N194" s="30"/>
      <c r="O194" s="30"/>
      <c r="P194" s="30"/>
      <c r="Q194" s="30"/>
      <c r="R194" s="30"/>
      <c r="S194" s="30"/>
      <c r="T194" s="31" t="s">
        <v>18</v>
      </c>
      <c r="U194" s="31" t="s">
        <v>19</v>
      </c>
    </row>
    <row r="195" spans="3:21" ht="45" hidden="1" x14ac:dyDescent="0.25">
      <c r="C195" s="32" t="s">
        <v>111</v>
      </c>
      <c r="D195" s="33"/>
      <c r="E195" s="33"/>
      <c r="F195" s="33"/>
      <c r="G195" s="33"/>
      <c r="H195" s="33"/>
      <c r="I195" s="33"/>
      <c r="J195" s="33"/>
      <c r="K195" s="5"/>
      <c r="L195" s="33"/>
      <c r="M195" s="33"/>
      <c r="N195" s="33"/>
      <c r="O195" s="33"/>
      <c r="P195" s="33"/>
      <c r="Q195" s="33"/>
      <c r="R195" s="33"/>
      <c r="S195" s="33"/>
      <c r="T195" s="33"/>
      <c r="U195" s="33"/>
    </row>
    <row r="196" spans="3:21" hidden="1" x14ac:dyDescent="0.25">
      <c r="C196" s="34"/>
      <c r="D196" s="33"/>
      <c r="E196" s="33"/>
      <c r="F196" s="33"/>
      <c r="G196" s="33"/>
      <c r="H196" s="33"/>
      <c r="I196" s="33"/>
      <c r="J196" s="33"/>
      <c r="K196" s="5"/>
      <c r="L196" s="33"/>
      <c r="M196" s="33"/>
      <c r="N196" s="33"/>
      <c r="O196" s="33"/>
      <c r="P196" s="33"/>
      <c r="Q196" s="33"/>
      <c r="R196" s="33"/>
      <c r="S196" s="33"/>
      <c r="T196" s="33"/>
      <c r="U196" s="33"/>
    </row>
    <row r="197" spans="3:21" hidden="1" x14ac:dyDescent="0.25">
      <c r="C197" s="35" t="s">
        <v>112</v>
      </c>
      <c r="D197" s="33"/>
      <c r="E197" s="33"/>
      <c r="F197" s="33"/>
      <c r="G197" s="33"/>
      <c r="H197" s="33"/>
      <c r="I197" s="33"/>
      <c r="J197" s="33"/>
      <c r="K197" s="5"/>
      <c r="L197" s="33"/>
      <c r="M197" s="33"/>
      <c r="N197" s="33"/>
      <c r="O197" s="33"/>
      <c r="P197" s="33"/>
      <c r="Q197" s="33"/>
      <c r="R197" s="33"/>
      <c r="S197" s="33"/>
      <c r="T197" s="36">
        <v>20</v>
      </c>
      <c r="U197" s="36">
        <v>14</v>
      </c>
    </row>
    <row r="198" spans="3:21" hidden="1" x14ac:dyDescent="0.25">
      <c r="C198" s="35" t="s">
        <v>113</v>
      </c>
      <c r="D198" s="37"/>
      <c r="E198" s="37"/>
      <c r="F198" s="37"/>
      <c r="G198" s="37"/>
      <c r="H198" s="37"/>
      <c r="I198" s="37"/>
      <c r="J198" s="37"/>
      <c r="K198" s="6"/>
      <c r="L198" s="37"/>
      <c r="M198" s="37"/>
      <c r="N198" s="37"/>
      <c r="O198" s="37"/>
      <c r="P198" s="37"/>
      <c r="Q198" s="37"/>
      <c r="R198" s="37"/>
      <c r="S198" s="37"/>
      <c r="T198" s="38">
        <f>U98</f>
        <v>2.1222876797541073</v>
      </c>
      <c r="U198" s="38">
        <v>1.91</v>
      </c>
    </row>
    <row r="199" spans="3:21" hidden="1" x14ac:dyDescent="0.25">
      <c r="C199" s="35"/>
      <c r="D199" s="37"/>
      <c r="E199" s="37"/>
      <c r="F199" s="37"/>
      <c r="G199" s="37"/>
      <c r="H199" s="37"/>
      <c r="I199" s="37"/>
      <c r="J199" s="37"/>
      <c r="K199" s="6"/>
      <c r="L199" s="37"/>
      <c r="M199" s="37"/>
      <c r="N199" s="37"/>
      <c r="O199" s="37"/>
      <c r="P199" s="37"/>
      <c r="Q199" s="37"/>
      <c r="R199" s="37"/>
      <c r="S199" s="37"/>
      <c r="T199" s="39"/>
      <c r="U199" s="39"/>
    </row>
    <row r="200" spans="3:21" ht="15.75" hidden="1" thickBot="1" x14ac:dyDescent="0.3">
      <c r="C200" s="40" t="str">
        <f>C194</f>
        <v>P/E-tal</v>
      </c>
      <c r="D200" s="41"/>
      <c r="E200" s="41"/>
      <c r="F200" s="41"/>
      <c r="G200" s="41"/>
      <c r="H200" s="41"/>
      <c r="I200" s="41"/>
      <c r="J200" s="41"/>
      <c r="K200" s="8"/>
      <c r="L200" s="41"/>
      <c r="M200" s="41"/>
      <c r="N200" s="41"/>
      <c r="O200" s="41"/>
      <c r="P200" s="41"/>
      <c r="Q200" s="41"/>
      <c r="R200" s="41"/>
      <c r="S200" s="41"/>
      <c r="T200" s="42">
        <f>T197/T198</f>
        <v>9.4237931034482756</v>
      </c>
      <c r="U200" s="42">
        <f>U197/U198</f>
        <v>7.329842931937173</v>
      </c>
    </row>
    <row r="201" spans="3:21" hidden="1" x14ac:dyDescent="0.25">
      <c r="C201" s="43"/>
      <c r="D201" s="22"/>
      <c r="E201" s="22"/>
      <c r="F201" s="22"/>
      <c r="G201" s="22"/>
      <c r="H201" s="22"/>
      <c r="I201" s="22"/>
      <c r="J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</row>
    <row r="202" spans="3:21" hidden="1" x14ac:dyDescent="0.25">
      <c r="C202" s="22"/>
      <c r="D202" s="22"/>
      <c r="E202" s="22"/>
      <c r="F202" s="22"/>
      <c r="G202" s="22"/>
      <c r="H202" s="22"/>
      <c r="I202" s="22"/>
      <c r="J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</row>
    <row r="203" spans="3:21" ht="39.75" hidden="1" thickBot="1" x14ac:dyDescent="0.45">
      <c r="C203" s="29" t="s">
        <v>114</v>
      </c>
      <c r="D203" s="30"/>
      <c r="E203" s="30"/>
      <c r="F203" s="30"/>
      <c r="G203" s="30"/>
      <c r="H203" s="30"/>
      <c r="I203" s="30"/>
      <c r="J203" s="30"/>
      <c r="K203" s="7"/>
      <c r="L203" s="30"/>
      <c r="M203" s="30"/>
      <c r="N203" s="30"/>
      <c r="O203" s="30"/>
      <c r="P203" s="30"/>
      <c r="Q203" s="30"/>
      <c r="R203" s="30"/>
      <c r="S203" s="30"/>
      <c r="T203" s="31" t="s">
        <v>18</v>
      </c>
      <c r="U203" s="31" t="s">
        <v>19</v>
      </c>
    </row>
    <row r="204" spans="3:21" ht="45" hidden="1" x14ac:dyDescent="0.25">
      <c r="C204" s="32" t="s">
        <v>115</v>
      </c>
      <c r="D204" s="33"/>
      <c r="E204" s="33"/>
      <c r="F204" s="33"/>
      <c r="G204" s="33"/>
      <c r="H204" s="33"/>
      <c r="I204" s="33"/>
      <c r="J204" s="33"/>
      <c r="K204" s="5"/>
      <c r="L204" s="33"/>
      <c r="M204" s="33"/>
      <c r="N204" s="33"/>
      <c r="O204" s="33"/>
      <c r="P204" s="33"/>
      <c r="Q204" s="33"/>
      <c r="R204" s="33"/>
      <c r="S204" s="33"/>
      <c r="T204" s="33"/>
      <c r="U204" s="33"/>
    </row>
    <row r="205" spans="3:21" hidden="1" x14ac:dyDescent="0.25">
      <c r="C205" s="34"/>
      <c r="D205" s="33"/>
      <c r="E205" s="33"/>
      <c r="F205" s="33"/>
      <c r="G205" s="33"/>
      <c r="H205" s="33"/>
      <c r="I205" s="33"/>
      <c r="J205" s="33"/>
      <c r="K205" s="5"/>
      <c r="L205" s="33"/>
      <c r="M205" s="33"/>
      <c r="N205" s="33"/>
      <c r="O205" s="33"/>
      <c r="P205" s="33"/>
      <c r="Q205" s="33"/>
      <c r="R205" s="33"/>
      <c r="S205" s="33"/>
      <c r="T205" s="33"/>
      <c r="U205" s="33"/>
    </row>
    <row r="206" spans="3:21" hidden="1" x14ac:dyDescent="0.25">
      <c r="C206" s="35" t="s">
        <v>112</v>
      </c>
      <c r="D206" s="33"/>
      <c r="E206" s="33"/>
      <c r="F206" s="33"/>
      <c r="G206" s="33"/>
      <c r="H206" s="33"/>
      <c r="I206" s="33"/>
      <c r="J206" s="33"/>
      <c r="K206" s="5"/>
      <c r="L206" s="33"/>
      <c r="M206" s="33"/>
      <c r="N206" s="33"/>
      <c r="O206" s="33"/>
      <c r="P206" s="33"/>
      <c r="Q206" s="33"/>
      <c r="R206" s="33"/>
      <c r="S206" s="33"/>
      <c r="T206" s="36">
        <v>20</v>
      </c>
      <c r="U206" s="36">
        <v>14</v>
      </c>
    </row>
    <row r="207" spans="3:21" hidden="1" x14ac:dyDescent="0.25">
      <c r="C207" s="35" t="s">
        <v>116</v>
      </c>
      <c r="D207" s="37"/>
      <c r="E207" s="37"/>
      <c r="F207" s="37"/>
      <c r="G207" s="37"/>
      <c r="H207" s="37"/>
      <c r="I207" s="37"/>
      <c r="J207" s="37"/>
      <c r="K207" s="6"/>
      <c r="L207" s="37"/>
      <c r="M207" s="37"/>
      <c r="N207" s="37"/>
      <c r="O207" s="37"/>
      <c r="P207" s="37"/>
      <c r="Q207" s="37"/>
      <c r="R207" s="37"/>
      <c r="S207" s="37"/>
      <c r="T207" s="44" t="s">
        <v>117</v>
      </c>
      <c r="U207" s="38">
        <v>0.5</v>
      </c>
    </row>
    <row r="208" spans="3:21" hidden="1" x14ac:dyDescent="0.25">
      <c r="C208" s="35"/>
      <c r="D208" s="37"/>
      <c r="E208" s="37"/>
      <c r="F208" s="37"/>
      <c r="G208" s="37"/>
      <c r="H208" s="37"/>
      <c r="I208" s="37"/>
      <c r="J208" s="37"/>
      <c r="K208" s="6"/>
      <c r="L208" s="37"/>
      <c r="M208" s="37"/>
      <c r="N208" s="37"/>
      <c r="O208" s="37"/>
      <c r="P208" s="37"/>
      <c r="Q208" s="37"/>
      <c r="R208" s="37"/>
      <c r="S208" s="37"/>
      <c r="T208" s="39"/>
      <c r="U208" s="39"/>
    </row>
    <row r="209" spans="3:21" ht="15.75" hidden="1" thickBot="1" x14ac:dyDescent="0.3">
      <c r="C209" s="40" t="str">
        <f>C203</f>
        <v>Direktavkastning</v>
      </c>
      <c r="D209" s="41"/>
      <c r="E209" s="41"/>
      <c r="F209" s="41"/>
      <c r="G209" s="41"/>
      <c r="H209" s="41"/>
      <c r="I209" s="41"/>
      <c r="J209" s="41"/>
      <c r="K209" s="8"/>
      <c r="L209" s="41"/>
      <c r="M209" s="41"/>
      <c r="N209" s="41"/>
      <c r="O209" s="41"/>
      <c r="P209" s="41"/>
      <c r="Q209" s="41"/>
      <c r="R209" s="41"/>
      <c r="S209" s="41"/>
      <c r="T209" s="45">
        <v>0</v>
      </c>
      <c r="U209" s="45">
        <f>U207/U206</f>
        <v>3.5714285714285712E-2</v>
      </c>
    </row>
    <row r="210" spans="3:21" hidden="1" x14ac:dyDescent="0.25">
      <c r="C210" s="43" t="s">
        <v>118</v>
      </c>
      <c r="D210" s="22"/>
      <c r="E210" s="22"/>
      <c r="F210" s="22"/>
      <c r="G210" s="22"/>
      <c r="H210" s="22"/>
      <c r="I210" s="22"/>
      <c r="J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</row>
    <row r="211" spans="3:21" hidden="1" x14ac:dyDescent="0.25">
      <c r="C211" s="22"/>
      <c r="D211" s="22"/>
      <c r="E211" s="22"/>
      <c r="F211" s="22"/>
      <c r="G211" s="22"/>
      <c r="H211" s="22"/>
      <c r="I211" s="22"/>
      <c r="J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</row>
    <row r="212" spans="3:21" ht="39.75" hidden="1" thickBot="1" x14ac:dyDescent="0.45">
      <c r="C212" s="29" t="s">
        <v>119</v>
      </c>
      <c r="D212" s="30"/>
      <c r="E212" s="30"/>
      <c r="F212" s="30"/>
      <c r="G212" s="30"/>
      <c r="H212" s="30"/>
      <c r="I212" s="30"/>
      <c r="J212" s="30"/>
      <c r="K212" s="7"/>
      <c r="L212" s="30"/>
      <c r="M212" s="30"/>
      <c r="N212" s="30"/>
      <c r="O212" s="30"/>
      <c r="P212" s="30"/>
      <c r="Q212" s="30"/>
      <c r="R212" s="30"/>
      <c r="S212" s="30"/>
      <c r="T212" s="31" t="s">
        <v>18</v>
      </c>
      <c r="U212" s="31" t="s">
        <v>19</v>
      </c>
    </row>
    <row r="213" spans="3:21" ht="30" hidden="1" outlineLevel="1" x14ac:dyDescent="0.25">
      <c r="C213" s="32" t="s">
        <v>120</v>
      </c>
      <c r="D213" s="33"/>
      <c r="E213" s="33"/>
      <c r="F213" s="33"/>
      <c r="G213" s="33"/>
      <c r="H213" s="33"/>
      <c r="I213" s="33"/>
      <c r="J213" s="33"/>
      <c r="K213" s="5"/>
      <c r="L213" s="33"/>
      <c r="M213" s="33"/>
      <c r="N213" s="33"/>
      <c r="O213" s="33"/>
      <c r="P213" s="33"/>
      <c r="Q213" s="33"/>
      <c r="R213" s="33"/>
      <c r="S213" s="33"/>
      <c r="T213" s="33"/>
      <c r="U213" s="33"/>
    </row>
    <row r="214" spans="3:21" hidden="1" outlineLevel="1" x14ac:dyDescent="0.25">
      <c r="C214" s="34"/>
      <c r="D214" s="33"/>
      <c r="E214" s="33"/>
      <c r="F214" s="33"/>
      <c r="G214" s="33"/>
      <c r="H214" s="33"/>
      <c r="I214" s="33"/>
      <c r="J214" s="33"/>
      <c r="K214" s="5"/>
      <c r="L214" s="33"/>
      <c r="M214" s="33"/>
      <c r="N214" s="33"/>
      <c r="O214" s="33"/>
      <c r="P214" s="33"/>
      <c r="Q214" s="33"/>
      <c r="R214" s="33"/>
      <c r="S214" s="33"/>
      <c r="T214" s="33"/>
      <c r="U214" s="33"/>
    </row>
    <row r="215" spans="3:21" hidden="1" outlineLevel="1" x14ac:dyDescent="0.25">
      <c r="C215" s="35" t="s">
        <v>79</v>
      </c>
      <c r="D215" s="33"/>
      <c r="E215" s="33"/>
      <c r="F215" s="33"/>
      <c r="G215" s="33"/>
      <c r="H215" s="33"/>
      <c r="I215" s="33"/>
      <c r="J215" s="33"/>
      <c r="K215" s="5"/>
      <c r="L215" s="33"/>
      <c r="M215" s="33"/>
      <c r="N215" s="33"/>
      <c r="O215" s="33"/>
      <c r="P215" s="33"/>
      <c r="Q215" s="33"/>
      <c r="R215" s="33"/>
      <c r="S215" s="33"/>
      <c r="T215" s="33">
        <f>V25</f>
        <v>0</v>
      </c>
      <c r="U215" s="33">
        <f>AF25</f>
        <v>390</v>
      </c>
    </row>
    <row r="216" spans="3:21" hidden="1" outlineLevel="1" x14ac:dyDescent="0.25">
      <c r="C216" s="35" t="s">
        <v>98</v>
      </c>
      <c r="D216" s="37"/>
      <c r="E216" s="37"/>
      <c r="F216" s="37"/>
      <c r="G216" s="37"/>
      <c r="H216" s="37"/>
      <c r="I216" s="37"/>
      <c r="J216" s="37"/>
      <c r="K216" s="6"/>
      <c r="L216" s="37"/>
      <c r="M216" s="37"/>
      <c r="N216" s="37"/>
      <c r="O216" s="37"/>
      <c r="P216" s="37"/>
      <c r="Q216" s="37"/>
      <c r="R216" s="37"/>
      <c r="S216" s="37"/>
      <c r="T216" s="39">
        <f>V29</f>
        <v>0</v>
      </c>
      <c r="U216" s="39">
        <v>230</v>
      </c>
    </row>
    <row r="217" spans="3:21" hidden="1" outlineLevel="1" x14ac:dyDescent="0.25">
      <c r="C217" s="35"/>
      <c r="D217" s="37"/>
      <c r="E217" s="37"/>
      <c r="F217" s="37"/>
      <c r="G217" s="37"/>
      <c r="H217" s="37"/>
      <c r="I217" s="37"/>
      <c r="J217" s="37"/>
      <c r="K217" s="6"/>
      <c r="L217" s="37"/>
      <c r="M217" s="37"/>
      <c r="N217" s="37"/>
      <c r="O217" s="37"/>
      <c r="P217" s="37"/>
      <c r="Q217" s="37"/>
      <c r="R217" s="37"/>
      <c r="S217" s="37"/>
      <c r="T217" s="39"/>
      <c r="U217" s="39"/>
    </row>
    <row r="218" spans="3:21" ht="15.75" hidden="1" outlineLevel="1" thickBot="1" x14ac:dyDescent="0.3">
      <c r="C218" s="40" t="s">
        <v>121</v>
      </c>
      <c r="D218" s="41"/>
      <c r="E218" s="41"/>
      <c r="F218" s="41"/>
      <c r="G218" s="41"/>
      <c r="H218" s="41"/>
      <c r="I218" s="41"/>
      <c r="J218" s="41"/>
      <c r="K218" s="8"/>
      <c r="L218" s="41"/>
      <c r="M218" s="41"/>
      <c r="N218" s="41"/>
      <c r="O218" s="41"/>
      <c r="P218" s="41"/>
      <c r="Q218" s="41"/>
      <c r="R218" s="41"/>
      <c r="S218" s="41"/>
      <c r="T218" s="46" t="e">
        <f t="shared" ref="T218" si="114">T216/T215</f>
        <v>#DIV/0!</v>
      </c>
      <c r="U218" s="46">
        <f t="shared" ref="U218" si="115">U216/U215</f>
        <v>0.58974358974358976</v>
      </c>
    </row>
    <row r="219" spans="3:21" collapsed="1" x14ac:dyDescent="0.25">
      <c r="C219" s="17"/>
    </row>
  </sheetData>
  <phoneticPr fontId="13" type="noConversion"/>
  <pageMargins left="0.70866141732283472" right="0.70866141732283472" top="0.74803149606299213" bottom="0.74803149606299213" header="0.31496062992125984" footer="0.31496062992125984"/>
  <pageSetup paperSize="9" fitToWidth="2" fitToHeight="8" orientation="landscape" r:id="rId1"/>
  <ignoredErrors>
    <ignoredError sqref="M87 P8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83D9-875E-4110-9FE2-116A9B1F4CDC}">
  <dimension ref="C2:E18"/>
  <sheetViews>
    <sheetView topLeftCell="B1" workbookViewId="0">
      <selection activeCell="E13" sqref="E13"/>
    </sheetView>
  </sheetViews>
  <sheetFormatPr defaultRowHeight="15" x14ac:dyDescent="0.25"/>
  <cols>
    <col min="3" max="3" width="32.28515625" bestFit="1" customWidth="1"/>
    <col min="5" max="5" width="117.28515625" bestFit="1" customWidth="1"/>
  </cols>
  <sheetData>
    <row r="2" spans="3:5" x14ac:dyDescent="0.25">
      <c r="C2" t="s">
        <v>122</v>
      </c>
      <c r="E2" t="s">
        <v>123</v>
      </c>
    </row>
    <row r="3" spans="3:5" x14ac:dyDescent="0.25">
      <c r="C3" t="s">
        <v>93</v>
      </c>
      <c r="E3" t="s">
        <v>124</v>
      </c>
    </row>
    <row r="4" spans="3:5" x14ac:dyDescent="0.25">
      <c r="C4" t="s">
        <v>125</v>
      </c>
      <c r="E4" t="s">
        <v>126</v>
      </c>
    </row>
    <row r="5" spans="3:5" x14ac:dyDescent="0.25">
      <c r="C5" t="s">
        <v>127</v>
      </c>
      <c r="E5" t="s">
        <v>128</v>
      </c>
    </row>
    <row r="6" spans="3:5" x14ac:dyDescent="0.25">
      <c r="C6" t="s">
        <v>129</v>
      </c>
      <c r="E6" t="s">
        <v>130</v>
      </c>
    </row>
    <row r="7" spans="3:5" x14ac:dyDescent="0.25">
      <c r="C7" t="s">
        <v>131</v>
      </c>
      <c r="E7" t="s">
        <v>132</v>
      </c>
    </row>
    <row r="8" spans="3:5" x14ac:dyDescent="0.25">
      <c r="C8" t="s">
        <v>133</v>
      </c>
      <c r="E8" t="s">
        <v>134</v>
      </c>
    </row>
    <row r="9" spans="3:5" x14ac:dyDescent="0.25">
      <c r="C9" t="s">
        <v>135</v>
      </c>
      <c r="E9" t="s">
        <v>136</v>
      </c>
    </row>
    <row r="10" spans="3:5" x14ac:dyDescent="0.25">
      <c r="C10" t="s">
        <v>137</v>
      </c>
      <c r="E10" t="s">
        <v>138</v>
      </c>
    </row>
    <row r="15" spans="3:5" x14ac:dyDescent="0.25">
      <c r="C15" t="s">
        <v>139</v>
      </c>
      <c r="E15" s="22" t="s">
        <v>140</v>
      </c>
    </row>
    <row r="16" spans="3:5" x14ac:dyDescent="0.25">
      <c r="C16" t="s">
        <v>141</v>
      </c>
      <c r="E16" s="22" t="s">
        <v>142</v>
      </c>
    </row>
    <row r="17" spans="3:5" x14ac:dyDescent="0.25">
      <c r="E17" s="22" t="s">
        <v>143</v>
      </c>
    </row>
    <row r="18" spans="3:5" x14ac:dyDescent="0.25">
      <c r="C18" t="s">
        <v>144</v>
      </c>
      <c r="E18" t="s">
        <v>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AECD773112B42BE28954A764E663E" ma:contentTypeVersion="14" ma:contentTypeDescription="Skapa ett nytt dokument." ma:contentTypeScope="" ma:versionID="20c8443b0aca3a2609d1a3c9f33a633b">
  <xsd:schema xmlns:xsd="http://www.w3.org/2001/XMLSchema" xmlns:xs="http://www.w3.org/2001/XMLSchema" xmlns:p="http://schemas.microsoft.com/office/2006/metadata/properties" xmlns:ns2="d9eedaf0-0321-49c3-b342-69ad27306dd0" xmlns:ns3="53930bf7-56de-46d3-892f-ad35e21fe45f" targetNamespace="http://schemas.microsoft.com/office/2006/metadata/properties" ma:root="true" ma:fieldsID="5fc8d7cfa9260d058cde8770cd3c4797" ns2:_="" ns3:_="">
    <xsd:import namespace="d9eedaf0-0321-49c3-b342-69ad27306dd0"/>
    <xsd:import namespace="53930bf7-56de-46d3-892f-ad35e21fe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edaf0-0321-49c3-b342-69ad27306d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dmarkeringar" ma:readOnly="false" ma:fieldId="{5cf76f15-5ced-4ddc-b409-7134ff3c332f}" ma:taxonomyMulti="true" ma:sspId="30da4eba-25fe-4d83-9dc5-ce63d09f47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30bf7-56de-46d3-892f-ad35e21fe45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01cd2f0-ae17-4f76-b55f-f7956ca077ac}" ma:internalName="TaxCatchAll" ma:showField="CatchAllData" ma:web="53930bf7-56de-46d3-892f-ad35e21fe4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eedaf0-0321-49c3-b342-69ad27306dd0">
      <Terms xmlns="http://schemas.microsoft.com/office/infopath/2007/PartnerControls"/>
    </lcf76f155ced4ddcb4097134ff3c332f>
    <TaxCatchAll xmlns="53930bf7-56de-46d3-892f-ad35e21fe45f" xsi:nil="true"/>
  </documentManagement>
</p:properties>
</file>

<file path=customXml/itemProps1.xml><?xml version="1.0" encoding="utf-8"?>
<ds:datastoreItem xmlns:ds="http://schemas.openxmlformats.org/officeDocument/2006/customXml" ds:itemID="{84A68736-6D12-499F-BE21-D194F9A202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B8F859-45D1-468D-8896-E019DF221B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eedaf0-0321-49c3-b342-69ad27306dd0"/>
    <ds:schemaRef ds:uri="53930bf7-56de-46d3-892f-ad35e21fe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96BE90-048C-4540-9AA0-8A7253F18C2E}">
  <ds:schemaRefs>
    <ds:schemaRef ds:uri="http://schemas.microsoft.com/office/2006/metadata/properties"/>
    <ds:schemaRef ds:uri="http://schemas.microsoft.com/office/infopath/2007/PartnerControls"/>
    <ds:schemaRef ds:uri="d9eedaf0-0321-49c3-b342-69ad27306dd0"/>
    <ds:schemaRef ds:uri="53930bf7-56de-46d3-892f-ad35e21fe4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1</vt:i4>
      </vt:variant>
    </vt:vector>
  </HeadingPairs>
  <TitlesOfParts>
    <vt:vector size="3" baseType="lpstr">
      <vt:lpstr>Härledningar</vt:lpstr>
      <vt:lpstr>Definitioner</vt:lpstr>
      <vt:lpstr>Härledningar!Utskriftsområde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Annika Zippert</dc:creator>
  <cp:keywords/>
  <dc:description/>
  <cp:lastModifiedBy>Erika Nilsson, Midway</cp:lastModifiedBy>
  <cp:revision/>
  <cp:lastPrinted>2023-04-25T07:04:23Z</cp:lastPrinted>
  <dcterms:created xsi:type="dcterms:W3CDTF">2020-04-20T07:43:01Z</dcterms:created>
  <dcterms:modified xsi:type="dcterms:W3CDTF">2023-12-06T14:33:33Z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0x010100436AECD773112B42BE28954A764E663E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