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rasmus/Google Drive/Phd/Field work 2016/"/>
    </mc:Choice>
  </mc:AlternateContent>
  <xr:revisionPtr revIDLastSave="0" documentId="13_ncr:1_{57DA50DE-80B0-E145-A0AB-88C99BFC407F}" xr6:coauthVersionLast="36" xr6:coauthVersionMax="36" xr10:uidLastSave="{00000000-0000-0000-0000-000000000000}"/>
  <bookViews>
    <workbookView xWindow="0" yWindow="460" windowWidth="28800" windowHeight="17540" tabRatio="500" firstSheet="8" activeTab="16" xr2:uid="{00000000-000D-0000-FFFF-FFFF00000000}"/>
  </bookViews>
  <sheets>
    <sheet name="Soil samples" sheetId="1" r:id="rId1"/>
    <sheet name="Soil samples 2017" sheetId="21" r:id="rId2"/>
    <sheet name="Roots 2016" sheetId="11" r:id="rId3"/>
    <sheet name="Roots 2017" sheetId="22" r:id="rId4"/>
    <sheet name="Roots all" sheetId="28" r:id="rId5"/>
    <sheet name="Wet analysis 2016" sheetId="18" r:id="rId6"/>
    <sheet name="Wet analysis 2017" sheetId="24" r:id="rId7"/>
    <sheet name="Wet analysis all" sheetId="27" r:id="rId8"/>
    <sheet name="Wet ref" sheetId="19" r:id="rId9"/>
    <sheet name="Wet ref 2017" sheetId="26" r:id="rId10"/>
    <sheet name="C N analysis" sheetId="16" r:id="rId11"/>
    <sheet name="uav" sheetId="17" r:id="rId12"/>
    <sheet name="Olsen P" sheetId="12" r:id="rId13"/>
    <sheet name="Olsen P ny" sheetId="25" r:id="rId14"/>
    <sheet name="Olsen P ref" sheetId="6" r:id="rId15"/>
    <sheet name="Leaf samples" sheetId="2" r:id="rId16"/>
    <sheet name="Biomass" sheetId="3" r:id="rId17"/>
    <sheet name="Dry ref" sheetId="5" r:id="rId18"/>
    <sheet name="Veg analysis" sheetId="9" r:id="rId19"/>
    <sheet name="Species names" sheetId="4" r:id="rId20"/>
    <sheet name="mix" sheetId="20" r:id="rId2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1" i="9" l="1"/>
  <c r="K82" i="9"/>
  <c r="K83" i="9"/>
  <c r="K84" i="9"/>
  <c r="K85" i="9"/>
  <c r="K86" i="9"/>
  <c r="K87" i="9"/>
  <c r="K88" i="9"/>
  <c r="K80" i="9"/>
  <c r="K79" i="9"/>
  <c r="S5" i="27" l="1"/>
  <c r="T5" i="27"/>
  <c r="U5" i="27"/>
  <c r="S6" i="27"/>
  <c r="T6" i="27"/>
  <c r="U6" i="27"/>
  <c r="S7" i="27"/>
  <c r="T7" i="27"/>
  <c r="U7" i="27"/>
  <c r="S8" i="27"/>
  <c r="T8" i="27"/>
  <c r="U8" i="27"/>
  <c r="S9" i="27"/>
  <c r="T9" i="27"/>
  <c r="U9" i="27"/>
  <c r="S10" i="27"/>
  <c r="T10" i="27"/>
  <c r="U10" i="27"/>
  <c r="S11" i="27"/>
  <c r="T11" i="27"/>
  <c r="U11" i="27"/>
  <c r="S12" i="27"/>
  <c r="T12" i="27"/>
  <c r="U12" i="27"/>
  <c r="S13" i="27"/>
  <c r="T13" i="27"/>
  <c r="U13" i="27"/>
  <c r="S14" i="27"/>
  <c r="T14" i="27"/>
  <c r="U14" i="27"/>
  <c r="S15" i="27"/>
  <c r="T15" i="27"/>
  <c r="U15" i="27"/>
  <c r="S16" i="27"/>
  <c r="T16" i="27"/>
  <c r="U16" i="27"/>
  <c r="S17" i="27"/>
  <c r="T17" i="27"/>
  <c r="U17" i="27"/>
  <c r="S18" i="27"/>
  <c r="T18" i="27"/>
  <c r="U18" i="27"/>
  <c r="S19" i="27"/>
  <c r="T19" i="27"/>
  <c r="U19" i="27"/>
  <c r="S20" i="27"/>
  <c r="T20" i="27"/>
  <c r="U20" i="27"/>
  <c r="S21" i="27"/>
  <c r="T21" i="27"/>
  <c r="U21" i="27"/>
  <c r="S22" i="27"/>
  <c r="T22" i="27"/>
  <c r="U22" i="27"/>
  <c r="S23" i="27"/>
  <c r="T23" i="27"/>
  <c r="U23" i="27"/>
  <c r="S24" i="27"/>
  <c r="T24" i="27"/>
  <c r="U24" i="27"/>
  <c r="S25" i="27"/>
  <c r="T25" i="27"/>
  <c r="U25" i="27"/>
  <c r="S26" i="27"/>
  <c r="T26" i="27"/>
  <c r="U26" i="27"/>
  <c r="S27" i="27"/>
  <c r="T27" i="27"/>
  <c r="U27" i="27"/>
  <c r="S28" i="27"/>
  <c r="T28" i="27"/>
  <c r="U28" i="27"/>
  <c r="S29" i="27"/>
  <c r="T29" i="27"/>
  <c r="U29" i="27"/>
  <c r="S30" i="27"/>
  <c r="T30" i="27"/>
  <c r="U30" i="27"/>
  <c r="S31" i="27"/>
  <c r="T31" i="27"/>
  <c r="U31" i="27"/>
  <c r="S32" i="27"/>
  <c r="T32" i="27"/>
  <c r="U32" i="27"/>
  <c r="S33" i="27"/>
  <c r="T33" i="27"/>
  <c r="U33" i="27"/>
  <c r="S34" i="27"/>
  <c r="T34" i="27"/>
  <c r="U34" i="27"/>
  <c r="S35" i="27"/>
  <c r="T35" i="27"/>
  <c r="U35" i="27"/>
  <c r="S36" i="27"/>
  <c r="T36" i="27"/>
  <c r="U36" i="27"/>
  <c r="S37" i="27"/>
  <c r="T37" i="27"/>
  <c r="U37" i="27"/>
  <c r="S38" i="27"/>
  <c r="T38" i="27"/>
  <c r="U38" i="27"/>
  <c r="S39" i="27"/>
  <c r="T39" i="27"/>
  <c r="U39" i="27"/>
  <c r="S40" i="27"/>
  <c r="T40" i="27"/>
  <c r="U40" i="27"/>
  <c r="S41" i="27"/>
  <c r="T41" i="27"/>
  <c r="U41" i="27"/>
  <c r="S42" i="27"/>
  <c r="T42" i="27"/>
  <c r="U42" i="27"/>
  <c r="S43" i="27"/>
  <c r="T43" i="27"/>
  <c r="U43" i="27"/>
  <c r="S44" i="27"/>
  <c r="T44" i="27"/>
  <c r="U44" i="27"/>
  <c r="S45" i="27"/>
  <c r="T45" i="27"/>
  <c r="U45" i="27"/>
  <c r="S46" i="27"/>
  <c r="T46" i="27"/>
  <c r="U46" i="27"/>
  <c r="S47" i="27"/>
  <c r="T47" i="27"/>
  <c r="U47" i="27"/>
  <c r="S48" i="27"/>
  <c r="T48" i="27"/>
  <c r="U48" i="27"/>
  <c r="S49" i="27"/>
  <c r="T49" i="27"/>
  <c r="U49" i="27"/>
  <c r="S50" i="27"/>
  <c r="T50" i="27"/>
  <c r="U50" i="27"/>
  <c r="S51" i="27"/>
  <c r="T51" i="27"/>
  <c r="U51" i="27"/>
  <c r="S52" i="27"/>
  <c r="T52" i="27"/>
  <c r="U52" i="27"/>
  <c r="S53" i="27"/>
  <c r="T53" i="27"/>
  <c r="U53" i="27"/>
  <c r="S54" i="27"/>
  <c r="T54" i="27"/>
  <c r="U54" i="27"/>
  <c r="S55" i="27"/>
  <c r="T55" i="27"/>
  <c r="U55" i="27"/>
  <c r="S56" i="27"/>
  <c r="T56" i="27"/>
  <c r="U56" i="27"/>
  <c r="S57" i="27"/>
  <c r="T57" i="27"/>
  <c r="U57" i="27"/>
  <c r="S58" i="27"/>
  <c r="T58" i="27"/>
  <c r="U58" i="27"/>
  <c r="S59" i="27"/>
  <c r="T59" i="27"/>
  <c r="U59" i="27"/>
  <c r="S60" i="27"/>
  <c r="T60" i="27"/>
  <c r="U60" i="27"/>
  <c r="S61" i="27"/>
  <c r="T61" i="27"/>
  <c r="U61" i="27"/>
  <c r="S62" i="27"/>
  <c r="T62" i="27"/>
  <c r="U62" i="27"/>
  <c r="S63" i="27"/>
  <c r="T63" i="27"/>
  <c r="U63" i="27"/>
  <c r="S64" i="27"/>
  <c r="T64" i="27"/>
  <c r="U64" i="27"/>
  <c r="S65" i="27"/>
  <c r="T65" i="27"/>
  <c r="U65" i="27"/>
  <c r="S66" i="27"/>
  <c r="T66" i="27"/>
  <c r="U66" i="27"/>
  <c r="S67" i="27"/>
  <c r="T67" i="27"/>
  <c r="U67" i="27"/>
  <c r="S68" i="27"/>
  <c r="T68" i="27"/>
  <c r="U68" i="27"/>
  <c r="S69" i="27"/>
  <c r="T69" i="27"/>
  <c r="U69" i="27"/>
  <c r="S70" i="27"/>
  <c r="T70" i="27"/>
  <c r="U70" i="27"/>
  <c r="S71" i="27"/>
  <c r="T71" i="27"/>
  <c r="U71" i="27"/>
  <c r="S72" i="27"/>
  <c r="T72" i="27"/>
  <c r="U72" i="27"/>
  <c r="S73" i="27"/>
  <c r="T73" i="27"/>
  <c r="U73" i="27"/>
  <c r="S74" i="27"/>
  <c r="T74" i="27"/>
  <c r="U74" i="27"/>
  <c r="S75" i="27"/>
  <c r="T75" i="27"/>
  <c r="U75" i="27"/>
  <c r="S76" i="27"/>
  <c r="T76" i="27"/>
  <c r="U76" i="27"/>
  <c r="S77" i="27"/>
  <c r="T77" i="27"/>
  <c r="U77" i="27"/>
  <c r="S78" i="27"/>
  <c r="T78" i="27"/>
  <c r="U78" i="27"/>
  <c r="S79" i="27"/>
  <c r="T79" i="27"/>
  <c r="U79" i="27"/>
  <c r="S80" i="27"/>
  <c r="T80" i="27"/>
  <c r="U80" i="27"/>
  <c r="S81" i="27"/>
  <c r="T81" i="27"/>
  <c r="U81" i="27"/>
  <c r="S82" i="27"/>
  <c r="T82" i="27"/>
  <c r="U82" i="27"/>
  <c r="S83" i="27"/>
  <c r="T83" i="27"/>
  <c r="U83" i="27"/>
  <c r="S84" i="27"/>
  <c r="T84" i="27"/>
  <c r="U84" i="27"/>
  <c r="S85" i="27"/>
  <c r="T85" i="27"/>
  <c r="U85" i="27"/>
  <c r="S86" i="27"/>
  <c r="T86" i="27"/>
  <c r="U86" i="27"/>
  <c r="S87" i="27"/>
  <c r="T87" i="27"/>
  <c r="U87" i="27"/>
  <c r="S88" i="27"/>
  <c r="T88" i="27"/>
  <c r="U88" i="27"/>
  <c r="S89" i="27"/>
  <c r="T89" i="27"/>
  <c r="U89" i="27"/>
  <c r="S90" i="27"/>
  <c r="T90" i="27"/>
  <c r="U90" i="27"/>
  <c r="S91" i="27"/>
  <c r="T91" i="27"/>
  <c r="U91" i="27"/>
  <c r="S92" i="27"/>
  <c r="T92" i="27"/>
  <c r="U92" i="27"/>
  <c r="S93" i="27"/>
  <c r="T93" i="27"/>
  <c r="U93" i="27"/>
  <c r="S94" i="27"/>
  <c r="T94" i="27"/>
  <c r="U94" i="27"/>
  <c r="S95" i="27"/>
  <c r="T95" i="27"/>
  <c r="U95" i="27"/>
  <c r="S96" i="27"/>
  <c r="T96" i="27"/>
  <c r="U96" i="27"/>
  <c r="S97" i="27"/>
  <c r="T97" i="27"/>
  <c r="U97" i="27"/>
  <c r="S98" i="27"/>
  <c r="T98" i="27"/>
  <c r="U98" i="27"/>
  <c r="S99" i="27"/>
  <c r="T99" i="27"/>
  <c r="U99" i="27"/>
  <c r="S100" i="27"/>
  <c r="T100" i="27"/>
  <c r="U100" i="27"/>
  <c r="S101" i="27"/>
  <c r="T101" i="27"/>
  <c r="U101" i="27"/>
  <c r="S102" i="27"/>
  <c r="T102" i="27"/>
  <c r="U102" i="27"/>
  <c r="S103" i="27"/>
  <c r="T103" i="27"/>
  <c r="U103" i="27"/>
  <c r="S104" i="27"/>
  <c r="T104" i="27"/>
  <c r="U104" i="27"/>
  <c r="S105" i="27"/>
  <c r="T105" i="27"/>
  <c r="U105" i="27"/>
  <c r="S106" i="27"/>
  <c r="T106" i="27"/>
  <c r="U106" i="27"/>
  <c r="S107" i="27"/>
  <c r="T107" i="27"/>
  <c r="U107" i="27"/>
  <c r="S108" i="27"/>
  <c r="T108" i="27"/>
  <c r="U108" i="27"/>
  <c r="S109" i="27"/>
  <c r="T109" i="27"/>
  <c r="U109" i="27"/>
  <c r="S110" i="27"/>
  <c r="T110" i="27"/>
  <c r="U110" i="27"/>
  <c r="S111" i="27"/>
  <c r="T111" i="27"/>
  <c r="U111" i="27"/>
  <c r="S112" i="27"/>
  <c r="T112" i="27"/>
  <c r="U112" i="27"/>
  <c r="S113" i="27"/>
  <c r="T113" i="27"/>
  <c r="U113" i="27"/>
  <c r="S114" i="27"/>
  <c r="T114" i="27"/>
  <c r="U114" i="27"/>
  <c r="S115" i="27"/>
  <c r="T115" i="27"/>
  <c r="U115" i="27"/>
  <c r="S116" i="27"/>
  <c r="T116" i="27"/>
  <c r="U116" i="27"/>
  <c r="S117" i="27"/>
  <c r="T117" i="27"/>
  <c r="U117" i="27"/>
  <c r="S118" i="27"/>
  <c r="T118" i="27"/>
  <c r="U118" i="27"/>
  <c r="S119" i="27"/>
  <c r="T119" i="27"/>
  <c r="U119" i="27"/>
  <c r="S120" i="27"/>
  <c r="T120" i="27"/>
  <c r="U120" i="27"/>
  <c r="S121" i="27"/>
  <c r="T121" i="27"/>
  <c r="U121" i="27"/>
  <c r="S122" i="27"/>
  <c r="T122" i="27"/>
  <c r="U122" i="27"/>
  <c r="S123" i="27"/>
  <c r="T123" i="27"/>
  <c r="U123" i="27"/>
  <c r="S124" i="27"/>
  <c r="T124" i="27"/>
  <c r="U124" i="27"/>
  <c r="S125" i="27"/>
  <c r="T125" i="27"/>
  <c r="U125" i="27"/>
  <c r="S126" i="27"/>
  <c r="T126" i="27"/>
  <c r="U126" i="27"/>
  <c r="S127" i="27"/>
  <c r="T127" i="27"/>
  <c r="U127" i="27"/>
  <c r="S128" i="27"/>
  <c r="T128" i="27"/>
  <c r="U128" i="27"/>
  <c r="S129" i="27"/>
  <c r="T129" i="27"/>
  <c r="U129" i="27"/>
  <c r="S130" i="27"/>
  <c r="T130" i="27"/>
  <c r="U130" i="27"/>
  <c r="S131" i="27"/>
  <c r="T131" i="27"/>
  <c r="U131" i="27"/>
  <c r="S132" i="27"/>
  <c r="T132" i="27"/>
  <c r="U132" i="27"/>
  <c r="S133" i="27"/>
  <c r="T133" i="27"/>
  <c r="U133" i="27"/>
  <c r="S134" i="27"/>
  <c r="T134" i="27"/>
  <c r="U134" i="27"/>
  <c r="S135" i="27"/>
  <c r="T135" i="27"/>
  <c r="U135" i="27"/>
  <c r="S136" i="27"/>
  <c r="T136" i="27"/>
  <c r="U136" i="27"/>
  <c r="S137" i="27"/>
  <c r="T137" i="27"/>
  <c r="U137" i="27"/>
  <c r="S138" i="27"/>
  <c r="T138" i="27"/>
  <c r="U138" i="27"/>
  <c r="S139" i="27"/>
  <c r="T139" i="27"/>
  <c r="U139" i="27"/>
  <c r="S140" i="27"/>
  <c r="T140" i="27"/>
  <c r="U140" i="27"/>
  <c r="S141" i="27"/>
  <c r="T141" i="27"/>
  <c r="U141" i="27"/>
  <c r="S142" i="27"/>
  <c r="T142" i="27"/>
  <c r="U142" i="27"/>
  <c r="S143" i="27"/>
  <c r="T143" i="27"/>
  <c r="U143" i="27"/>
  <c r="S144" i="27"/>
  <c r="T144" i="27"/>
  <c r="U144" i="27"/>
  <c r="S145" i="27"/>
  <c r="T145" i="27"/>
  <c r="U145" i="27"/>
  <c r="S146" i="27"/>
  <c r="T146" i="27"/>
  <c r="U146" i="27"/>
  <c r="S147" i="27"/>
  <c r="T147" i="27"/>
  <c r="U147" i="27"/>
  <c r="S148" i="27"/>
  <c r="T148" i="27"/>
  <c r="U148" i="27"/>
  <c r="S149" i="27"/>
  <c r="T149" i="27"/>
  <c r="U149" i="27"/>
  <c r="S150" i="27"/>
  <c r="T150" i="27"/>
  <c r="U150" i="27"/>
  <c r="S151" i="27"/>
  <c r="T151" i="27"/>
  <c r="U151" i="27"/>
  <c r="S152" i="27"/>
  <c r="T152" i="27"/>
  <c r="U152" i="27"/>
  <c r="S153" i="27"/>
  <c r="T153" i="27"/>
  <c r="U153" i="27"/>
  <c r="S154" i="27"/>
  <c r="T154" i="27"/>
  <c r="U154" i="27"/>
  <c r="S155" i="27"/>
  <c r="T155" i="27"/>
  <c r="U155" i="27"/>
  <c r="S156" i="27"/>
  <c r="T156" i="27"/>
  <c r="U156" i="27"/>
  <c r="S157" i="27"/>
  <c r="T157" i="27"/>
  <c r="U157" i="27"/>
  <c r="S158" i="27"/>
  <c r="T158" i="27"/>
  <c r="U158" i="27"/>
  <c r="S159" i="27"/>
  <c r="T159" i="27"/>
  <c r="U159" i="27"/>
  <c r="S160" i="27"/>
  <c r="T160" i="27"/>
  <c r="U160" i="27"/>
  <c r="S161" i="27"/>
  <c r="T161" i="27"/>
  <c r="U161" i="27"/>
  <c r="S162" i="27"/>
  <c r="T162" i="27"/>
  <c r="U162" i="27"/>
  <c r="S163" i="27"/>
  <c r="T163" i="27"/>
  <c r="U163" i="27"/>
  <c r="S164" i="27"/>
  <c r="T164" i="27"/>
  <c r="U164" i="27"/>
  <c r="S165" i="27"/>
  <c r="T165" i="27"/>
  <c r="U165" i="27"/>
  <c r="S166" i="27"/>
  <c r="T166" i="27"/>
  <c r="U166" i="27"/>
  <c r="S167" i="27"/>
  <c r="T167" i="27"/>
  <c r="U167" i="27"/>
  <c r="S168" i="27"/>
  <c r="T168" i="27"/>
  <c r="U168" i="27"/>
  <c r="S169" i="27"/>
  <c r="T169" i="27"/>
  <c r="U169" i="27"/>
  <c r="S170" i="27"/>
  <c r="T170" i="27"/>
  <c r="U170" i="27"/>
  <c r="S171" i="27"/>
  <c r="T171" i="27"/>
  <c r="U171" i="27"/>
  <c r="S172" i="27"/>
  <c r="T172" i="27"/>
  <c r="U172" i="27"/>
  <c r="S173" i="27"/>
  <c r="T173" i="27"/>
  <c r="U173" i="27"/>
  <c r="S174" i="27"/>
  <c r="T174" i="27"/>
  <c r="U174" i="27"/>
  <c r="S175" i="27"/>
  <c r="T175" i="27"/>
  <c r="U175" i="27"/>
  <c r="S176" i="27"/>
  <c r="T176" i="27"/>
  <c r="U176" i="27"/>
  <c r="S177" i="27"/>
  <c r="T177" i="27"/>
  <c r="U177" i="27"/>
  <c r="S178" i="27"/>
  <c r="T178" i="27"/>
  <c r="U178" i="27"/>
  <c r="S179" i="27"/>
  <c r="T179" i="27"/>
  <c r="U179" i="27"/>
  <c r="S180" i="27"/>
  <c r="T180" i="27"/>
  <c r="U180" i="27"/>
  <c r="S181" i="27"/>
  <c r="T181" i="27"/>
  <c r="U181" i="27"/>
  <c r="S182" i="27"/>
  <c r="T182" i="27"/>
  <c r="U182" i="27"/>
  <c r="S183" i="27"/>
  <c r="T183" i="27"/>
  <c r="U183" i="27"/>
  <c r="S184" i="27"/>
  <c r="T184" i="27"/>
  <c r="U184" i="27"/>
  <c r="S185" i="27"/>
  <c r="T185" i="27"/>
  <c r="U185" i="27"/>
  <c r="S186" i="27"/>
  <c r="T186" i="27"/>
  <c r="U186" i="27"/>
  <c r="S187" i="27"/>
  <c r="T187" i="27"/>
  <c r="U187" i="27"/>
  <c r="S188" i="27"/>
  <c r="T188" i="27"/>
  <c r="U188" i="27"/>
  <c r="S189" i="27"/>
  <c r="T189" i="27"/>
  <c r="U189" i="27"/>
  <c r="S190" i="27"/>
  <c r="T190" i="27"/>
  <c r="U190" i="27"/>
  <c r="S191" i="27"/>
  <c r="T191" i="27"/>
  <c r="U191" i="27"/>
  <c r="S192" i="27"/>
  <c r="T192" i="27"/>
  <c r="U192" i="27"/>
  <c r="S193" i="27"/>
  <c r="T193" i="27"/>
  <c r="U193" i="27"/>
  <c r="S194" i="27"/>
  <c r="T194" i="27"/>
  <c r="U194" i="27"/>
  <c r="S195" i="27"/>
  <c r="T195" i="27"/>
  <c r="U195" i="27"/>
  <c r="S196" i="27"/>
  <c r="T196" i="27"/>
  <c r="U196" i="27"/>
  <c r="S197" i="27"/>
  <c r="T197" i="27"/>
  <c r="U197" i="27"/>
  <c r="S198" i="27"/>
  <c r="T198" i="27"/>
  <c r="U198" i="27"/>
  <c r="S199" i="27"/>
  <c r="T199" i="27"/>
  <c r="U199" i="27"/>
  <c r="S200" i="27"/>
  <c r="T200" i="27"/>
  <c r="U200" i="27"/>
  <c r="S201" i="27"/>
  <c r="T201" i="27"/>
  <c r="U201" i="27"/>
  <c r="S202" i="27"/>
  <c r="T202" i="27"/>
  <c r="U202" i="27"/>
  <c r="S203" i="27"/>
  <c r="T203" i="27"/>
  <c r="U203" i="27"/>
  <c r="S204" i="27"/>
  <c r="T204" i="27"/>
  <c r="U204" i="27"/>
  <c r="S205" i="27"/>
  <c r="T205" i="27"/>
  <c r="U205" i="27"/>
  <c r="S206" i="27"/>
  <c r="T206" i="27"/>
  <c r="U206" i="27"/>
  <c r="S207" i="27"/>
  <c r="T207" i="27"/>
  <c r="U207" i="27"/>
  <c r="S208" i="27"/>
  <c r="T208" i="27"/>
  <c r="U208" i="27"/>
  <c r="S209" i="27"/>
  <c r="T209" i="27"/>
  <c r="U209" i="27"/>
  <c r="S4" i="27"/>
  <c r="T4" i="27"/>
  <c r="U4" i="27"/>
  <c r="AF5" i="28" l="1"/>
  <c r="AF6" i="28"/>
  <c r="AF7" i="28"/>
  <c r="AF8" i="28"/>
  <c r="AF9" i="28"/>
  <c r="AF10" i="28"/>
  <c r="AF11" i="28"/>
  <c r="AF12" i="28"/>
  <c r="AF13" i="28"/>
  <c r="AF14" i="28"/>
  <c r="AF15" i="28"/>
  <c r="AF16" i="28"/>
  <c r="AF17" i="28"/>
  <c r="AF18" i="28"/>
  <c r="AF19" i="28"/>
  <c r="AF20" i="28"/>
  <c r="AF21" i="28"/>
  <c r="AF22" i="28"/>
  <c r="AF23" i="28"/>
  <c r="AF24" i="28"/>
  <c r="AF25" i="28"/>
  <c r="AF26" i="28"/>
  <c r="AF27" i="28"/>
  <c r="AF28" i="28"/>
  <c r="AF29" i="28"/>
  <c r="AF30" i="28"/>
  <c r="AF31" i="28"/>
  <c r="AF32" i="28"/>
  <c r="AF33" i="28"/>
  <c r="AF34" i="28"/>
  <c r="AF35" i="28"/>
  <c r="AF36" i="28"/>
  <c r="AF37" i="28"/>
  <c r="AF38" i="28"/>
  <c r="AF39" i="28"/>
  <c r="AF40" i="28"/>
  <c r="AF41" i="28"/>
  <c r="AF42" i="28"/>
  <c r="AF43" i="28"/>
  <c r="AF44" i="28"/>
  <c r="AF45" i="28"/>
  <c r="AF46" i="28"/>
  <c r="AF47" i="28"/>
  <c r="AF48" i="28"/>
  <c r="AF49" i="28"/>
  <c r="AF50" i="28"/>
  <c r="AF51" i="28"/>
  <c r="AF52" i="28"/>
  <c r="AF53" i="28"/>
  <c r="AF54" i="28"/>
  <c r="AF55" i="28"/>
  <c r="AF56" i="28"/>
  <c r="AF57" i="28"/>
  <c r="AF58" i="28"/>
  <c r="AF59" i="28"/>
  <c r="AF60" i="28"/>
  <c r="AF61" i="28"/>
  <c r="AF62" i="28"/>
  <c r="AF63" i="28"/>
  <c r="AF64" i="28"/>
  <c r="AF65" i="28"/>
  <c r="AF66" i="28"/>
  <c r="AF67" i="28"/>
  <c r="AF68" i="28"/>
  <c r="AF69" i="28"/>
  <c r="AF70" i="28"/>
  <c r="AF71" i="28"/>
  <c r="AF72" i="28"/>
  <c r="AF73" i="28"/>
  <c r="AF74" i="28"/>
  <c r="AF75" i="28"/>
  <c r="AF76" i="28"/>
  <c r="AF77" i="28"/>
  <c r="AF78" i="28"/>
  <c r="AF79" i="28"/>
  <c r="AF80" i="28"/>
  <c r="AF81" i="28"/>
  <c r="AF82" i="28"/>
  <c r="AF83" i="28"/>
  <c r="AF84" i="28"/>
  <c r="AF85" i="28"/>
  <c r="AF86" i="28"/>
  <c r="AF87" i="28"/>
  <c r="AF88" i="28"/>
  <c r="AF89" i="28"/>
  <c r="AF90" i="28"/>
  <c r="AF91" i="28"/>
  <c r="AF92" i="28"/>
  <c r="AF93" i="28"/>
  <c r="AF94" i="28"/>
  <c r="AF95" i="28"/>
  <c r="AF96" i="28"/>
  <c r="AF97" i="28"/>
  <c r="AF98" i="28"/>
  <c r="AF99" i="28"/>
  <c r="AF100" i="28"/>
  <c r="AF101" i="28"/>
  <c r="AF102" i="28"/>
  <c r="AF103" i="28"/>
  <c r="AF104" i="28"/>
  <c r="AF105" i="28"/>
  <c r="AF106" i="28"/>
  <c r="AF107" i="28"/>
  <c r="AF108" i="28"/>
  <c r="AF109" i="28"/>
  <c r="AF110" i="28"/>
  <c r="AF111" i="28"/>
  <c r="AF112" i="28"/>
  <c r="AF113" i="28"/>
  <c r="AF114" i="28"/>
  <c r="AF115" i="28"/>
  <c r="AF116" i="28"/>
  <c r="AF117" i="28"/>
  <c r="AF118" i="28"/>
  <c r="AF119" i="28"/>
  <c r="AF120" i="28"/>
  <c r="AF121" i="28"/>
  <c r="AF122" i="28"/>
  <c r="AF123" i="28"/>
  <c r="AF124" i="28"/>
  <c r="AF125" i="28"/>
  <c r="AF126" i="28"/>
  <c r="AF127" i="28"/>
  <c r="AF128" i="28"/>
  <c r="AF129" i="28"/>
  <c r="AF130" i="28"/>
  <c r="AF131" i="28"/>
  <c r="AF132" i="28"/>
  <c r="AF133" i="28"/>
  <c r="AF134" i="28"/>
  <c r="AF135" i="28"/>
  <c r="AF136" i="28"/>
  <c r="AF137" i="28"/>
  <c r="AF138" i="28"/>
  <c r="AF139" i="28"/>
  <c r="AF140" i="28"/>
  <c r="AF142" i="28"/>
  <c r="AF143" i="28"/>
  <c r="AF144" i="28"/>
  <c r="AF145" i="28"/>
  <c r="AF146" i="28"/>
  <c r="AF147" i="28"/>
  <c r="AF148" i="28"/>
  <c r="AF149" i="28"/>
  <c r="AF150" i="28"/>
  <c r="AF151" i="28"/>
  <c r="AF152" i="28"/>
  <c r="AF153" i="28"/>
  <c r="AF154" i="28"/>
  <c r="AF155" i="28"/>
  <c r="AF156" i="28"/>
  <c r="AF157" i="28"/>
  <c r="AF158" i="28"/>
  <c r="AF159" i="28"/>
  <c r="AF160" i="28"/>
  <c r="AF161" i="28"/>
  <c r="AF162" i="28"/>
  <c r="AF163" i="28"/>
  <c r="AF164" i="28"/>
  <c r="AF165" i="28"/>
  <c r="AF166" i="28"/>
  <c r="AF167" i="28"/>
  <c r="AF168" i="28"/>
  <c r="AF169" i="28"/>
  <c r="AF170" i="28"/>
  <c r="AF171" i="28"/>
  <c r="AF172" i="28"/>
  <c r="AF173" i="28"/>
  <c r="AF174" i="28"/>
  <c r="AF175" i="28"/>
  <c r="AF176" i="28"/>
  <c r="AF177" i="28"/>
  <c r="AF178" i="28"/>
  <c r="AF179" i="28"/>
  <c r="AF180" i="28"/>
  <c r="AF181" i="28"/>
  <c r="AF182" i="28"/>
  <c r="AF183" i="28"/>
  <c r="AF184" i="28"/>
  <c r="AF185" i="28"/>
  <c r="AF186" i="28"/>
  <c r="AF187" i="28"/>
  <c r="AF188" i="28"/>
  <c r="AF189" i="28"/>
  <c r="AF190" i="28"/>
  <c r="AF191" i="28"/>
  <c r="AF192" i="28"/>
  <c r="AF193" i="28"/>
  <c r="AF194" i="28"/>
  <c r="AF195" i="28"/>
  <c r="AF196" i="28"/>
  <c r="AF197" i="28"/>
  <c r="AF198" i="28"/>
  <c r="AF199" i="28"/>
  <c r="AF200" i="28"/>
  <c r="AF201" i="28"/>
  <c r="AF202" i="28"/>
  <c r="AF203" i="28"/>
  <c r="AF204" i="28"/>
  <c r="AF205" i="28"/>
  <c r="AF206" i="28"/>
  <c r="AF207" i="28"/>
  <c r="AF208" i="28"/>
  <c r="AF209" i="28"/>
  <c r="AF4" i="28"/>
  <c r="Q5" i="27"/>
  <c r="R5" i="27"/>
  <c r="Q6" i="27"/>
  <c r="R6" i="27"/>
  <c r="Q7" i="27"/>
  <c r="R7" i="27"/>
  <c r="Q8" i="27"/>
  <c r="R8" i="27"/>
  <c r="Q9" i="27"/>
  <c r="R9" i="27"/>
  <c r="Q10" i="27"/>
  <c r="R10" i="27"/>
  <c r="Q11" i="27"/>
  <c r="R11" i="27"/>
  <c r="Q12" i="27"/>
  <c r="R12" i="27"/>
  <c r="Q13" i="27"/>
  <c r="R13" i="27"/>
  <c r="Q14" i="27"/>
  <c r="R14" i="27"/>
  <c r="Q15" i="27"/>
  <c r="R15" i="27"/>
  <c r="Q16" i="27"/>
  <c r="R16" i="27"/>
  <c r="Q17" i="27"/>
  <c r="R17" i="27"/>
  <c r="Q18" i="27"/>
  <c r="R18" i="27"/>
  <c r="Q19" i="27"/>
  <c r="R19" i="27"/>
  <c r="Q20" i="27"/>
  <c r="R20" i="27"/>
  <c r="Q21" i="27"/>
  <c r="R21" i="27"/>
  <c r="Q22" i="27"/>
  <c r="R22" i="27"/>
  <c r="Q23" i="27"/>
  <c r="R23" i="27"/>
  <c r="Q24" i="27"/>
  <c r="R24" i="27"/>
  <c r="Q25" i="27"/>
  <c r="R25" i="27"/>
  <c r="Q26" i="27"/>
  <c r="R26" i="27"/>
  <c r="Q27" i="27"/>
  <c r="R27" i="27"/>
  <c r="Q28" i="27"/>
  <c r="R28" i="27"/>
  <c r="Q29" i="27"/>
  <c r="R29" i="27"/>
  <c r="Q30" i="27"/>
  <c r="R30" i="27"/>
  <c r="Q31" i="27"/>
  <c r="R31" i="27"/>
  <c r="Q32" i="27"/>
  <c r="R32" i="27"/>
  <c r="Q33" i="27"/>
  <c r="R33" i="27"/>
  <c r="Q34" i="27"/>
  <c r="R34" i="27"/>
  <c r="Q35" i="27"/>
  <c r="R35" i="27"/>
  <c r="Q36" i="27"/>
  <c r="R36" i="27"/>
  <c r="Q37" i="27"/>
  <c r="R37" i="27"/>
  <c r="Q38" i="27"/>
  <c r="R38" i="27"/>
  <c r="Q39" i="27"/>
  <c r="R39" i="27"/>
  <c r="Q40" i="27"/>
  <c r="R40" i="27"/>
  <c r="Q41" i="27"/>
  <c r="R41" i="27"/>
  <c r="Q42" i="27"/>
  <c r="R42" i="27"/>
  <c r="Q43" i="27"/>
  <c r="R43" i="27"/>
  <c r="Q44" i="27"/>
  <c r="R44" i="27"/>
  <c r="Q45" i="27"/>
  <c r="R45" i="27"/>
  <c r="Q46" i="27"/>
  <c r="R46" i="27"/>
  <c r="Q47" i="27"/>
  <c r="R47" i="27"/>
  <c r="Q48" i="27"/>
  <c r="R48" i="27"/>
  <c r="Q49" i="27"/>
  <c r="R49" i="27"/>
  <c r="Q50" i="27"/>
  <c r="R50" i="27"/>
  <c r="Q51" i="27"/>
  <c r="R51" i="27"/>
  <c r="Q52" i="27"/>
  <c r="R52" i="27"/>
  <c r="Q53" i="27"/>
  <c r="R53" i="27"/>
  <c r="Q54" i="27"/>
  <c r="R54" i="27"/>
  <c r="Q55" i="27"/>
  <c r="R55" i="27"/>
  <c r="Q56" i="27"/>
  <c r="R56" i="27"/>
  <c r="Q57" i="27"/>
  <c r="R57" i="27"/>
  <c r="Q58" i="27"/>
  <c r="R58" i="27"/>
  <c r="Q59" i="27"/>
  <c r="R59" i="27"/>
  <c r="Q60" i="27"/>
  <c r="R60" i="27"/>
  <c r="Q61" i="27"/>
  <c r="R61" i="27"/>
  <c r="Q62" i="27"/>
  <c r="R62" i="27"/>
  <c r="Q63" i="27"/>
  <c r="R63" i="27"/>
  <c r="Q64" i="27"/>
  <c r="R64" i="27"/>
  <c r="Q65" i="27"/>
  <c r="R65" i="27"/>
  <c r="Q66" i="27"/>
  <c r="R66" i="27"/>
  <c r="Q67" i="27"/>
  <c r="R67" i="27"/>
  <c r="Q68" i="27"/>
  <c r="R68" i="27"/>
  <c r="Q69" i="27"/>
  <c r="R69" i="27"/>
  <c r="Q70" i="27"/>
  <c r="R70" i="27"/>
  <c r="Q71" i="27"/>
  <c r="R71" i="27"/>
  <c r="Q72" i="27"/>
  <c r="R72" i="27"/>
  <c r="Q73" i="27"/>
  <c r="R73" i="27"/>
  <c r="Q74" i="27"/>
  <c r="R74" i="27"/>
  <c r="Q75" i="27"/>
  <c r="R75" i="27"/>
  <c r="Q76" i="27"/>
  <c r="R76" i="27"/>
  <c r="Q77" i="27"/>
  <c r="R77" i="27"/>
  <c r="Q78" i="27"/>
  <c r="R78" i="27"/>
  <c r="Q79" i="27"/>
  <c r="R79" i="27"/>
  <c r="Q80" i="27"/>
  <c r="R80" i="27"/>
  <c r="Q81" i="27"/>
  <c r="R81" i="27"/>
  <c r="Q82" i="27"/>
  <c r="R82" i="27"/>
  <c r="Q83" i="27"/>
  <c r="R83" i="27"/>
  <c r="Q84" i="27"/>
  <c r="R84" i="27"/>
  <c r="Q85" i="27"/>
  <c r="R85" i="27"/>
  <c r="Q86" i="27"/>
  <c r="R86" i="27"/>
  <c r="Q87" i="27"/>
  <c r="R87" i="27"/>
  <c r="Q88" i="27"/>
  <c r="R88" i="27"/>
  <c r="Q89" i="27"/>
  <c r="R89" i="27"/>
  <c r="Q90" i="27"/>
  <c r="R90" i="27"/>
  <c r="Q91" i="27"/>
  <c r="R91" i="27"/>
  <c r="Q92" i="27"/>
  <c r="R92" i="27"/>
  <c r="Q93" i="27"/>
  <c r="R93" i="27"/>
  <c r="Q94" i="27"/>
  <c r="R94" i="27"/>
  <c r="Q95" i="27"/>
  <c r="R95" i="27"/>
  <c r="Q96" i="27"/>
  <c r="R96" i="27"/>
  <c r="Q97" i="27"/>
  <c r="R97" i="27"/>
  <c r="Q98" i="27"/>
  <c r="R98" i="27"/>
  <c r="Q99" i="27"/>
  <c r="R99" i="27"/>
  <c r="Q100" i="27"/>
  <c r="R100" i="27"/>
  <c r="Q101" i="27"/>
  <c r="R101" i="27"/>
  <c r="Q102" i="27"/>
  <c r="R102" i="27"/>
  <c r="Q103" i="27"/>
  <c r="R103" i="27"/>
  <c r="Q104" i="27"/>
  <c r="R104" i="27"/>
  <c r="Q105" i="27"/>
  <c r="R105" i="27"/>
  <c r="Q106" i="27"/>
  <c r="R106" i="27"/>
  <c r="Q107" i="27"/>
  <c r="R107" i="27"/>
  <c r="Q108" i="27"/>
  <c r="R108" i="27"/>
  <c r="Q109" i="27"/>
  <c r="R109" i="27"/>
  <c r="Q110" i="27"/>
  <c r="R110" i="27"/>
  <c r="Q111" i="27"/>
  <c r="R111" i="27"/>
  <c r="Q112" i="27"/>
  <c r="R112" i="27"/>
  <c r="Q113" i="27"/>
  <c r="R113" i="27"/>
  <c r="Q114" i="27"/>
  <c r="R114" i="27"/>
  <c r="Q115" i="27"/>
  <c r="R115" i="27"/>
  <c r="Q116" i="27"/>
  <c r="R116" i="27"/>
  <c r="Q117" i="27"/>
  <c r="R117" i="27"/>
  <c r="Q118" i="27"/>
  <c r="R118" i="27"/>
  <c r="Q119" i="27"/>
  <c r="R119" i="27"/>
  <c r="Q120" i="27"/>
  <c r="R120" i="27"/>
  <c r="Q121" i="27"/>
  <c r="R121" i="27"/>
  <c r="Q122" i="27"/>
  <c r="R122" i="27"/>
  <c r="Q123" i="27"/>
  <c r="R123" i="27"/>
  <c r="Q124" i="27"/>
  <c r="R124" i="27"/>
  <c r="Q125" i="27"/>
  <c r="R125" i="27"/>
  <c r="Q126" i="27"/>
  <c r="R126" i="27"/>
  <c r="Q127" i="27"/>
  <c r="R127" i="27"/>
  <c r="Q128" i="27"/>
  <c r="R128" i="27"/>
  <c r="Q129" i="27"/>
  <c r="R129" i="27"/>
  <c r="Q130" i="27"/>
  <c r="R130" i="27"/>
  <c r="Q131" i="27"/>
  <c r="R131" i="27"/>
  <c r="Q132" i="27"/>
  <c r="R132" i="27"/>
  <c r="Q133" i="27"/>
  <c r="R133" i="27"/>
  <c r="Q134" i="27"/>
  <c r="R134" i="27"/>
  <c r="Q135" i="27"/>
  <c r="R135" i="27"/>
  <c r="Q136" i="27"/>
  <c r="R136" i="27"/>
  <c r="Q137" i="27"/>
  <c r="R137" i="27"/>
  <c r="Q138" i="27"/>
  <c r="R138" i="27"/>
  <c r="Q139" i="27"/>
  <c r="R139" i="27"/>
  <c r="Q140" i="27"/>
  <c r="R140" i="27"/>
  <c r="Q141" i="27"/>
  <c r="R141" i="27"/>
  <c r="Q142" i="27"/>
  <c r="R142" i="27"/>
  <c r="Q143" i="27"/>
  <c r="R143" i="27"/>
  <c r="Q144" i="27"/>
  <c r="R144" i="27"/>
  <c r="Q145" i="27"/>
  <c r="R145" i="27"/>
  <c r="Q146" i="27"/>
  <c r="R146" i="27"/>
  <c r="Q147" i="27"/>
  <c r="R147" i="27"/>
  <c r="Q148" i="27"/>
  <c r="R148" i="27"/>
  <c r="Q149" i="27"/>
  <c r="R149" i="27"/>
  <c r="Q150" i="27"/>
  <c r="R150" i="27"/>
  <c r="Q151" i="27"/>
  <c r="R151" i="27"/>
  <c r="Q152" i="27"/>
  <c r="R152" i="27"/>
  <c r="Q153" i="27"/>
  <c r="R153" i="27"/>
  <c r="Q154" i="27"/>
  <c r="R154" i="27"/>
  <c r="Q155" i="27"/>
  <c r="R155" i="27"/>
  <c r="Q156" i="27"/>
  <c r="R156" i="27"/>
  <c r="Q157" i="27"/>
  <c r="R157" i="27"/>
  <c r="Q158" i="27"/>
  <c r="R158" i="27"/>
  <c r="Q159" i="27"/>
  <c r="R159" i="27"/>
  <c r="Q160" i="27"/>
  <c r="R160" i="27"/>
  <c r="Q161" i="27"/>
  <c r="R161" i="27"/>
  <c r="Q162" i="27"/>
  <c r="R162" i="27"/>
  <c r="Q163" i="27"/>
  <c r="R163" i="27"/>
  <c r="Q164" i="27"/>
  <c r="R164" i="27"/>
  <c r="Q165" i="27"/>
  <c r="R165" i="27"/>
  <c r="Q166" i="27"/>
  <c r="R166" i="27"/>
  <c r="Q167" i="27"/>
  <c r="R167" i="27"/>
  <c r="Q168" i="27"/>
  <c r="R168" i="27"/>
  <c r="Q169" i="27"/>
  <c r="R169" i="27"/>
  <c r="Q170" i="27"/>
  <c r="R170" i="27"/>
  <c r="Q171" i="27"/>
  <c r="R171" i="27"/>
  <c r="Q172" i="27"/>
  <c r="R172" i="27"/>
  <c r="Q173" i="27"/>
  <c r="R173" i="27"/>
  <c r="Q174" i="27"/>
  <c r="R174" i="27"/>
  <c r="Q175" i="27"/>
  <c r="R175" i="27"/>
  <c r="Q176" i="27"/>
  <c r="R176" i="27"/>
  <c r="Q177" i="27"/>
  <c r="R177" i="27"/>
  <c r="Q178" i="27"/>
  <c r="R178" i="27"/>
  <c r="Q179" i="27"/>
  <c r="R179" i="27"/>
  <c r="Q180" i="27"/>
  <c r="R180" i="27"/>
  <c r="Q181" i="27"/>
  <c r="R181" i="27"/>
  <c r="Q182" i="27"/>
  <c r="R182" i="27"/>
  <c r="Q183" i="27"/>
  <c r="R183" i="27"/>
  <c r="Q184" i="27"/>
  <c r="R184" i="27"/>
  <c r="Q185" i="27"/>
  <c r="R185" i="27"/>
  <c r="Q186" i="27"/>
  <c r="R186" i="27"/>
  <c r="Q187" i="27"/>
  <c r="R187" i="27"/>
  <c r="Q188" i="27"/>
  <c r="R188" i="27"/>
  <c r="Q189" i="27"/>
  <c r="R189" i="27"/>
  <c r="Q190" i="27"/>
  <c r="R190" i="27"/>
  <c r="Q191" i="27"/>
  <c r="R191" i="27"/>
  <c r="Q192" i="27"/>
  <c r="R192" i="27"/>
  <c r="Q193" i="27"/>
  <c r="R193" i="27"/>
  <c r="Q194" i="27"/>
  <c r="R194" i="27"/>
  <c r="Q195" i="27"/>
  <c r="R195" i="27"/>
  <c r="Q196" i="27"/>
  <c r="R196" i="27"/>
  <c r="Q197" i="27"/>
  <c r="R197" i="27"/>
  <c r="Q198" i="27"/>
  <c r="R198" i="27"/>
  <c r="Q199" i="27"/>
  <c r="R199" i="27"/>
  <c r="Q200" i="27"/>
  <c r="R200" i="27"/>
  <c r="Q201" i="27"/>
  <c r="R201" i="27"/>
  <c r="Q202" i="27"/>
  <c r="R202" i="27"/>
  <c r="Q203" i="27"/>
  <c r="R203" i="27"/>
  <c r="Q204" i="27"/>
  <c r="R204" i="27"/>
  <c r="Q205" i="27"/>
  <c r="R205" i="27"/>
  <c r="Q206" i="27"/>
  <c r="R206" i="27"/>
  <c r="Q207" i="27"/>
  <c r="R207" i="27"/>
  <c r="Q208" i="27"/>
  <c r="R208" i="27"/>
  <c r="Q209" i="27"/>
  <c r="R209" i="27"/>
  <c r="R4" i="27"/>
  <c r="Q4" i="27"/>
  <c r="AC5" i="25"/>
  <c r="AC6" i="25"/>
  <c r="AC7" i="25"/>
  <c r="AC8" i="25"/>
  <c r="AC9" i="25"/>
  <c r="AC10" i="25"/>
  <c r="AC11" i="25"/>
  <c r="AC12" i="25"/>
  <c r="AC13" i="25"/>
  <c r="AC14" i="25"/>
  <c r="AC15" i="25"/>
  <c r="AC16" i="25"/>
  <c r="AC17" i="25"/>
  <c r="AC18" i="25"/>
  <c r="AC19" i="25"/>
  <c r="AC20" i="25"/>
  <c r="AC21" i="25"/>
  <c r="AC22" i="25"/>
  <c r="AC23" i="25"/>
  <c r="AC24" i="25"/>
  <c r="AC25" i="25"/>
  <c r="AC26" i="25"/>
  <c r="AC27" i="25"/>
  <c r="AC28" i="25"/>
  <c r="AC29" i="25"/>
  <c r="AC30" i="25"/>
  <c r="AC31" i="25"/>
  <c r="AC32" i="25"/>
  <c r="AC33" i="25"/>
  <c r="AC34" i="25"/>
  <c r="AC35" i="25"/>
  <c r="AC36" i="25"/>
  <c r="AC37" i="25"/>
  <c r="AC38" i="25"/>
  <c r="AC39" i="25"/>
  <c r="AC40" i="25"/>
  <c r="AC41" i="25"/>
  <c r="AC42" i="25"/>
  <c r="AC43" i="25"/>
  <c r="AC44" i="25"/>
  <c r="AC45" i="25"/>
  <c r="AC46" i="25"/>
  <c r="AC47" i="25"/>
  <c r="AC48" i="25"/>
  <c r="AC49" i="25"/>
  <c r="AC50" i="25"/>
  <c r="AC51" i="25"/>
  <c r="AC52" i="25"/>
  <c r="AC53" i="25"/>
  <c r="AC54" i="25"/>
  <c r="AC55" i="25"/>
  <c r="AC56" i="25"/>
  <c r="AC57" i="25"/>
  <c r="AC58" i="25"/>
  <c r="AC59" i="25"/>
  <c r="AC60" i="25"/>
  <c r="AC61" i="25"/>
  <c r="AC62" i="25"/>
  <c r="AC63" i="25"/>
  <c r="AC64" i="25"/>
  <c r="AC65" i="25"/>
  <c r="AC66" i="25"/>
  <c r="AC67" i="25"/>
  <c r="AC68" i="25"/>
  <c r="AC69" i="25"/>
  <c r="AC70" i="25"/>
  <c r="AC71" i="25"/>
  <c r="AC72" i="25"/>
  <c r="AC73" i="25"/>
  <c r="AC74" i="25"/>
  <c r="AC75" i="25"/>
  <c r="AC76" i="25"/>
  <c r="AC77" i="25"/>
  <c r="AC78" i="25"/>
  <c r="AC79" i="25"/>
  <c r="AC80" i="25"/>
  <c r="AC81" i="25"/>
  <c r="AC82" i="25"/>
  <c r="AC83" i="25"/>
  <c r="AC84" i="25"/>
  <c r="AC85" i="25"/>
  <c r="AC86" i="25"/>
  <c r="AC87" i="25"/>
  <c r="AC88" i="25"/>
  <c r="AC89" i="25"/>
  <c r="AC90" i="25"/>
  <c r="AC91" i="25"/>
  <c r="AC92" i="25"/>
  <c r="AC93" i="25"/>
  <c r="AC94" i="25"/>
  <c r="AC95" i="25"/>
  <c r="AC96" i="25"/>
  <c r="AC97" i="25"/>
  <c r="AC98" i="25"/>
  <c r="AC99" i="25"/>
  <c r="AC100" i="25"/>
  <c r="AC101" i="25"/>
  <c r="AC102" i="25"/>
  <c r="AC103" i="25"/>
  <c r="AC104" i="25"/>
  <c r="AC105" i="25"/>
  <c r="AC106" i="25"/>
  <c r="AC107" i="25"/>
  <c r="AC108" i="25"/>
  <c r="AC109" i="25"/>
  <c r="AC110" i="25"/>
  <c r="AC111" i="25"/>
  <c r="AC112" i="25"/>
  <c r="AC113" i="25"/>
  <c r="AC114" i="25"/>
  <c r="AC115" i="25"/>
  <c r="AC116" i="25"/>
  <c r="AC117" i="25"/>
  <c r="AC118" i="25"/>
  <c r="AC119" i="25"/>
  <c r="AC120" i="25"/>
  <c r="AC121" i="25"/>
  <c r="AC122" i="25"/>
  <c r="AC123" i="25"/>
  <c r="AC124" i="25"/>
  <c r="AC125" i="25"/>
  <c r="AC126" i="25"/>
  <c r="AC127" i="25"/>
  <c r="AC128" i="25"/>
  <c r="AC129" i="25"/>
  <c r="AC130" i="25"/>
  <c r="AC131" i="25"/>
  <c r="AC132" i="25"/>
  <c r="AC133" i="25"/>
  <c r="AC134" i="25"/>
  <c r="AC135" i="25"/>
  <c r="AC136" i="25"/>
  <c r="AC137" i="25"/>
  <c r="AC138" i="25"/>
  <c r="AC139" i="25"/>
  <c r="AC140" i="25"/>
  <c r="AC141" i="25"/>
  <c r="AC142" i="25"/>
  <c r="AC143" i="25"/>
  <c r="AC144" i="25"/>
  <c r="AC145" i="25"/>
  <c r="AC146" i="25"/>
  <c r="AC147" i="25"/>
  <c r="AC148" i="25"/>
  <c r="AC149" i="25"/>
  <c r="AC150" i="25"/>
  <c r="AC151" i="25"/>
  <c r="AC152" i="25"/>
  <c r="AC153" i="25"/>
  <c r="AC154" i="25"/>
  <c r="AC155" i="25"/>
  <c r="AC156" i="25"/>
  <c r="AC157" i="25"/>
  <c r="AC158" i="25"/>
  <c r="AC159" i="25"/>
  <c r="AC160" i="25"/>
  <c r="AC161" i="25"/>
  <c r="AC162" i="25"/>
  <c r="AC163" i="25"/>
  <c r="AC164" i="25"/>
  <c r="AC165" i="25"/>
  <c r="AC166" i="25"/>
  <c r="AC167" i="25"/>
  <c r="AC168" i="25"/>
  <c r="AC169" i="25"/>
  <c r="AC170" i="25"/>
  <c r="AC171" i="25"/>
  <c r="AC172" i="25"/>
  <c r="AC173" i="25"/>
  <c r="AC174" i="25"/>
  <c r="AC175" i="25"/>
  <c r="AC176" i="25"/>
  <c r="AC177" i="25"/>
  <c r="AC178" i="25"/>
  <c r="AC179" i="25"/>
  <c r="AC180" i="25"/>
  <c r="AC181" i="25"/>
  <c r="AC182" i="25"/>
  <c r="AC183" i="25"/>
  <c r="AC184" i="25"/>
  <c r="AC185" i="25"/>
  <c r="AC186" i="25"/>
  <c r="AC187" i="25"/>
  <c r="AC188" i="25"/>
  <c r="AC189" i="25"/>
  <c r="AC190" i="25"/>
  <c r="AC191" i="25"/>
  <c r="AC192" i="25"/>
  <c r="AC193" i="25"/>
  <c r="AC194" i="25"/>
  <c r="AC195" i="25"/>
  <c r="AC196" i="25"/>
  <c r="AC197" i="25"/>
  <c r="AC198" i="25"/>
  <c r="AC199" i="25"/>
  <c r="AC200" i="25"/>
  <c r="AC201" i="25"/>
  <c r="AC202" i="25"/>
  <c r="AC203" i="25"/>
  <c r="AC204" i="25"/>
  <c r="AC205" i="25"/>
  <c r="AC206" i="25"/>
  <c r="AC207" i="25"/>
  <c r="AC208" i="25"/>
  <c r="AC209" i="25"/>
  <c r="AC4" i="25"/>
  <c r="L88" i="9" l="1"/>
  <c r="L87" i="9"/>
  <c r="L86" i="9"/>
  <c r="L85" i="9"/>
  <c r="L84" i="9"/>
  <c r="L83" i="9"/>
  <c r="L82" i="9"/>
  <c r="L81" i="9"/>
  <c r="L80" i="9"/>
  <c r="L79" i="9"/>
  <c r="M65" i="9"/>
  <c r="M5" i="9" l="1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4" i="9"/>
  <c r="L199" i="27" l="1"/>
  <c r="L180" i="27"/>
  <c r="L176" i="27"/>
  <c r="L161" i="27"/>
  <c r="L159" i="27"/>
  <c r="L153" i="27"/>
  <c r="L120" i="27"/>
  <c r="L115" i="27"/>
  <c r="L83" i="27"/>
  <c r="L66" i="27"/>
  <c r="L51" i="27"/>
  <c r="L5" i="27"/>
  <c r="L190" i="27"/>
  <c r="L191" i="27"/>
  <c r="L192" i="27"/>
  <c r="L193" i="27"/>
  <c r="L194" i="27"/>
  <c r="L195" i="27"/>
  <c r="L196" i="27"/>
  <c r="L197" i="27"/>
  <c r="L198" i="27"/>
  <c r="L200" i="27"/>
  <c r="L201" i="27"/>
  <c r="L202" i="27"/>
  <c r="L203" i="27"/>
  <c r="L204" i="27"/>
  <c r="L205" i="27"/>
  <c r="L206" i="27"/>
  <c r="L207" i="27"/>
  <c r="L208" i="27"/>
  <c r="L209" i="27"/>
  <c r="L189" i="27"/>
  <c r="L186" i="27"/>
  <c r="L187" i="27"/>
  <c r="L185" i="27"/>
  <c r="L179" i="27"/>
  <c r="L181" i="27"/>
  <c r="L182" i="27"/>
  <c r="L183" i="27"/>
  <c r="L178" i="27"/>
  <c r="L174" i="27"/>
  <c r="L175" i="27"/>
  <c r="L173" i="27"/>
  <c r="L170" i="27"/>
  <c r="L171" i="27"/>
  <c r="L169" i="27"/>
  <c r="L151" i="27"/>
  <c r="L152" i="27"/>
  <c r="L154" i="27"/>
  <c r="L155" i="27"/>
  <c r="L156" i="27"/>
  <c r="L157" i="27"/>
  <c r="L158" i="27"/>
  <c r="L160" i="27"/>
  <c r="L162" i="27"/>
  <c r="L163" i="27"/>
  <c r="L164" i="27"/>
  <c r="L165" i="27"/>
  <c r="L166" i="27"/>
  <c r="L167" i="27"/>
  <c r="L150" i="27"/>
  <c r="L148" i="27"/>
  <c r="L147" i="27"/>
  <c r="L144" i="27"/>
  <c r="L145" i="27"/>
  <c r="L143" i="27"/>
  <c r="L125" i="27"/>
  <c r="L126" i="27"/>
  <c r="L127" i="27"/>
  <c r="L128" i="27"/>
  <c r="L129" i="27"/>
  <c r="L130" i="27"/>
  <c r="L131" i="27"/>
  <c r="L132" i="27"/>
  <c r="L133" i="27"/>
  <c r="L134" i="27"/>
  <c r="L135" i="27"/>
  <c r="L136" i="27"/>
  <c r="L137" i="27"/>
  <c r="L124" i="27"/>
  <c r="L114" i="27"/>
  <c r="L116" i="27"/>
  <c r="L117" i="27"/>
  <c r="L118" i="27"/>
  <c r="L119" i="27"/>
  <c r="L121" i="27"/>
  <c r="L122" i="27"/>
  <c r="L113" i="27"/>
  <c r="L102" i="27"/>
  <c r="L103" i="27"/>
  <c r="L104" i="27"/>
  <c r="L105" i="27"/>
  <c r="L106" i="27"/>
  <c r="L107" i="27"/>
  <c r="L108" i="27"/>
  <c r="L109" i="27"/>
  <c r="L110" i="27"/>
  <c r="L111" i="27"/>
  <c r="L79" i="27"/>
  <c r="L80" i="27"/>
  <c r="L81" i="27"/>
  <c r="L82" i="27"/>
  <c r="L84" i="27"/>
  <c r="L85" i="27"/>
  <c r="L86" i="27"/>
  <c r="L87" i="27"/>
  <c r="L88" i="27"/>
  <c r="L89" i="27"/>
  <c r="L90" i="27"/>
  <c r="L91" i="27"/>
  <c r="L92" i="27"/>
  <c r="L93" i="27"/>
  <c r="L94" i="27"/>
  <c r="L95" i="27"/>
  <c r="L96" i="27"/>
  <c r="L97" i="27"/>
  <c r="L98" i="27"/>
  <c r="L99" i="27"/>
  <c r="L100" i="27"/>
  <c r="L101" i="27"/>
  <c r="L78" i="27"/>
  <c r="L76" i="27"/>
  <c r="L75" i="27"/>
  <c r="L64" i="27"/>
  <c r="L65" i="27"/>
  <c r="L67" i="27"/>
  <c r="L68" i="27"/>
  <c r="L69" i="27"/>
  <c r="L70" i="27"/>
  <c r="L71" i="27"/>
  <c r="L72" i="27"/>
  <c r="L73" i="27"/>
  <c r="L63" i="27"/>
  <c r="L58" i="27"/>
  <c r="L52" i="27"/>
  <c r="L53" i="27"/>
  <c r="L54" i="27"/>
  <c r="L55" i="27"/>
  <c r="L56" i="27"/>
  <c r="L57" i="27"/>
  <c r="L50" i="27"/>
  <c r="L43" i="27"/>
  <c r="L39" i="27"/>
  <c r="L35" i="27"/>
  <c r="L31" i="27"/>
  <c r="L27" i="27"/>
  <c r="L23" i="27"/>
  <c r="L19" i="27"/>
  <c r="L15" i="27"/>
  <c r="L49" i="27"/>
  <c r="L46" i="27"/>
  <c r="L42" i="27"/>
  <c r="L38" i="27"/>
  <c r="L34" i="27"/>
  <c r="L30" i="27"/>
  <c r="L26" i="27"/>
  <c r="L22" i="27"/>
  <c r="L18" i="27"/>
  <c r="L14" i="27"/>
  <c r="L10" i="27"/>
  <c r="L11" i="27"/>
  <c r="L7" i="27"/>
  <c r="L6" i="27"/>
  <c r="L188" i="27"/>
  <c r="L184" i="27"/>
  <c r="L177" i="27"/>
  <c r="L172" i="27"/>
  <c r="L168" i="27"/>
  <c r="L149" i="27"/>
  <c r="L146" i="27"/>
  <c r="L142" i="27"/>
  <c r="L140" i="27"/>
  <c r="L139" i="27"/>
  <c r="L138" i="27"/>
  <c r="L112" i="27"/>
  <c r="L77" i="27"/>
  <c r="L74" i="27"/>
  <c r="L123" i="27"/>
  <c r="L60" i="27"/>
  <c r="L61" i="27"/>
  <c r="L62" i="27"/>
  <c r="L59" i="27"/>
  <c r="L48" i="27"/>
  <c r="L47" i="27"/>
  <c r="L45" i="27"/>
  <c r="L44" i="27"/>
  <c r="L41" i="27"/>
  <c r="L40" i="27"/>
  <c r="L37" i="27"/>
  <c r="L36" i="27"/>
  <c r="L33" i="27"/>
  <c r="L32" i="27"/>
  <c r="L29" i="27"/>
  <c r="L28" i="27"/>
  <c r="L25" i="27"/>
  <c r="L24" i="27"/>
  <c r="L21" i="27"/>
  <c r="L20" i="27"/>
  <c r="L17" i="27"/>
  <c r="L16" i="27"/>
  <c r="L13" i="27"/>
  <c r="L12" i="27"/>
  <c r="L9" i="27"/>
  <c r="L8" i="27"/>
  <c r="L4" i="27"/>
  <c r="AQ167" i="1" l="1"/>
  <c r="AQ160" i="1"/>
  <c r="AQ159" i="1"/>
  <c r="AQ155" i="1"/>
  <c r="AQ132" i="1"/>
  <c r="BA4" i="1"/>
  <c r="BA5" i="1"/>
  <c r="BA6" i="1"/>
  <c r="BA7" i="1"/>
  <c r="BA8" i="1"/>
  <c r="AZ4" i="1"/>
  <c r="AZ5" i="1"/>
  <c r="AZ6" i="1"/>
  <c r="AZ7" i="1"/>
  <c r="AZ8" i="1"/>
  <c r="AY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6" i="1"/>
  <c r="AQ157" i="1"/>
  <c r="AQ158" i="1"/>
  <c r="AQ161" i="1"/>
  <c r="AQ162" i="1"/>
  <c r="AQ163" i="1"/>
  <c r="AQ164" i="1"/>
  <c r="AQ165" i="1"/>
  <c r="AQ166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5" i="1"/>
  <c r="AJ126" i="1"/>
  <c r="AJ127" i="1"/>
  <c r="AJ128" i="1"/>
  <c r="AJ129" i="1"/>
  <c r="AJ130" i="1"/>
  <c r="AJ131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6" i="1"/>
  <c r="AJ157" i="1"/>
  <c r="AJ158" i="1"/>
  <c r="AJ161" i="1"/>
  <c r="AJ162" i="1"/>
  <c r="AJ163" i="1"/>
  <c r="AJ164" i="1"/>
  <c r="AJ165" i="1"/>
  <c r="AJ166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O10" i="3" l="1"/>
  <c r="E19" i="9" l="1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12" i="9"/>
  <c r="E13" i="9"/>
  <c r="E14" i="9"/>
  <c r="E15" i="9"/>
  <c r="E16" i="9"/>
  <c r="E17" i="9"/>
  <c r="E18" i="9"/>
  <c r="E5" i="9"/>
  <c r="E6" i="9"/>
  <c r="E7" i="9"/>
  <c r="E8" i="9"/>
  <c r="E9" i="9"/>
  <c r="E10" i="9"/>
  <c r="E11" i="9"/>
  <c r="E4" i="9"/>
  <c r="AB4" i="28" l="1"/>
  <c r="AA4" i="28"/>
  <c r="E84" i="9" l="1"/>
  <c r="E88" i="9"/>
  <c r="E79" i="9"/>
  <c r="E77" i="9"/>
  <c r="E76" i="9"/>
  <c r="E87" i="9" s="1"/>
  <c r="E75" i="9"/>
  <c r="E86" i="9" s="1"/>
  <c r="E74" i="9"/>
  <c r="E85" i="9" s="1"/>
  <c r="E73" i="9"/>
  <c r="E72" i="9"/>
  <c r="E83" i="9" s="1"/>
  <c r="E71" i="9"/>
  <c r="E82" i="9" s="1"/>
  <c r="E70" i="9"/>
  <c r="E81" i="9" s="1"/>
  <c r="E69" i="9"/>
  <c r="E80" i="9" s="1"/>
  <c r="E68" i="9"/>
  <c r="F15" i="9"/>
  <c r="F16" i="9"/>
  <c r="F17" i="9"/>
  <c r="F18" i="9"/>
  <c r="F19" i="9"/>
  <c r="F71" i="9" s="1"/>
  <c r="F82" i="9" s="1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75" i="9" s="1"/>
  <c r="F86" i="9" s="1"/>
  <c r="F41" i="9"/>
  <c r="F42" i="9"/>
  <c r="F43" i="9"/>
  <c r="F44" i="9"/>
  <c r="F45" i="9"/>
  <c r="F46" i="9"/>
  <c r="F74" i="9" s="1"/>
  <c r="F85" i="9" s="1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" i="9"/>
  <c r="F7" i="9"/>
  <c r="F8" i="9"/>
  <c r="F9" i="9"/>
  <c r="F10" i="9"/>
  <c r="F68" i="9" s="1"/>
  <c r="F79" i="9" s="1"/>
  <c r="F11" i="9"/>
  <c r="F12" i="9"/>
  <c r="F13" i="9"/>
  <c r="F14" i="9"/>
  <c r="F5" i="9"/>
  <c r="F4" i="9"/>
  <c r="F69" i="9" s="1"/>
  <c r="F80" i="9" s="1"/>
  <c r="F77" i="9" l="1"/>
  <c r="F88" i="9" s="1"/>
  <c r="F70" i="9"/>
  <c r="F81" i="9" s="1"/>
  <c r="F72" i="9"/>
  <c r="F83" i="9" s="1"/>
  <c r="F73" i="9"/>
  <c r="F84" i="9" s="1"/>
  <c r="F76" i="9"/>
  <c r="F87" i="9" s="1"/>
  <c r="AD6" i="28"/>
  <c r="AD7" i="28"/>
  <c r="AD8" i="28"/>
  <c r="AD9" i="28"/>
  <c r="AD10" i="28"/>
  <c r="AD11" i="28"/>
  <c r="AD12" i="28"/>
  <c r="AD13" i="28"/>
  <c r="AD14" i="28"/>
  <c r="AD15" i="28"/>
  <c r="AD16" i="28"/>
  <c r="AD17" i="28"/>
  <c r="AD18" i="28"/>
  <c r="AD19" i="28"/>
  <c r="AD20" i="28"/>
  <c r="AD21" i="28"/>
  <c r="AD22" i="28"/>
  <c r="AD23" i="28"/>
  <c r="AD24" i="28"/>
  <c r="AD25" i="28"/>
  <c r="AD26" i="28"/>
  <c r="AD27" i="28"/>
  <c r="AD28" i="28"/>
  <c r="AD29" i="28"/>
  <c r="AD30" i="28"/>
  <c r="AD31" i="28"/>
  <c r="AD32" i="28"/>
  <c r="AD33" i="28"/>
  <c r="AD34" i="28"/>
  <c r="AD35" i="28"/>
  <c r="AD36" i="28"/>
  <c r="AD37" i="28"/>
  <c r="AD38" i="28"/>
  <c r="AD39" i="28"/>
  <c r="AD40" i="28"/>
  <c r="AD41" i="28"/>
  <c r="AD42" i="28"/>
  <c r="AD43" i="28"/>
  <c r="AD44" i="28"/>
  <c r="AD45" i="28"/>
  <c r="AD46" i="28"/>
  <c r="AD47" i="28"/>
  <c r="AD48" i="28"/>
  <c r="AD49" i="28"/>
  <c r="AD50" i="28"/>
  <c r="AD51" i="28"/>
  <c r="AD52" i="28"/>
  <c r="AD53" i="28"/>
  <c r="AD54" i="28"/>
  <c r="AD55" i="28"/>
  <c r="AD56" i="28"/>
  <c r="AD57" i="28"/>
  <c r="AD58" i="28"/>
  <c r="AD59" i="28"/>
  <c r="AD60" i="28"/>
  <c r="AD61" i="28"/>
  <c r="AD62" i="28"/>
  <c r="AD63" i="28"/>
  <c r="AD64" i="28"/>
  <c r="AD65" i="28"/>
  <c r="AD66" i="28"/>
  <c r="AD67" i="28"/>
  <c r="AD68" i="28"/>
  <c r="AD69" i="28"/>
  <c r="AD70" i="28"/>
  <c r="AD71" i="28"/>
  <c r="AD72" i="28"/>
  <c r="AD73" i="28"/>
  <c r="AD74" i="28"/>
  <c r="AD75" i="28"/>
  <c r="AD76" i="28"/>
  <c r="AD77" i="28"/>
  <c r="AD78" i="28"/>
  <c r="AD79" i="28"/>
  <c r="AD80" i="28"/>
  <c r="AD81" i="28"/>
  <c r="AD82" i="28"/>
  <c r="AD83" i="28"/>
  <c r="AD84" i="28"/>
  <c r="AD85" i="28"/>
  <c r="AD86" i="28"/>
  <c r="AD87" i="28"/>
  <c r="AD88" i="28"/>
  <c r="AD89" i="28"/>
  <c r="AD90" i="28"/>
  <c r="AD91" i="28"/>
  <c r="AD92" i="28"/>
  <c r="AD93" i="28"/>
  <c r="AD94" i="28"/>
  <c r="AD95" i="28"/>
  <c r="AD96" i="28"/>
  <c r="AD97" i="28"/>
  <c r="AD98" i="28"/>
  <c r="AD99" i="28"/>
  <c r="AD100" i="28"/>
  <c r="AD101" i="28"/>
  <c r="AD102" i="28"/>
  <c r="AD103" i="28"/>
  <c r="AD104" i="28"/>
  <c r="AD105" i="28"/>
  <c r="AD106" i="28"/>
  <c r="AD107" i="28"/>
  <c r="AD108" i="28"/>
  <c r="AD109" i="28"/>
  <c r="AD110" i="28"/>
  <c r="AD111" i="28"/>
  <c r="AD112" i="28"/>
  <c r="AD113" i="28"/>
  <c r="AD114" i="28"/>
  <c r="AD115" i="28"/>
  <c r="AD116" i="28"/>
  <c r="AD117" i="28"/>
  <c r="AD118" i="28"/>
  <c r="AD119" i="28"/>
  <c r="AD120" i="28"/>
  <c r="AD121" i="28"/>
  <c r="AD122" i="28"/>
  <c r="AD123" i="28"/>
  <c r="AD124" i="28"/>
  <c r="AD125" i="28"/>
  <c r="AD126" i="28"/>
  <c r="AD127" i="28"/>
  <c r="AD128" i="28"/>
  <c r="AD129" i="28"/>
  <c r="AD130" i="28"/>
  <c r="AD131" i="28"/>
  <c r="AD132" i="28"/>
  <c r="AD133" i="28"/>
  <c r="AD134" i="28"/>
  <c r="AD135" i="28"/>
  <c r="AD136" i="28"/>
  <c r="AD137" i="28"/>
  <c r="AD138" i="28"/>
  <c r="AD139" i="28"/>
  <c r="AD140" i="28"/>
  <c r="AD142" i="28"/>
  <c r="AD143" i="28"/>
  <c r="AD144" i="28"/>
  <c r="AD145" i="28"/>
  <c r="AD146" i="28"/>
  <c r="AD147" i="28"/>
  <c r="AD148" i="28"/>
  <c r="AD149" i="28"/>
  <c r="AD150" i="28"/>
  <c r="AD151" i="28"/>
  <c r="AD152" i="28"/>
  <c r="AD153" i="28"/>
  <c r="AD154" i="28"/>
  <c r="AD155" i="28"/>
  <c r="AD156" i="28"/>
  <c r="AD157" i="28"/>
  <c r="AD158" i="28"/>
  <c r="AD159" i="28"/>
  <c r="AD160" i="28"/>
  <c r="AD161" i="28"/>
  <c r="AD162" i="28"/>
  <c r="AD163" i="28"/>
  <c r="AD164" i="28"/>
  <c r="AD165" i="28"/>
  <c r="AD166" i="28"/>
  <c r="AD167" i="28"/>
  <c r="AD168" i="28"/>
  <c r="AD169" i="28"/>
  <c r="AD170" i="28"/>
  <c r="AD171" i="28"/>
  <c r="AD172" i="28"/>
  <c r="AD173" i="28"/>
  <c r="AD174" i="28"/>
  <c r="AD175" i="28"/>
  <c r="AD176" i="28"/>
  <c r="AD177" i="28"/>
  <c r="AD178" i="28"/>
  <c r="AD179" i="28"/>
  <c r="AD180" i="28"/>
  <c r="AD181" i="28"/>
  <c r="AD182" i="28"/>
  <c r="AD183" i="28"/>
  <c r="AD184" i="28"/>
  <c r="AD185" i="28"/>
  <c r="AD186" i="28"/>
  <c r="AD187" i="28"/>
  <c r="AD188" i="28"/>
  <c r="AD189" i="28"/>
  <c r="AD190" i="28"/>
  <c r="AD191" i="28"/>
  <c r="AD192" i="28"/>
  <c r="AD193" i="28"/>
  <c r="AD194" i="28"/>
  <c r="AD195" i="28"/>
  <c r="AD196" i="28"/>
  <c r="AD197" i="28"/>
  <c r="AD198" i="28"/>
  <c r="AD199" i="28"/>
  <c r="AD200" i="28"/>
  <c r="AD201" i="28"/>
  <c r="AD202" i="28"/>
  <c r="AD203" i="28"/>
  <c r="AD204" i="28"/>
  <c r="AD205" i="28"/>
  <c r="AD206" i="28"/>
  <c r="AD207" i="28"/>
  <c r="AD208" i="28"/>
  <c r="AD209" i="28"/>
  <c r="AD5" i="28"/>
  <c r="AD4" i="28"/>
  <c r="AC5" i="28" l="1"/>
  <c r="AC6" i="28"/>
  <c r="AC7" i="28"/>
  <c r="AC8" i="28"/>
  <c r="AC9" i="28"/>
  <c r="AC10" i="28"/>
  <c r="AC11" i="28"/>
  <c r="AC12" i="28"/>
  <c r="AC13" i="28"/>
  <c r="AC14" i="28"/>
  <c r="AC15" i="28"/>
  <c r="AC16" i="28"/>
  <c r="AC17" i="28"/>
  <c r="AC18" i="28"/>
  <c r="AC19" i="28"/>
  <c r="AC20" i="28"/>
  <c r="AC21" i="28"/>
  <c r="AC22" i="28"/>
  <c r="AC23" i="28"/>
  <c r="AC24" i="28"/>
  <c r="AC25" i="28"/>
  <c r="AC26" i="28"/>
  <c r="AC27" i="28"/>
  <c r="AC28" i="28"/>
  <c r="AC29" i="28"/>
  <c r="AC30" i="28"/>
  <c r="AC31" i="28"/>
  <c r="AC32" i="28"/>
  <c r="AC33" i="28"/>
  <c r="AC34" i="28"/>
  <c r="AC35" i="28"/>
  <c r="AC36" i="28"/>
  <c r="AC37" i="28"/>
  <c r="AC38" i="28"/>
  <c r="AC39" i="28"/>
  <c r="AC40" i="28"/>
  <c r="AC41" i="28"/>
  <c r="AC42" i="28"/>
  <c r="AC43" i="28"/>
  <c r="AC44" i="28"/>
  <c r="AC45" i="28"/>
  <c r="AC46" i="28"/>
  <c r="AC47" i="28"/>
  <c r="AC48" i="28"/>
  <c r="AC49" i="28"/>
  <c r="AC50" i="28"/>
  <c r="AC51" i="28"/>
  <c r="AC52" i="28"/>
  <c r="AC53" i="28"/>
  <c r="AC54" i="28"/>
  <c r="AC55" i="28"/>
  <c r="AC56" i="28"/>
  <c r="AC57" i="28"/>
  <c r="AC58" i="28"/>
  <c r="AC59" i="28"/>
  <c r="AC60" i="28"/>
  <c r="AC61" i="28"/>
  <c r="AC62" i="28"/>
  <c r="AC63" i="28"/>
  <c r="AC64" i="28"/>
  <c r="AC65" i="28"/>
  <c r="AC66" i="28"/>
  <c r="AC67" i="28"/>
  <c r="AC68" i="28"/>
  <c r="AC69" i="28"/>
  <c r="AC70" i="28"/>
  <c r="AC71" i="28"/>
  <c r="AC72" i="28"/>
  <c r="AC73" i="28"/>
  <c r="AC74" i="28"/>
  <c r="AC75" i="28"/>
  <c r="AC76" i="28"/>
  <c r="AC77" i="28"/>
  <c r="AC78" i="28"/>
  <c r="AC79" i="28"/>
  <c r="AC80" i="28"/>
  <c r="AC81" i="28"/>
  <c r="AC82" i="28"/>
  <c r="AC83" i="28"/>
  <c r="AC84" i="28"/>
  <c r="AC85" i="28"/>
  <c r="AC86" i="28"/>
  <c r="AC87" i="28"/>
  <c r="AC88" i="28"/>
  <c r="AC89" i="28"/>
  <c r="AC90" i="28"/>
  <c r="AC91" i="28"/>
  <c r="AC92" i="28"/>
  <c r="AC93" i="28"/>
  <c r="AC94" i="28"/>
  <c r="AC95" i="28"/>
  <c r="AC96" i="28"/>
  <c r="AC97" i="28"/>
  <c r="AC98" i="28"/>
  <c r="AC99" i="28"/>
  <c r="AC100" i="28"/>
  <c r="AC101" i="28"/>
  <c r="AC102" i="28"/>
  <c r="AC103" i="28"/>
  <c r="AC104" i="28"/>
  <c r="AC105" i="28"/>
  <c r="AC106" i="28"/>
  <c r="AC107" i="28"/>
  <c r="AC108" i="28"/>
  <c r="AC109" i="28"/>
  <c r="AC110" i="28"/>
  <c r="AC111" i="28"/>
  <c r="AC112" i="28"/>
  <c r="AC113" i="28"/>
  <c r="AC114" i="28"/>
  <c r="AC115" i="28"/>
  <c r="AC116" i="28"/>
  <c r="AC117" i="28"/>
  <c r="AC118" i="28"/>
  <c r="AC119" i="28"/>
  <c r="AC120" i="28"/>
  <c r="AC121" i="28"/>
  <c r="AC122" i="28"/>
  <c r="AC123" i="28"/>
  <c r="AC124" i="28"/>
  <c r="AC125" i="28"/>
  <c r="AC126" i="28"/>
  <c r="AC127" i="28"/>
  <c r="AC128" i="28"/>
  <c r="AC129" i="28"/>
  <c r="AC130" i="28"/>
  <c r="AC131" i="28"/>
  <c r="AC132" i="28"/>
  <c r="AC133" i="28"/>
  <c r="AC134" i="28"/>
  <c r="AC135" i="28"/>
  <c r="AC136" i="28"/>
  <c r="AC137" i="28"/>
  <c r="AC138" i="28"/>
  <c r="AC139" i="28"/>
  <c r="AC140" i="28"/>
  <c r="AC142" i="28"/>
  <c r="AC143" i="28"/>
  <c r="AC144" i="28"/>
  <c r="AC145" i="28"/>
  <c r="AC146" i="28"/>
  <c r="AC147" i="28"/>
  <c r="AC148" i="28"/>
  <c r="AC149" i="28"/>
  <c r="AC150" i="28"/>
  <c r="AC151" i="28"/>
  <c r="AC152" i="28"/>
  <c r="AC153" i="28"/>
  <c r="AC154" i="28"/>
  <c r="AC155" i="28"/>
  <c r="AC156" i="28"/>
  <c r="AC157" i="28"/>
  <c r="AC158" i="28"/>
  <c r="AC159" i="28"/>
  <c r="AC160" i="28"/>
  <c r="AC161" i="28"/>
  <c r="AC162" i="28"/>
  <c r="AC163" i="28"/>
  <c r="AC164" i="28"/>
  <c r="AC165" i="28"/>
  <c r="AC166" i="28"/>
  <c r="AC167" i="28"/>
  <c r="AC168" i="28"/>
  <c r="AC169" i="28"/>
  <c r="AC170" i="28"/>
  <c r="AC171" i="28"/>
  <c r="AC172" i="28"/>
  <c r="AC173" i="28"/>
  <c r="AC174" i="28"/>
  <c r="AC175" i="28"/>
  <c r="AC176" i="28"/>
  <c r="AC177" i="28"/>
  <c r="AC178" i="28"/>
  <c r="AC179" i="28"/>
  <c r="AC180" i="28"/>
  <c r="AC181" i="28"/>
  <c r="AC182" i="28"/>
  <c r="AC183" i="28"/>
  <c r="AC184" i="28"/>
  <c r="AC185" i="28"/>
  <c r="AC186" i="28"/>
  <c r="AC187" i="28"/>
  <c r="AC188" i="28"/>
  <c r="AC189" i="28"/>
  <c r="AC190" i="28"/>
  <c r="AC191" i="28"/>
  <c r="AC192" i="28"/>
  <c r="AC193" i="28"/>
  <c r="AC194" i="28"/>
  <c r="AC195" i="28"/>
  <c r="AC196" i="28"/>
  <c r="AC197" i="28"/>
  <c r="AC198" i="28"/>
  <c r="AC199" i="28"/>
  <c r="AC200" i="28"/>
  <c r="AC201" i="28"/>
  <c r="AC202" i="28"/>
  <c r="AC203" i="28"/>
  <c r="AC204" i="28"/>
  <c r="AC205" i="28"/>
  <c r="AC206" i="28"/>
  <c r="AC207" i="28"/>
  <c r="AC208" i="28"/>
  <c r="AC209" i="28"/>
  <c r="AC4" i="28"/>
  <c r="V60" i="25" l="1"/>
  <c r="Z60" i="25" s="1"/>
  <c r="AA60" i="25" s="1"/>
  <c r="AB60" i="25" s="1"/>
  <c r="V61" i="25"/>
  <c r="Z61" i="25" s="1"/>
  <c r="AA61" i="25" s="1"/>
  <c r="AB61" i="25" s="1"/>
  <c r="V62" i="25"/>
  <c r="Z62" i="25" s="1"/>
  <c r="AA62" i="25" s="1"/>
  <c r="AB62" i="25" s="1"/>
  <c r="V74" i="25"/>
  <c r="V77" i="25"/>
  <c r="Z77" i="25" s="1"/>
  <c r="AA77" i="25" s="1"/>
  <c r="AB77" i="25" s="1"/>
  <c r="V112" i="25"/>
  <c r="Z112" i="25" s="1"/>
  <c r="AA112" i="25" s="1"/>
  <c r="AB112" i="25" s="1"/>
  <c r="V123" i="25"/>
  <c r="V131" i="25"/>
  <c r="Z131" i="25" s="1"/>
  <c r="AA131" i="25" s="1"/>
  <c r="AB131" i="25" s="1"/>
  <c r="V138" i="25"/>
  <c r="V139" i="25"/>
  <c r="Z139" i="25" s="1"/>
  <c r="AA139" i="25" s="1"/>
  <c r="AB139" i="25" s="1"/>
  <c r="V140" i="25"/>
  <c r="V142" i="25"/>
  <c r="Z142" i="25" s="1"/>
  <c r="AA142" i="25" s="1"/>
  <c r="AB142" i="25" s="1"/>
  <c r="V146" i="25"/>
  <c r="Z146" i="25" s="1"/>
  <c r="AA146" i="25" s="1"/>
  <c r="AB146" i="25" s="1"/>
  <c r="V149" i="25"/>
  <c r="Z149" i="25" s="1"/>
  <c r="AA149" i="25" s="1"/>
  <c r="AB149" i="25" s="1"/>
  <c r="V168" i="25"/>
  <c r="Z168" i="25" s="1"/>
  <c r="AA168" i="25" s="1"/>
  <c r="AB168" i="25" s="1"/>
  <c r="V172" i="25"/>
  <c r="V176" i="25"/>
  <c r="Z176" i="25" s="1"/>
  <c r="AA176" i="25" s="1"/>
  <c r="AB176" i="25" s="1"/>
  <c r="V177" i="25"/>
  <c r="Z177" i="25" s="1"/>
  <c r="AA177" i="25" s="1"/>
  <c r="AB177" i="25" s="1"/>
  <c r="V184" i="25"/>
  <c r="Z184" i="25" s="1"/>
  <c r="AA184" i="25" s="1"/>
  <c r="AB184" i="25" s="1"/>
  <c r="V188" i="25"/>
  <c r="Z188" i="25" s="1"/>
  <c r="AA188" i="25" s="1"/>
  <c r="AB188" i="25" s="1"/>
  <c r="V59" i="25"/>
  <c r="Z59" i="25" s="1"/>
  <c r="AA59" i="25" s="1"/>
  <c r="AB59" i="25" s="1"/>
  <c r="V47" i="25"/>
  <c r="Z47" i="25" s="1"/>
  <c r="AA47" i="25" s="1"/>
  <c r="AB47" i="25" s="1"/>
  <c r="V4" i="25"/>
  <c r="Z4" i="25" s="1"/>
  <c r="V8" i="25"/>
  <c r="Z8" i="25" s="1"/>
  <c r="AA8" i="25" s="1"/>
  <c r="AB8" i="25" s="1"/>
  <c r="V9" i="25"/>
  <c r="Z9" i="25" s="1"/>
  <c r="AA9" i="25" s="1"/>
  <c r="AB9" i="25" s="1"/>
  <c r="V12" i="25"/>
  <c r="Z12" i="25" s="1"/>
  <c r="AA12" i="25" s="1"/>
  <c r="AB12" i="25" s="1"/>
  <c r="V13" i="25"/>
  <c r="Z13" i="25" s="1"/>
  <c r="AA13" i="25" s="1"/>
  <c r="AB13" i="25" s="1"/>
  <c r="V16" i="25"/>
  <c r="Z16" i="25" s="1"/>
  <c r="AA16" i="25" s="1"/>
  <c r="AB16" i="25" s="1"/>
  <c r="V17" i="25"/>
  <c r="Z17" i="25" s="1"/>
  <c r="AA17" i="25" s="1"/>
  <c r="AB17" i="25" s="1"/>
  <c r="V20" i="25"/>
  <c r="Z20" i="25" s="1"/>
  <c r="AA20" i="25" s="1"/>
  <c r="AB20" i="25" s="1"/>
  <c r="V21" i="25"/>
  <c r="Z21" i="25" s="1"/>
  <c r="AA21" i="25" s="1"/>
  <c r="AB21" i="25" s="1"/>
  <c r="V24" i="25"/>
  <c r="Z24" i="25" s="1"/>
  <c r="AA24" i="25" s="1"/>
  <c r="AB24" i="25" s="1"/>
  <c r="V25" i="25"/>
  <c r="Z25" i="25" s="1"/>
  <c r="AA25" i="25" s="1"/>
  <c r="AB25" i="25" s="1"/>
  <c r="V28" i="25"/>
  <c r="Z28" i="25" s="1"/>
  <c r="AA28" i="25" s="1"/>
  <c r="AB28" i="25" s="1"/>
  <c r="V29" i="25"/>
  <c r="Z29" i="25" s="1"/>
  <c r="AA29" i="25" s="1"/>
  <c r="AB29" i="25" s="1"/>
  <c r="V32" i="25"/>
  <c r="Z32" i="25" s="1"/>
  <c r="AA32" i="25" s="1"/>
  <c r="AB32" i="25" s="1"/>
  <c r="V33" i="25"/>
  <c r="Z33" i="25" s="1"/>
  <c r="AA33" i="25" s="1"/>
  <c r="AB33" i="25" s="1"/>
  <c r="V36" i="25"/>
  <c r="Z36" i="25" s="1"/>
  <c r="AA36" i="25" s="1"/>
  <c r="AB36" i="25" s="1"/>
  <c r="V37" i="25"/>
  <c r="Z37" i="25" s="1"/>
  <c r="AA37" i="25" s="1"/>
  <c r="AB37" i="25" s="1"/>
  <c r="V40" i="25"/>
  <c r="Z40" i="25" s="1"/>
  <c r="AA40" i="25" s="1"/>
  <c r="AB40" i="25" s="1"/>
  <c r="V41" i="25"/>
  <c r="Z41" i="25" s="1"/>
  <c r="AA41" i="25" s="1"/>
  <c r="AB41" i="25" s="1"/>
  <c r="V44" i="25"/>
  <c r="Z44" i="25" s="1"/>
  <c r="AA44" i="25" s="1"/>
  <c r="AB44" i="25" s="1"/>
  <c r="V45" i="25"/>
  <c r="Z45" i="25" s="1"/>
  <c r="AA45" i="25" s="1"/>
  <c r="AB45" i="25" s="1"/>
  <c r="V48" i="25"/>
  <c r="Z48" i="25" s="1"/>
  <c r="AA48" i="25" s="1"/>
  <c r="AB48" i="25" s="1"/>
  <c r="V5" i="25"/>
  <c r="Z5" i="25" s="1"/>
  <c r="AA5" i="25" s="1"/>
  <c r="AB5" i="25" s="1"/>
  <c r="AQ5" i="25"/>
  <c r="AR5" i="25"/>
  <c r="AS5" i="25"/>
  <c r="AT5" i="25" s="1"/>
  <c r="AQ6" i="25"/>
  <c r="AR6" i="25"/>
  <c r="AS6" i="25" s="1"/>
  <c r="AT6" i="25" s="1"/>
  <c r="AQ7" i="25"/>
  <c r="AR7" i="25"/>
  <c r="AS7" i="25" s="1"/>
  <c r="AQ8" i="25"/>
  <c r="AR8" i="25"/>
  <c r="AS8" i="25"/>
  <c r="AT8" i="25" s="1"/>
  <c r="AR9" i="25"/>
  <c r="AS9" i="25" s="1"/>
  <c r="AT9" i="25" s="1"/>
  <c r="AS10" i="25"/>
  <c r="AS11" i="25"/>
  <c r="X10" i="25"/>
  <c r="Y10" i="25" s="1"/>
  <c r="X11" i="25"/>
  <c r="Y11" i="25" s="1"/>
  <c r="X12" i="25"/>
  <c r="Y12" i="25" s="1"/>
  <c r="X13" i="25"/>
  <c r="Y13" i="25" s="1"/>
  <c r="X14" i="25"/>
  <c r="Y14" i="25" s="1"/>
  <c r="X15" i="25"/>
  <c r="Y15" i="25" s="1"/>
  <c r="X16" i="25"/>
  <c r="Y16" i="25" s="1"/>
  <c r="X17" i="25"/>
  <c r="Y17" i="25" s="1"/>
  <c r="X18" i="25"/>
  <c r="Y18" i="25" s="1"/>
  <c r="X19" i="25"/>
  <c r="Y19" i="25" s="1"/>
  <c r="X20" i="25"/>
  <c r="Y20" i="25" s="1"/>
  <c r="X21" i="25"/>
  <c r="Y21" i="25" s="1"/>
  <c r="X22" i="25"/>
  <c r="Y22" i="25" s="1"/>
  <c r="X23" i="25"/>
  <c r="Y23" i="25" s="1"/>
  <c r="X24" i="25"/>
  <c r="Y24" i="25" s="1"/>
  <c r="X25" i="25"/>
  <c r="Y25" i="25" s="1"/>
  <c r="X26" i="25"/>
  <c r="Y26" i="25" s="1"/>
  <c r="X27" i="25"/>
  <c r="Y27" i="25" s="1"/>
  <c r="X28" i="25"/>
  <c r="Y28" i="25" s="1"/>
  <c r="X29" i="25"/>
  <c r="Y29" i="25" s="1"/>
  <c r="X30" i="25"/>
  <c r="Y30" i="25" s="1"/>
  <c r="X31" i="25"/>
  <c r="Y31" i="25" s="1"/>
  <c r="X32" i="25"/>
  <c r="Y32" i="25" s="1"/>
  <c r="X33" i="25"/>
  <c r="Y33" i="25" s="1"/>
  <c r="X34" i="25"/>
  <c r="Y34" i="25" s="1"/>
  <c r="X35" i="25"/>
  <c r="Y35" i="25" s="1"/>
  <c r="X36" i="25"/>
  <c r="Y36" i="25" s="1"/>
  <c r="X37" i="25"/>
  <c r="Y37" i="25" s="1"/>
  <c r="X38" i="25"/>
  <c r="Y38" i="25" s="1"/>
  <c r="X39" i="25"/>
  <c r="Y39" i="25" s="1"/>
  <c r="X40" i="25"/>
  <c r="Y40" i="25" s="1"/>
  <c r="X41" i="25"/>
  <c r="Y41" i="25" s="1"/>
  <c r="X42" i="25"/>
  <c r="Y42" i="25" s="1"/>
  <c r="X43" i="25"/>
  <c r="Y43" i="25" s="1"/>
  <c r="X44" i="25"/>
  <c r="Y44" i="25" s="1"/>
  <c r="X45" i="25"/>
  <c r="Y45" i="25" s="1"/>
  <c r="X46" i="25"/>
  <c r="X47" i="25"/>
  <c r="Y47" i="25" s="1"/>
  <c r="X48" i="25"/>
  <c r="Y48" i="25" s="1"/>
  <c r="X49" i="25"/>
  <c r="Y49" i="25" s="1"/>
  <c r="X50" i="25"/>
  <c r="Y50" i="25" s="1"/>
  <c r="X51" i="25"/>
  <c r="Y51" i="25" s="1"/>
  <c r="X52" i="25"/>
  <c r="Y52" i="25" s="1"/>
  <c r="X53" i="25"/>
  <c r="Y53" i="25" s="1"/>
  <c r="X54" i="25"/>
  <c r="Y54" i="25" s="1"/>
  <c r="X55" i="25"/>
  <c r="Y55" i="25" s="1"/>
  <c r="X56" i="25"/>
  <c r="Y56" i="25" s="1"/>
  <c r="X57" i="25"/>
  <c r="Y57" i="25" s="1"/>
  <c r="X58" i="25"/>
  <c r="Y58" i="25" s="1"/>
  <c r="X59" i="25"/>
  <c r="Y59" i="25" s="1"/>
  <c r="X60" i="25"/>
  <c r="Y60" i="25" s="1"/>
  <c r="X61" i="25"/>
  <c r="Y61" i="25" s="1"/>
  <c r="X62" i="25"/>
  <c r="Y62" i="25" s="1"/>
  <c r="X63" i="25"/>
  <c r="Y63" i="25" s="1"/>
  <c r="X64" i="25"/>
  <c r="Y64" i="25" s="1"/>
  <c r="X65" i="25"/>
  <c r="Y65" i="25" s="1"/>
  <c r="X66" i="25"/>
  <c r="Y66" i="25" s="1"/>
  <c r="X67" i="25"/>
  <c r="Y67" i="25" s="1"/>
  <c r="X68" i="25"/>
  <c r="Y68" i="25" s="1"/>
  <c r="X69" i="25"/>
  <c r="Y69" i="25" s="1"/>
  <c r="X70" i="25"/>
  <c r="Y70" i="25" s="1"/>
  <c r="X71" i="25"/>
  <c r="Y71" i="25" s="1"/>
  <c r="X72" i="25"/>
  <c r="Y72" i="25" s="1"/>
  <c r="X73" i="25"/>
  <c r="Y73" i="25" s="1"/>
  <c r="X74" i="25"/>
  <c r="X75" i="25"/>
  <c r="Y75" i="25" s="1"/>
  <c r="X76" i="25"/>
  <c r="Y76" i="25" s="1"/>
  <c r="X77" i="25"/>
  <c r="Y77" i="25" s="1"/>
  <c r="X78" i="25"/>
  <c r="Y78" i="25" s="1"/>
  <c r="X79" i="25"/>
  <c r="Y79" i="25" s="1"/>
  <c r="X80" i="25"/>
  <c r="Y80" i="25" s="1"/>
  <c r="X81" i="25"/>
  <c r="Y81" i="25" s="1"/>
  <c r="X82" i="25"/>
  <c r="Y82" i="25" s="1"/>
  <c r="X84" i="25"/>
  <c r="Y84" i="25" s="1"/>
  <c r="X85" i="25"/>
  <c r="Y85" i="25" s="1"/>
  <c r="X86" i="25"/>
  <c r="Y86" i="25" s="1"/>
  <c r="X87" i="25"/>
  <c r="Y87" i="25" s="1"/>
  <c r="X88" i="25"/>
  <c r="Y88" i="25" s="1"/>
  <c r="X89" i="25"/>
  <c r="Y89" i="25" s="1"/>
  <c r="X90" i="25"/>
  <c r="Y90" i="25" s="1"/>
  <c r="X91" i="25"/>
  <c r="Y91" i="25" s="1"/>
  <c r="X92" i="25"/>
  <c r="Y92" i="25" s="1"/>
  <c r="X93" i="25"/>
  <c r="Y93" i="25" s="1"/>
  <c r="X94" i="25"/>
  <c r="Y94" i="25" s="1"/>
  <c r="X95" i="25"/>
  <c r="Y95" i="25" s="1"/>
  <c r="X96" i="25"/>
  <c r="Y96" i="25" s="1"/>
  <c r="X97" i="25"/>
  <c r="Y97" i="25" s="1"/>
  <c r="X99" i="25"/>
  <c r="Y99" i="25" s="1"/>
  <c r="X100" i="25"/>
  <c r="Y100" i="25" s="1"/>
  <c r="X101" i="25"/>
  <c r="Y101" i="25" s="1"/>
  <c r="X102" i="25"/>
  <c r="Y102" i="25" s="1"/>
  <c r="X103" i="25"/>
  <c r="Y103" i="25" s="1"/>
  <c r="X104" i="25"/>
  <c r="Y104" i="25" s="1"/>
  <c r="X105" i="25"/>
  <c r="Y105" i="25" s="1"/>
  <c r="X106" i="25"/>
  <c r="Y106" i="25" s="1"/>
  <c r="X107" i="25"/>
  <c r="Y107" i="25" s="1"/>
  <c r="X108" i="25"/>
  <c r="Y108" i="25" s="1"/>
  <c r="X109" i="25"/>
  <c r="Y109" i="25" s="1"/>
  <c r="X110" i="25"/>
  <c r="Y110" i="25" s="1"/>
  <c r="X111" i="25"/>
  <c r="Y111" i="25" s="1"/>
  <c r="X112" i="25"/>
  <c r="Y112" i="25" s="1"/>
  <c r="X113" i="25"/>
  <c r="Y113" i="25" s="1"/>
  <c r="X114" i="25"/>
  <c r="Y114" i="25" s="1"/>
  <c r="X115" i="25"/>
  <c r="Y115" i="25" s="1"/>
  <c r="X116" i="25"/>
  <c r="Y116" i="25" s="1"/>
  <c r="X117" i="25"/>
  <c r="Y117" i="25" s="1"/>
  <c r="X118" i="25"/>
  <c r="Y118" i="25" s="1"/>
  <c r="X121" i="25"/>
  <c r="Y121" i="25" s="1"/>
  <c r="X122" i="25"/>
  <c r="Y122" i="25" s="1"/>
  <c r="X124" i="25"/>
  <c r="Y124" i="25" s="1"/>
  <c r="X125" i="25"/>
  <c r="Y125" i="25" s="1"/>
  <c r="X126" i="25"/>
  <c r="Y126" i="25" s="1"/>
  <c r="X128" i="25"/>
  <c r="Y128" i="25" s="1"/>
  <c r="X129" i="25"/>
  <c r="Y129" i="25" s="1"/>
  <c r="X130" i="25"/>
  <c r="Y130" i="25" s="1"/>
  <c r="X131" i="25"/>
  <c r="Y131" i="25" s="1"/>
  <c r="X132" i="25"/>
  <c r="Y132" i="25" s="1"/>
  <c r="X133" i="25"/>
  <c r="Y133" i="25" s="1"/>
  <c r="X134" i="25"/>
  <c r="Y134" i="25" s="1"/>
  <c r="X135" i="25"/>
  <c r="Y135" i="25" s="1"/>
  <c r="X136" i="25"/>
  <c r="Y136" i="25" s="1"/>
  <c r="X137" i="25"/>
  <c r="Y137" i="25" s="1"/>
  <c r="X139" i="25"/>
  <c r="Y139" i="25" s="1"/>
  <c r="X142" i="25"/>
  <c r="Y142" i="25" s="1"/>
  <c r="X143" i="25"/>
  <c r="Y143" i="25" s="1"/>
  <c r="X144" i="25"/>
  <c r="Y144" i="25" s="1"/>
  <c r="X145" i="25"/>
  <c r="Y145" i="25" s="1"/>
  <c r="X146" i="25"/>
  <c r="Y146" i="25" s="1"/>
  <c r="X147" i="25"/>
  <c r="Y147" i="25" s="1"/>
  <c r="X148" i="25"/>
  <c r="Y148" i="25" s="1"/>
  <c r="X149" i="25"/>
  <c r="Y149" i="25" s="1"/>
  <c r="X150" i="25"/>
  <c r="Y150" i="25" s="1"/>
  <c r="X151" i="25"/>
  <c r="Y151" i="25" s="1"/>
  <c r="X152" i="25"/>
  <c r="Y152" i="25" s="1"/>
  <c r="X154" i="25"/>
  <c r="Y154" i="25" s="1"/>
  <c r="X155" i="25"/>
  <c r="Y155" i="25" s="1"/>
  <c r="X156" i="25"/>
  <c r="Y156" i="25" s="1"/>
  <c r="X157" i="25"/>
  <c r="Y157" i="25" s="1"/>
  <c r="X158" i="25"/>
  <c r="Y158" i="25" s="1"/>
  <c r="X160" i="25"/>
  <c r="Y160" i="25" s="1"/>
  <c r="X161" i="25"/>
  <c r="Y161" i="25" s="1"/>
  <c r="X162" i="25"/>
  <c r="Y162" i="25" s="1"/>
  <c r="X163" i="25"/>
  <c r="Y163" i="25" s="1"/>
  <c r="X164" i="25"/>
  <c r="Y164" i="25" s="1"/>
  <c r="X166" i="25"/>
  <c r="Y166" i="25" s="1"/>
  <c r="X167" i="25"/>
  <c r="Y167" i="25" s="1"/>
  <c r="X168" i="25"/>
  <c r="Y168" i="25" s="1"/>
  <c r="X169" i="25"/>
  <c r="Y169" i="25" s="1"/>
  <c r="X170" i="25"/>
  <c r="Y170" i="25" s="1"/>
  <c r="X171" i="25"/>
  <c r="Y171" i="25" s="1"/>
  <c r="X173" i="25"/>
  <c r="Y173" i="25" s="1"/>
  <c r="X174" i="25"/>
  <c r="Y174" i="25" s="1"/>
  <c r="X175" i="25"/>
  <c r="Y175" i="25" s="1"/>
  <c r="X176" i="25"/>
  <c r="Y176" i="25" s="1"/>
  <c r="X177" i="25"/>
  <c r="Y177" i="25" s="1"/>
  <c r="X178" i="25"/>
  <c r="Y178" i="25" s="1"/>
  <c r="X179" i="25"/>
  <c r="Y179" i="25" s="1"/>
  <c r="X180" i="25"/>
  <c r="Y180" i="25" s="1"/>
  <c r="X181" i="25"/>
  <c r="Y181" i="25" s="1"/>
  <c r="X182" i="25"/>
  <c r="Y182" i="25" s="1"/>
  <c r="X183" i="25"/>
  <c r="Y183" i="25" s="1"/>
  <c r="X184" i="25"/>
  <c r="Y184" i="25" s="1"/>
  <c r="X185" i="25"/>
  <c r="Y185" i="25" s="1"/>
  <c r="X186" i="25"/>
  <c r="Y186" i="25" s="1"/>
  <c r="X187" i="25"/>
  <c r="Y187" i="25" s="1"/>
  <c r="X188" i="25"/>
  <c r="Y188" i="25" s="1"/>
  <c r="X189" i="25"/>
  <c r="Y189" i="25" s="1"/>
  <c r="X190" i="25"/>
  <c r="Y190" i="25" s="1"/>
  <c r="X191" i="25"/>
  <c r="Y191" i="25" s="1"/>
  <c r="X192" i="25"/>
  <c r="Y192" i="25" s="1"/>
  <c r="X193" i="25"/>
  <c r="Y193" i="25" s="1"/>
  <c r="X194" i="25"/>
  <c r="Y194" i="25" s="1"/>
  <c r="X195" i="25"/>
  <c r="Y195" i="25" s="1"/>
  <c r="X196" i="25"/>
  <c r="Y196" i="25" s="1"/>
  <c r="X197" i="25"/>
  <c r="Y197" i="25" s="1"/>
  <c r="X198" i="25"/>
  <c r="Y198" i="25" s="1"/>
  <c r="X199" i="25"/>
  <c r="Y199" i="25" s="1"/>
  <c r="X200" i="25"/>
  <c r="Y200" i="25" s="1"/>
  <c r="X201" i="25"/>
  <c r="Y201" i="25" s="1"/>
  <c r="X202" i="25"/>
  <c r="Y202" i="25" s="1"/>
  <c r="X203" i="25"/>
  <c r="Y203" i="25" s="1"/>
  <c r="X204" i="25"/>
  <c r="Y204" i="25" s="1"/>
  <c r="X205" i="25"/>
  <c r="Y205" i="25" s="1"/>
  <c r="X206" i="25"/>
  <c r="Y206" i="25" s="1"/>
  <c r="X207" i="25"/>
  <c r="Y207" i="25" s="1"/>
  <c r="X208" i="25"/>
  <c r="Y208" i="25" s="1"/>
  <c r="X209" i="25"/>
  <c r="Y209" i="25" s="1"/>
  <c r="X9" i="25"/>
  <c r="Y9" i="25" s="1"/>
  <c r="X8" i="25"/>
  <c r="Y8" i="25" s="1"/>
  <c r="X7" i="25"/>
  <c r="Y7" i="25" s="1"/>
  <c r="X5" i="25"/>
  <c r="Y5" i="25" s="1"/>
  <c r="X6" i="25"/>
  <c r="Y6" i="25" s="1"/>
  <c r="X4" i="25"/>
  <c r="Y4" i="25" s="1"/>
  <c r="AT7" i="25" l="1"/>
  <c r="AA4" i="25"/>
  <c r="AB4" i="25" s="1"/>
  <c r="N167" i="16"/>
  <c r="N168" i="16"/>
  <c r="N169" i="16"/>
  <c r="N170" i="16"/>
  <c r="N171" i="16"/>
  <c r="N139" i="16"/>
  <c r="N140" i="16"/>
  <c r="N141" i="16"/>
  <c r="N142" i="16"/>
  <c r="N143" i="16"/>
  <c r="N60" i="16"/>
  <c r="N61" i="16"/>
  <c r="N62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3" i="16"/>
  <c r="N64" i="16"/>
  <c r="N65" i="16"/>
  <c r="N66" i="16"/>
  <c r="N67" i="16"/>
  <c r="N68" i="16"/>
  <c r="N69" i="16"/>
  <c r="N70" i="16"/>
  <c r="N71" i="16"/>
  <c r="N72" i="16"/>
  <c r="N73" i="16"/>
  <c r="N74" i="16"/>
  <c r="N75" i="16"/>
  <c r="N76" i="16"/>
  <c r="N77" i="16"/>
  <c r="N78" i="16"/>
  <c r="N79" i="16"/>
  <c r="N80" i="16"/>
  <c r="N81" i="16"/>
  <c r="N82" i="16"/>
  <c r="N83" i="16"/>
  <c r="N84" i="16"/>
  <c r="N85" i="16"/>
  <c r="N86" i="16"/>
  <c r="N87" i="16"/>
  <c r="N88" i="16"/>
  <c r="N89" i="16"/>
  <c r="N90" i="16"/>
  <c r="N91" i="16"/>
  <c r="N92" i="16"/>
  <c r="N93" i="16"/>
  <c r="N94" i="16"/>
  <c r="N95" i="16"/>
  <c r="N96" i="16"/>
  <c r="N97" i="16"/>
  <c r="N98" i="16"/>
  <c r="N99" i="16"/>
  <c r="N100" i="16"/>
  <c r="N101" i="16"/>
  <c r="N102" i="16"/>
  <c r="N103" i="16"/>
  <c r="N104" i="16"/>
  <c r="N105" i="16"/>
  <c r="N106" i="16"/>
  <c r="N107" i="16"/>
  <c r="N108" i="16"/>
  <c r="N109" i="16"/>
  <c r="N110" i="16"/>
  <c r="N111" i="16"/>
  <c r="N112" i="16"/>
  <c r="N113" i="16"/>
  <c r="N114" i="16"/>
  <c r="N115" i="16"/>
  <c r="N116" i="16"/>
  <c r="N117" i="16"/>
  <c r="N118" i="16"/>
  <c r="N119" i="16"/>
  <c r="N120" i="16"/>
  <c r="N121" i="16"/>
  <c r="N122" i="16"/>
  <c r="N123" i="16"/>
  <c r="N124" i="16"/>
  <c r="N125" i="16"/>
  <c r="N126" i="16"/>
  <c r="N127" i="16"/>
  <c r="N128" i="16"/>
  <c r="N129" i="16"/>
  <c r="N130" i="16"/>
  <c r="N131" i="16"/>
  <c r="N132" i="16"/>
  <c r="N133" i="16"/>
  <c r="N134" i="16"/>
  <c r="N135" i="16"/>
  <c r="N136" i="16"/>
  <c r="N137" i="16"/>
  <c r="N138" i="16"/>
  <c r="N144" i="16"/>
  <c r="N145" i="16"/>
  <c r="N146" i="16"/>
  <c r="N147" i="16"/>
  <c r="N148" i="16"/>
  <c r="N149" i="16"/>
  <c r="N150" i="16"/>
  <c r="N151" i="16"/>
  <c r="N152" i="16"/>
  <c r="N153" i="16"/>
  <c r="N154" i="16"/>
  <c r="N155" i="16"/>
  <c r="N156" i="16"/>
  <c r="N157" i="16"/>
  <c r="N158" i="16"/>
  <c r="N159" i="16"/>
  <c r="N160" i="16"/>
  <c r="N161" i="16"/>
  <c r="N162" i="16"/>
  <c r="N163" i="16"/>
  <c r="N164" i="16"/>
  <c r="N165" i="16"/>
  <c r="N166" i="16"/>
  <c r="N172" i="16"/>
  <c r="N173" i="16"/>
  <c r="N174" i="16"/>
  <c r="N175" i="16"/>
  <c r="N176" i="16"/>
  <c r="N177" i="16"/>
  <c r="N178" i="16"/>
  <c r="N179" i="16"/>
  <c r="N180" i="16"/>
  <c r="N181" i="16"/>
  <c r="N182" i="16"/>
  <c r="N183" i="16"/>
  <c r="N184" i="16"/>
  <c r="N185" i="16"/>
  <c r="N186" i="16"/>
  <c r="N187" i="16"/>
  <c r="N188" i="16"/>
  <c r="N189" i="16"/>
  <c r="N190" i="16"/>
  <c r="N191" i="16"/>
  <c r="N192" i="16"/>
  <c r="N193" i="16"/>
  <c r="N194" i="16"/>
  <c r="N195" i="16"/>
  <c r="N196" i="16"/>
  <c r="N197" i="16"/>
  <c r="N198" i="16"/>
  <c r="N199" i="16"/>
  <c r="N200" i="16"/>
  <c r="N201" i="16"/>
  <c r="N202" i="16"/>
  <c r="N203" i="16"/>
  <c r="N204" i="16"/>
  <c r="N205" i="16"/>
  <c r="N206" i="16"/>
  <c r="N207" i="16"/>
  <c r="N208" i="16"/>
  <c r="N209" i="16"/>
  <c r="N5" i="16"/>
  <c r="N6" i="16"/>
  <c r="N7" i="16"/>
  <c r="N8" i="16"/>
  <c r="N9" i="16"/>
  <c r="N10" i="16"/>
  <c r="O22" i="3" l="1"/>
  <c r="O23" i="3"/>
  <c r="O24" i="3"/>
  <c r="O25" i="3"/>
  <c r="O26" i="3"/>
  <c r="O27" i="3"/>
  <c r="U27" i="3" s="1"/>
  <c r="O28" i="3"/>
  <c r="U28" i="3" s="1"/>
  <c r="O29" i="3"/>
  <c r="U29" i="3" s="1"/>
  <c r="O30" i="3"/>
  <c r="O31" i="3"/>
  <c r="U31" i="3" s="1"/>
  <c r="O32" i="3"/>
  <c r="U32" i="3" s="1"/>
  <c r="O33" i="3"/>
  <c r="U33" i="3" s="1"/>
  <c r="O34" i="3"/>
  <c r="U34" i="3" s="1"/>
  <c r="O35" i="3"/>
  <c r="U35" i="3" s="1"/>
  <c r="O36" i="3"/>
  <c r="U36" i="3" s="1"/>
  <c r="O37" i="3"/>
  <c r="U37" i="3" s="1"/>
  <c r="O38" i="3"/>
  <c r="O39" i="3"/>
  <c r="O40" i="3"/>
  <c r="O41" i="3"/>
  <c r="O42" i="3"/>
  <c r="O43" i="3"/>
  <c r="U43" i="3" s="1"/>
  <c r="O44" i="3"/>
  <c r="U44" i="3" s="1"/>
  <c r="O45" i="3"/>
  <c r="U45" i="3" s="1"/>
  <c r="O46" i="3"/>
  <c r="O47" i="3"/>
  <c r="O48" i="3"/>
  <c r="U48" i="3" s="1"/>
  <c r="O49" i="3"/>
  <c r="U49" i="3" s="1"/>
  <c r="O50" i="3"/>
  <c r="U50" i="3" s="1"/>
  <c r="O51" i="3"/>
  <c r="U51" i="3" s="1"/>
  <c r="O52" i="3"/>
  <c r="U52" i="3" s="1"/>
  <c r="O53" i="3"/>
  <c r="U53" i="3" s="1"/>
  <c r="O54" i="3"/>
  <c r="O55" i="3"/>
  <c r="U55" i="3" s="1"/>
  <c r="O56" i="3"/>
  <c r="U56" i="3" s="1"/>
  <c r="O57" i="3"/>
  <c r="U57" i="3" s="1"/>
  <c r="O58" i="3"/>
  <c r="U58" i="3" s="1"/>
  <c r="O59" i="3"/>
  <c r="U59" i="3" s="1"/>
  <c r="O60" i="3"/>
  <c r="U60" i="3" s="1"/>
  <c r="O61" i="3"/>
  <c r="U61" i="3" s="1"/>
  <c r="O62" i="3"/>
  <c r="O63" i="3"/>
  <c r="O21" i="3"/>
  <c r="U21" i="3" s="1"/>
  <c r="O14" i="3"/>
  <c r="U14" i="3" s="1"/>
  <c r="O15" i="3"/>
  <c r="U15" i="3" s="1"/>
  <c r="O16" i="3"/>
  <c r="U16" i="3" s="1"/>
  <c r="O17" i="3"/>
  <c r="U17" i="3" s="1"/>
  <c r="O18" i="3"/>
  <c r="U18" i="3" s="1"/>
  <c r="O19" i="3"/>
  <c r="O20" i="3"/>
  <c r="O9" i="3"/>
  <c r="U10" i="3"/>
  <c r="O11" i="3"/>
  <c r="U11" i="3" s="1"/>
  <c r="O12" i="3"/>
  <c r="U12" i="3" s="1"/>
  <c r="O13" i="3"/>
  <c r="U13" i="3" s="1"/>
  <c r="O8" i="3"/>
  <c r="U8" i="3" s="1"/>
  <c r="O5" i="3"/>
  <c r="O6" i="3"/>
  <c r="O7" i="3"/>
  <c r="O4" i="3"/>
  <c r="U4" i="3" s="1"/>
  <c r="U5" i="3"/>
  <c r="U6" i="3"/>
  <c r="U7" i="3"/>
  <c r="U9" i="3"/>
  <c r="U19" i="3"/>
  <c r="U20" i="3"/>
  <c r="U22" i="3"/>
  <c r="U23" i="3"/>
  <c r="U24" i="3"/>
  <c r="U25" i="3"/>
  <c r="U26" i="3"/>
  <c r="U30" i="3"/>
  <c r="U38" i="3"/>
  <c r="U39" i="3"/>
  <c r="U40" i="3"/>
  <c r="U41" i="3"/>
  <c r="U42" i="3"/>
  <c r="U46" i="3"/>
  <c r="U47" i="3"/>
  <c r="U54" i="3"/>
  <c r="U62" i="3"/>
  <c r="U63" i="3"/>
  <c r="Z24" i="28"/>
  <c r="AB24" i="28" s="1"/>
  <c r="Z25" i="28"/>
  <c r="AB25" i="28" s="1"/>
  <c r="Z26" i="28"/>
  <c r="AB26" i="28"/>
  <c r="Z27" i="28"/>
  <c r="AB27" i="28"/>
  <c r="Z28" i="28"/>
  <c r="AB28" i="28" s="1"/>
  <c r="Z29" i="28"/>
  <c r="AB29" i="28" s="1"/>
  <c r="Z30" i="28"/>
  <c r="AB30" i="28" s="1"/>
  <c r="Z31" i="28"/>
  <c r="AB31" i="28"/>
  <c r="Z32" i="28"/>
  <c r="AB32" i="28" s="1"/>
  <c r="Z33" i="28"/>
  <c r="AB33" i="28" s="1"/>
  <c r="Z34" i="28"/>
  <c r="AB34" i="28" s="1"/>
  <c r="Z35" i="28"/>
  <c r="AB35" i="28"/>
  <c r="Z36" i="28"/>
  <c r="AB36" i="28" s="1"/>
  <c r="Z37" i="28"/>
  <c r="AB37" i="28" s="1"/>
  <c r="Z38" i="28"/>
  <c r="AB38" i="28" s="1"/>
  <c r="Z39" i="28"/>
  <c r="AB39" i="28"/>
  <c r="Z40" i="28"/>
  <c r="AB40" i="28" s="1"/>
  <c r="Z41" i="28"/>
  <c r="AB41" i="28"/>
  <c r="Z42" i="28"/>
  <c r="AB42" i="28" s="1"/>
  <c r="Z43" i="28"/>
  <c r="AB43" i="28"/>
  <c r="Z44" i="28"/>
  <c r="AB44" i="28" s="1"/>
  <c r="Z45" i="28"/>
  <c r="AB45" i="28"/>
  <c r="Z46" i="28"/>
  <c r="AB46" i="28" s="1"/>
  <c r="Z47" i="28"/>
  <c r="AB47" i="28"/>
  <c r="Z48" i="28"/>
  <c r="AB48" i="28" s="1"/>
  <c r="Z49" i="28"/>
  <c r="AB49" i="28"/>
  <c r="Z50" i="28"/>
  <c r="AB50" i="28" s="1"/>
  <c r="Z51" i="28"/>
  <c r="AB51" i="28"/>
  <c r="Z52" i="28"/>
  <c r="AB52" i="28" s="1"/>
  <c r="Z53" i="28"/>
  <c r="AB53" i="28"/>
  <c r="Z54" i="28"/>
  <c r="AB54" i="28" s="1"/>
  <c r="Z55" i="28"/>
  <c r="AB55" i="28"/>
  <c r="Z56" i="28"/>
  <c r="AB56" i="28" s="1"/>
  <c r="Z57" i="28"/>
  <c r="AB57" i="28"/>
  <c r="Z58" i="28"/>
  <c r="AB58" i="28" s="1"/>
  <c r="Z59" i="28"/>
  <c r="AB59" i="28"/>
  <c r="Z60" i="28"/>
  <c r="AB60" i="28" s="1"/>
  <c r="Z61" i="28"/>
  <c r="AB61" i="28"/>
  <c r="Z62" i="28"/>
  <c r="AB62" i="28" s="1"/>
  <c r="Z63" i="28"/>
  <c r="AB63" i="28"/>
  <c r="Z64" i="28"/>
  <c r="AB64" i="28" s="1"/>
  <c r="Z65" i="28"/>
  <c r="AB65" i="28"/>
  <c r="Z66" i="28"/>
  <c r="AB66" i="28" s="1"/>
  <c r="Z67" i="28"/>
  <c r="AB67" i="28"/>
  <c r="Z68" i="28"/>
  <c r="AB68" i="28" s="1"/>
  <c r="Z69" i="28"/>
  <c r="AB69" i="28"/>
  <c r="Z70" i="28"/>
  <c r="AB70" i="28" s="1"/>
  <c r="Z71" i="28"/>
  <c r="AB71" i="28"/>
  <c r="Z72" i="28"/>
  <c r="AB72" i="28" s="1"/>
  <c r="Z73" i="28"/>
  <c r="AB73" i="28"/>
  <c r="Z74" i="28"/>
  <c r="AB74" i="28" s="1"/>
  <c r="Z75" i="28"/>
  <c r="AB75" i="28"/>
  <c r="Z76" i="28"/>
  <c r="AB76" i="28" s="1"/>
  <c r="Z77" i="28"/>
  <c r="AB77" i="28"/>
  <c r="Z78" i="28"/>
  <c r="AB78" i="28" s="1"/>
  <c r="Z79" i="28"/>
  <c r="AB79" i="28"/>
  <c r="Z80" i="28"/>
  <c r="AB80" i="28" s="1"/>
  <c r="Z81" i="28"/>
  <c r="AB81" i="28"/>
  <c r="Z82" i="28"/>
  <c r="AB82" i="28" s="1"/>
  <c r="Z83" i="28"/>
  <c r="AB83" i="28"/>
  <c r="Z84" i="28"/>
  <c r="AB84" i="28" s="1"/>
  <c r="Z85" i="28"/>
  <c r="AB85" i="28"/>
  <c r="Z86" i="28"/>
  <c r="AB86" i="28" s="1"/>
  <c r="Z87" i="28"/>
  <c r="AB87" i="28"/>
  <c r="Z88" i="28"/>
  <c r="AB88" i="28" s="1"/>
  <c r="Z89" i="28"/>
  <c r="AB89" i="28"/>
  <c r="Z90" i="28"/>
  <c r="AB90" i="28" s="1"/>
  <c r="Z91" i="28"/>
  <c r="AB91" i="28"/>
  <c r="Z92" i="28"/>
  <c r="AB92" i="28" s="1"/>
  <c r="Z93" i="28"/>
  <c r="AB93" i="28"/>
  <c r="Z94" i="28"/>
  <c r="AB94" i="28" s="1"/>
  <c r="Z95" i="28"/>
  <c r="AB95" i="28"/>
  <c r="Z96" i="28"/>
  <c r="AB96" i="28" s="1"/>
  <c r="Z97" i="28"/>
  <c r="AB97" i="28"/>
  <c r="Z98" i="28"/>
  <c r="AB98" i="28" s="1"/>
  <c r="Z99" i="28"/>
  <c r="AB99" i="28"/>
  <c r="Z100" i="28"/>
  <c r="AB100" i="28" s="1"/>
  <c r="Z101" i="28"/>
  <c r="AB101" i="28"/>
  <c r="Z102" i="28"/>
  <c r="AB102" i="28" s="1"/>
  <c r="Z103" i="28"/>
  <c r="AB103" i="28"/>
  <c r="Z104" i="28"/>
  <c r="AB104" i="28" s="1"/>
  <c r="Z105" i="28"/>
  <c r="AB105" i="28"/>
  <c r="Z106" i="28"/>
  <c r="AB106" i="28" s="1"/>
  <c r="Z107" i="28"/>
  <c r="AB107" i="28"/>
  <c r="Z108" i="28"/>
  <c r="AB108" i="28" s="1"/>
  <c r="Z109" i="28"/>
  <c r="AB109" i="28"/>
  <c r="Z110" i="28"/>
  <c r="AB110" i="28" s="1"/>
  <c r="Z111" i="28"/>
  <c r="AB111" i="28"/>
  <c r="Z112" i="28"/>
  <c r="AB112" i="28" s="1"/>
  <c r="Z113" i="28"/>
  <c r="AB113" i="28"/>
  <c r="Z114" i="28"/>
  <c r="AB114" i="28" s="1"/>
  <c r="Z115" i="28"/>
  <c r="AB115" i="28"/>
  <c r="Z116" i="28"/>
  <c r="AB116" i="28" s="1"/>
  <c r="Z117" i="28"/>
  <c r="AB117" i="28"/>
  <c r="Z118" i="28"/>
  <c r="AB118" i="28" s="1"/>
  <c r="Z119" i="28"/>
  <c r="AB119" i="28"/>
  <c r="Z120" i="28"/>
  <c r="AB120" i="28" s="1"/>
  <c r="Z121" i="28"/>
  <c r="AB121" i="28"/>
  <c r="Z122" i="28"/>
  <c r="AB122" i="28" s="1"/>
  <c r="Z123" i="28"/>
  <c r="AB123" i="28"/>
  <c r="Z124" i="28"/>
  <c r="AB124" i="28" s="1"/>
  <c r="Z125" i="28"/>
  <c r="AB125" i="28" s="1"/>
  <c r="Z126" i="28"/>
  <c r="AB126" i="28" s="1"/>
  <c r="Z127" i="28"/>
  <c r="AB127" i="28"/>
  <c r="Z128" i="28"/>
  <c r="AB128" i="28" s="1"/>
  <c r="Z129" i="28"/>
  <c r="AB129" i="28" s="1"/>
  <c r="Z130" i="28"/>
  <c r="AB130" i="28" s="1"/>
  <c r="Z131" i="28"/>
  <c r="AB131" i="28"/>
  <c r="Z132" i="28"/>
  <c r="AB132" i="28" s="1"/>
  <c r="Z133" i="28"/>
  <c r="AB133" i="28" s="1"/>
  <c r="Z134" i="28"/>
  <c r="AB134" i="28" s="1"/>
  <c r="Z135" i="28"/>
  <c r="AB135" i="28"/>
  <c r="Z136" i="28"/>
  <c r="AB136" i="28" s="1"/>
  <c r="Z137" i="28"/>
  <c r="AB137" i="28" s="1"/>
  <c r="Z138" i="28"/>
  <c r="AB138" i="28" s="1"/>
  <c r="Z139" i="28"/>
  <c r="AB139" i="28"/>
  <c r="Z140" i="28"/>
  <c r="AB140" i="28" s="1"/>
  <c r="Z142" i="28"/>
  <c r="AB142" i="28" s="1"/>
  <c r="Z143" i="28"/>
  <c r="AB143" i="28"/>
  <c r="Z144" i="28"/>
  <c r="AB144" i="28"/>
  <c r="Z145" i="28"/>
  <c r="AB145" i="28"/>
  <c r="Z146" i="28"/>
  <c r="AB146" i="28" s="1"/>
  <c r="Z147" i="28"/>
  <c r="AB147" i="28"/>
  <c r="Z148" i="28"/>
  <c r="AB148" i="28"/>
  <c r="Z149" i="28"/>
  <c r="AB149" i="28"/>
  <c r="Z150" i="28"/>
  <c r="AB150" i="28" s="1"/>
  <c r="Z151" i="28"/>
  <c r="AB151" i="28"/>
  <c r="Z152" i="28"/>
  <c r="AB152" i="28"/>
  <c r="Z153" i="28"/>
  <c r="AB153" i="28"/>
  <c r="Z154" i="28"/>
  <c r="AB154" i="28" s="1"/>
  <c r="Z155" i="28"/>
  <c r="AB155" i="28"/>
  <c r="Z156" i="28"/>
  <c r="AB156" i="28"/>
  <c r="Z157" i="28"/>
  <c r="AB157" i="28"/>
  <c r="Z158" i="28"/>
  <c r="AB158" i="28" s="1"/>
  <c r="Z159" i="28"/>
  <c r="AB159" i="28"/>
  <c r="Z160" i="28"/>
  <c r="AB160" i="28"/>
  <c r="Z161" i="28"/>
  <c r="AB161" i="28"/>
  <c r="Z162" i="28"/>
  <c r="AB162" i="28" s="1"/>
  <c r="Z163" i="28"/>
  <c r="AB163" i="28"/>
  <c r="Z164" i="28"/>
  <c r="AB164" i="28"/>
  <c r="Z165" i="28"/>
  <c r="AB165" i="28"/>
  <c r="Z166" i="28"/>
  <c r="AB166" i="28" s="1"/>
  <c r="Z167" i="28"/>
  <c r="AB167" i="28"/>
  <c r="Z168" i="28"/>
  <c r="AB168" i="28"/>
  <c r="Z169" i="28"/>
  <c r="AB169" i="28"/>
  <c r="Z170" i="28"/>
  <c r="AB170" i="28" s="1"/>
  <c r="Z171" i="28"/>
  <c r="AB171" i="28"/>
  <c r="Z172" i="28"/>
  <c r="AB172" i="28"/>
  <c r="Z173" i="28"/>
  <c r="AB173" i="28"/>
  <c r="Z174" i="28"/>
  <c r="AB174" i="28" s="1"/>
  <c r="Z175" i="28"/>
  <c r="AB175" i="28"/>
  <c r="Z176" i="28"/>
  <c r="AB176" i="28"/>
  <c r="Z177" i="28"/>
  <c r="AB177" i="28"/>
  <c r="Z178" i="28"/>
  <c r="AB178" i="28" s="1"/>
  <c r="Z179" i="28"/>
  <c r="AB179" i="28"/>
  <c r="Z180" i="28"/>
  <c r="AB180" i="28"/>
  <c r="Z181" i="28"/>
  <c r="AB181" i="28"/>
  <c r="Z182" i="28"/>
  <c r="AB182" i="28" s="1"/>
  <c r="Z183" i="28"/>
  <c r="AB183" i="28"/>
  <c r="Z184" i="28"/>
  <c r="AB184" i="28"/>
  <c r="Z185" i="28"/>
  <c r="AB185" i="28"/>
  <c r="Z186" i="28"/>
  <c r="AB186" i="28" s="1"/>
  <c r="Z187" i="28"/>
  <c r="AB187" i="28"/>
  <c r="Z188" i="28"/>
  <c r="AB188" i="28"/>
  <c r="Z189" i="28"/>
  <c r="AB189" i="28"/>
  <c r="Z190" i="28"/>
  <c r="AB190" i="28"/>
  <c r="Z191" i="28"/>
  <c r="AB191" i="28"/>
  <c r="Z192" i="28"/>
  <c r="AB192" i="28"/>
  <c r="Z193" i="28"/>
  <c r="AB193" i="28"/>
  <c r="Z194" i="28"/>
  <c r="AB194" i="28"/>
  <c r="Z195" i="28"/>
  <c r="AB195" i="28"/>
  <c r="Z196" i="28"/>
  <c r="AB196" i="28"/>
  <c r="Z197" i="28"/>
  <c r="AB197" i="28"/>
  <c r="Z198" i="28"/>
  <c r="AB198" i="28"/>
  <c r="Z199" i="28"/>
  <c r="AB199" i="28"/>
  <c r="Z200" i="28"/>
  <c r="AB200" i="28"/>
  <c r="Z201" i="28"/>
  <c r="AB201" i="28"/>
  <c r="Z202" i="28"/>
  <c r="AB202" i="28"/>
  <c r="Z203" i="28"/>
  <c r="AB203" i="28"/>
  <c r="Z204" i="28"/>
  <c r="AB204" i="28"/>
  <c r="Z205" i="28"/>
  <c r="AB205" i="28"/>
  <c r="Z206" i="28"/>
  <c r="AB206" i="28"/>
  <c r="Z207" i="28"/>
  <c r="AB207" i="28"/>
  <c r="Z208" i="28"/>
  <c r="AB208" i="28"/>
  <c r="Z209" i="28"/>
  <c r="AB209" i="28"/>
  <c r="Z6" i="28"/>
  <c r="AB6" i="28"/>
  <c r="Z7" i="28"/>
  <c r="AB7" i="28"/>
  <c r="Z8" i="28"/>
  <c r="AB8" i="28"/>
  <c r="Z9" i="28"/>
  <c r="AB9" i="28"/>
  <c r="Z10" i="28"/>
  <c r="AB10" i="28" s="1"/>
  <c r="Z11" i="28"/>
  <c r="AB11" i="28"/>
  <c r="Z12" i="28"/>
  <c r="AB12" i="28"/>
  <c r="Z13" i="28"/>
  <c r="AB13" i="28"/>
  <c r="Z14" i="28"/>
  <c r="AB14" i="28" s="1"/>
  <c r="Z15" i="28"/>
  <c r="AB15" i="28"/>
  <c r="Z16" i="28"/>
  <c r="AB16" i="28"/>
  <c r="Z17" i="28"/>
  <c r="AB17" i="28"/>
  <c r="Z18" i="28"/>
  <c r="AB18" i="28" s="1"/>
  <c r="Z19" i="28"/>
  <c r="AB19" i="28"/>
  <c r="Z20" i="28"/>
  <c r="AB20" i="28"/>
  <c r="Z21" i="28"/>
  <c r="AB21" i="28"/>
  <c r="Z22" i="28"/>
  <c r="AB22" i="28" s="1"/>
  <c r="Z23" i="28"/>
  <c r="AB23" i="28"/>
  <c r="Z5" i="28"/>
  <c r="AB5" i="28"/>
  <c r="Z4" i="28"/>
  <c r="Y16" i="28"/>
  <c r="AA16" i="28" s="1"/>
  <c r="Y17" i="28"/>
  <c r="AA17" i="28"/>
  <c r="Y18" i="28"/>
  <c r="AA18" i="28"/>
  <c r="Y19" i="28"/>
  <c r="AA19" i="28"/>
  <c r="Y20" i="28"/>
  <c r="AA20" i="28" s="1"/>
  <c r="Y21" i="28"/>
  <c r="AA21" i="28"/>
  <c r="Y22" i="28"/>
  <c r="AA22" i="28"/>
  <c r="Y23" i="28"/>
  <c r="AA23" i="28"/>
  <c r="Y24" i="28"/>
  <c r="AA24" i="28" s="1"/>
  <c r="Y25" i="28"/>
  <c r="AA25" i="28"/>
  <c r="Y26" i="28"/>
  <c r="AA26" i="28"/>
  <c r="Y27" i="28"/>
  <c r="AA27" i="28"/>
  <c r="Y28" i="28"/>
  <c r="AA28" i="28" s="1"/>
  <c r="Y29" i="28"/>
  <c r="AA29" i="28"/>
  <c r="Y30" i="28"/>
  <c r="AA30" i="28"/>
  <c r="Y31" i="28"/>
  <c r="AA31" i="28"/>
  <c r="Y32" i="28"/>
  <c r="AA32" i="28" s="1"/>
  <c r="Y33" i="28"/>
  <c r="AA33" i="28"/>
  <c r="Y34" i="28"/>
  <c r="AA34" i="28"/>
  <c r="Y35" i="28"/>
  <c r="AA35" i="28"/>
  <c r="Y36" i="28"/>
  <c r="AA36" i="28" s="1"/>
  <c r="Y37" i="28"/>
  <c r="AA37" i="28"/>
  <c r="Y38" i="28"/>
  <c r="AA38" i="28"/>
  <c r="Y39" i="28"/>
  <c r="AA39" i="28"/>
  <c r="Y40" i="28"/>
  <c r="AA40" i="28" s="1"/>
  <c r="Y41" i="28"/>
  <c r="AA41" i="28"/>
  <c r="Y42" i="28"/>
  <c r="AA42" i="28"/>
  <c r="Y43" i="28"/>
  <c r="AA43" i="28"/>
  <c r="Y44" i="28"/>
  <c r="AA44" i="28" s="1"/>
  <c r="Y45" i="28"/>
  <c r="AA45" i="28"/>
  <c r="Y46" i="28"/>
  <c r="AA46" i="28"/>
  <c r="Y47" i="28"/>
  <c r="AA47" i="28"/>
  <c r="Y48" i="28"/>
  <c r="AA48" i="28" s="1"/>
  <c r="Y49" i="28"/>
  <c r="AA49" i="28"/>
  <c r="Y50" i="28"/>
  <c r="AA50" i="28"/>
  <c r="Y51" i="28"/>
  <c r="AA51" i="28"/>
  <c r="Y52" i="28"/>
  <c r="AA52" i="28" s="1"/>
  <c r="Y53" i="28"/>
  <c r="AA53" i="28"/>
  <c r="Y54" i="28"/>
  <c r="AA54" i="28"/>
  <c r="Y55" i="28"/>
  <c r="AA55" i="28"/>
  <c r="Y56" i="28"/>
  <c r="AA56" i="28" s="1"/>
  <c r="Y57" i="28"/>
  <c r="AA57" i="28"/>
  <c r="Y58" i="28"/>
  <c r="AA58" i="28"/>
  <c r="Y59" i="28"/>
  <c r="AA59" i="28"/>
  <c r="Y60" i="28"/>
  <c r="AA60" i="28" s="1"/>
  <c r="Y61" i="28"/>
  <c r="AA61" i="28"/>
  <c r="Y62" i="28"/>
  <c r="AA62" i="28"/>
  <c r="Y63" i="28"/>
  <c r="AA63" i="28"/>
  <c r="Y64" i="28"/>
  <c r="AA64" i="28" s="1"/>
  <c r="Y65" i="28"/>
  <c r="AA65" i="28"/>
  <c r="Y66" i="28"/>
  <c r="AA66" i="28"/>
  <c r="Y67" i="28"/>
  <c r="AA67" i="28"/>
  <c r="Y68" i="28"/>
  <c r="AA68" i="28" s="1"/>
  <c r="Y69" i="28"/>
  <c r="AA69" i="28"/>
  <c r="Y70" i="28"/>
  <c r="AA70" i="28"/>
  <c r="Y71" i="28"/>
  <c r="AA71" i="28"/>
  <c r="Y72" i="28"/>
  <c r="AA72" i="28" s="1"/>
  <c r="Y73" i="28"/>
  <c r="AA73" i="28"/>
  <c r="Y74" i="28"/>
  <c r="AA74" i="28"/>
  <c r="Y75" i="28"/>
  <c r="AA75" i="28"/>
  <c r="Y76" i="28"/>
  <c r="AA76" i="28" s="1"/>
  <c r="Y77" i="28"/>
  <c r="AA77" i="28"/>
  <c r="Y78" i="28"/>
  <c r="AA78" i="28"/>
  <c r="Y79" i="28"/>
  <c r="AA79" i="28"/>
  <c r="Y80" i="28"/>
  <c r="AA80" i="28" s="1"/>
  <c r="Y81" i="28"/>
  <c r="AA81" i="28"/>
  <c r="Y82" i="28"/>
  <c r="AA82" i="28"/>
  <c r="Y83" i="28"/>
  <c r="AA83" i="28"/>
  <c r="Y84" i="28"/>
  <c r="AA84" i="28" s="1"/>
  <c r="Y85" i="28"/>
  <c r="AA85" i="28"/>
  <c r="Y86" i="28"/>
  <c r="AA86" i="28"/>
  <c r="Y87" i="28"/>
  <c r="AA87" i="28"/>
  <c r="Y88" i="28"/>
  <c r="AA88" i="28" s="1"/>
  <c r="Y89" i="28"/>
  <c r="AA89" i="28"/>
  <c r="Y90" i="28"/>
  <c r="AA90" i="28"/>
  <c r="Y91" i="28"/>
  <c r="AA91" i="28"/>
  <c r="Y92" i="28"/>
  <c r="AA92" i="28" s="1"/>
  <c r="Y93" i="28"/>
  <c r="AA93" i="28"/>
  <c r="Y94" i="28"/>
  <c r="AA94" i="28"/>
  <c r="Y95" i="28"/>
  <c r="AA95" i="28"/>
  <c r="Y96" i="28"/>
  <c r="AA96" i="28" s="1"/>
  <c r="Y97" i="28"/>
  <c r="AA97" i="28"/>
  <c r="Y98" i="28"/>
  <c r="AA98" i="28"/>
  <c r="Y99" i="28"/>
  <c r="AA99" i="28"/>
  <c r="Y100" i="28"/>
  <c r="AA100" i="28" s="1"/>
  <c r="Y101" i="28"/>
  <c r="AA101" i="28"/>
  <c r="Y102" i="28"/>
  <c r="AA102" i="28"/>
  <c r="Y103" i="28"/>
  <c r="AA103" i="28"/>
  <c r="Y104" i="28"/>
  <c r="AA104" i="28" s="1"/>
  <c r="Y105" i="28"/>
  <c r="AA105" i="28"/>
  <c r="Y106" i="28"/>
  <c r="AA106" i="28"/>
  <c r="Y107" i="28"/>
  <c r="AA107" i="28"/>
  <c r="Y108" i="28"/>
  <c r="AA108" i="28" s="1"/>
  <c r="Y109" i="28"/>
  <c r="AA109" i="28"/>
  <c r="Y110" i="28"/>
  <c r="AA110" i="28"/>
  <c r="Y111" i="28"/>
  <c r="AA111" i="28"/>
  <c r="Y112" i="28"/>
  <c r="AA112" i="28" s="1"/>
  <c r="Y113" i="28"/>
  <c r="AA113" i="28"/>
  <c r="Y114" i="28"/>
  <c r="AA114" i="28"/>
  <c r="Y115" i="28"/>
  <c r="AA115" i="28"/>
  <c r="Y116" i="28"/>
  <c r="AA116" i="28" s="1"/>
  <c r="Y117" i="28"/>
  <c r="AA117" i="28"/>
  <c r="Y118" i="28"/>
  <c r="AA118" i="28"/>
  <c r="Y119" i="28"/>
  <c r="AA119" i="28"/>
  <c r="Y120" i="28"/>
  <c r="AA120" i="28" s="1"/>
  <c r="Y121" i="28"/>
  <c r="AA121" i="28"/>
  <c r="Y122" i="28"/>
  <c r="AA122" i="28"/>
  <c r="Y123" i="28"/>
  <c r="AA123" i="28"/>
  <c r="Y124" i="28"/>
  <c r="AA124" i="28" s="1"/>
  <c r="Y125" i="28"/>
  <c r="AA125" i="28"/>
  <c r="Y126" i="28"/>
  <c r="AA126" i="28"/>
  <c r="Y127" i="28"/>
  <c r="AA127" i="28"/>
  <c r="Y128" i="28"/>
  <c r="AA128" i="28" s="1"/>
  <c r="Y129" i="28"/>
  <c r="AA129" i="28"/>
  <c r="Y130" i="28"/>
  <c r="AA130" i="28"/>
  <c r="Y131" i="28"/>
  <c r="AA131" i="28"/>
  <c r="Y132" i="28"/>
  <c r="AA132" i="28" s="1"/>
  <c r="Y133" i="28"/>
  <c r="AA133" i="28"/>
  <c r="Y134" i="28"/>
  <c r="AA134" i="28"/>
  <c r="Y135" i="28"/>
  <c r="AA135" i="28"/>
  <c r="Y136" i="28"/>
  <c r="AA136" i="28" s="1"/>
  <c r="Y137" i="28"/>
  <c r="AA137" i="28"/>
  <c r="Y138" i="28"/>
  <c r="AA138" i="28"/>
  <c r="Y139" i="28"/>
  <c r="AA139" i="28"/>
  <c r="Y140" i="28"/>
  <c r="AA140" i="28" s="1"/>
  <c r="Y142" i="28"/>
  <c r="AA142" i="28"/>
  <c r="Y143" i="28"/>
  <c r="AA143" i="28" s="1"/>
  <c r="Y144" i="28"/>
  <c r="AA144" i="28" s="1"/>
  <c r="Y145" i="28"/>
  <c r="AA145" i="28"/>
  <c r="Y146" i="28"/>
  <c r="AA146" i="28"/>
  <c r="Y147" i="28"/>
  <c r="AA147" i="28" s="1"/>
  <c r="Y148" i="28"/>
  <c r="AA148" i="28" s="1"/>
  <c r="Y149" i="28"/>
  <c r="AA149" i="28"/>
  <c r="Y150" i="28"/>
  <c r="AA150" i="28"/>
  <c r="Y151" i="28"/>
  <c r="AA151" i="28" s="1"/>
  <c r="Y152" i="28"/>
  <c r="AA152" i="28" s="1"/>
  <c r="Y153" i="28"/>
  <c r="AA153" i="28"/>
  <c r="Y154" i="28"/>
  <c r="AA154" i="28"/>
  <c r="Y155" i="28"/>
  <c r="AA155" i="28" s="1"/>
  <c r="Y156" i="28"/>
  <c r="AA156" i="28" s="1"/>
  <c r="Y157" i="28"/>
  <c r="AA157" i="28"/>
  <c r="Y158" i="28"/>
  <c r="AA158" i="28"/>
  <c r="Y159" i="28"/>
  <c r="AA159" i="28" s="1"/>
  <c r="Y160" i="28"/>
  <c r="AA160" i="28" s="1"/>
  <c r="Y161" i="28"/>
  <c r="AA161" i="28"/>
  <c r="Y162" i="28"/>
  <c r="AA162" i="28"/>
  <c r="Y163" i="28"/>
  <c r="AA163" i="28" s="1"/>
  <c r="Y164" i="28"/>
  <c r="AA164" i="28" s="1"/>
  <c r="Y165" i="28"/>
  <c r="AA165" i="28"/>
  <c r="Y166" i="28"/>
  <c r="AA166" i="28"/>
  <c r="Y167" i="28"/>
  <c r="AA167" i="28" s="1"/>
  <c r="Y168" i="28"/>
  <c r="AA168" i="28" s="1"/>
  <c r="Y169" i="28"/>
  <c r="AA169" i="28"/>
  <c r="Y170" i="28"/>
  <c r="AA170" i="28"/>
  <c r="Y171" i="28"/>
  <c r="AA171" i="28" s="1"/>
  <c r="Y172" i="28"/>
  <c r="AA172" i="28" s="1"/>
  <c r="Y173" i="28"/>
  <c r="AA173" i="28"/>
  <c r="Y174" i="28"/>
  <c r="AA174" i="28"/>
  <c r="Y175" i="28"/>
  <c r="AA175" i="28" s="1"/>
  <c r="Y176" i="28"/>
  <c r="AA176" i="28" s="1"/>
  <c r="Y177" i="28"/>
  <c r="AA177" i="28"/>
  <c r="Y178" i="28"/>
  <c r="AA178" i="28"/>
  <c r="Y179" i="28"/>
  <c r="AA179" i="28" s="1"/>
  <c r="Y180" i="28"/>
  <c r="AA180" i="28" s="1"/>
  <c r="Y181" i="28"/>
  <c r="AA181" i="28"/>
  <c r="Y182" i="28"/>
  <c r="AA182" i="28"/>
  <c r="Y183" i="28"/>
  <c r="AA183" i="28" s="1"/>
  <c r="Y184" i="28"/>
  <c r="AA184" i="28" s="1"/>
  <c r="Y185" i="28"/>
  <c r="AA185" i="28"/>
  <c r="Y186" i="28"/>
  <c r="AA186" i="28"/>
  <c r="Y187" i="28"/>
  <c r="AA187" i="28" s="1"/>
  <c r="Y188" i="28"/>
  <c r="AA188" i="28" s="1"/>
  <c r="Y189" i="28"/>
  <c r="AA189" i="28"/>
  <c r="Y190" i="28"/>
  <c r="AA190" i="28"/>
  <c r="Y191" i="28"/>
  <c r="AA191" i="28" s="1"/>
  <c r="Y192" i="28"/>
  <c r="AA192" i="28" s="1"/>
  <c r="Y193" i="28"/>
  <c r="AA193" i="28"/>
  <c r="Y194" i="28"/>
  <c r="AA194" i="28"/>
  <c r="Y195" i="28"/>
  <c r="AA195" i="28" s="1"/>
  <c r="Y196" i="28"/>
  <c r="AA196" i="28" s="1"/>
  <c r="Y197" i="28"/>
  <c r="AA197" i="28"/>
  <c r="Y198" i="28"/>
  <c r="AA198" i="28"/>
  <c r="Y199" i="28"/>
  <c r="AA199" i="28" s="1"/>
  <c r="Y200" i="28"/>
  <c r="AA200" i="28" s="1"/>
  <c r="Y201" i="28"/>
  <c r="AA201" i="28"/>
  <c r="Y202" i="28"/>
  <c r="AA202" i="28"/>
  <c r="Y203" i="28"/>
  <c r="AA203" i="28" s="1"/>
  <c r="Y204" i="28"/>
  <c r="AA204" i="28" s="1"/>
  <c r="Y205" i="28"/>
  <c r="AA205" i="28"/>
  <c r="Y206" i="28"/>
  <c r="AA206" i="28"/>
  <c r="Y207" i="28"/>
  <c r="AA207" i="28" s="1"/>
  <c r="Y208" i="28"/>
  <c r="AA208" i="28" s="1"/>
  <c r="Y209" i="28"/>
  <c r="AA209" i="28"/>
  <c r="Y5" i="28"/>
  <c r="AA5" i="28"/>
  <c r="Y6" i="28"/>
  <c r="AA6" i="28" s="1"/>
  <c r="Y7" i="28"/>
  <c r="AA7" i="28" s="1"/>
  <c r="Y8" i="28"/>
  <c r="AA8" i="28"/>
  <c r="Y9" i="28"/>
  <c r="AA9" i="28"/>
  <c r="Y10" i="28"/>
  <c r="AA10" i="28" s="1"/>
  <c r="Y11" i="28"/>
  <c r="AA11" i="28" s="1"/>
  <c r="Y12" i="28"/>
  <c r="AA12" i="28"/>
  <c r="Y13" i="28"/>
  <c r="AA13" i="28"/>
  <c r="Y14" i="28"/>
  <c r="AA14" i="28" s="1"/>
  <c r="Y15" i="28"/>
  <c r="AA15" i="28" s="1"/>
  <c r="Y4" i="28"/>
  <c r="V172" i="28"/>
  <c r="W172" i="28"/>
  <c r="X172" i="28"/>
  <c r="O64" i="28"/>
  <c r="P64" i="28"/>
  <c r="Q64" i="28"/>
  <c r="R64" i="28"/>
  <c r="S64" i="28"/>
  <c r="T64" i="28"/>
  <c r="O65" i="28"/>
  <c r="R65" i="28" s="1"/>
  <c r="P65" i="28"/>
  <c r="Q65" i="28"/>
  <c r="S65" i="28"/>
  <c r="T65" i="28"/>
  <c r="O66" i="28"/>
  <c r="P66" i="28"/>
  <c r="S66" i="28" s="1"/>
  <c r="Q66" i="28"/>
  <c r="T66" i="28" s="1"/>
  <c r="R66" i="28"/>
  <c r="O67" i="28"/>
  <c r="P67" i="28"/>
  <c r="Q67" i="28"/>
  <c r="R67" i="28"/>
  <c r="S67" i="28"/>
  <c r="T67" i="28"/>
  <c r="O68" i="28"/>
  <c r="P68" i="28"/>
  <c r="S68" i="28" s="1"/>
  <c r="Q68" i="28"/>
  <c r="R68" i="28"/>
  <c r="T68" i="28"/>
  <c r="O69" i="28"/>
  <c r="R69" i="28" s="1"/>
  <c r="P69" i="28"/>
  <c r="S69" i="28" s="1"/>
  <c r="Q69" i="28"/>
  <c r="T69" i="28"/>
  <c r="O70" i="28"/>
  <c r="P70" i="28"/>
  <c r="Q70" i="28"/>
  <c r="R70" i="28"/>
  <c r="S70" i="28"/>
  <c r="T70" i="28"/>
  <c r="O71" i="28"/>
  <c r="P71" i="28"/>
  <c r="Q71" i="28"/>
  <c r="R71" i="28"/>
  <c r="S71" i="28"/>
  <c r="T71" i="28"/>
  <c r="O72" i="28"/>
  <c r="P72" i="28"/>
  <c r="S72" i="28" s="1"/>
  <c r="Q72" i="28"/>
  <c r="R72" i="28"/>
  <c r="T72" i="28"/>
  <c r="O73" i="28"/>
  <c r="R73" i="28" s="1"/>
  <c r="P73" i="28"/>
  <c r="S73" i="28" s="1"/>
  <c r="Q73" i="28"/>
  <c r="T73" i="28"/>
  <c r="O74" i="28"/>
  <c r="P74" i="28"/>
  <c r="S74" i="28" s="1"/>
  <c r="Q74" i="28"/>
  <c r="T74" i="28" s="1"/>
  <c r="R74" i="28"/>
  <c r="O75" i="28"/>
  <c r="P75" i="28"/>
  <c r="Q75" i="28"/>
  <c r="R75" i="28"/>
  <c r="S75" i="28"/>
  <c r="T75" i="28"/>
  <c r="O76" i="28"/>
  <c r="P76" i="28"/>
  <c r="S76" i="28" s="1"/>
  <c r="Q76" i="28"/>
  <c r="R76" i="28"/>
  <c r="T76" i="28"/>
  <c r="O77" i="28"/>
  <c r="R77" i="28" s="1"/>
  <c r="P77" i="28"/>
  <c r="S77" i="28" s="1"/>
  <c r="Q77" i="28"/>
  <c r="T77" i="28"/>
  <c r="O78" i="28"/>
  <c r="P78" i="28"/>
  <c r="S78" i="28" s="1"/>
  <c r="Q78" i="28"/>
  <c r="T78" i="28" s="1"/>
  <c r="R78" i="28"/>
  <c r="O79" i="28"/>
  <c r="P79" i="28"/>
  <c r="Q79" i="28"/>
  <c r="R79" i="28"/>
  <c r="S79" i="28"/>
  <c r="T79" i="28"/>
  <c r="O80" i="28"/>
  <c r="P80" i="28"/>
  <c r="S80" i="28" s="1"/>
  <c r="Q80" i="28"/>
  <c r="R80" i="28"/>
  <c r="T80" i="28"/>
  <c r="O81" i="28"/>
  <c r="R81" i="28" s="1"/>
  <c r="P81" i="28"/>
  <c r="S81" i="28" s="1"/>
  <c r="Q81" i="28"/>
  <c r="T81" i="28"/>
  <c r="O82" i="28"/>
  <c r="P82" i="28"/>
  <c r="S82" i="28" s="1"/>
  <c r="Q82" i="28"/>
  <c r="R82" i="28"/>
  <c r="T82" i="28"/>
  <c r="O83" i="28"/>
  <c r="P83" i="28"/>
  <c r="Q83" i="28"/>
  <c r="R83" i="28"/>
  <c r="S83" i="28"/>
  <c r="T83" i="28"/>
  <c r="O84" i="28"/>
  <c r="P84" i="28"/>
  <c r="S84" i="28" s="1"/>
  <c r="Q84" i="28"/>
  <c r="R84" i="28"/>
  <c r="T84" i="28"/>
  <c r="O85" i="28"/>
  <c r="R85" i="28" s="1"/>
  <c r="P85" i="28"/>
  <c r="S85" i="28" s="1"/>
  <c r="Q85" i="28"/>
  <c r="T85" i="28"/>
  <c r="O86" i="28"/>
  <c r="P86" i="28"/>
  <c r="S86" i="28" s="1"/>
  <c r="Q86" i="28"/>
  <c r="R86" i="28"/>
  <c r="T86" i="28"/>
  <c r="O87" i="28"/>
  <c r="P87" i="28"/>
  <c r="Q87" i="28"/>
  <c r="R87" i="28"/>
  <c r="S87" i="28"/>
  <c r="T87" i="28"/>
  <c r="O88" i="28"/>
  <c r="P88" i="28"/>
  <c r="S88" i="28" s="1"/>
  <c r="Q88" i="28"/>
  <c r="R88" i="28"/>
  <c r="T88" i="28"/>
  <c r="O89" i="28"/>
  <c r="P89" i="28"/>
  <c r="S89" i="28" s="1"/>
  <c r="Q89" i="28"/>
  <c r="R89" i="28"/>
  <c r="T89" i="28"/>
  <c r="O90" i="28"/>
  <c r="P90" i="28"/>
  <c r="S90" i="28" s="1"/>
  <c r="Q90" i="28"/>
  <c r="R90" i="28"/>
  <c r="T90" i="28"/>
  <c r="O91" i="28"/>
  <c r="P91" i="28"/>
  <c r="Q91" i="28"/>
  <c r="R91" i="28"/>
  <c r="S91" i="28"/>
  <c r="T91" i="28"/>
  <c r="O92" i="28"/>
  <c r="P92" i="28"/>
  <c r="S92" i="28" s="1"/>
  <c r="Q92" i="28"/>
  <c r="R92" i="28"/>
  <c r="T92" i="28"/>
  <c r="O93" i="28"/>
  <c r="R93" i="28" s="1"/>
  <c r="P93" i="28"/>
  <c r="S93" i="28" s="1"/>
  <c r="Q93" i="28"/>
  <c r="T93" i="28"/>
  <c r="O94" i="28"/>
  <c r="P94" i="28"/>
  <c r="Q94" i="28"/>
  <c r="R94" i="28"/>
  <c r="S94" i="28"/>
  <c r="T94" i="28"/>
  <c r="O95" i="28"/>
  <c r="P95" i="28"/>
  <c r="Q95" i="28"/>
  <c r="R95" i="28"/>
  <c r="S95" i="28"/>
  <c r="T95" i="28"/>
  <c r="O96" i="28"/>
  <c r="P96" i="28"/>
  <c r="S96" i="28" s="1"/>
  <c r="Q96" i="28"/>
  <c r="R96" i="28"/>
  <c r="T96" i="28"/>
  <c r="O97" i="28"/>
  <c r="R97" i="28" s="1"/>
  <c r="P97" i="28"/>
  <c r="S97" i="28" s="1"/>
  <c r="Q97" i="28"/>
  <c r="T97" i="28"/>
  <c r="O98" i="28"/>
  <c r="P98" i="28"/>
  <c r="Q98" i="28"/>
  <c r="R98" i="28"/>
  <c r="S98" i="28"/>
  <c r="T98" i="28"/>
  <c r="O99" i="28"/>
  <c r="P99" i="28"/>
  <c r="Q99" i="28"/>
  <c r="R99" i="28"/>
  <c r="S99" i="28"/>
  <c r="T99" i="28"/>
  <c r="O100" i="28"/>
  <c r="P100" i="28"/>
  <c r="Q100" i="28"/>
  <c r="R100" i="28"/>
  <c r="S100" i="28"/>
  <c r="T100" i="28"/>
  <c r="O101" i="28"/>
  <c r="P101" i="28"/>
  <c r="Q101" i="28"/>
  <c r="R101" i="28"/>
  <c r="S101" i="28"/>
  <c r="T101" i="28"/>
  <c r="O102" i="28"/>
  <c r="P102" i="28"/>
  <c r="S102" i="28" s="1"/>
  <c r="Q102" i="28"/>
  <c r="R102" i="28"/>
  <c r="T102" i="28"/>
  <c r="O103" i="28"/>
  <c r="P103" i="28"/>
  <c r="Q103" i="28"/>
  <c r="R103" i="28"/>
  <c r="S103" i="28"/>
  <c r="T103" i="28"/>
  <c r="O104" i="28"/>
  <c r="P104" i="28"/>
  <c r="S104" i="28" s="1"/>
  <c r="Q104" i="28"/>
  <c r="R104" i="28"/>
  <c r="T104" i="28"/>
  <c r="O105" i="28"/>
  <c r="P105" i="28"/>
  <c r="S105" i="28" s="1"/>
  <c r="Q105" i="28"/>
  <c r="R105" i="28"/>
  <c r="T105" i="28"/>
  <c r="O106" i="28"/>
  <c r="P106" i="28"/>
  <c r="S106" i="28" s="1"/>
  <c r="Q106" i="28"/>
  <c r="T106" i="28" s="1"/>
  <c r="R106" i="28"/>
  <c r="O107" i="28"/>
  <c r="P107" i="28"/>
  <c r="Q107" i="28"/>
  <c r="R107" i="28"/>
  <c r="S107" i="28"/>
  <c r="T107" i="28"/>
  <c r="O108" i="28"/>
  <c r="P108" i="28"/>
  <c r="S108" i="28" s="1"/>
  <c r="Q108" i="28"/>
  <c r="R108" i="28"/>
  <c r="T108" i="28"/>
  <c r="O109" i="28"/>
  <c r="R109" i="28" s="1"/>
  <c r="P109" i="28"/>
  <c r="Q109" i="28"/>
  <c r="S109" i="28"/>
  <c r="T109" i="28"/>
  <c r="O110" i="28"/>
  <c r="P110" i="28"/>
  <c r="S110" i="28" s="1"/>
  <c r="Q110" i="28"/>
  <c r="T110" i="28" s="1"/>
  <c r="R110" i="28"/>
  <c r="O111" i="28"/>
  <c r="P111" i="28"/>
  <c r="Q111" i="28"/>
  <c r="R111" i="28"/>
  <c r="S111" i="28"/>
  <c r="T111" i="28"/>
  <c r="O112" i="28"/>
  <c r="P112" i="28"/>
  <c r="S112" i="28" s="1"/>
  <c r="Q112" i="28"/>
  <c r="R112" i="28"/>
  <c r="T112" i="28"/>
  <c r="O113" i="28"/>
  <c r="R113" i="28" s="1"/>
  <c r="P113" i="28"/>
  <c r="S113" i="28" s="1"/>
  <c r="Q113" i="28"/>
  <c r="T113" i="28"/>
  <c r="O114" i="28"/>
  <c r="P114" i="28"/>
  <c r="S114" i="28" s="1"/>
  <c r="Q114" i="28"/>
  <c r="R114" i="28"/>
  <c r="T114" i="28"/>
  <c r="O115" i="28"/>
  <c r="P115" i="28"/>
  <c r="Q115" i="28"/>
  <c r="R115" i="28"/>
  <c r="S115" i="28"/>
  <c r="T115" i="28"/>
  <c r="O116" i="28"/>
  <c r="P116" i="28"/>
  <c r="S116" i="28" s="1"/>
  <c r="Q116" i="28"/>
  <c r="R116" i="28"/>
  <c r="T116" i="28"/>
  <c r="O117" i="28"/>
  <c r="P117" i="28"/>
  <c r="S117" i="28" s="1"/>
  <c r="Q117" i="28"/>
  <c r="R117" i="28"/>
  <c r="T117" i="28"/>
  <c r="O118" i="28"/>
  <c r="P118" i="28"/>
  <c r="S118" i="28" s="1"/>
  <c r="Q118" i="28"/>
  <c r="R118" i="28"/>
  <c r="T118" i="28"/>
  <c r="O119" i="28"/>
  <c r="P119" i="28"/>
  <c r="S119" i="28" s="1"/>
  <c r="Q119" i="28"/>
  <c r="R119" i="28"/>
  <c r="T119" i="28"/>
  <c r="O120" i="28"/>
  <c r="P120" i="28"/>
  <c r="Q120" i="28"/>
  <c r="R120" i="28"/>
  <c r="S120" i="28"/>
  <c r="T120" i="28"/>
  <c r="O121" i="28"/>
  <c r="P121" i="28"/>
  <c r="Q121" i="28"/>
  <c r="R121" i="28"/>
  <c r="S121" i="28"/>
  <c r="T121" i="28"/>
  <c r="O122" i="28"/>
  <c r="R122" i="28" s="1"/>
  <c r="P122" i="28"/>
  <c r="Q122" i="28"/>
  <c r="S122" i="28"/>
  <c r="T122" i="28"/>
  <c r="O123" i="28"/>
  <c r="P123" i="28"/>
  <c r="Q123" i="28"/>
  <c r="R123" i="28"/>
  <c r="S123" i="28"/>
  <c r="T123" i="28"/>
  <c r="O124" i="28"/>
  <c r="P124" i="28"/>
  <c r="Q124" i="28"/>
  <c r="R124" i="28"/>
  <c r="S124" i="28"/>
  <c r="T124" i="28"/>
  <c r="O125" i="28"/>
  <c r="P125" i="28"/>
  <c r="Q125" i="28"/>
  <c r="R125" i="28"/>
  <c r="S125" i="28"/>
  <c r="T125" i="28"/>
  <c r="O126" i="28"/>
  <c r="R126" i="28" s="1"/>
  <c r="P126" i="28"/>
  <c r="S126" i="28" s="1"/>
  <c r="Q126" i="28"/>
  <c r="T126" i="28"/>
  <c r="O127" i="28"/>
  <c r="P127" i="28"/>
  <c r="S127" i="28" s="1"/>
  <c r="Q127" i="28"/>
  <c r="R127" i="28"/>
  <c r="T127" i="28"/>
  <c r="O128" i="28"/>
  <c r="P128" i="28"/>
  <c r="Q128" i="28"/>
  <c r="R128" i="28"/>
  <c r="S128" i="28"/>
  <c r="T128" i="28"/>
  <c r="O129" i="28"/>
  <c r="P129" i="28"/>
  <c r="Q129" i="28"/>
  <c r="R129" i="28"/>
  <c r="S129" i="28"/>
  <c r="T129" i="28"/>
  <c r="O130" i="28"/>
  <c r="R130" i="28" s="1"/>
  <c r="P130" i="28"/>
  <c r="Q130" i="28"/>
  <c r="S130" i="28"/>
  <c r="T130" i="28"/>
  <c r="O131" i="28"/>
  <c r="P131" i="28"/>
  <c r="S131" i="28" s="1"/>
  <c r="Q131" i="28"/>
  <c r="R131" i="28"/>
  <c r="T131" i="28"/>
  <c r="O132" i="28"/>
  <c r="P132" i="28"/>
  <c r="Q132" i="28"/>
  <c r="R132" i="28"/>
  <c r="S132" i="28"/>
  <c r="T132" i="28"/>
  <c r="O133" i="28"/>
  <c r="P133" i="28"/>
  <c r="Q133" i="28"/>
  <c r="R133" i="28"/>
  <c r="S133" i="28"/>
  <c r="T133" i="28"/>
  <c r="O134" i="28"/>
  <c r="R134" i="28" s="1"/>
  <c r="P134" i="28"/>
  <c r="Q134" i="28"/>
  <c r="S134" i="28"/>
  <c r="T134" i="28"/>
  <c r="O135" i="28"/>
  <c r="P135" i="28"/>
  <c r="Q135" i="28"/>
  <c r="T135" i="28" s="1"/>
  <c r="R135" i="28"/>
  <c r="S135" i="28"/>
  <c r="O136" i="28"/>
  <c r="P136" i="28"/>
  <c r="Q136" i="28"/>
  <c r="R136" i="28"/>
  <c r="S136" i="28"/>
  <c r="T136" i="28"/>
  <c r="O137" i="28"/>
  <c r="P137" i="28"/>
  <c r="Q137" i="28"/>
  <c r="R137" i="28"/>
  <c r="S137" i="28"/>
  <c r="T137" i="28"/>
  <c r="O138" i="28"/>
  <c r="R138" i="28" s="1"/>
  <c r="P138" i="28"/>
  <c r="S138" i="28" s="1"/>
  <c r="Q138" i="28"/>
  <c r="T138" i="28"/>
  <c r="O139" i="28"/>
  <c r="P139" i="28"/>
  <c r="S139" i="28" s="1"/>
  <c r="Q139" i="28"/>
  <c r="R139" i="28"/>
  <c r="T139" i="28"/>
  <c r="O140" i="28"/>
  <c r="P140" i="28"/>
  <c r="Q140" i="28"/>
  <c r="R140" i="28"/>
  <c r="S140" i="28"/>
  <c r="T140" i="28"/>
  <c r="O141" i="28"/>
  <c r="P141" i="28"/>
  <c r="Q141" i="28"/>
  <c r="R141" i="28"/>
  <c r="S141" i="28"/>
  <c r="T141" i="28"/>
  <c r="O142" i="28"/>
  <c r="R142" i="28" s="1"/>
  <c r="P142" i="28"/>
  <c r="S142" i="28" s="1"/>
  <c r="Q142" i="28"/>
  <c r="T142" i="28"/>
  <c r="O143" i="28"/>
  <c r="P143" i="28"/>
  <c r="Q143" i="28"/>
  <c r="T143" i="28" s="1"/>
  <c r="R143" i="28"/>
  <c r="S143" i="28"/>
  <c r="O144" i="28"/>
  <c r="P144" i="28"/>
  <c r="Q144" i="28"/>
  <c r="R144" i="28"/>
  <c r="S144" i="28"/>
  <c r="T144" i="28"/>
  <c r="O145" i="28"/>
  <c r="P145" i="28"/>
  <c r="Q145" i="28"/>
  <c r="R145" i="28"/>
  <c r="S145" i="28"/>
  <c r="T145" i="28"/>
  <c r="O146" i="28"/>
  <c r="R146" i="28" s="1"/>
  <c r="P146" i="28"/>
  <c r="S146" i="28" s="1"/>
  <c r="Q146" i="28"/>
  <c r="T146" i="28"/>
  <c r="O147" i="28"/>
  <c r="P147" i="28"/>
  <c r="S147" i="28" s="1"/>
  <c r="Q147" i="28"/>
  <c r="R147" i="28"/>
  <c r="T147" i="28"/>
  <c r="O148" i="28"/>
  <c r="P148" i="28"/>
  <c r="Q148" i="28"/>
  <c r="R148" i="28"/>
  <c r="S148" i="28"/>
  <c r="T148" i="28"/>
  <c r="O149" i="28"/>
  <c r="P149" i="28"/>
  <c r="Q149" i="28"/>
  <c r="R149" i="28"/>
  <c r="S149" i="28"/>
  <c r="T149" i="28"/>
  <c r="O150" i="28"/>
  <c r="R150" i="28" s="1"/>
  <c r="P150" i="28"/>
  <c r="S150" i="28" s="1"/>
  <c r="Q150" i="28"/>
  <c r="T150" i="28"/>
  <c r="O151" i="28"/>
  <c r="P151" i="28"/>
  <c r="S151" i="28" s="1"/>
  <c r="Q151" i="28"/>
  <c r="R151" i="28"/>
  <c r="T151" i="28"/>
  <c r="O152" i="28"/>
  <c r="P152" i="28"/>
  <c r="Q152" i="28"/>
  <c r="R152" i="28"/>
  <c r="S152" i="28"/>
  <c r="T152" i="28"/>
  <c r="O153" i="28"/>
  <c r="P153" i="28"/>
  <c r="Q153" i="28"/>
  <c r="R153" i="28"/>
  <c r="S153" i="28"/>
  <c r="T153" i="28"/>
  <c r="O154" i="28"/>
  <c r="R154" i="28" s="1"/>
  <c r="P154" i="28"/>
  <c r="S154" i="28" s="1"/>
  <c r="Q154" i="28"/>
  <c r="T154" i="28"/>
  <c r="O155" i="28"/>
  <c r="P155" i="28"/>
  <c r="S155" i="28" s="1"/>
  <c r="Q155" i="28"/>
  <c r="R155" i="28"/>
  <c r="T155" i="28"/>
  <c r="O156" i="28"/>
  <c r="P156" i="28"/>
  <c r="Q156" i="28"/>
  <c r="R156" i="28"/>
  <c r="S156" i="28"/>
  <c r="T156" i="28"/>
  <c r="O157" i="28"/>
  <c r="P157" i="28"/>
  <c r="Q157" i="28"/>
  <c r="R157" i="28"/>
  <c r="S157" i="28"/>
  <c r="T157" i="28"/>
  <c r="O158" i="28"/>
  <c r="R158" i="28" s="1"/>
  <c r="P158" i="28"/>
  <c r="S158" i="28" s="1"/>
  <c r="Q158" i="28"/>
  <c r="T158" i="28"/>
  <c r="O159" i="28"/>
  <c r="P159" i="28"/>
  <c r="S159" i="28" s="1"/>
  <c r="Q159" i="28"/>
  <c r="R159" i="28"/>
  <c r="T159" i="28"/>
  <c r="O160" i="28"/>
  <c r="P160" i="28"/>
  <c r="Q160" i="28"/>
  <c r="R160" i="28"/>
  <c r="S160" i="28"/>
  <c r="T160" i="28"/>
  <c r="O161" i="28"/>
  <c r="P161" i="28"/>
  <c r="Q161" i="28"/>
  <c r="R161" i="28"/>
  <c r="S161" i="28"/>
  <c r="T161" i="28"/>
  <c r="O162" i="28"/>
  <c r="R162" i="28" s="1"/>
  <c r="P162" i="28"/>
  <c r="S162" i="28" s="1"/>
  <c r="Q162" i="28"/>
  <c r="T162" i="28"/>
  <c r="O163" i="28"/>
  <c r="P163" i="28"/>
  <c r="S163" i="28" s="1"/>
  <c r="Q163" i="28"/>
  <c r="R163" i="28"/>
  <c r="T163" i="28"/>
  <c r="O164" i="28"/>
  <c r="P164" i="28"/>
  <c r="Q164" i="28"/>
  <c r="R164" i="28"/>
  <c r="S164" i="28"/>
  <c r="T164" i="28"/>
  <c r="O165" i="28"/>
  <c r="P165" i="28"/>
  <c r="Q165" i="28"/>
  <c r="R165" i="28"/>
  <c r="S165" i="28"/>
  <c r="T165" i="28"/>
  <c r="O166" i="28"/>
  <c r="R166" i="28" s="1"/>
  <c r="P166" i="28"/>
  <c r="S166" i="28" s="1"/>
  <c r="Q166" i="28"/>
  <c r="T166" i="28"/>
  <c r="O167" i="28"/>
  <c r="P167" i="28"/>
  <c r="S167" i="28" s="1"/>
  <c r="Q167" i="28"/>
  <c r="R167" i="28"/>
  <c r="T167" i="28"/>
  <c r="O168" i="28"/>
  <c r="P168" i="28"/>
  <c r="Q168" i="28"/>
  <c r="R168" i="28"/>
  <c r="S168" i="28"/>
  <c r="T168" i="28"/>
  <c r="O169" i="28"/>
  <c r="P169" i="28"/>
  <c r="Q169" i="28"/>
  <c r="R169" i="28"/>
  <c r="S169" i="28"/>
  <c r="T169" i="28"/>
  <c r="O170" i="28"/>
  <c r="R170" i="28" s="1"/>
  <c r="P170" i="28"/>
  <c r="S170" i="28" s="1"/>
  <c r="Q170" i="28"/>
  <c r="T170" i="28"/>
  <c r="O171" i="28"/>
  <c r="P171" i="28"/>
  <c r="S171" i="28" s="1"/>
  <c r="Q171" i="28"/>
  <c r="R171" i="28"/>
  <c r="T171" i="28"/>
  <c r="O172" i="28"/>
  <c r="P172" i="28"/>
  <c r="Q172" i="28"/>
  <c r="R172" i="28"/>
  <c r="S172" i="28"/>
  <c r="T172" i="28"/>
  <c r="O173" i="28"/>
  <c r="P173" i="28"/>
  <c r="Q173" i="28"/>
  <c r="R173" i="28"/>
  <c r="S173" i="28"/>
  <c r="T173" i="28"/>
  <c r="O174" i="28"/>
  <c r="R174" i="28" s="1"/>
  <c r="P174" i="28"/>
  <c r="Q174" i="28"/>
  <c r="S174" i="28"/>
  <c r="T174" i="28"/>
  <c r="O175" i="28"/>
  <c r="P175" i="28"/>
  <c r="Q175" i="28"/>
  <c r="R175" i="28"/>
  <c r="S175" i="28"/>
  <c r="T175" i="28"/>
  <c r="O176" i="28"/>
  <c r="P176" i="28"/>
  <c r="Q176" i="28"/>
  <c r="R176" i="28"/>
  <c r="S176" i="28"/>
  <c r="T176" i="28"/>
  <c r="O177" i="28"/>
  <c r="P177" i="28"/>
  <c r="Q177" i="28"/>
  <c r="R177" i="28"/>
  <c r="S177" i="28"/>
  <c r="T177" i="28"/>
  <c r="O178" i="28"/>
  <c r="R178" i="28" s="1"/>
  <c r="P178" i="28"/>
  <c r="Q178" i="28"/>
  <c r="S178" i="28"/>
  <c r="T178" i="28"/>
  <c r="O179" i="28"/>
  <c r="P179" i="28"/>
  <c r="Q179" i="28"/>
  <c r="R179" i="28"/>
  <c r="S179" i="28"/>
  <c r="T179" i="28"/>
  <c r="O180" i="28"/>
  <c r="P180" i="28"/>
  <c r="Q180" i="28"/>
  <c r="R180" i="28"/>
  <c r="S180" i="28"/>
  <c r="T180" i="28"/>
  <c r="O181" i="28"/>
  <c r="P181" i="28"/>
  <c r="Q181" i="28"/>
  <c r="R181" i="28"/>
  <c r="S181" i="28"/>
  <c r="T181" i="28"/>
  <c r="O182" i="28"/>
  <c r="R182" i="28" s="1"/>
  <c r="P182" i="28"/>
  <c r="S182" i="28" s="1"/>
  <c r="Q182" i="28"/>
  <c r="T182" i="28"/>
  <c r="O183" i="28"/>
  <c r="P183" i="28"/>
  <c r="Q183" i="28"/>
  <c r="R183" i="28"/>
  <c r="S183" i="28"/>
  <c r="T183" i="28"/>
  <c r="O184" i="28"/>
  <c r="P184" i="28"/>
  <c r="Q184" i="28"/>
  <c r="R184" i="28"/>
  <c r="S184" i="28"/>
  <c r="T184" i="28"/>
  <c r="O185" i="28"/>
  <c r="P185" i="28"/>
  <c r="Q185" i="28"/>
  <c r="R185" i="28"/>
  <c r="S185" i="28"/>
  <c r="T185" i="28"/>
  <c r="O186" i="28"/>
  <c r="R186" i="28" s="1"/>
  <c r="P186" i="28"/>
  <c r="Q186" i="28"/>
  <c r="S186" i="28"/>
  <c r="T186" i="28"/>
  <c r="O187" i="28"/>
  <c r="P187" i="28"/>
  <c r="Q187" i="28"/>
  <c r="R187" i="28"/>
  <c r="S187" i="28"/>
  <c r="T187" i="28"/>
  <c r="O188" i="28"/>
  <c r="P188" i="28"/>
  <c r="Q188" i="28"/>
  <c r="R188" i="28"/>
  <c r="S188" i="28"/>
  <c r="T188" i="28"/>
  <c r="O189" i="28"/>
  <c r="P189" i="28"/>
  <c r="Q189" i="28"/>
  <c r="R189" i="28"/>
  <c r="S189" i="28"/>
  <c r="T189" i="28"/>
  <c r="O190" i="28"/>
  <c r="R190" i="28" s="1"/>
  <c r="P190" i="28"/>
  <c r="S190" i="28" s="1"/>
  <c r="Q190" i="28"/>
  <c r="T190" i="28"/>
  <c r="O191" i="28"/>
  <c r="P191" i="28"/>
  <c r="Q191" i="28"/>
  <c r="R191" i="28"/>
  <c r="S191" i="28"/>
  <c r="T191" i="28"/>
  <c r="O192" i="28"/>
  <c r="P192" i="28"/>
  <c r="Q192" i="28"/>
  <c r="R192" i="28"/>
  <c r="S192" i="28"/>
  <c r="T192" i="28"/>
  <c r="O193" i="28"/>
  <c r="P193" i="28"/>
  <c r="Q193" i="28"/>
  <c r="R193" i="28"/>
  <c r="S193" i="28"/>
  <c r="T193" i="28"/>
  <c r="O194" i="28"/>
  <c r="R194" i="28" s="1"/>
  <c r="P194" i="28"/>
  <c r="S194" i="28" s="1"/>
  <c r="Q194" i="28"/>
  <c r="T194" i="28"/>
  <c r="O195" i="28"/>
  <c r="P195" i="28"/>
  <c r="S195" i="28" s="1"/>
  <c r="Q195" i="28"/>
  <c r="R195" i="28"/>
  <c r="T195" i="28"/>
  <c r="O196" i="28"/>
  <c r="P196" i="28"/>
  <c r="Q196" i="28"/>
  <c r="R196" i="28"/>
  <c r="S196" i="28"/>
  <c r="T196" i="28"/>
  <c r="O197" i="28"/>
  <c r="P197" i="28"/>
  <c r="Q197" i="28"/>
  <c r="R197" i="28"/>
  <c r="S197" i="28"/>
  <c r="T197" i="28"/>
  <c r="O198" i="28"/>
  <c r="R198" i="28" s="1"/>
  <c r="P198" i="28"/>
  <c r="S198" i="28" s="1"/>
  <c r="Q198" i="28"/>
  <c r="T198" i="28"/>
  <c r="O199" i="28"/>
  <c r="R199" i="28" s="1"/>
  <c r="P199" i="28"/>
  <c r="S199" i="28" s="1"/>
  <c r="Q199" i="28"/>
  <c r="T199" i="28"/>
  <c r="O200" i="28"/>
  <c r="P200" i="28"/>
  <c r="Q200" i="28"/>
  <c r="R200" i="28"/>
  <c r="S200" i="28"/>
  <c r="T200" i="28"/>
  <c r="O201" i="28"/>
  <c r="P201" i="28"/>
  <c r="Q201" i="28"/>
  <c r="R201" i="28"/>
  <c r="S201" i="28"/>
  <c r="T201" i="28"/>
  <c r="O202" i="28"/>
  <c r="R202" i="28" s="1"/>
  <c r="P202" i="28"/>
  <c r="S202" i="28" s="1"/>
  <c r="Q202" i="28"/>
  <c r="T202" i="28"/>
  <c r="O203" i="28"/>
  <c r="P203" i="28"/>
  <c r="S203" i="28" s="1"/>
  <c r="Q203" i="28"/>
  <c r="R203" i="28"/>
  <c r="T203" i="28"/>
  <c r="O204" i="28"/>
  <c r="P204" i="28"/>
  <c r="Q204" i="28"/>
  <c r="R204" i="28"/>
  <c r="S204" i="28"/>
  <c r="T204" i="28"/>
  <c r="O205" i="28"/>
  <c r="P205" i="28"/>
  <c r="Q205" i="28"/>
  <c r="R205" i="28"/>
  <c r="S205" i="28"/>
  <c r="T205" i="28"/>
  <c r="O206" i="28"/>
  <c r="R206" i="28" s="1"/>
  <c r="P206" i="28"/>
  <c r="S206" i="28" s="1"/>
  <c r="Q206" i="28"/>
  <c r="T206" i="28"/>
  <c r="O207" i="28"/>
  <c r="R207" i="28" s="1"/>
  <c r="P207" i="28"/>
  <c r="S207" i="28" s="1"/>
  <c r="Q207" i="28"/>
  <c r="T207" i="28"/>
  <c r="O208" i="28"/>
  <c r="P208" i="28"/>
  <c r="Q208" i="28"/>
  <c r="R208" i="28"/>
  <c r="S208" i="28"/>
  <c r="T208" i="28"/>
  <c r="O209" i="28"/>
  <c r="P209" i="28"/>
  <c r="Q209" i="28"/>
  <c r="R209" i="28"/>
  <c r="S209" i="28"/>
  <c r="T209" i="28"/>
  <c r="O60" i="28"/>
  <c r="R60" i="28" s="1"/>
  <c r="P60" i="28"/>
  <c r="S60" i="28" s="1"/>
  <c r="Q60" i="28"/>
  <c r="T60" i="28"/>
  <c r="O61" i="28"/>
  <c r="P61" i="28"/>
  <c r="S61" i="28" s="1"/>
  <c r="Q61" i="28"/>
  <c r="R61" i="28"/>
  <c r="T61" i="28"/>
  <c r="O62" i="28"/>
  <c r="P62" i="28"/>
  <c r="Q62" i="28"/>
  <c r="R62" i="28"/>
  <c r="S62" i="28"/>
  <c r="T62" i="28"/>
  <c r="O63" i="28"/>
  <c r="P63" i="28"/>
  <c r="Q63" i="28"/>
  <c r="R63" i="28"/>
  <c r="S63" i="28"/>
  <c r="T63" i="28"/>
  <c r="O59" i="28"/>
  <c r="R59" i="28" s="1"/>
  <c r="P59" i="28"/>
  <c r="S59" i="28" s="1"/>
  <c r="Q59" i="28"/>
  <c r="T59" i="28"/>
  <c r="T5" i="1"/>
  <c r="AF5" i="1"/>
  <c r="AH5" i="1" s="1"/>
  <c r="AC5" i="1"/>
  <c r="T6" i="1"/>
  <c r="AF6" i="1"/>
  <c r="AC6" i="1"/>
  <c r="T7" i="1"/>
  <c r="AF7" i="1"/>
  <c r="AH7" i="1" s="1"/>
  <c r="AC7" i="1"/>
  <c r="T8" i="1"/>
  <c r="AF8" i="1"/>
  <c r="AC8" i="1"/>
  <c r="T9" i="1"/>
  <c r="AF9" i="1"/>
  <c r="AH9" i="1" s="1"/>
  <c r="AC9" i="1"/>
  <c r="T10" i="1"/>
  <c r="AF10" i="1"/>
  <c r="AC10" i="1"/>
  <c r="T11" i="1"/>
  <c r="AF11" i="1"/>
  <c r="AH11" i="1" s="1"/>
  <c r="AC11" i="1"/>
  <c r="T12" i="1"/>
  <c r="AF12" i="1"/>
  <c r="AC12" i="1"/>
  <c r="T13" i="1"/>
  <c r="AF13" i="1"/>
  <c r="AC13" i="1"/>
  <c r="AH13" i="1" s="1"/>
  <c r="T14" i="1"/>
  <c r="AF14" i="1"/>
  <c r="AC14" i="1"/>
  <c r="T15" i="1"/>
  <c r="AF15" i="1"/>
  <c r="AC15" i="1"/>
  <c r="AH15" i="1"/>
  <c r="T16" i="1"/>
  <c r="AF16" i="1"/>
  <c r="AC16" i="1"/>
  <c r="T17" i="1"/>
  <c r="AF17" i="1"/>
  <c r="AH17" i="1" s="1"/>
  <c r="AC17" i="1"/>
  <c r="T18" i="1"/>
  <c r="AF18" i="1"/>
  <c r="AC18" i="1"/>
  <c r="T19" i="1"/>
  <c r="AF19" i="1"/>
  <c r="AC19" i="1"/>
  <c r="AH19" i="1" s="1"/>
  <c r="T20" i="1"/>
  <c r="AF20" i="1"/>
  <c r="AC20" i="1"/>
  <c r="T21" i="1"/>
  <c r="AF21" i="1"/>
  <c r="AC21" i="1"/>
  <c r="AH21" i="1"/>
  <c r="T22" i="1"/>
  <c r="AF22" i="1"/>
  <c r="AC22" i="1"/>
  <c r="T23" i="1"/>
  <c r="AF23" i="1"/>
  <c r="AH23" i="1" s="1"/>
  <c r="AC23" i="1"/>
  <c r="T24" i="1"/>
  <c r="AF24" i="1"/>
  <c r="AC24" i="1"/>
  <c r="T25" i="1"/>
  <c r="AF25" i="1"/>
  <c r="AH25" i="1" s="1"/>
  <c r="AC25" i="1"/>
  <c r="T26" i="1"/>
  <c r="AF26" i="1"/>
  <c r="AC26" i="1"/>
  <c r="T27" i="1"/>
  <c r="AF27" i="1"/>
  <c r="AH27" i="1" s="1"/>
  <c r="AC27" i="1"/>
  <c r="T28" i="1"/>
  <c r="AF28" i="1"/>
  <c r="AC28" i="1"/>
  <c r="T29" i="1"/>
  <c r="AF29" i="1"/>
  <c r="AC29" i="1"/>
  <c r="AH29" i="1" s="1"/>
  <c r="T30" i="1"/>
  <c r="AF30" i="1"/>
  <c r="AC30" i="1"/>
  <c r="T31" i="1"/>
  <c r="AF31" i="1"/>
  <c r="AC31" i="1"/>
  <c r="AH31" i="1"/>
  <c r="T32" i="1"/>
  <c r="AF32" i="1"/>
  <c r="AH32" i="1" s="1"/>
  <c r="AC32" i="1"/>
  <c r="T33" i="1"/>
  <c r="AF33" i="1"/>
  <c r="AH33" i="1" s="1"/>
  <c r="AC33" i="1"/>
  <c r="T34" i="1"/>
  <c r="AF34" i="1"/>
  <c r="AC34" i="1"/>
  <c r="T35" i="1"/>
  <c r="AF35" i="1"/>
  <c r="AC35" i="1"/>
  <c r="AH35" i="1" s="1"/>
  <c r="T36" i="1"/>
  <c r="AF36" i="1"/>
  <c r="AC36" i="1"/>
  <c r="T37" i="1"/>
  <c r="AF37" i="1"/>
  <c r="AC37" i="1"/>
  <c r="AH37" i="1"/>
  <c r="T38" i="1"/>
  <c r="AF38" i="1"/>
  <c r="AC38" i="1"/>
  <c r="T39" i="1"/>
  <c r="AF39" i="1"/>
  <c r="AH39" i="1" s="1"/>
  <c r="AC39" i="1"/>
  <c r="T40" i="1"/>
  <c r="AF40" i="1"/>
  <c r="AC40" i="1"/>
  <c r="T41" i="1"/>
  <c r="AF41" i="1"/>
  <c r="AH41" i="1" s="1"/>
  <c r="AC41" i="1"/>
  <c r="T42" i="1"/>
  <c r="AF42" i="1"/>
  <c r="AC42" i="1"/>
  <c r="T43" i="1"/>
  <c r="AF43" i="1"/>
  <c r="AH43" i="1" s="1"/>
  <c r="AC43" i="1"/>
  <c r="T44" i="1"/>
  <c r="AF44" i="1"/>
  <c r="AC44" i="1"/>
  <c r="T45" i="1"/>
  <c r="AF45" i="1"/>
  <c r="AC45" i="1"/>
  <c r="AH45" i="1" s="1"/>
  <c r="T46" i="1"/>
  <c r="AF46" i="1"/>
  <c r="AC46" i="1"/>
  <c r="T47" i="1"/>
  <c r="AF47" i="1"/>
  <c r="AC47" i="1"/>
  <c r="AH47" i="1"/>
  <c r="T48" i="1"/>
  <c r="AF48" i="1"/>
  <c r="AH48" i="1" s="1"/>
  <c r="N48" i="18" s="1"/>
  <c r="AC48" i="1"/>
  <c r="O7" i="28"/>
  <c r="P7" i="28"/>
  <c r="S7" i="28" s="1"/>
  <c r="Q7" i="28"/>
  <c r="T7" i="28" s="1"/>
  <c r="R7" i="28"/>
  <c r="O8" i="28"/>
  <c r="P8" i="28"/>
  <c r="Q8" i="28"/>
  <c r="T8" i="28" s="1"/>
  <c r="R8" i="28"/>
  <c r="S8" i="28"/>
  <c r="O9" i="28"/>
  <c r="R9" i="28" s="1"/>
  <c r="P9" i="28"/>
  <c r="Q9" i="28"/>
  <c r="S9" i="28"/>
  <c r="T9" i="28"/>
  <c r="O10" i="28"/>
  <c r="R10" i="28" s="1"/>
  <c r="P10" i="28"/>
  <c r="S10" i="28" s="1"/>
  <c r="Q10" i="28"/>
  <c r="T10" i="28"/>
  <c r="O11" i="28"/>
  <c r="P11" i="28"/>
  <c r="S11" i="28" s="1"/>
  <c r="Q11" i="28"/>
  <c r="T11" i="28" s="1"/>
  <c r="R11" i="28"/>
  <c r="O12" i="28"/>
  <c r="P12" i="28"/>
  <c r="Q12" i="28"/>
  <c r="R12" i="28"/>
  <c r="S12" i="28"/>
  <c r="T12" i="28"/>
  <c r="O13" i="28"/>
  <c r="P13" i="28"/>
  <c r="Q13" i="28"/>
  <c r="R13" i="28"/>
  <c r="S13" i="28"/>
  <c r="T13" i="28"/>
  <c r="O14" i="28"/>
  <c r="R14" i="28" s="1"/>
  <c r="P14" i="28"/>
  <c r="S14" i="28" s="1"/>
  <c r="Q14" i="28"/>
  <c r="T14" i="28"/>
  <c r="O15" i="28"/>
  <c r="P15" i="28"/>
  <c r="Q15" i="28"/>
  <c r="T15" i="28" s="1"/>
  <c r="R15" i="28"/>
  <c r="S15" i="28"/>
  <c r="O16" i="28"/>
  <c r="P16" i="28"/>
  <c r="Q16" i="28"/>
  <c r="T16" i="28" s="1"/>
  <c r="R16" i="28"/>
  <c r="S16" i="28"/>
  <c r="O17" i="28"/>
  <c r="P17" i="28"/>
  <c r="Q17" i="28"/>
  <c r="R17" i="28"/>
  <c r="S17" i="28"/>
  <c r="T17" i="28"/>
  <c r="O18" i="28"/>
  <c r="R18" i="28" s="1"/>
  <c r="P18" i="28"/>
  <c r="S18" i="28" s="1"/>
  <c r="Q18" i="28"/>
  <c r="T18" i="28"/>
  <c r="O19" i="28"/>
  <c r="R19" i="28" s="1"/>
  <c r="P19" i="28"/>
  <c r="Q19" i="28"/>
  <c r="T19" i="28" s="1"/>
  <c r="S19" i="28"/>
  <c r="O20" i="28"/>
  <c r="P20" i="28"/>
  <c r="Q20" i="28"/>
  <c r="R20" i="28"/>
  <c r="S20" i="28"/>
  <c r="T20" i="28"/>
  <c r="O21" i="28"/>
  <c r="P21" i="28"/>
  <c r="Q21" i="28"/>
  <c r="R21" i="28"/>
  <c r="S21" i="28"/>
  <c r="T21" i="28"/>
  <c r="O22" i="28"/>
  <c r="R22" i="28" s="1"/>
  <c r="P22" i="28"/>
  <c r="S22" i="28" s="1"/>
  <c r="Q22" i="28"/>
  <c r="T22" i="28"/>
  <c r="O23" i="28"/>
  <c r="P23" i="28"/>
  <c r="Q23" i="28"/>
  <c r="R23" i="28"/>
  <c r="S23" i="28"/>
  <c r="T23" i="28"/>
  <c r="O24" i="28"/>
  <c r="P24" i="28"/>
  <c r="Q24" i="28"/>
  <c r="R24" i="28"/>
  <c r="S24" i="28"/>
  <c r="T24" i="28"/>
  <c r="O25" i="28"/>
  <c r="R25" i="28" s="1"/>
  <c r="P25" i="28"/>
  <c r="Q25" i="28"/>
  <c r="S25" i="28"/>
  <c r="T25" i="28"/>
  <c r="O26" i="28"/>
  <c r="R26" i="28" s="1"/>
  <c r="P26" i="28"/>
  <c r="S26" i="28" s="1"/>
  <c r="Q26" i="28"/>
  <c r="T26" i="28"/>
  <c r="O27" i="28"/>
  <c r="R27" i="28" s="1"/>
  <c r="P27" i="28"/>
  <c r="S27" i="28" s="1"/>
  <c r="Q27" i="28"/>
  <c r="T27" i="28"/>
  <c r="O28" i="28"/>
  <c r="P28" i="28"/>
  <c r="Q28" i="28"/>
  <c r="R28" i="28"/>
  <c r="S28" i="28"/>
  <c r="T28" i="28"/>
  <c r="O29" i="28"/>
  <c r="R29" i="28" s="1"/>
  <c r="P29" i="28"/>
  <c r="Q29" i="28"/>
  <c r="S29" i="28"/>
  <c r="T29" i="28"/>
  <c r="O30" i="28"/>
  <c r="R30" i="28" s="1"/>
  <c r="P30" i="28"/>
  <c r="Q30" i="28"/>
  <c r="S30" i="28"/>
  <c r="T30" i="28"/>
  <c r="O31" i="28"/>
  <c r="R31" i="28" s="1"/>
  <c r="P31" i="28"/>
  <c r="Q31" i="28"/>
  <c r="S31" i="28"/>
  <c r="T31" i="28"/>
  <c r="O32" i="28"/>
  <c r="P32" i="28"/>
  <c r="Q32" i="28"/>
  <c r="R32" i="28"/>
  <c r="S32" i="28"/>
  <c r="T32" i="28"/>
  <c r="O33" i="28"/>
  <c r="R33" i="28" s="1"/>
  <c r="P33" i="28"/>
  <c r="Q33" i="28"/>
  <c r="S33" i="28"/>
  <c r="T33" i="28"/>
  <c r="O34" i="28"/>
  <c r="R34" i="28" s="1"/>
  <c r="P34" i="28"/>
  <c r="S34" i="28" s="1"/>
  <c r="Q34" i="28"/>
  <c r="T34" i="28" s="1"/>
  <c r="O35" i="28"/>
  <c r="P35" i="28"/>
  <c r="S35" i="28" s="1"/>
  <c r="Q35" i="28"/>
  <c r="R35" i="28"/>
  <c r="T35" i="28"/>
  <c r="O36" i="28"/>
  <c r="P36" i="28"/>
  <c r="Q36" i="28"/>
  <c r="R36" i="28"/>
  <c r="S36" i="28"/>
  <c r="T36" i="28"/>
  <c r="O37" i="28"/>
  <c r="R37" i="28" s="1"/>
  <c r="P37" i="28"/>
  <c r="S37" i="28" s="1"/>
  <c r="Q37" i="28"/>
  <c r="T37" i="28"/>
  <c r="O38" i="28"/>
  <c r="P38" i="28"/>
  <c r="Q38" i="28"/>
  <c r="R38" i="28"/>
  <c r="S38" i="28"/>
  <c r="T38" i="28"/>
  <c r="O39" i="28"/>
  <c r="P39" i="28"/>
  <c r="S39" i="28" s="1"/>
  <c r="Q39" i="28"/>
  <c r="R39" i="28"/>
  <c r="T39" i="28"/>
  <c r="O40" i="28"/>
  <c r="P40" i="28"/>
  <c r="Q40" i="28"/>
  <c r="T40" i="28" s="1"/>
  <c r="R40" i="28"/>
  <c r="S40" i="28"/>
  <c r="O41" i="28"/>
  <c r="R41" i="28" s="1"/>
  <c r="P41" i="28"/>
  <c r="Q41" i="28"/>
  <c r="S41" i="28"/>
  <c r="T41" i="28"/>
  <c r="O42" i="28"/>
  <c r="P42" i="28"/>
  <c r="Q42" i="28"/>
  <c r="R42" i="28"/>
  <c r="S42" i="28"/>
  <c r="T42" i="28"/>
  <c r="O43" i="28"/>
  <c r="R43" i="28" s="1"/>
  <c r="P43" i="28"/>
  <c r="Q43" i="28"/>
  <c r="S43" i="28"/>
  <c r="T43" i="28"/>
  <c r="O44" i="28"/>
  <c r="P44" i="28"/>
  <c r="Q44" i="28"/>
  <c r="R44" i="28"/>
  <c r="S44" i="28"/>
  <c r="T44" i="28"/>
  <c r="O45" i="28"/>
  <c r="R45" i="28" s="1"/>
  <c r="P45" i="28"/>
  <c r="Q45" i="28"/>
  <c r="S45" i="28"/>
  <c r="T45" i="28"/>
  <c r="O46" i="28"/>
  <c r="R46" i="28" s="1"/>
  <c r="P46" i="28"/>
  <c r="S46" i="28" s="1"/>
  <c r="Q46" i="28"/>
  <c r="T46" i="28"/>
  <c r="O47" i="28"/>
  <c r="P47" i="28"/>
  <c r="S47" i="28" s="1"/>
  <c r="Q47" i="28"/>
  <c r="R47" i="28"/>
  <c r="T47" i="28"/>
  <c r="O48" i="28"/>
  <c r="P48" i="28"/>
  <c r="Q48" i="28"/>
  <c r="R48" i="28"/>
  <c r="S48" i="28"/>
  <c r="T48" i="28"/>
  <c r="O6" i="28"/>
  <c r="R6" i="28" s="1"/>
  <c r="P6" i="28"/>
  <c r="Q6" i="28"/>
  <c r="S6" i="28"/>
  <c r="T6" i="28"/>
  <c r="O5" i="28"/>
  <c r="P5" i="28"/>
  <c r="S5" i="28" s="1"/>
  <c r="Q5" i="28"/>
  <c r="T5" i="28" s="1"/>
  <c r="R5" i="28"/>
  <c r="T192" i="1"/>
  <c r="AF192" i="1"/>
  <c r="AC192" i="1"/>
  <c r="AH192" i="1" s="1"/>
  <c r="AO192" i="1" s="1"/>
  <c r="T191" i="1"/>
  <c r="AF191" i="1"/>
  <c r="AC191" i="1"/>
  <c r="T190" i="1"/>
  <c r="AF190" i="1"/>
  <c r="AC190" i="1"/>
  <c r="AH190" i="1" s="1"/>
  <c r="AO190" i="1" s="1"/>
  <c r="AR190" i="1" s="1"/>
  <c r="T189" i="1"/>
  <c r="AF189" i="1"/>
  <c r="AC189" i="1"/>
  <c r="AH189" i="1"/>
  <c r="T188" i="1"/>
  <c r="AF188" i="1"/>
  <c r="AH188" i="1" s="1"/>
  <c r="AO188" i="1" s="1"/>
  <c r="AR188" i="1" s="1"/>
  <c r="AC188" i="1"/>
  <c r="T187" i="1"/>
  <c r="AF187" i="1"/>
  <c r="AC187" i="1"/>
  <c r="AH187" i="1"/>
  <c r="T186" i="1"/>
  <c r="AF186" i="1"/>
  <c r="AC186" i="1"/>
  <c r="T185" i="1"/>
  <c r="AF185" i="1"/>
  <c r="AH185" i="1" s="1"/>
  <c r="AO185" i="1" s="1"/>
  <c r="AR185" i="1" s="1"/>
  <c r="AC185" i="1"/>
  <c r="T184" i="1"/>
  <c r="AF184" i="1"/>
  <c r="AC184" i="1"/>
  <c r="AH184" i="1" s="1"/>
  <c r="T183" i="1"/>
  <c r="AF183" i="1"/>
  <c r="AC183" i="1"/>
  <c r="T182" i="1"/>
  <c r="AF182" i="1"/>
  <c r="AC182" i="1"/>
  <c r="AH182" i="1" s="1"/>
  <c r="AO182" i="1" s="1"/>
  <c r="AR182" i="1" s="1"/>
  <c r="T181" i="1"/>
  <c r="AF181" i="1"/>
  <c r="AH181" i="1" s="1"/>
  <c r="AO181" i="1" s="1"/>
  <c r="AR181" i="1" s="1"/>
  <c r="AC181" i="1"/>
  <c r="T180" i="1"/>
  <c r="AF180" i="1"/>
  <c r="AC180" i="1"/>
  <c r="T179" i="1"/>
  <c r="AF179" i="1"/>
  <c r="AH179" i="1" s="1"/>
  <c r="AO179" i="1" s="1"/>
  <c r="AR179" i="1" s="1"/>
  <c r="AC179" i="1"/>
  <c r="T178" i="1"/>
  <c r="AF178" i="1"/>
  <c r="AC178" i="1"/>
  <c r="AH178" i="1"/>
  <c r="T177" i="1"/>
  <c r="AF177" i="1"/>
  <c r="AH177" i="1" s="1"/>
  <c r="AO177" i="1" s="1"/>
  <c r="AR177" i="1" s="1"/>
  <c r="AC177" i="1"/>
  <c r="T176" i="1"/>
  <c r="AF176" i="1"/>
  <c r="AC176" i="1"/>
  <c r="AH176" i="1"/>
  <c r="T175" i="1"/>
  <c r="AF175" i="1"/>
  <c r="AH175" i="1" s="1"/>
  <c r="AO175" i="1" s="1"/>
  <c r="AR175" i="1" s="1"/>
  <c r="AC175" i="1"/>
  <c r="T174" i="1"/>
  <c r="AF174" i="1"/>
  <c r="AC174" i="1"/>
  <c r="AH174" i="1"/>
  <c r="T173" i="1"/>
  <c r="AF173" i="1"/>
  <c r="AH173" i="1" s="1"/>
  <c r="AO173" i="1" s="1"/>
  <c r="AR173" i="1" s="1"/>
  <c r="AC173" i="1"/>
  <c r="T172" i="1"/>
  <c r="AF172" i="1"/>
  <c r="AH172" i="1" s="1"/>
  <c r="AO172" i="1" s="1"/>
  <c r="AR172" i="1" s="1"/>
  <c r="AC172" i="1"/>
  <c r="T171" i="1"/>
  <c r="AF171" i="1"/>
  <c r="AH171" i="1" s="1"/>
  <c r="AO171" i="1" s="1"/>
  <c r="AR171" i="1" s="1"/>
  <c r="AC171" i="1"/>
  <c r="T170" i="1"/>
  <c r="AF170" i="1"/>
  <c r="AC170" i="1"/>
  <c r="AH170" i="1" s="1"/>
  <c r="AO170" i="1" s="1"/>
  <c r="AR170" i="1" s="1"/>
  <c r="T169" i="1"/>
  <c r="AF169" i="1"/>
  <c r="AC169" i="1"/>
  <c r="AH169" i="1" s="1"/>
  <c r="AO169" i="1" s="1"/>
  <c r="T168" i="1"/>
  <c r="AF168" i="1"/>
  <c r="AH168" i="1" s="1"/>
  <c r="AO168" i="1" s="1"/>
  <c r="AR168" i="1" s="1"/>
  <c r="AC168" i="1"/>
  <c r="X184" i="28"/>
  <c r="W184" i="28"/>
  <c r="V184" i="28"/>
  <c r="T166" i="1"/>
  <c r="AF166" i="1"/>
  <c r="AH166" i="1" s="1"/>
  <c r="AC166" i="1"/>
  <c r="T165" i="1"/>
  <c r="AF165" i="1"/>
  <c r="AC165" i="1"/>
  <c r="T164" i="1"/>
  <c r="AF164" i="1"/>
  <c r="AH164" i="1" s="1"/>
  <c r="AC164" i="1"/>
  <c r="T163" i="1"/>
  <c r="AK163" i="1" s="1"/>
  <c r="AF163" i="1"/>
  <c r="AH163" i="1" s="1"/>
  <c r="AO163" i="1" s="1"/>
  <c r="AR163" i="1" s="1"/>
  <c r="AC163" i="1"/>
  <c r="T162" i="1"/>
  <c r="AF162" i="1"/>
  <c r="AH162" i="1" s="1"/>
  <c r="AC162" i="1"/>
  <c r="T161" i="1"/>
  <c r="AF161" i="1"/>
  <c r="AC161" i="1"/>
  <c r="X177" i="28"/>
  <c r="W177" i="28"/>
  <c r="V177" i="28"/>
  <c r="X176" i="28"/>
  <c r="W176" i="28"/>
  <c r="V176" i="28"/>
  <c r="T158" i="1"/>
  <c r="AF158" i="1"/>
  <c r="AC158" i="1"/>
  <c r="AH158" i="1" s="1"/>
  <c r="AK158" i="1" s="1"/>
  <c r="T157" i="1"/>
  <c r="AF157" i="1"/>
  <c r="AC157" i="1"/>
  <c r="AH157" i="1" s="1"/>
  <c r="AK157" i="1"/>
  <c r="V174" i="25" s="1"/>
  <c r="Z174" i="25" s="1"/>
  <c r="AA174" i="25" s="1"/>
  <c r="AB174" i="25" s="1"/>
  <c r="T156" i="1"/>
  <c r="AF156" i="1"/>
  <c r="AC156" i="1"/>
  <c r="T154" i="1"/>
  <c r="AK154" i="1" s="1"/>
  <c r="AF154" i="1"/>
  <c r="AC154" i="1"/>
  <c r="AH154" i="1" s="1"/>
  <c r="T153" i="1"/>
  <c r="AF153" i="1"/>
  <c r="AC153" i="1"/>
  <c r="T152" i="1"/>
  <c r="AK152" i="1" s="1"/>
  <c r="V169" i="25" s="1"/>
  <c r="Z169" i="25" s="1"/>
  <c r="AA169" i="25" s="1"/>
  <c r="AB169" i="25" s="1"/>
  <c r="AF152" i="1"/>
  <c r="AC152" i="1"/>
  <c r="AH152" i="1" s="1"/>
  <c r="T151" i="1"/>
  <c r="AF151" i="1"/>
  <c r="AC151" i="1"/>
  <c r="T150" i="1"/>
  <c r="AF150" i="1"/>
  <c r="AC150" i="1"/>
  <c r="AH150" i="1" s="1"/>
  <c r="AK150" i="1" s="1"/>
  <c r="T149" i="1"/>
  <c r="AF149" i="1"/>
  <c r="AC149" i="1"/>
  <c r="T148" i="1"/>
  <c r="AK148" i="1" s="1"/>
  <c r="AF148" i="1"/>
  <c r="AC148" i="1"/>
  <c r="AH148" i="1" s="1"/>
  <c r="T147" i="1"/>
  <c r="AF147" i="1"/>
  <c r="AC147" i="1"/>
  <c r="T146" i="1"/>
  <c r="AF146" i="1"/>
  <c r="AC146" i="1"/>
  <c r="T145" i="1"/>
  <c r="AF145" i="1"/>
  <c r="AC145" i="1"/>
  <c r="T144" i="1"/>
  <c r="AK144" i="1" s="1"/>
  <c r="V161" i="25" s="1"/>
  <c r="Z161" i="25" s="1"/>
  <c r="AA161" i="25" s="1"/>
  <c r="AB161" i="25" s="1"/>
  <c r="AF144" i="1"/>
  <c r="AC144" i="1"/>
  <c r="AH144" i="1" s="1"/>
  <c r="T143" i="1"/>
  <c r="AF143" i="1"/>
  <c r="AC143" i="1"/>
  <c r="T142" i="1"/>
  <c r="AF142" i="1"/>
  <c r="AC142" i="1"/>
  <c r="T141" i="1"/>
  <c r="AK141" i="1" s="1"/>
  <c r="AF141" i="1"/>
  <c r="AC141" i="1"/>
  <c r="AH141" i="1" s="1"/>
  <c r="T140" i="1"/>
  <c r="AF140" i="1"/>
  <c r="AC140" i="1"/>
  <c r="T139" i="1"/>
  <c r="AF139" i="1"/>
  <c r="AC139" i="1"/>
  <c r="T138" i="1"/>
  <c r="AF138" i="1"/>
  <c r="AC138" i="1"/>
  <c r="T137" i="1"/>
  <c r="AF137" i="1"/>
  <c r="AC137" i="1"/>
  <c r="AH137" i="1" s="1"/>
  <c r="T136" i="1"/>
  <c r="AF136" i="1"/>
  <c r="AC136" i="1"/>
  <c r="T135" i="1"/>
  <c r="AK135" i="1" s="1"/>
  <c r="V152" i="25" s="1"/>
  <c r="Z152" i="25" s="1"/>
  <c r="AA152" i="25" s="1"/>
  <c r="AB152" i="25" s="1"/>
  <c r="AF135" i="1"/>
  <c r="AC135" i="1"/>
  <c r="AH135" i="1" s="1"/>
  <c r="AO135" i="1" s="1"/>
  <c r="T134" i="1"/>
  <c r="AF134" i="1"/>
  <c r="AC134" i="1"/>
  <c r="T133" i="1"/>
  <c r="AK133" i="1" s="1"/>
  <c r="AF133" i="1"/>
  <c r="AC133" i="1"/>
  <c r="AH133" i="1" s="1"/>
  <c r="X149" i="28"/>
  <c r="W149" i="28"/>
  <c r="V149" i="28"/>
  <c r="T131" i="1"/>
  <c r="AF131" i="1"/>
  <c r="AH131" i="1" s="1"/>
  <c r="AC131" i="1"/>
  <c r="T130" i="1"/>
  <c r="AF130" i="1"/>
  <c r="AH130" i="1" s="1"/>
  <c r="AC130" i="1"/>
  <c r="T129" i="1"/>
  <c r="AF129" i="1"/>
  <c r="AH129" i="1" s="1"/>
  <c r="AC129" i="1"/>
  <c r="T128" i="1"/>
  <c r="AF128" i="1"/>
  <c r="AC128" i="1"/>
  <c r="T127" i="1"/>
  <c r="AF127" i="1"/>
  <c r="AC127" i="1"/>
  <c r="AH127" i="1" s="1"/>
  <c r="T126" i="1"/>
  <c r="AF126" i="1"/>
  <c r="AH126" i="1" s="1"/>
  <c r="AO126" i="1" s="1"/>
  <c r="AR126" i="1" s="1"/>
  <c r="AC126" i="1"/>
  <c r="T125" i="1"/>
  <c r="AF125" i="1"/>
  <c r="AH125" i="1" s="1"/>
  <c r="AC125" i="1"/>
  <c r="X141" i="28"/>
  <c r="W141" i="28"/>
  <c r="V141" i="28"/>
  <c r="T123" i="1"/>
  <c r="AF123" i="1"/>
  <c r="AC123" i="1"/>
  <c r="T122" i="1"/>
  <c r="AF122" i="1"/>
  <c r="AC122" i="1"/>
  <c r="T121" i="1"/>
  <c r="AF121" i="1"/>
  <c r="AH121" i="1" s="1"/>
  <c r="AO121" i="1" s="1"/>
  <c r="AC121" i="1"/>
  <c r="T120" i="1"/>
  <c r="AF120" i="1"/>
  <c r="AH120" i="1" s="1"/>
  <c r="AK120" i="1" s="1"/>
  <c r="AC120" i="1"/>
  <c r="T119" i="1"/>
  <c r="AF119" i="1"/>
  <c r="AH119" i="1" s="1"/>
  <c r="AC119" i="1"/>
  <c r="AK119" i="1"/>
  <c r="W134" i="28" s="1"/>
  <c r="T118" i="1"/>
  <c r="AF118" i="1"/>
  <c r="AH118" i="1" s="1"/>
  <c r="AC118" i="1"/>
  <c r="T117" i="1"/>
  <c r="AF117" i="1"/>
  <c r="AC117" i="1"/>
  <c r="T116" i="1"/>
  <c r="AF116" i="1"/>
  <c r="AH116" i="1" s="1"/>
  <c r="AK116" i="1" s="1"/>
  <c r="AC116" i="1"/>
  <c r="T115" i="1"/>
  <c r="AF115" i="1"/>
  <c r="AH115" i="1" s="1"/>
  <c r="AK115" i="1" s="1"/>
  <c r="AC115" i="1"/>
  <c r="T114" i="1"/>
  <c r="AF114" i="1"/>
  <c r="AH114" i="1" s="1"/>
  <c r="AO114" i="1" s="1"/>
  <c r="AR114" i="1" s="1"/>
  <c r="AC114" i="1"/>
  <c r="T113" i="1"/>
  <c r="AF113" i="1"/>
  <c r="AC113" i="1"/>
  <c r="T112" i="1"/>
  <c r="AF112" i="1"/>
  <c r="AC112" i="1"/>
  <c r="T111" i="1"/>
  <c r="AF111" i="1"/>
  <c r="AC111" i="1"/>
  <c r="T110" i="1"/>
  <c r="AF110" i="1"/>
  <c r="AC110" i="1"/>
  <c r="T109" i="1"/>
  <c r="AF109" i="1"/>
  <c r="AH109" i="1" s="1"/>
  <c r="AO109" i="1" s="1"/>
  <c r="AC109" i="1"/>
  <c r="T108" i="1"/>
  <c r="AF108" i="1"/>
  <c r="AH108" i="1" s="1"/>
  <c r="AC108" i="1"/>
  <c r="AK108" i="1"/>
  <c r="X123" i="28" s="1"/>
  <c r="T107" i="1"/>
  <c r="AF107" i="1"/>
  <c r="AH107" i="1" s="1"/>
  <c r="AC107" i="1"/>
  <c r="AK107" i="1"/>
  <c r="V122" i="28"/>
  <c r="T106" i="1"/>
  <c r="AF106" i="1"/>
  <c r="AH106" i="1" s="1"/>
  <c r="AC106" i="1"/>
  <c r="T105" i="1"/>
  <c r="AF105" i="1"/>
  <c r="AC105" i="1"/>
  <c r="T104" i="1"/>
  <c r="AF104" i="1"/>
  <c r="AH104" i="1" s="1"/>
  <c r="AK104" i="1" s="1"/>
  <c r="AC104" i="1"/>
  <c r="T103" i="1"/>
  <c r="AF103" i="1"/>
  <c r="AH103" i="1" s="1"/>
  <c r="AC103" i="1"/>
  <c r="AK103" i="1"/>
  <c r="W118" i="28" s="1"/>
  <c r="T102" i="1"/>
  <c r="AF102" i="1"/>
  <c r="AH102" i="1" s="1"/>
  <c r="AC102" i="1"/>
  <c r="T101" i="1"/>
  <c r="AF101" i="1"/>
  <c r="AC101" i="1"/>
  <c r="T100" i="1"/>
  <c r="AF100" i="1"/>
  <c r="AC100" i="1"/>
  <c r="T99" i="1"/>
  <c r="AF99" i="1"/>
  <c r="AC99" i="1"/>
  <c r="T98" i="1"/>
  <c r="AF98" i="1"/>
  <c r="AC98" i="1"/>
  <c r="T97" i="1"/>
  <c r="AF97" i="1"/>
  <c r="AH97" i="1" s="1"/>
  <c r="AO97" i="1" s="1"/>
  <c r="AC97" i="1"/>
  <c r="T96" i="1"/>
  <c r="AF96" i="1"/>
  <c r="AH96" i="1" s="1"/>
  <c r="AC96" i="1"/>
  <c r="AK96" i="1"/>
  <c r="W111" i="28" s="1"/>
  <c r="T95" i="1"/>
  <c r="AF95" i="1"/>
  <c r="AH95" i="1" s="1"/>
  <c r="AC95" i="1"/>
  <c r="AK95" i="1"/>
  <c r="V110" i="28"/>
  <c r="T94" i="1"/>
  <c r="AF94" i="1"/>
  <c r="AH94" i="1" s="1"/>
  <c r="AC94" i="1"/>
  <c r="T93" i="1"/>
  <c r="AF93" i="1"/>
  <c r="AC93" i="1"/>
  <c r="T92" i="1"/>
  <c r="AF92" i="1"/>
  <c r="AH92" i="1" s="1"/>
  <c r="AK92" i="1" s="1"/>
  <c r="AC92" i="1"/>
  <c r="T91" i="1"/>
  <c r="AF91" i="1"/>
  <c r="AC91" i="1"/>
  <c r="T90" i="1"/>
  <c r="AF90" i="1"/>
  <c r="AC90" i="1"/>
  <c r="T89" i="1"/>
  <c r="AF89" i="1"/>
  <c r="AH89" i="1" s="1"/>
  <c r="AC89" i="1"/>
  <c r="T88" i="1"/>
  <c r="AF88" i="1"/>
  <c r="AC88" i="1"/>
  <c r="T87" i="1"/>
  <c r="AF87" i="1"/>
  <c r="AH87" i="1" s="1"/>
  <c r="AC87" i="1"/>
  <c r="AK87" i="1"/>
  <c r="V102" i="25" s="1"/>
  <c r="Z102" i="25" s="1"/>
  <c r="AA102" i="25" s="1"/>
  <c r="AB102" i="25" s="1"/>
  <c r="T86" i="1"/>
  <c r="AF86" i="1"/>
  <c r="AC86" i="1"/>
  <c r="T85" i="1"/>
  <c r="AF85" i="1"/>
  <c r="AC85" i="1"/>
  <c r="T84" i="1"/>
  <c r="AF84" i="1"/>
  <c r="AH84" i="1" s="1"/>
  <c r="AK84" i="1" s="1"/>
  <c r="AC84" i="1"/>
  <c r="T83" i="1"/>
  <c r="AF83" i="1"/>
  <c r="AC83" i="1"/>
  <c r="T82" i="1"/>
  <c r="AF82" i="1"/>
  <c r="AH82" i="1" s="1"/>
  <c r="AC82" i="1"/>
  <c r="T81" i="1"/>
  <c r="AF81" i="1"/>
  <c r="AC81" i="1"/>
  <c r="T80" i="1"/>
  <c r="AF80" i="1"/>
  <c r="AH80" i="1" s="1"/>
  <c r="AC80" i="1"/>
  <c r="T79" i="1"/>
  <c r="AF79" i="1"/>
  <c r="AC79" i="1"/>
  <c r="AH79" i="1"/>
  <c r="AI79" i="1" s="1"/>
  <c r="M79" i="18" s="1"/>
  <c r="AT79" i="18" s="1"/>
  <c r="T78" i="1"/>
  <c r="AF78" i="1"/>
  <c r="AH78" i="1" s="1"/>
  <c r="AC78" i="1"/>
  <c r="T77" i="1"/>
  <c r="AF77" i="1"/>
  <c r="AC77" i="1"/>
  <c r="AH77" i="1"/>
  <c r="N77" i="18" s="1"/>
  <c r="T76" i="1"/>
  <c r="AF76" i="1"/>
  <c r="AH76" i="1" s="1"/>
  <c r="AC76" i="1"/>
  <c r="T75" i="1"/>
  <c r="AF75" i="1"/>
  <c r="AC75" i="1"/>
  <c r="AH75" i="1"/>
  <c r="N75" i="18" s="1"/>
  <c r="T74" i="1"/>
  <c r="AF74" i="1"/>
  <c r="AH74" i="1" s="1"/>
  <c r="AC74" i="1"/>
  <c r="T73" i="1"/>
  <c r="AF73" i="1"/>
  <c r="AC73" i="1"/>
  <c r="AH73" i="1"/>
  <c r="AI73" i="1" s="1"/>
  <c r="M73" i="18" s="1"/>
  <c r="AA73" i="18" s="1"/>
  <c r="T72" i="1"/>
  <c r="AF72" i="1"/>
  <c r="AH72" i="1" s="1"/>
  <c r="AC72" i="1"/>
  <c r="T71" i="1"/>
  <c r="AF71" i="1"/>
  <c r="AC71" i="1"/>
  <c r="AH71" i="1"/>
  <c r="N71" i="18" s="1"/>
  <c r="T70" i="1"/>
  <c r="AF70" i="1"/>
  <c r="AH70" i="1" s="1"/>
  <c r="AC70" i="1"/>
  <c r="T69" i="1"/>
  <c r="AF69" i="1"/>
  <c r="AC69" i="1"/>
  <c r="AH69" i="1"/>
  <c r="AI69" i="1" s="1"/>
  <c r="M69" i="18" s="1"/>
  <c r="AA69" i="18" s="1"/>
  <c r="T68" i="1"/>
  <c r="AF68" i="1"/>
  <c r="AH68" i="1" s="1"/>
  <c r="AC68" i="1"/>
  <c r="T67" i="1"/>
  <c r="AF67" i="1"/>
  <c r="AC67" i="1"/>
  <c r="AH67" i="1"/>
  <c r="AI67" i="1" s="1"/>
  <c r="M67" i="18" s="1"/>
  <c r="AA67" i="18" s="1"/>
  <c r="T66" i="1"/>
  <c r="AF66" i="1"/>
  <c r="AH66" i="1" s="1"/>
  <c r="AC66" i="1"/>
  <c r="T65" i="1"/>
  <c r="AF65" i="1"/>
  <c r="AC65" i="1"/>
  <c r="AH65" i="1"/>
  <c r="AI65" i="1" s="1"/>
  <c r="M65" i="18" s="1"/>
  <c r="Q65" i="18" s="1"/>
  <c r="T64" i="1"/>
  <c r="AF64" i="1"/>
  <c r="AH64" i="1" s="1"/>
  <c r="AC64" i="1"/>
  <c r="T63" i="1"/>
  <c r="AF63" i="1"/>
  <c r="AC63" i="1"/>
  <c r="AH63" i="1"/>
  <c r="AI63" i="1" s="1"/>
  <c r="M63" i="18" s="1"/>
  <c r="Q63" i="18" s="1"/>
  <c r="T62" i="1"/>
  <c r="AF62" i="1"/>
  <c r="AH62" i="1" s="1"/>
  <c r="AC62" i="1"/>
  <c r="T61" i="1"/>
  <c r="AF61" i="1"/>
  <c r="AC61" i="1"/>
  <c r="AH61" i="1"/>
  <c r="AI61" i="1" s="1"/>
  <c r="T60" i="1"/>
  <c r="AF60" i="1"/>
  <c r="AH60" i="1" s="1"/>
  <c r="AC60" i="1"/>
  <c r="T59" i="1"/>
  <c r="AF59" i="1"/>
  <c r="AC59" i="1"/>
  <c r="AH59" i="1"/>
  <c r="AI59" i="1" s="1"/>
  <c r="T58" i="1"/>
  <c r="AF58" i="1"/>
  <c r="AH58" i="1" s="1"/>
  <c r="AC58" i="1"/>
  <c r="T57" i="1"/>
  <c r="AF57" i="1"/>
  <c r="AC57" i="1"/>
  <c r="AH57" i="1"/>
  <c r="AI57" i="1" s="1"/>
  <c r="T56" i="1"/>
  <c r="AF56" i="1"/>
  <c r="AH56" i="1" s="1"/>
  <c r="AC56" i="1"/>
  <c r="T55" i="1"/>
  <c r="AF55" i="1"/>
  <c r="AC55" i="1"/>
  <c r="AH55" i="1"/>
  <c r="AI55" i="1" s="1"/>
  <c r="T54" i="1"/>
  <c r="AF54" i="1"/>
  <c r="AH54" i="1" s="1"/>
  <c r="AC54" i="1"/>
  <c r="T53" i="1"/>
  <c r="AF53" i="1"/>
  <c r="AC53" i="1"/>
  <c r="AH53" i="1"/>
  <c r="T52" i="1"/>
  <c r="AF52" i="1"/>
  <c r="AH52" i="1" s="1"/>
  <c r="AC52" i="1"/>
  <c r="T51" i="1"/>
  <c r="AF51" i="1"/>
  <c r="AC51" i="1"/>
  <c r="AH51" i="1"/>
  <c r="T50" i="1"/>
  <c r="AF50" i="1"/>
  <c r="AH50" i="1" s="1"/>
  <c r="AC50" i="1"/>
  <c r="T49" i="1"/>
  <c r="AF49" i="1"/>
  <c r="AC49" i="1"/>
  <c r="AH49" i="1"/>
  <c r="Q58" i="28"/>
  <c r="T58" i="28"/>
  <c r="P58" i="28"/>
  <c r="S58" i="28" s="1"/>
  <c r="O58" i="28"/>
  <c r="R58" i="28" s="1"/>
  <c r="Q57" i="28"/>
  <c r="T57" i="28"/>
  <c r="S57" i="28"/>
  <c r="O57" i="28"/>
  <c r="R57" i="28"/>
  <c r="P57" i="28"/>
  <c r="Q56" i="28"/>
  <c r="T56" i="28"/>
  <c r="S56" i="28"/>
  <c r="O56" i="28"/>
  <c r="R56" i="28"/>
  <c r="P56" i="28"/>
  <c r="Q55" i="28"/>
  <c r="T55" i="28"/>
  <c r="P55" i="28"/>
  <c r="S55" i="28"/>
  <c r="O55" i="28"/>
  <c r="R55" i="28"/>
  <c r="Q54" i="28"/>
  <c r="T54" i="28"/>
  <c r="S54" i="28"/>
  <c r="O54" i="28"/>
  <c r="R54" i="28" s="1"/>
  <c r="P54" i="28"/>
  <c r="Q53" i="28"/>
  <c r="T53" i="28"/>
  <c r="P53" i="28"/>
  <c r="S53" i="28"/>
  <c r="O53" i="28"/>
  <c r="R53" i="28" s="1"/>
  <c r="Q52" i="28"/>
  <c r="T52" i="28"/>
  <c r="P52" i="28"/>
  <c r="S52" i="28"/>
  <c r="O52" i="28"/>
  <c r="R52" i="28" s="1"/>
  <c r="Q51" i="28"/>
  <c r="T51" i="28"/>
  <c r="P51" i="28"/>
  <c r="S51" i="28"/>
  <c r="O51" i="28"/>
  <c r="R51" i="28"/>
  <c r="Q50" i="28"/>
  <c r="T50" i="28"/>
  <c r="P50" i="28"/>
  <c r="S50" i="28"/>
  <c r="O50" i="28"/>
  <c r="R50" i="28" s="1"/>
  <c r="Q49" i="28"/>
  <c r="T49" i="28"/>
  <c r="P49" i="28"/>
  <c r="S49" i="28"/>
  <c r="O49" i="28"/>
  <c r="R49" i="28" s="1"/>
  <c r="T4" i="1"/>
  <c r="AF4" i="1"/>
  <c r="AH4" i="1" s="1"/>
  <c r="AC4" i="1"/>
  <c r="Q4" i="28"/>
  <c r="T4" i="28"/>
  <c r="P4" i="28"/>
  <c r="S4" i="28"/>
  <c r="O4" i="28"/>
  <c r="R4" i="28"/>
  <c r="AO124" i="1"/>
  <c r="AR124" i="1" s="1"/>
  <c r="T132" i="1"/>
  <c r="AO133" i="1"/>
  <c r="AR133" i="1" s="1"/>
  <c r="AO157" i="1"/>
  <c r="AR157" i="1" s="1"/>
  <c r="AO158" i="1"/>
  <c r="AR158" i="1"/>
  <c r="T159" i="1"/>
  <c r="T160" i="1"/>
  <c r="T167" i="1"/>
  <c r="AO174" i="1"/>
  <c r="AR174" i="1" s="1"/>
  <c r="AO176" i="1"/>
  <c r="AR176" i="1" s="1"/>
  <c r="AO178" i="1"/>
  <c r="AR178" i="1" s="1"/>
  <c r="AO184" i="1"/>
  <c r="AR184" i="1" s="1"/>
  <c r="AO187" i="1"/>
  <c r="AR187" i="1" s="1"/>
  <c r="AO189" i="1"/>
  <c r="AR189" i="1" s="1"/>
  <c r="T155" i="1"/>
  <c r="AO141" i="1"/>
  <c r="AR141" i="1" s="1"/>
  <c r="AO144" i="1"/>
  <c r="AR144" i="1"/>
  <c r="AO148" i="1"/>
  <c r="AR148" i="1" s="1"/>
  <c r="AO150" i="1"/>
  <c r="AR150" i="1" s="1"/>
  <c r="AO154" i="1"/>
  <c r="AR154" i="1"/>
  <c r="AO119" i="1"/>
  <c r="AR119" i="1" s="1"/>
  <c r="AO120" i="1"/>
  <c r="AR120" i="1"/>
  <c r="AR121" i="1"/>
  <c r="AO104" i="1"/>
  <c r="AR104" i="1" s="1"/>
  <c r="AO106" i="1"/>
  <c r="AR106" i="1" s="1"/>
  <c r="AO107" i="1"/>
  <c r="AR107" i="1" s="1"/>
  <c r="AO108" i="1"/>
  <c r="AR108" i="1" s="1"/>
  <c r="AR109" i="1"/>
  <c r="AO115" i="1"/>
  <c r="AR115" i="1"/>
  <c r="AO116" i="1"/>
  <c r="AR116" i="1" s="1"/>
  <c r="AO118" i="1"/>
  <c r="AR118" i="1" s="1"/>
  <c r="AR97" i="1"/>
  <c r="AO47" i="1"/>
  <c r="AR47" i="1" s="1"/>
  <c r="K35" i="24"/>
  <c r="AR35" i="24"/>
  <c r="H35" i="24"/>
  <c r="O35" i="24"/>
  <c r="P35" i="24" s="1"/>
  <c r="Q35" i="24" s="1"/>
  <c r="R35" i="24" s="1"/>
  <c r="I35" i="24"/>
  <c r="Y35" i="24" s="1"/>
  <c r="Z35" i="24" s="1"/>
  <c r="AA35" i="24" s="1"/>
  <c r="AB35" i="24" s="1"/>
  <c r="AF35" i="21"/>
  <c r="AC35" i="21"/>
  <c r="AH35" i="21"/>
  <c r="N35" i="24" s="1"/>
  <c r="AI35" i="21"/>
  <c r="M35" i="24"/>
  <c r="AK35" i="24" s="1"/>
  <c r="AL35" i="24" s="1"/>
  <c r="AS35" i="24"/>
  <c r="AT35" i="24" s="1"/>
  <c r="AU35" i="24" s="1"/>
  <c r="J35" i="24"/>
  <c r="AI35" i="24"/>
  <c r="AJ35" i="24"/>
  <c r="K48" i="24"/>
  <c r="AR48" i="24"/>
  <c r="H48" i="24"/>
  <c r="O48" i="24"/>
  <c r="I48" i="24"/>
  <c r="Y48" i="24"/>
  <c r="Z48" i="24" s="1"/>
  <c r="BA48" i="24"/>
  <c r="BB48" i="24" s="1"/>
  <c r="AF48" i="21"/>
  <c r="AC48" i="21"/>
  <c r="AH48" i="21" s="1"/>
  <c r="N48" i="24"/>
  <c r="K47" i="24"/>
  <c r="AR47" i="24"/>
  <c r="H47" i="24"/>
  <c r="O47" i="24" s="1"/>
  <c r="P47" i="24" s="1"/>
  <c r="Q47" i="24" s="1"/>
  <c r="I47" i="24"/>
  <c r="Y47" i="24"/>
  <c r="AF47" i="21"/>
  <c r="AC47" i="21"/>
  <c r="AH47" i="21"/>
  <c r="AI47" i="21"/>
  <c r="M47" i="24" s="1"/>
  <c r="AA47" i="24" s="1"/>
  <c r="K46" i="24"/>
  <c r="AR46" i="24"/>
  <c r="H46" i="24"/>
  <c r="O46" i="24"/>
  <c r="I46" i="24"/>
  <c r="Y46" i="24"/>
  <c r="BA46" i="24"/>
  <c r="BB46" i="24" s="1"/>
  <c r="AF46" i="21"/>
  <c r="AC46" i="21"/>
  <c r="AH46" i="21" s="1"/>
  <c r="N46" i="24"/>
  <c r="K45" i="24"/>
  <c r="AR45" i="24"/>
  <c r="H45" i="24"/>
  <c r="O45" i="24" s="1"/>
  <c r="P45" i="24" s="1"/>
  <c r="Q45" i="24" s="1"/>
  <c r="I45" i="24"/>
  <c r="Y45" i="24"/>
  <c r="AF45" i="21"/>
  <c r="AC45" i="21"/>
  <c r="AH45" i="21"/>
  <c r="AI45" i="21"/>
  <c r="M45" i="24" s="1"/>
  <c r="K44" i="24"/>
  <c r="AR44" i="24"/>
  <c r="H44" i="24"/>
  <c r="O44" i="24"/>
  <c r="I44" i="24"/>
  <c r="Y44" i="24"/>
  <c r="Z44" i="24" s="1"/>
  <c r="BA44" i="24"/>
  <c r="BB44" i="24" s="1"/>
  <c r="AF44" i="21"/>
  <c r="AC44" i="21"/>
  <c r="AH44" i="21" s="1"/>
  <c r="N44" i="24"/>
  <c r="K43" i="24"/>
  <c r="AR43" i="24"/>
  <c r="H43" i="24"/>
  <c r="O43" i="24" s="1"/>
  <c r="P43" i="24" s="1"/>
  <c r="Q43" i="24" s="1"/>
  <c r="I43" i="24"/>
  <c r="Y43" i="24"/>
  <c r="AF43" i="21"/>
  <c r="AC43" i="21"/>
  <c r="AH43" i="21"/>
  <c r="AI43" i="21"/>
  <c r="M43" i="24" s="1"/>
  <c r="K42" i="24"/>
  <c r="AR42" i="24"/>
  <c r="AS42" i="24" s="1"/>
  <c r="H42" i="24"/>
  <c r="O42" i="24"/>
  <c r="I42" i="24"/>
  <c r="Y42" i="24"/>
  <c r="BA42" i="24"/>
  <c r="BB42" i="24" s="1"/>
  <c r="AF42" i="21"/>
  <c r="AC42" i="21"/>
  <c r="AH42" i="21" s="1"/>
  <c r="N42" i="24"/>
  <c r="K41" i="24"/>
  <c r="AR41" i="24"/>
  <c r="H41" i="24"/>
  <c r="O41" i="24" s="1"/>
  <c r="P41" i="24" s="1"/>
  <c r="Q41" i="24" s="1"/>
  <c r="I41" i="24"/>
  <c r="Y41" i="24"/>
  <c r="AF41" i="21"/>
  <c r="AC41" i="21"/>
  <c r="AH41" i="21"/>
  <c r="AI41" i="21"/>
  <c r="M41" i="24" s="1"/>
  <c r="K40" i="24"/>
  <c r="AR40" i="24"/>
  <c r="H40" i="24"/>
  <c r="O40" i="24"/>
  <c r="I40" i="24"/>
  <c r="Y40" i="24"/>
  <c r="Z40" i="24" s="1"/>
  <c r="BA40" i="24"/>
  <c r="BB40" i="24" s="1"/>
  <c r="AF40" i="21"/>
  <c r="AH40" i="21" s="1"/>
  <c r="AC40" i="21"/>
  <c r="N40" i="24"/>
  <c r="AS48" i="24"/>
  <c r="AS46" i="24"/>
  <c r="AS45" i="24"/>
  <c r="AT45" i="24" s="1"/>
  <c r="AS44" i="24"/>
  <c r="AS41" i="24"/>
  <c r="AS40" i="24"/>
  <c r="J48" i="24"/>
  <c r="AI48" i="24"/>
  <c r="AJ48" i="24"/>
  <c r="J47" i="24"/>
  <c r="AI47" i="24"/>
  <c r="AJ47" i="24"/>
  <c r="J46" i="24"/>
  <c r="AI46" i="24"/>
  <c r="AJ46" i="24"/>
  <c r="J45" i="24"/>
  <c r="AI45" i="24"/>
  <c r="AJ45" i="24"/>
  <c r="J44" i="24"/>
  <c r="AI44" i="24"/>
  <c r="AJ44" i="24"/>
  <c r="J43" i="24"/>
  <c r="AI43" i="24"/>
  <c r="AJ43" i="24"/>
  <c r="J42" i="24"/>
  <c r="AI42" i="24"/>
  <c r="AJ42" i="24"/>
  <c r="J41" i="24"/>
  <c r="AI41" i="24"/>
  <c r="AJ41" i="24"/>
  <c r="J40" i="24"/>
  <c r="AI40" i="24"/>
  <c r="AJ40" i="24"/>
  <c r="Z47" i="24"/>
  <c r="Z46" i="24"/>
  <c r="Z45" i="24"/>
  <c r="Z43" i="24"/>
  <c r="Z42" i="24"/>
  <c r="Z41" i="24"/>
  <c r="P48" i="24"/>
  <c r="P46" i="24"/>
  <c r="P44" i="24"/>
  <c r="P42" i="24"/>
  <c r="P40" i="24"/>
  <c r="M124" i="18"/>
  <c r="N124" i="18"/>
  <c r="H38" i="24"/>
  <c r="O38" i="24"/>
  <c r="P38" i="24" s="1"/>
  <c r="AF38" i="21"/>
  <c r="AC38" i="21"/>
  <c r="AH38" i="21"/>
  <c r="AI38" i="21"/>
  <c r="M38" i="24"/>
  <c r="T38" i="21"/>
  <c r="I38" i="24"/>
  <c r="Y38" i="24"/>
  <c r="Z38" i="24" s="1"/>
  <c r="J38" i="24"/>
  <c r="AI38" i="24"/>
  <c r="AJ38" i="24" s="1"/>
  <c r="K38" i="24"/>
  <c r="AR38" i="24"/>
  <c r="BA38" i="24" s="1"/>
  <c r="BB38" i="24" s="1"/>
  <c r="BC38" i="24" s="1"/>
  <c r="H39" i="24"/>
  <c r="O39" i="24" s="1"/>
  <c r="P39" i="24" s="1"/>
  <c r="Q39" i="24" s="1"/>
  <c r="R39" i="24" s="1"/>
  <c r="S39" i="24" s="1"/>
  <c r="T39" i="24" s="1"/>
  <c r="F140" i="27" s="1"/>
  <c r="AF39" i="21"/>
  <c r="AC39" i="21"/>
  <c r="AH39" i="21"/>
  <c r="N39" i="24" s="1"/>
  <c r="AI39" i="21"/>
  <c r="M39" i="24" s="1"/>
  <c r="T39" i="21"/>
  <c r="AJ39" i="21" s="1"/>
  <c r="I39" i="24"/>
  <c r="Y39" i="24" s="1"/>
  <c r="Z39" i="24" s="1"/>
  <c r="J39" i="24"/>
  <c r="AI39" i="24" s="1"/>
  <c r="AJ39" i="24" s="1"/>
  <c r="K39" i="24"/>
  <c r="AR39" i="24" s="1"/>
  <c r="AS39" i="24" s="1"/>
  <c r="BA39" i="24"/>
  <c r="BB39" i="24" s="1"/>
  <c r="K37" i="24"/>
  <c r="AR37" i="24"/>
  <c r="H37" i="24"/>
  <c r="O37" i="24"/>
  <c r="I37" i="24"/>
  <c r="Y37" i="24" s="1"/>
  <c r="Z37" i="24" s="1"/>
  <c r="AF37" i="21"/>
  <c r="AC37" i="21"/>
  <c r="J37" i="24"/>
  <c r="AI37" i="24"/>
  <c r="AJ37" i="24" s="1"/>
  <c r="P37" i="24"/>
  <c r="H29" i="24"/>
  <c r="O29" i="24"/>
  <c r="P29" i="24" s="1"/>
  <c r="Q29" i="24" s="1"/>
  <c r="R29" i="24" s="1"/>
  <c r="S29" i="24" s="1"/>
  <c r="T29" i="24" s="1"/>
  <c r="F60" i="27" s="1"/>
  <c r="AF29" i="21"/>
  <c r="AH29" i="21" s="1"/>
  <c r="AI29" i="21" s="1"/>
  <c r="M29" i="24" s="1"/>
  <c r="AC29" i="21"/>
  <c r="N29" i="24"/>
  <c r="T29" i="21"/>
  <c r="AJ29" i="21" s="1"/>
  <c r="I29" i="24"/>
  <c r="Y29" i="24"/>
  <c r="Z29" i="24" s="1"/>
  <c r="AA29" i="24" s="1"/>
  <c r="AB29" i="24" s="1"/>
  <c r="AC29" i="24" s="1"/>
  <c r="AD29" i="24" s="1"/>
  <c r="G60" i="27" s="1"/>
  <c r="J29" i="24"/>
  <c r="AI29" i="24"/>
  <c r="AJ29" i="24"/>
  <c r="AK29" i="24"/>
  <c r="AL29" i="24" s="1"/>
  <c r="AM29" i="24" s="1"/>
  <c r="AN29" i="24" s="1"/>
  <c r="H60" i="27" s="1"/>
  <c r="K29" i="24"/>
  <c r="AR29" i="24"/>
  <c r="H30" i="24"/>
  <c r="O30" i="24"/>
  <c r="P30" i="24"/>
  <c r="AF30" i="21"/>
  <c r="AC30" i="21"/>
  <c r="T30" i="21"/>
  <c r="I30" i="24"/>
  <c r="Y30" i="24"/>
  <c r="Z30" i="24"/>
  <c r="J30" i="24"/>
  <c r="AI30" i="24"/>
  <c r="AJ30" i="24"/>
  <c r="K30" i="24"/>
  <c r="AR30" i="24"/>
  <c r="BA30" i="24" s="1"/>
  <c r="BB30" i="24" s="1"/>
  <c r="AS30" i="24"/>
  <c r="H31" i="24"/>
  <c r="O31" i="24" s="1"/>
  <c r="P31" i="24" s="1"/>
  <c r="AF31" i="21"/>
  <c r="AC31" i="21"/>
  <c r="AH31" i="21"/>
  <c r="T31" i="21"/>
  <c r="AJ31" i="21"/>
  <c r="I31" i="24"/>
  <c r="Y31" i="24" s="1"/>
  <c r="Z31" i="24" s="1"/>
  <c r="J31" i="24"/>
  <c r="AI31" i="24" s="1"/>
  <c r="AJ31" i="24" s="1"/>
  <c r="K31" i="24"/>
  <c r="AR31" i="24" s="1"/>
  <c r="K28" i="24"/>
  <c r="AR28" i="24" s="1"/>
  <c r="BA28" i="24" s="1"/>
  <c r="BB28" i="24" s="1"/>
  <c r="H28" i="24"/>
  <c r="O28" i="24"/>
  <c r="P28" i="24" s="1"/>
  <c r="Q28" i="24" s="1"/>
  <c r="R28" i="24" s="1"/>
  <c r="I28" i="24"/>
  <c r="Y28" i="24"/>
  <c r="Z28" i="24" s="1"/>
  <c r="AA28" i="24" s="1"/>
  <c r="AB28" i="24" s="1"/>
  <c r="AF28" i="21"/>
  <c r="AH28" i="21" s="1"/>
  <c r="AI28" i="21" s="1"/>
  <c r="AC28" i="21"/>
  <c r="M28" i="24"/>
  <c r="BC28" i="24"/>
  <c r="N28" i="24"/>
  <c r="T28" i="21"/>
  <c r="J28" i="24"/>
  <c r="AI28" i="24"/>
  <c r="AJ28" i="24"/>
  <c r="AK28" i="24"/>
  <c r="AL28" i="24" s="1"/>
  <c r="I40" i="18"/>
  <c r="Y40" i="18"/>
  <c r="Z40" i="18" s="1"/>
  <c r="J40" i="18"/>
  <c r="AI40" i="18"/>
  <c r="AJ40" i="18"/>
  <c r="K40" i="18"/>
  <c r="AR40" i="18"/>
  <c r="BA40" i="18" s="1"/>
  <c r="BB40" i="18" s="1"/>
  <c r="AS40" i="18"/>
  <c r="H40" i="18"/>
  <c r="O40" i="18"/>
  <c r="I41" i="18"/>
  <c r="Y41" i="18"/>
  <c r="Z41" i="18"/>
  <c r="J41" i="18"/>
  <c r="AI41" i="18" s="1"/>
  <c r="AJ41" i="18" s="1"/>
  <c r="K41" i="18"/>
  <c r="AR41" i="18" s="1"/>
  <c r="H41" i="18"/>
  <c r="O41" i="18" s="1"/>
  <c r="I42" i="18"/>
  <c r="Y42" i="18"/>
  <c r="Z42" i="18" s="1"/>
  <c r="J42" i="18"/>
  <c r="AI42" i="18"/>
  <c r="AJ42" i="18"/>
  <c r="K42" i="18"/>
  <c r="AR42" i="18"/>
  <c r="BA42" i="18" s="1"/>
  <c r="BB42" i="18" s="1"/>
  <c r="AS42" i="18"/>
  <c r="H42" i="18"/>
  <c r="O42" i="18"/>
  <c r="I43" i="18"/>
  <c r="Y43" i="18"/>
  <c r="Z43" i="18" s="1"/>
  <c r="J43" i="18"/>
  <c r="AI43" i="18" s="1"/>
  <c r="AJ43" i="18" s="1"/>
  <c r="K43" i="18"/>
  <c r="AR43" i="18" s="1"/>
  <c r="H43" i="18"/>
  <c r="O43" i="18" s="1"/>
  <c r="I44" i="18"/>
  <c r="Y44" i="18"/>
  <c r="Z44" i="18" s="1"/>
  <c r="J44" i="18"/>
  <c r="AI44" i="18"/>
  <c r="AJ44" i="18"/>
  <c r="K44" i="18"/>
  <c r="AR44" i="18"/>
  <c r="H44" i="18"/>
  <c r="O44" i="18"/>
  <c r="I45" i="18"/>
  <c r="Y45" i="18"/>
  <c r="Z45" i="18"/>
  <c r="J45" i="18"/>
  <c r="AI45" i="18" s="1"/>
  <c r="AJ45" i="18" s="1"/>
  <c r="K45" i="18"/>
  <c r="AR45" i="18" s="1"/>
  <c r="H45" i="18"/>
  <c r="O45" i="18" s="1"/>
  <c r="I46" i="18"/>
  <c r="Y46" i="18" s="1"/>
  <c r="Z46" i="18" s="1"/>
  <c r="J46" i="18"/>
  <c r="AI46" i="18"/>
  <c r="AJ46" i="18"/>
  <c r="K46" i="18"/>
  <c r="AR46" i="18"/>
  <c r="AS46" i="18"/>
  <c r="H46" i="18"/>
  <c r="O46" i="18"/>
  <c r="BA46" i="18"/>
  <c r="BB46" i="18"/>
  <c r="I48" i="18"/>
  <c r="Y48" i="18"/>
  <c r="Z48" i="18"/>
  <c r="J48" i="18"/>
  <c r="AI48" i="18" s="1"/>
  <c r="AJ48" i="18" s="1"/>
  <c r="K48" i="18"/>
  <c r="AR48" i="18" s="1"/>
  <c r="H48" i="18"/>
  <c r="O48" i="18" s="1"/>
  <c r="I49" i="18"/>
  <c r="Y49" i="18" s="1"/>
  <c r="Z49" i="18" s="1"/>
  <c r="J49" i="18"/>
  <c r="AI49" i="18"/>
  <c r="AJ49" i="18"/>
  <c r="K49" i="18"/>
  <c r="AR49" i="18"/>
  <c r="AS49" i="18"/>
  <c r="H49" i="18"/>
  <c r="O49" i="18"/>
  <c r="BA49" i="18"/>
  <c r="BB49" i="18"/>
  <c r="I50" i="18"/>
  <c r="Y50" i="18"/>
  <c r="Z50" i="18"/>
  <c r="J50" i="18"/>
  <c r="AI50" i="18" s="1"/>
  <c r="AJ50" i="18" s="1"/>
  <c r="K50" i="18"/>
  <c r="AR50" i="18" s="1"/>
  <c r="H50" i="18"/>
  <c r="O50" i="18" s="1"/>
  <c r="I51" i="18"/>
  <c r="Y51" i="18" s="1"/>
  <c r="J51" i="18"/>
  <c r="AI51" i="18"/>
  <c r="AJ51" i="18"/>
  <c r="K51" i="18"/>
  <c r="AR51" i="18"/>
  <c r="AS51" i="18"/>
  <c r="H51" i="18"/>
  <c r="O51" i="18"/>
  <c r="I52" i="18"/>
  <c r="Y52" i="18"/>
  <c r="Z52" i="18"/>
  <c r="J52" i="18"/>
  <c r="AI52" i="18" s="1"/>
  <c r="AJ52" i="18" s="1"/>
  <c r="K52" i="18"/>
  <c r="AR52" i="18" s="1"/>
  <c r="H52" i="18"/>
  <c r="O52" i="18" s="1"/>
  <c r="I53" i="18"/>
  <c r="Y53" i="18" s="1"/>
  <c r="Z53" i="18" s="1"/>
  <c r="J53" i="18"/>
  <c r="AI53" i="18"/>
  <c r="AJ53" i="18"/>
  <c r="K53" i="18"/>
  <c r="AR53" i="18"/>
  <c r="H53" i="18"/>
  <c r="O53" i="18"/>
  <c r="I54" i="18"/>
  <c r="Y54" i="18"/>
  <c r="J54" i="18"/>
  <c r="AI54" i="18"/>
  <c r="AJ54" i="18"/>
  <c r="K54" i="18"/>
  <c r="AR54" i="18"/>
  <c r="AS54" i="18"/>
  <c r="H54" i="18"/>
  <c r="O54" i="18"/>
  <c r="I55" i="18"/>
  <c r="Y55" i="18"/>
  <c r="Z55" i="18"/>
  <c r="M55" i="18"/>
  <c r="J55" i="18"/>
  <c r="AI55" i="18"/>
  <c r="AJ55" i="18"/>
  <c r="K55" i="18"/>
  <c r="AR55" i="18"/>
  <c r="H55" i="18"/>
  <c r="O55" i="18"/>
  <c r="I56" i="18"/>
  <c r="Y56" i="18"/>
  <c r="J56" i="18"/>
  <c r="AI56" i="18"/>
  <c r="AJ56" i="18"/>
  <c r="K56" i="18"/>
  <c r="AR56" i="18"/>
  <c r="AS56" i="18"/>
  <c r="H56" i="18"/>
  <c r="O56" i="18"/>
  <c r="I57" i="18"/>
  <c r="Y57" i="18"/>
  <c r="Z57" i="18"/>
  <c r="M57" i="18"/>
  <c r="Q57" i="18" s="1"/>
  <c r="J57" i="18"/>
  <c r="AI57" i="18"/>
  <c r="AJ57" i="18"/>
  <c r="K57" i="18"/>
  <c r="AR57" i="18"/>
  <c r="H57" i="18"/>
  <c r="O57" i="18"/>
  <c r="I58" i="18"/>
  <c r="Y58" i="18"/>
  <c r="Z58" i="18" s="1"/>
  <c r="J58" i="18"/>
  <c r="AI58" i="18" s="1"/>
  <c r="AJ58" i="18" s="1"/>
  <c r="K58" i="18"/>
  <c r="AR58" i="18" s="1"/>
  <c r="H58" i="18"/>
  <c r="O58" i="18" s="1"/>
  <c r="I59" i="18"/>
  <c r="Y59" i="18"/>
  <c r="Z59" i="18"/>
  <c r="M59" i="18"/>
  <c r="AK59" i="18" s="1"/>
  <c r="N59" i="18"/>
  <c r="J59" i="18"/>
  <c r="AI59" i="18"/>
  <c r="AJ59" i="18"/>
  <c r="K59" i="18"/>
  <c r="AR59" i="18"/>
  <c r="BA59" i="18" s="1"/>
  <c r="BB59" i="18" s="1"/>
  <c r="AS59" i="18"/>
  <c r="AT59" i="18"/>
  <c r="H59" i="18"/>
  <c r="O59" i="18"/>
  <c r="I60" i="18"/>
  <c r="Y60" i="18"/>
  <c r="Z60" i="18"/>
  <c r="J60" i="18"/>
  <c r="AI60" i="18" s="1"/>
  <c r="AJ60" i="18" s="1"/>
  <c r="K60" i="18"/>
  <c r="AR60" i="18" s="1"/>
  <c r="H60" i="18"/>
  <c r="O60" i="18"/>
  <c r="I61" i="18"/>
  <c r="Y61" i="18"/>
  <c r="Z61" i="18"/>
  <c r="M61" i="18"/>
  <c r="AK61" i="18" s="1"/>
  <c r="N61" i="18"/>
  <c r="J61" i="18"/>
  <c r="AI61" i="18"/>
  <c r="AJ61" i="18"/>
  <c r="K61" i="18"/>
  <c r="AR61" i="18"/>
  <c r="BA61" i="18" s="1"/>
  <c r="BB61" i="18" s="1"/>
  <c r="AS61" i="18"/>
  <c r="H61" i="18"/>
  <c r="O61" i="18"/>
  <c r="I62" i="18"/>
  <c r="Y62" i="18"/>
  <c r="Z62" i="18"/>
  <c r="J62" i="18"/>
  <c r="AI62" i="18" s="1"/>
  <c r="AJ62" i="18" s="1"/>
  <c r="K62" i="18"/>
  <c r="AR62" i="18" s="1"/>
  <c r="H62" i="18"/>
  <c r="O62" i="18" s="1"/>
  <c r="I63" i="18"/>
  <c r="Y63" i="18"/>
  <c r="Z63" i="18"/>
  <c r="N63" i="18"/>
  <c r="J63" i="18"/>
  <c r="AI63" i="18"/>
  <c r="AJ63" i="18" s="1"/>
  <c r="K63" i="18"/>
  <c r="AR63" i="18"/>
  <c r="BA63" i="18" s="1"/>
  <c r="BB63" i="18" s="1"/>
  <c r="AS63" i="18"/>
  <c r="H63" i="18"/>
  <c r="O63" i="18"/>
  <c r="I64" i="18"/>
  <c r="Y64" i="18"/>
  <c r="Z64" i="18"/>
  <c r="J64" i="18"/>
  <c r="AI64" i="18" s="1"/>
  <c r="AJ64" i="18" s="1"/>
  <c r="K64" i="18"/>
  <c r="AR64" i="18" s="1"/>
  <c r="H64" i="18"/>
  <c r="O64" i="18" s="1"/>
  <c r="I65" i="18"/>
  <c r="Y65" i="18"/>
  <c r="Z65" i="18"/>
  <c r="J65" i="18"/>
  <c r="AI65" i="18"/>
  <c r="AJ65" i="18"/>
  <c r="K65" i="18"/>
  <c r="AR65" i="18"/>
  <c r="AS65" i="18"/>
  <c r="H65" i="18"/>
  <c r="O65" i="18"/>
  <c r="BA65" i="18"/>
  <c r="BB65" i="18" s="1"/>
  <c r="I66" i="18"/>
  <c r="Y66" i="18"/>
  <c r="Z66" i="18"/>
  <c r="J66" i="18"/>
  <c r="AI66" i="18" s="1"/>
  <c r="AJ66" i="18" s="1"/>
  <c r="K66" i="18"/>
  <c r="AR66" i="18" s="1"/>
  <c r="H66" i="18"/>
  <c r="O66" i="18" s="1"/>
  <c r="I67" i="18"/>
  <c r="Y67" i="18"/>
  <c r="Z67" i="18"/>
  <c r="N67" i="18"/>
  <c r="J67" i="18"/>
  <c r="AI67" i="18" s="1"/>
  <c r="AJ67" i="18" s="1"/>
  <c r="K67" i="18"/>
  <c r="AR67" i="18"/>
  <c r="BA67" i="18" s="1"/>
  <c r="BB67" i="18" s="1"/>
  <c r="BC67" i="18" s="1"/>
  <c r="AS67" i="18"/>
  <c r="H67" i="18"/>
  <c r="O67" i="18" s="1"/>
  <c r="I68" i="18"/>
  <c r="Y68" i="18"/>
  <c r="BA68" i="18" s="1"/>
  <c r="BB68" i="18" s="1"/>
  <c r="Z68" i="18"/>
  <c r="J68" i="18"/>
  <c r="AI68" i="18" s="1"/>
  <c r="AJ68" i="18" s="1"/>
  <c r="K68" i="18"/>
  <c r="AR68" i="18"/>
  <c r="AS68" i="18"/>
  <c r="H68" i="18"/>
  <c r="O68" i="18"/>
  <c r="I69" i="18"/>
  <c r="Y69" i="18"/>
  <c r="Z69" i="18"/>
  <c r="N69" i="18"/>
  <c r="J69" i="18"/>
  <c r="AI69" i="18"/>
  <c r="AJ69" i="18" s="1"/>
  <c r="K69" i="18"/>
  <c r="AR69" i="18"/>
  <c r="AS69" i="18"/>
  <c r="H69" i="18"/>
  <c r="O69" i="18"/>
  <c r="I70" i="18"/>
  <c r="Y70" i="18"/>
  <c r="Z70" i="18"/>
  <c r="J70" i="18"/>
  <c r="AI70" i="18" s="1"/>
  <c r="AJ70" i="18" s="1"/>
  <c r="K70" i="18"/>
  <c r="AR70" i="18" s="1"/>
  <c r="H70" i="18"/>
  <c r="O70" i="18" s="1"/>
  <c r="I71" i="18"/>
  <c r="Y71" i="18"/>
  <c r="Z71" i="18"/>
  <c r="AI71" i="1"/>
  <c r="M71" i="18"/>
  <c r="AA71" i="18" s="1"/>
  <c r="J71" i="18"/>
  <c r="AI71" i="18"/>
  <c r="AJ71" i="18"/>
  <c r="K71" i="18"/>
  <c r="AR71" i="18"/>
  <c r="H71" i="18"/>
  <c r="O71" i="18"/>
  <c r="I72" i="18"/>
  <c r="Y72" i="18" s="1"/>
  <c r="Z72" i="18" s="1"/>
  <c r="J72" i="18"/>
  <c r="AI72" i="18" s="1"/>
  <c r="AJ72" i="18" s="1"/>
  <c r="K72" i="18"/>
  <c r="AR72" i="18" s="1"/>
  <c r="H72" i="18"/>
  <c r="O72" i="18" s="1"/>
  <c r="I73" i="18"/>
  <c r="Y73" i="18"/>
  <c r="Z73" i="18"/>
  <c r="N73" i="18"/>
  <c r="J73" i="18"/>
  <c r="AI73" i="18"/>
  <c r="AJ73" i="18" s="1"/>
  <c r="K73" i="18"/>
  <c r="AR73" i="18"/>
  <c r="AS73" i="18"/>
  <c r="H73" i="18"/>
  <c r="O73" i="18"/>
  <c r="I74" i="18"/>
  <c r="Y74" i="18"/>
  <c r="Z74" i="18"/>
  <c r="J74" i="18"/>
  <c r="AI74" i="18" s="1"/>
  <c r="AJ74" i="18" s="1"/>
  <c r="K74" i="18"/>
  <c r="AR74" i="18" s="1"/>
  <c r="H74" i="18"/>
  <c r="O74" i="18" s="1"/>
  <c r="I75" i="18"/>
  <c r="Y75" i="18" s="1"/>
  <c r="Z75" i="18" s="1"/>
  <c r="AI75" i="1"/>
  <c r="M75" i="18" s="1"/>
  <c r="J75" i="18"/>
  <c r="AI75" i="18"/>
  <c r="AJ75" i="18"/>
  <c r="K75" i="18"/>
  <c r="AR75" i="18"/>
  <c r="AS75" i="18" s="1"/>
  <c r="H75" i="18"/>
  <c r="O75" i="18"/>
  <c r="BA75" i="18"/>
  <c r="BB75" i="18"/>
  <c r="I76" i="18"/>
  <c r="Y76" i="18"/>
  <c r="Z76" i="18"/>
  <c r="J76" i="18"/>
  <c r="AI76" i="18" s="1"/>
  <c r="AJ76" i="18" s="1"/>
  <c r="K76" i="18"/>
  <c r="AR76" i="18" s="1"/>
  <c r="H76" i="18"/>
  <c r="O76" i="18" s="1"/>
  <c r="I77" i="18"/>
  <c r="Y77" i="18" s="1"/>
  <c r="Z77" i="18"/>
  <c r="AI77" i="1"/>
  <c r="M77" i="18"/>
  <c r="J77" i="18"/>
  <c r="AI77" i="18"/>
  <c r="AJ77" i="18"/>
  <c r="K77" i="18"/>
  <c r="AR77" i="18"/>
  <c r="AS77" i="18"/>
  <c r="H77" i="18"/>
  <c r="O77" i="18"/>
  <c r="BA77" i="18"/>
  <c r="BB77" i="18" s="1"/>
  <c r="I78" i="18"/>
  <c r="Y78" i="18"/>
  <c r="Z78" i="18"/>
  <c r="J78" i="18"/>
  <c r="AI78" i="18" s="1"/>
  <c r="AJ78" i="18" s="1"/>
  <c r="K78" i="18"/>
  <c r="AR78" i="18" s="1"/>
  <c r="H78" i="18"/>
  <c r="O78" i="18" s="1"/>
  <c r="I79" i="18"/>
  <c r="Y79" i="18" s="1"/>
  <c r="Z79" i="18" s="1"/>
  <c r="N79" i="18"/>
  <c r="J79" i="18"/>
  <c r="AI79" i="18"/>
  <c r="AJ79" i="18"/>
  <c r="K79" i="18"/>
  <c r="AR79" i="18"/>
  <c r="AS79" i="18"/>
  <c r="H79" i="18"/>
  <c r="O79" i="18" s="1"/>
  <c r="I80" i="18"/>
  <c r="Y80" i="18"/>
  <c r="Z80" i="18"/>
  <c r="J80" i="18"/>
  <c r="AI80" i="18" s="1"/>
  <c r="AJ80" i="18" s="1"/>
  <c r="K80" i="18"/>
  <c r="AR80" i="18" s="1"/>
  <c r="H80" i="18"/>
  <c r="O80" i="18" s="1"/>
  <c r="I81" i="18"/>
  <c r="Y81" i="18"/>
  <c r="Z81" i="18"/>
  <c r="J81" i="18"/>
  <c r="AI81" i="18"/>
  <c r="AJ81" i="18"/>
  <c r="K81" i="18"/>
  <c r="AR81" i="18"/>
  <c r="BA81" i="18" s="1"/>
  <c r="BB81" i="18" s="1"/>
  <c r="AS81" i="18"/>
  <c r="H81" i="18"/>
  <c r="O81" i="18"/>
  <c r="I82" i="18"/>
  <c r="Y82" i="18"/>
  <c r="Z82" i="18"/>
  <c r="AI82" i="1"/>
  <c r="M82" i="18" s="1"/>
  <c r="AK82" i="18" s="1"/>
  <c r="N82" i="18"/>
  <c r="J82" i="18"/>
  <c r="AI82" i="18" s="1"/>
  <c r="AJ82" i="18" s="1"/>
  <c r="K82" i="18"/>
  <c r="AR82" i="18" s="1"/>
  <c r="H82" i="18"/>
  <c r="O82" i="18" s="1"/>
  <c r="I83" i="18"/>
  <c r="Y83" i="18" s="1"/>
  <c r="Z83" i="18"/>
  <c r="J83" i="18"/>
  <c r="AI83" i="18"/>
  <c r="AJ83" i="18"/>
  <c r="K83" i="18"/>
  <c r="AR83" i="18" s="1"/>
  <c r="H83" i="18"/>
  <c r="O83" i="18" s="1"/>
  <c r="I84" i="18"/>
  <c r="Y84" i="18"/>
  <c r="Z84" i="18"/>
  <c r="AI84" i="1"/>
  <c r="M84" i="18" s="1"/>
  <c r="N84" i="18"/>
  <c r="J84" i="18"/>
  <c r="AI84" i="18"/>
  <c r="AJ84" i="18"/>
  <c r="K84" i="18"/>
  <c r="AR84" i="18"/>
  <c r="BA84" i="18" s="1"/>
  <c r="BB84" i="18" s="1"/>
  <c r="AS84" i="18"/>
  <c r="H84" i="18"/>
  <c r="O84" i="18"/>
  <c r="I85" i="18"/>
  <c r="Y85" i="18" s="1"/>
  <c r="Z85" i="18" s="1"/>
  <c r="J85" i="18"/>
  <c r="AI85" i="18" s="1"/>
  <c r="AJ85" i="18" s="1"/>
  <c r="K85" i="18"/>
  <c r="AR85" i="18" s="1"/>
  <c r="H85" i="18"/>
  <c r="O85" i="18" s="1"/>
  <c r="I86" i="18"/>
  <c r="Y86" i="18"/>
  <c r="Z86" i="18"/>
  <c r="J86" i="18"/>
  <c r="AI86" i="18"/>
  <c r="AJ86" i="18"/>
  <c r="K86" i="18"/>
  <c r="AR86" i="18"/>
  <c r="BA86" i="18" s="1"/>
  <c r="BB86" i="18" s="1"/>
  <c r="AS86" i="18"/>
  <c r="H86" i="18"/>
  <c r="O86" i="18"/>
  <c r="I87" i="18"/>
  <c r="Y87" i="18"/>
  <c r="Z87" i="18"/>
  <c r="AI87" i="1"/>
  <c r="M87" i="18" s="1"/>
  <c r="Q87" i="18" s="1"/>
  <c r="R87" i="18" s="1"/>
  <c r="S87" i="18" s="1"/>
  <c r="T87" i="18" s="1"/>
  <c r="F102" i="27" s="1"/>
  <c r="N87" i="18"/>
  <c r="J87" i="18"/>
  <c r="AI87" i="18" s="1"/>
  <c r="AJ87" i="18" s="1"/>
  <c r="K87" i="18"/>
  <c r="AR87" i="18" s="1"/>
  <c r="H87" i="18"/>
  <c r="O87" i="18" s="1"/>
  <c r="I88" i="18"/>
  <c r="Y88" i="18"/>
  <c r="Z88" i="18"/>
  <c r="J88" i="18"/>
  <c r="AI88" i="18"/>
  <c r="AJ88" i="18"/>
  <c r="K88" i="18"/>
  <c r="AR88" i="18"/>
  <c r="BA88" i="18" s="1"/>
  <c r="BB88" i="18" s="1"/>
  <c r="AS88" i="18"/>
  <c r="H88" i="18"/>
  <c r="O88" i="18"/>
  <c r="I89" i="18"/>
  <c r="Y89" i="18"/>
  <c r="Z89" i="18"/>
  <c r="AI89" i="1"/>
  <c r="M89" i="18" s="1"/>
  <c r="N89" i="18"/>
  <c r="J89" i="18"/>
  <c r="AI89" i="18" s="1"/>
  <c r="AJ89" i="18" s="1"/>
  <c r="K89" i="18"/>
  <c r="AR89" i="18" s="1"/>
  <c r="H89" i="18"/>
  <c r="O89" i="18" s="1"/>
  <c r="I90" i="18"/>
  <c r="Y90" i="18"/>
  <c r="Z90" i="18"/>
  <c r="J90" i="18"/>
  <c r="AI90" i="18"/>
  <c r="AJ90" i="18"/>
  <c r="K90" i="18"/>
  <c r="AR90" i="18"/>
  <c r="H90" i="18"/>
  <c r="O90" i="18"/>
  <c r="I91" i="18"/>
  <c r="Y91" i="18"/>
  <c r="Z91" i="18"/>
  <c r="J91" i="18"/>
  <c r="AI91" i="18" s="1"/>
  <c r="AJ91" i="18" s="1"/>
  <c r="K91" i="18"/>
  <c r="AR91" i="18" s="1"/>
  <c r="H91" i="18"/>
  <c r="O91" i="18" s="1"/>
  <c r="I92" i="18"/>
  <c r="Y92" i="18"/>
  <c r="Z92" i="18"/>
  <c r="AI92" i="1"/>
  <c r="M92" i="18" s="1"/>
  <c r="AK92" i="18" s="1"/>
  <c r="AL92" i="18" s="1"/>
  <c r="AM92" i="18" s="1"/>
  <c r="AN92" i="18" s="1"/>
  <c r="H107" i="27" s="1"/>
  <c r="N92" i="18"/>
  <c r="J92" i="18"/>
  <c r="AI92" i="18"/>
  <c r="AJ92" i="18"/>
  <c r="K92" i="18"/>
  <c r="AR92" i="18" s="1"/>
  <c r="AS92" i="18" s="1"/>
  <c r="H92" i="18"/>
  <c r="O92" i="18"/>
  <c r="I93" i="18"/>
  <c r="Y93" i="18"/>
  <c r="Z93" i="18"/>
  <c r="J93" i="18"/>
  <c r="AI93" i="18" s="1"/>
  <c r="AJ93" i="18" s="1"/>
  <c r="K93" i="18"/>
  <c r="AR93" i="18" s="1"/>
  <c r="H93" i="18"/>
  <c r="O93" i="18" s="1"/>
  <c r="I94" i="18"/>
  <c r="Y94" i="18"/>
  <c r="Z94" i="18"/>
  <c r="AI94" i="1"/>
  <c r="M94" i="18" s="1"/>
  <c r="N94" i="18"/>
  <c r="J94" i="18"/>
  <c r="AI94" i="18"/>
  <c r="AJ94" i="18"/>
  <c r="K94" i="18"/>
  <c r="AR94" i="18"/>
  <c r="AS94" i="18"/>
  <c r="H94" i="18"/>
  <c r="O94" i="18"/>
  <c r="BA94" i="18" s="1"/>
  <c r="BB94" i="18" s="1"/>
  <c r="I95" i="18"/>
  <c r="Y95" i="18"/>
  <c r="Z95" i="18"/>
  <c r="AI95" i="1"/>
  <c r="M95" i="18" s="1"/>
  <c r="N95" i="18"/>
  <c r="J95" i="18"/>
  <c r="AI95" i="18" s="1"/>
  <c r="AJ95" i="18" s="1"/>
  <c r="K95" i="18"/>
  <c r="AR95" i="18" s="1"/>
  <c r="H95" i="18"/>
  <c r="O95" i="18" s="1"/>
  <c r="I96" i="18"/>
  <c r="Y96" i="18"/>
  <c r="Z96" i="18"/>
  <c r="AI96" i="1"/>
  <c r="M96" i="18" s="1"/>
  <c r="N96" i="18"/>
  <c r="J96" i="18"/>
  <c r="AI96" i="18"/>
  <c r="AJ96" i="18"/>
  <c r="K96" i="18"/>
  <c r="AR96" i="18"/>
  <c r="BA96" i="18" s="1"/>
  <c r="BB96" i="18" s="1"/>
  <c r="AS96" i="18"/>
  <c r="H96" i="18"/>
  <c r="O96" i="18"/>
  <c r="I97" i="18"/>
  <c r="Y97" i="18"/>
  <c r="Z97" i="18"/>
  <c r="AI97" i="1"/>
  <c r="M97" i="18" s="1"/>
  <c r="N97" i="18"/>
  <c r="J97" i="18"/>
  <c r="AI97" i="18" s="1"/>
  <c r="AJ97" i="18" s="1"/>
  <c r="K97" i="18"/>
  <c r="AR97" i="18" s="1"/>
  <c r="H97" i="18"/>
  <c r="O97" i="18" s="1"/>
  <c r="I98" i="18"/>
  <c r="Y98" i="18"/>
  <c r="Z98" i="18"/>
  <c r="J98" i="18"/>
  <c r="AI98" i="18"/>
  <c r="AJ98" i="18"/>
  <c r="K98" i="18"/>
  <c r="AR98" i="18"/>
  <c r="AS98" i="18"/>
  <c r="H98" i="18"/>
  <c r="O98" i="18" s="1"/>
  <c r="I99" i="18"/>
  <c r="Y99" i="18"/>
  <c r="Z99" i="18" s="1"/>
  <c r="J99" i="18"/>
  <c r="AI99" i="18" s="1"/>
  <c r="AJ99" i="18" s="1"/>
  <c r="K99" i="18"/>
  <c r="AR99" i="18" s="1"/>
  <c r="H99" i="18"/>
  <c r="O99" i="18" s="1"/>
  <c r="I100" i="18"/>
  <c r="Y100" i="18"/>
  <c r="Z100" i="18"/>
  <c r="J100" i="18"/>
  <c r="AI100" i="18"/>
  <c r="AJ100" i="18"/>
  <c r="K100" i="18"/>
  <c r="AR100" i="18"/>
  <c r="BA100" i="18" s="1"/>
  <c r="BB100" i="18" s="1"/>
  <c r="AS100" i="18"/>
  <c r="H100" i="18"/>
  <c r="O100" i="18" s="1"/>
  <c r="I101" i="18"/>
  <c r="Y101" i="18"/>
  <c r="Z101" i="18" s="1"/>
  <c r="J101" i="18"/>
  <c r="AI101" i="18" s="1"/>
  <c r="AJ101" i="18" s="1"/>
  <c r="K101" i="18"/>
  <c r="AR101" i="18" s="1"/>
  <c r="H101" i="18"/>
  <c r="O101" i="18" s="1"/>
  <c r="I102" i="18"/>
  <c r="Y102" i="18"/>
  <c r="Z102" i="18"/>
  <c r="AI102" i="1"/>
  <c r="M102" i="18"/>
  <c r="N102" i="18"/>
  <c r="J102" i="18"/>
  <c r="AI102" i="18"/>
  <c r="AJ102" i="18"/>
  <c r="K102" i="18"/>
  <c r="AR102" i="18"/>
  <c r="AS102" i="18"/>
  <c r="H102" i="18"/>
  <c r="O102" i="18" s="1"/>
  <c r="I103" i="18"/>
  <c r="Y103" i="18"/>
  <c r="Z103" i="18" s="1"/>
  <c r="AI103" i="1"/>
  <c r="M103" i="18" s="1"/>
  <c r="Q103" i="18" s="1"/>
  <c r="N103" i="18"/>
  <c r="J103" i="18"/>
  <c r="AI103" i="18" s="1"/>
  <c r="AJ103" i="18" s="1"/>
  <c r="K103" i="18"/>
  <c r="AR103" i="18" s="1"/>
  <c r="H103" i="18"/>
  <c r="O103" i="18" s="1"/>
  <c r="I104" i="18"/>
  <c r="Y104" i="18"/>
  <c r="Z104" i="18"/>
  <c r="AI104" i="1"/>
  <c r="M104" i="18" s="1"/>
  <c r="Q104" i="18" s="1"/>
  <c r="N104" i="18"/>
  <c r="J104" i="18"/>
  <c r="AI104" i="18"/>
  <c r="AJ104" i="18"/>
  <c r="K104" i="18"/>
  <c r="AR104" i="18"/>
  <c r="AS104" i="18"/>
  <c r="H104" i="18"/>
  <c r="O104" i="18" s="1"/>
  <c r="I105" i="18"/>
  <c r="Y105" i="18" s="1"/>
  <c r="Z105" i="18" s="1"/>
  <c r="J105" i="18"/>
  <c r="AI105" i="18" s="1"/>
  <c r="AJ105" i="18" s="1"/>
  <c r="K105" i="18"/>
  <c r="AR105" i="18" s="1"/>
  <c r="H105" i="18"/>
  <c r="O105" i="18" s="1"/>
  <c r="I106" i="18"/>
  <c r="Y106" i="18"/>
  <c r="Z106" i="18"/>
  <c r="AI106" i="1"/>
  <c r="M106" i="18"/>
  <c r="N106" i="18"/>
  <c r="J106" i="18"/>
  <c r="AI106" i="18"/>
  <c r="AJ106" i="18"/>
  <c r="K106" i="18"/>
  <c r="AR106" i="18"/>
  <c r="AS106" i="18"/>
  <c r="H106" i="18"/>
  <c r="O106" i="18" s="1"/>
  <c r="I107" i="18"/>
  <c r="Y107" i="18"/>
  <c r="Z107" i="18" s="1"/>
  <c r="AI107" i="1"/>
  <c r="M107" i="18" s="1"/>
  <c r="N107" i="18"/>
  <c r="J107" i="18"/>
  <c r="AI107" i="18" s="1"/>
  <c r="AJ107" i="18" s="1"/>
  <c r="AK107" i="18" s="1"/>
  <c r="AL107" i="18" s="1"/>
  <c r="AM107" i="18" s="1"/>
  <c r="AN107" i="18" s="1"/>
  <c r="H122" i="27" s="1"/>
  <c r="K107" i="18"/>
  <c r="AR107" i="18" s="1"/>
  <c r="H107" i="18"/>
  <c r="O107" i="18" s="1"/>
  <c r="I109" i="18"/>
  <c r="Y109" i="18"/>
  <c r="Z109" i="18"/>
  <c r="AI109" i="1"/>
  <c r="M109" i="18" s="1"/>
  <c r="N109" i="18"/>
  <c r="J109" i="18"/>
  <c r="AI109" i="18"/>
  <c r="AJ109" i="18"/>
  <c r="K109" i="18"/>
  <c r="AR109" i="18"/>
  <c r="AS109" i="18"/>
  <c r="H109" i="18"/>
  <c r="O109" i="18" s="1"/>
  <c r="I110" i="18"/>
  <c r="Y110" i="18" s="1"/>
  <c r="Z110" i="18" s="1"/>
  <c r="J110" i="18"/>
  <c r="AI110" i="18" s="1"/>
  <c r="AJ110" i="18" s="1"/>
  <c r="K110" i="18"/>
  <c r="AR110" i="18" s="1"/>
  <c r="H110" i="18"/>
  <c r="O110" i="18" s="1"/>
  <c r="I111" i="18"/>
  <c r="Y111" i="18" s="1"/>
  <c r="J111" i="18"/>
  <c r="AI111" i="18"/>
  <c r="AJ111" i="18"/>
  <c r="K111" i="18"/>
  <c r="AR111" i="18"/>
  <c r="AS111" i="18"/>
  <c r="H111" i="18"/>
  <c r="O111" i="18"/>
  <c r="I112" i="18"/>
  <c r="Y112" i="18"/>
  <c r="Z112" i="18"/>
  <c r="J112" i="18"/>
  <c r="AI112" i="18" s="1"/>
  <c r="AJ112" i="18" s="1"/>
  <c r="K112" i="18"/>
  <c r="AR112" i="18" s="1"/>
  <c r="H112" i="18"/>
  <c r="O112" i="18"/>
  <c r="I113" i="18"/>
  <c r="Y113" i="18" s="1"/>
  <c r="J113" i="18"/>
  <c r="AI113" i="18"/>
  <c r="AJ113" i="18"/>
  <c r="K113" i="18"/>
  <c r="AR113" i="18"/>
  <c r="AS113" i="18"/>
  <c r="H113" i="18"/>
  <c r="O113" i="18"/>
  <c r="I114" i="18"/>
  <c r="Y114" i="18"/>
  <c r="Z114" i="18"/>
  <c r="AI114" i="1"/>
  <c r="M114" i="18"/>
  <c r="N114" i="18"/>
  <c r="J114" i="18"/>
  <c r="AI114" i="18"/>
  <c r="AJ114" i="18" s="1"/>
  <c r="AK114" i="18" s="1"/>
  <c r="K114" i="18"/>
  <c r="AR114" i="18" s="1"/>
  <c r="H114" i="18"/>
  <c r="O114" i="18"/>
  <c r="I115" i="18"/>
  <c r="Y115" i="18" s="1"/>
  <c r="AI115" i="1"/>
  <c r="M115" i="18"/>
  <c r="N115" i="18"/>
  <c r="J115" i="18"/>
  <c r="AI115" i="18"/>
  <c r="AJ115" i="18"/>
  <c r="K115" i="18"/>
  <c r="AR115" i="18"/>
  <c r="AS115" i="18"/>
  <c r="H115" i="18"/>
  <c r="O115" i="18"/>
  <c r="I116" i="18"/>
  <c r="Y116" i="18"/>
  <c r="Z116" i="18"/>
  <c r="AI116" i="1"/>
  <c r="M116" i="18"/>
  <c r="N116" i="18"/>
  <c r="J116" i="18"/>
  <c r="AI116" i="18" s="1"/>
  <c r="AJ116" i="18" s="1"/>
  <c r="K116" i="18"/>
  <c r="AR116" i="18" s="1"/>
  <c r="H116" i="18"/>
  <c r="O116" i="18"/>
  <c r="I117" i="18"/>
  <c r="Y117" i="18" s="1"/>
  <c r="J117" i="18"/>
  <c r="AI117" i="18"/>
  <c r="AJ117" i="18"/>
  <c r="K117" i="18"/>
  <c r="AR117" i="18"/>
  <c r="AS117" i="18"/>
  <c r="H117" i="18"/>
  <c r="O117" i="18"/>
  <c r="I118" i="18"/>
  <c r="Y118" i="18"/>
  <c r="Z118" i="18"/>
  <c r="AI118" i="1"/>
  <c r="M118" i="18"/>
  <c r="Q118" i="18" s="1"/>
  <c r="R118" i="18" s="1"/>
  <c r="V118" i="18" s="1"/>
  <c r="W118" i="18" s="1"/>
  <c r="X118" i="18" s="1"/>
  <c r="N118" i="18"/>
  <c r="J118" i="18"/>
  <c r="AI118" i="18"/>
  <c r="AJ118" i="18" s="1"/>
  <c r="K118" i="18"/>
  <c r="AR118" i="18"/>
  <c r="H118" i="18"/>
  <c r="O118" i="18" s="1"/>
  <c r="I119" i="18"/>
  <c r="Y119" i="18" s="1"/>
  <c r="Z119" i="18" s="1"/>
  <c r="AI119" i="1"/>
  <c r="M119" i="18" s="1"/>
  <c r="Q119" i="18" s="1"/>
  <c r="R119" i="18" s="1"/>
  <c r="N119" i="18"/>
  <c r="J119" i="18"/>
  <c r="AI119" i="18"/>
  <c r="AJ119" i="18"/>
  <c r="K119" i="18"/>
  <c r="AR119" i="18"/>
  <c r="AS119" i="18"/>
  <c r="H119" i="18"/>
  <c r="O119" i="18"/>
  <c r="I120" i="18"/>
  <c r="Y120" i="18"/>
  <c r="Z120" i="18"/>
  <c r="AI120" i="1"/>
  <c r="M120" i="18" s="1"/>
  <c r="Q120" i="18" s="1"/>
  <c r="R120" i="18" s="1"/>
  <c r="N120" i="18"/>
  <c r="J120" i="18"/>
  <c r="AI120" i="18"/>
  <c r="AJ120" i="18" s="1"/>
  <c r="K120" i="18"/>
  <c r="AR120" i="18"/>
  <c r="H120" i="18"/>
  <c r="O120" i="18"/>
  <c r="I121" i="18"/>
  <c r="Y121" i="18" s="1"/>
  <c r="Z121" i="18" s="1"/>
  <c r="AI121" i="1"/>
  <c r="M121" i="18" s="1"/>
  <c r="AK121" i="18" s="1"/>
  <c r="N121" i="18"/>
  <c r="J121" i="18"/>
  <c r="AI121" i="18"/>
  <c r="AJ121" i="18"/>
  <c r="K121" i="18"/>
  <c r="AR121" i="18"/>
  <c r="AS121" i="18"/>
  <c r="H121" i="18"/>
  <c r="O121" i="18"/>
  <c r="BA121" i="18"/>
  <c r="BB121" i="18"/>
  <c r="I122" i="18"/>
  <c r="Y122" i="18"/>
  <c r="Z122" i="18"/>
  <c r="J122" i="18"/>
  <c r="AI122" i="18"/>
  <c r="AJ122" i="18" s="1"/>
  <c r="K122" i="18"/>
  <c r="AR122" i="18"/>
  <c r="H122" i="18"/>
  <c r="O122" i="18"/>
  <c r="I126" i="18"/>
  <c r="Y126" i="18"/>
  <c r="Z126" i="18"/>
  <c r="AI126" i="1"/>
  <c r="M126" i="18"/>
  <c r="AA126" i="18" s="1"/>
  <c r="N126" i="18"/>
  <c r="J126" i="18"/>
  <c r="AI126" i="18"/>
  <c r="AJ126" i="18" s="1"/>
  <c r="K126" i="18"/>
  <c r="AR126" i="18"/>
  <c r="BA126" i="18" s="1"/>
  <c r="BB126" i="18" s="1"/>
  <c r="BC126" i="18" s="1"/>
  <c r="AS126" i="18"/>
  <c r="AT126" i="18" s="1"/>
  <c r="H126" i="18"/>
  <c r="O126" i="18"/>
  <c r="I127" i="18"/>
  <c r="Y127" i="18" s="1"/>
  <c r="Z127" i="18" s="1"/>
  <c r="AI127" i="1"/>
  <c r="M127" i="18" s="1"/>
  <c r="N127" i="18"/>
  <c r="J127" i="18"/>
  <c r="AI127" i="18" s="1"/>
  <c r="AJ127" i="18" s="1"/>
  <c r="K127" i="18"/>
  <c r="AR127" i="18" s="1"/>
  <c r="H127" i="18"/>
  <c r="O127" i="18" s="1"/>
  <c r="I128" i="18"/>
  <c r="Y128" i="18"/>
  <c r="Z128" i="18"/>
  <c r="J128" i="18"/>
  <c r="AI128" i="18"/>
  <c r="AJ128" i="18" s="1"/>
  <c r="K128" i="18"/>
  <c r="AR128" i="18"/>
  <c r="AS128" i="18" s="1"/>
  <c r="H128" i="18"/>
  <c r="O128" i="18"/>
  <c r="BA128" i="18"/>
  <c r="BB128" i="18" s="1"/>
  <c r="I130" i="18"/>
  <c r="Y130" i="18"/>
  <c r="Z130" i="18"/>
  <c r="AI130" i="1"/>
  <c r="M130" i="18" s="1"/>
  <c r="N130" i="18"/>
  <c r="J130" i="18"/>
  <c r="AI130" i="18" s="1"/>
  <c r="AJ130" i="18" s="1"/>
  <c r="K130" i="18"/>
  <c r="AR130" i="18" s="1"/>
  <c r="H130" i="18"/>
  <c r="O130" i="18" s="1"/>
  <c r="I131" i="18"/>
  <c r="Y131" i="18"/>
  <c r="Z131" i="18"/>
  <c r="AI131" i="1"/>
  <c r="M131" i="18"/>
  <c r="AA131" i="18" s="1"/>
  <c r="AB131" i="18" s="1"/>
  <c r="N131" i="18"/>
  <c r="J131" i="18"/>
  <c r="AI131" i="18"/>
  <c r="AJ131" i="18"/>
  <c r="K131" i="18"/>
  <c r="AR131" i="18"/>
  <c r="BA131" i="18" s="1"/>
  <c r="BB131" i="18" s="1"/>
  <c r="AS131" i="18"/>
  <c r="H131" i="18"/>
  <c r="O131" i="18"/>
  <c r="I133" i="18"/>
  <c r="Y133" i="18"/>
  <c r="Z133" i="18" s="1"/>
  <c r="AI133" i="1"/>
  <c r="M133" i="18" s="1"/>
  <c r="N133" i="18"/>
  <c r="J133" i="18"/>
  <c r="AI133" i="18" s="1"/>
  <c r="AJ133" i="18" s="1"/>
  <c r="K133" i="18"/>
  <c r="AR133" i="18" s="1"/>
  <c r="H133" i="18"/>
  <c r="O133" i="18" s="1"/>
  <c r="I134" i="18"/>
  <c r="Y134" i="18"/>
  <c r="Z134" i="18"/>
  <c r="J134" i="18"/>
  <c r="AI134" i="18"/>
  <c r="AJ134" i="18" s="1"/>
  <c r="K134" i="18"/>
  <c r="AR134" i="18"/>
  <c r="AS134" i="18" s="1"/>
  <c r="H134" i="18"/>
  <c r="O134" i="18"/>
  <c r="BA134" i="18" s="1"/>
  <c r="BB134" i="18" s="1"/>
  <c r="I135" i="18"/>
  <c r="Y135" i="18"/>
  <c r="Z135" i="18"/>
  <c r="AI135" i="1"/>
  <c r="M135" i="18" s="1"/>
  <c r="Q135" i="18" s="1"/>
  <c r="R135" i="18" s="1"/>
  <c r="S135" i="18" s="1"/>
  <c r="T135" i="18" s="1"/>
  <c r="F152" i="27" s="1"/>
  <c r="N135" i="18"/>
  <c r="J135" i="18"/>
  <c r="AI135" i="18" s="1"/>
  <c r="AJ135" i="18" s="1"/>
  <c r="K135" i="18"/>
  <c r="AR135" i="18" s="1"/>
  <c r="H135" i="18"/>
  <c r="O135" i="18" s="1"/>
  <c r="I136" i="18"/>
  <c r="Y136" i="18"/>
  <c r="Z136" i="18"/>
  <c r="J136" i="18"/>
  <c r="AI136" i="18"/>
  <c r="AJ136" i="18"/>
  <c r="K136" i="18"/>
  <c r="AR136" i="18"/>
  <c r="BA136" i="18" s="1"/>
  <c r="BB136" i="18" s="1"/>
  <c r="AS136" i="18"/>
  <c r="H136" i="18"/>
  <c r="O136" i="18"/>
  <c r="I137" i="18"/>
  <c r="Y137" i="18" s="1"/>
  <c r="Z137" i="18" s="1"/>
  <c r="AI137" i="1"/>
  <c r="M137" i="18" s="1"/>
  <c r="Q137" i="18" s="1"/>
  <c r="N137" i="18"/>
  <c r="J137" i="18"/>
  <c r="AI137" i="18" s="1"/>
  <c r="AJ137" i="18" s="1"/>
  <c r="K137" i="18"/>
  <c r="AR137" i="18" s="1"/>
  <c r="H137" i="18"/>
  <c r="O137" i="18" s="1"/>
  <c r="I138" i="18"/>
  <c r="Y138" i="18"/>
  <c r="Z138" i="18"/>
  <c r="J138" i="18"/>
  <c r="AI138" i="18"/>
  <c r="AJ138" i="18"/>
  <c r="K138" i="18"/>
  <c r="AR138" i="18"/>
  <c r="BA138" i="18" s="1"/>
  <c r="BB138" i="18" s="1"/>
  <c r="AS138" i="18"/>
  <c r="H138" i="18"/>
  <c r="O138" i="18"/>
  <c r="I139" i="18"/>
  <c r="Y139" i="18"/>
  <c r="Z139" i="18"/>
  <c r="J139" i="18"/>
  <c r="AI139" i="18" s="1"/>
  <c r="AJ139" i="18" s="1"/>
  <c r="K139" i="18"/>
  <c r="AR139" i="18" s="1"/>
  <c r="H139" i="18"/>
  <c r="O139" i="18" s="1"/>
  <c r="I140" i="18"/>
  <c r="Y140" i="18"/>
  <c r="Z140" i="18"/>
  <c r="J140" i="18"/>
  <c r="AI140" i="18"/>
  <c r="AJ140" i="18"/>
  <c r="K140" i="18"/>
  <c r="AR140" i="18"/>
  <c r="H140" i="18"/>
  <c r="O140" i="18"/>
  <c r="I141" i="18"/>
  <c r="Y141" i="18" s="1"/>
  <c r="Z141" i="18" s="1"/>
  <c r="AA141" i="18" s="1"/>
  <c r="AI141" i="1"/>
  <c r="M141" i="18" s="1"/>
  <c r="N141" i="18"/>
  <c r="J141" i="18"/>
  <c r="AI141" i="18" s="1"/>
  <c r="AJ141" i="18" s="1"/>
  <c r="K141" i="18"/>
  <c r="AR141" i="18" s="1"/>
  <c r="H141" i="18"/>
  <c r="O141" i="18" s="1"/>
  <c r="I143" i="18"/>
  <c r="Y143" i="18" s="1"/>
  <c r="Z143" i="18" s="1"/>
  <c r="J143" i="18"/>
  <c r="AI143" i="18"/>
  <c r="AJ143" i="18" s="1"/>
  <c r="K143" i="18"/>
  <c r="AR143" i="18"/>
  <c r="H143" i="18"/>
  <c r="O143" i="18"/>
  <c r="I144" i="18"/>
  <c r="Y144" i="18" s="1"/>
  <c r="Z144" i="18" s="1"/>
  <c r="AI144" i="1"/>
  <c r="M144" i="18" s="1"/>
  <c r="N144" i="18"/>
  <c r="J144" i="18"/>
  <c r="AI144" i="18"/>
  <c r="AJ144" i="18"/>
  <c r="K144" i="18"/>
  <c r="AR144" i="18"/>
  <c r="BA144" i="18" s="1"/>
  <c r="AS144" i="18"/>
  <c r="H144" i="18"/>
  <c r="O144" i="18"/>
  <c r="BB144" i="18"/>
  <c r="I145" i="18"/>
  <c r="Y145" i="18"/>
  <c r="Z145" i="18"/>
  <c r="J145" i="18"/>
  <c r="AI145" i="18"/>
  <c r="AJ145" i="18" s="1"/>
  <c r="K145" i="18"/>
  <c r="AR145" i="18" s="1"/>
  <c r="H145" i="18"/>
  <c r="O145" i="18" s="1"/>
  <c r="I146" i="18"/>
  <c r="Y146" i="18" s="1"/>
  <c r="Z146" i="18" s="1"/>
  <c r="J146" i="18"/>
  <c r="AI146" i="18"/>
  <c r="AJ146" i="18"/>
  <c r="K146" i="18"/>
  <c r="AR146" i="18"/>
  <c r="AS146" i="18"/>
  <c r="H146" i="18"/>
  <c r="O146" i="18"/>
  <c r="BA146" i="18"/>
  <c r="BB146" i="18"/>
  <c r="I147" i="18"/>
  <c r="Y147" i="18"/>
  <c r="Z147" i="18"/>
  <c r="J147" i="18"/>
  <c r="AI147" i="18"/>
  <c r="AJ147" i="18" s="1"/>
  <c r="K147" i="18"/>
  <c r="AR147" i="18"/>
  <c r="H147" i="18"/>
  <c r="O147" i="18"/>
  <c r="I148" i="18"/>
  <c r="Y148" i="18" s="1"/>
  <c r="Z148" i="18"/>
  <c r="AI148" i="1"/>
  <c r="M148" i="18"/>
  <c r="AK148" i="18" s="1"/>
  <c r="AL148" i="18" s="1"/>
  <c r="N148" i="18"/>
  <c r="J148" i="18"/>
  <c r="AI148" i="18"/>
  <c r="AJ148" i="18"/>
  <c r="K148" i="18"/>
  <c r="AR148" i="18"/>
  <c r="AS148" i="18"/>
  <c r="H148" i="18"/>
  <c r="O148" i="18" s="1"/>
  <c r="BA148" i="18" s="1"/>
  <c r="BB148" i="18" s="1"/>
  <c r="BC148" i="18" s="1"/>
  <c r="BD148" i="18" s="1"/>
  <c r="I149" i="18"/>
  <c r="Y149" i="18" s="1"/>
  <c r="Z149" i="18" s="1"/>
  <c r="J149" i="18"/>
  <c r="AI149" i="18"/>
  <c r="AJ149" i="18" s="1"/>
  <c r="K149" i="18"/>
  <c r="AR149" i="18"/>
  <c r="H149" i="18"/>
  <c r="O149" i="18" s="1"/>
  <c r="I150" i="18"/>
  <c r="Y150" i="18" s="1"/>
  <c r="Z150" i="18" s="1"/>
  <c r="AI150" i="1"/>
  <c r="M150" i="18" s="1"/>
  <c r="Q150" i="18" s="1"/>
  <c r="R150" i="18" s="1"/>
  <c r="N150" i="18"/>
  <c r="J150" i="18"/>
  <c r="AI150" i="18"/>
  <c r="AJ150" i="18"/>
  <c r="K150" i="18"/>
  <c r="AR150" i="18" s="1"/>
  <c r="H150" i="18"/>
  <c r="O150" i="18"/>
  <c r="I152" i="18"/>
  <c r="Y152" i="18"/>
  <c r="Z152" i="18" s="1"/>
  <c r="AI152" i="1"/>
  <c r="M152" i="18"/>
  <c r="N152" i="18"/>
  <c r="J152" i="18"/>
  <c r="AI152" i="18"/>
  <c r="AJ152" i="18" s="1"/>
  <c r="K152" i="18"/>
  <c r="AR152" i="18" s="1"/>
  <c r="H152" i="18"/>
  <c r="O152" i="18" s="1"/>
  <c r="P152" i="18" s="1"/>
  <c r="I153" i="18"/>
  <c r="Y153" i="18" s="1"/>
  <c r="Z153" i="18"/>
  <c r="J153" i="18"/>
  <c r="AI153" i="18" s="1"/>
  <c r="AJ153" i="18" s="1"/>
  <c r="K153" i="18"/>
  <c r="AR153" i="18"/>
  <c r="AS153" i="18" s="1"/>
  <c r="H153" i="18"/>
  <c r="O153" i="18"/>
  <c r="BA153" i="18"/>
  <c r="BB153" i="18" s="1"/>
  <c r="I154" i="18"/>
  <c r="Y154" i="18" s="1"/>
  <c r="Z154" i="18" s="1"/>
  <c r="AI154" i="1"/>
  <c r="M154" i="18"/>
  <c r="Q154" i="18" s="1"/>
  <c r="N154" i="18"/>
  <c r="J154" i="18"/>
  <c r="AI154" i="18" s="1"/>
  <c r="AJ154" i="18" s="1"/>
  <c r="K154" i="18"/>
  <c r="AR154" i="18"/>
  <c r="AS154" i="18" s="1"/>
  <c r="H154" i="18"/>
  <c r="O154" i="18"/>
  <c r="I156" i="18"/>
  <c r="Y156" i="18"/>
  <c r="Z156" i="18" s="1"/>
  <c r="J156" i="18"/>
  <c r="AI156" i="18" s="1"/>
  <c r="AJ156" i="18" s="1"/>
  <c r="K156" i="18"/>
  <c r="AR156" i="18" s="1"/>
  <c r="H156" i="18"/>
  <c r="O156" i="18" s="1"/>
  <c r="I157" i="18"/>
  <c r="Y157" i="18"/>
  <c r="Z157" i="18"/>
  <c r="AI157" i="1"/>
  <c r="M157" i="18" s="1"/>
  <c r="N157" i="18"/>
  <c r="J157" i="18"/>
  <c r="AI157" i="18" s="1"/>
  <c r="AJ157" i="18" s="1"/>
  <c r="K157" i="18"/>
  <c r="AR157" i="18"/>
  <c r="H157" i="18"/>
  <c r="O157" i="18" s="1"/>
  <c r="P157" i="18" s="1"/>
  <c r="I158" i="18"/>
  <c r="Y158" i="18" s="1"/>
  <c r="Z158" i="18" s="1"/>
  <c r="AA158" i="18" s="1"/>
  <c r="AI158" i="1"/>
  <c r="M158" i="18" s="1"/>
  <c r="AK158" i="18" s="1"/>
  <c r="N158" i="18"/>
  <c r="J158" i="18"/>
  <c r="AI158" i="18" s="1"/>
  <c r="AJ158" i="18" s="1"/>
  <c r="K158" i="18"/>
  <c r="AR158" i="18" s="1"/>
  <c r="H158" i="18"/>
  <c r="O158" i="18" s="1"/>
  <c r="I161" i="18"/>
  <c r="Y161" i="18"/>
  <c r="Z161" i="18"/>
  <c r="J161" i="18"/>
  <c r="AI161" i="18"/>
  <c r="AJ161" i="18"/>
  <c r="K161" i="18"/>
  <c r="AR161" i="18"/>
  <c r="AS161" i="18" s="1"/>
  <c r="H161" i="18"/>
  <c r="O161" i="18"/>
  <c r="BA161" i="18"/>
  <c r="BB161" i="18" s="1"/>
  <c r="I162" i="18"/>
  <c r="Y162" i="18" s="1"/>
  <c r="Z162" i="18" s="1"/>
  <c r="AI162" i="1"/>
  <c r="M162" i="18" s="1"/>
  <c r="N162" i="18"/>
  <c r="J162" i="18"/>
  <c r="AI162" i="18" s="1"/>
  <c r="AJ162" i="18" s="1"/>
  <c r="K162" i="18"/>
  <c r="AR162" i="18" s="1"/>
  <c r="H162" i="18"/>
  <c r="O162" i="18" s="1"/>
  <c r="I163" i="18"/>
  <c r="Y163" i="18"/>
  <c r="Z163" i="18"/>
  <c r="AI163" i="1"/>
  <c r="M163" i="18"/>
  <c r="AA163" i="18" s="1"/>
  <c r="N163" i="18"/>
  <c r="J163" i="18"/>
  <c r="AI163" i="18" s="1"/>
  <c r="AJ163" i="18" s="1"/>
  <c r="K163" i="18"/>
  <c r="AR163" i="18"/>
  <c r="AS163" i="18"/>
  <c r="H163" i="18"/>
  <c r="O163" i="18" s="1"/>
  <c r="P163" i="18" s="1"/>
  <c r="I164" i="18"/>
  <c r="Y164" i="18"/>
  <c r="Z164" i="18" s="1"/>
  <c r="AI164" i="1"/>
  <c r="M164" i="18" s="1"/>
  <c r="AK164" i="18" s="1"/>
  <c r="N164" i="18"/>
  <c r="J164" i="18"/>
  <c r="AI164" i="18" s="1"/>
  <c r="AJ164" i="18" s="1"/>
  <c r="K164" i="18"/>
  <c r="AR164" i="18" s="1"/>
  <c r="H164" i="18"/>
  <c r="O164" i="18" s="1"/>
  <c r="I165" i="18"/>
  <c r="Y165" i="18"/>
  <c r="Z165" i="18"/>
  <c r="J165" i="18"/>
  <c r="AI165" i="18"/>
  <c r="AJ165" i="18"/>
  <c r="K165" i="18"/>
  <c r="AR165" i="18" s="1"/>
  <c r="H165" i="18"/>
  <c r="O165" i="18"/>
  <c r="I166" i="18"/>
  <c r="Y166" i="18" s="1"/>
  <c r="Z166" i="18" s="1"/>
  <c r="AI166" i="1"/>
  <c r="M166" i="18" s="1"/>
  <c r="N166" i="18"/>
  <c r="J166" i="18"/>
  <c r="AI166" i="18" s="1"/>
  <c r="AJ166" i="18" s="1"/>
  <c r="K166" i="18"/>
  <c r="AR166" i="18" s="1"/>
  <c r="H166" i="18"/>
  <c r="O166" i="18" s="1"/>
  <c r="I168" i="18"/>
  <c r="Y168" i="18"/>
  <c r="Z168" i="18"/>
  <c r="AI168" i="1"/>
  <c r="M168" i="18" s="1"/>
  <c r="Q168" i="18" s="1"/>
  <c r="R168" i="18" s="1"/>
  <c r="N168" i="18"/>
  <c r="J168" i="18"/>
  <c r="AI168" i="18"/>
  <c r="AJ168" i="18" s="1"/>
  <c r="K168" i="18"/>
  <c r="AR168" i="18" s="1"/>
  <c r="H168" i="18"/>
  <c r="O168" i="18"/>
  <c r="I169" i="18"/>
  <c r="Y169" i="18"/>
  <c r="Z169" i="18" s="1"/>
  <c r="AI169" i="1"/>
  <c r="M169" i="18" s="1"/>
  <c r="N169" i="18"/>
  <c r="J169" i="18"/>
  <c r="AI169" i="18" s="1"/>
  <c r="AJ169" i="18" s="1"/>
  <c r="K169" i="18"/>
  <c r="AR169" i="18" s="1"/>
  <c r="H169" i="18"/>
  <c r="O169" i="18" s="1"/>
  <c r="I170" i="18"/>
  <c r="Y170" i="18"/>
  <c r="Z170" i="18"/>
  <c r="AI170" i="1"/>
  <c r="M170" i="18" s="1"/>
  <c r="N170" i="18"/>
  <c r="J170" i="18"/>
  <c r="AI170" i="18"/>
  <c r="AJ170" i="18" s="1"/>
  <c r="K170" i="18"/>
  <c r="AR170" i="18"/>
  <c r="BA170" i="18" s="1"/>
  <c r="BB170" i="18" s="1"/>
  <c r="AS170" i="18"/>
  <c r="H170" i="18"/>
  <c r="O170" i="18"/>
  <c r="I172" i="18"/>
  <c r="Y172" i="18"/>
  <c r="Z172" i="18" s="1"/>
  <c r="AI172" i="1"/>
  <c r="M172" i="18"/>
  <c r="AK172" i="18" s="1"/>
  <c r="N172" i="18"/>
  <c r="J172" i="18"/>
  <c r="AI172" i="18" s="1"/>
  <c r="AJ172" i="18" s="1"/>
  <c r="K172" i="18"/>
  <c r="AR172" i="18" s="1"/>
  <c r="H172" i="18"/>
  <c r="O172" i="18" s="1"/>
  <c r="I173" i="18"/>
  <c r="Y173" i="18"/>
  <c r="Z173" i="18"/>
  <c r="AI173" i="1"/>
  <c r="M173" i="18" s="1"/>
  <c r="N173" i="18"/>
  <c r="J173" i="18"/>
  <c r="AI173" i="18"/>
  <c r="AJ173" i="18"/>
  <c r="K173" i="18"/>
  <c r="AR173" i="18"/>
  <c r="AS173" i="18" s="1"/>
  <c r="H173" i="18"/>
  <c r="O173" i="18"/>
  <c r="BA173" i="18"/>
  <c r="BB173" i="18" s="1"/>
  <c r="I174" i="18"/>
  <c r="Y174" i="18" s="1"/>
  <c r="Z174" i="18" s="1"/>
  <c r="AI174" i="1"/>
  <c r="M174" i="18" s="1"/>
  <c r="AK174" i="18" s="1"/>
  <c r="N174" i="18"/>
  <c r="J174" i="18"/>
  <c r="AI174" i="18" s="1"/>
  <c r="AJ174" i="18" s="1"/>
  <c r="K174" i="18"/>
  <c r="AR174" i="18" s="1"/>
  <c r="H174" i="18"/>
  <c r="O174" i="18" s="1"/>
  <c r="I175" i="18"/>
  <c r="Y175" i="18"/>
  <c r="Z175" i="18"/>
  <c r="AI175" i="1"/>
  <c r="M175" i="18"/>
  <c r="AA175" i="18" s="1"/>
  <c r="AB175" i="18" s="1"/>
  <c r="N175" i="18"/>
  <c r="J175" i="18"/>
  <c r="AI175" i="18" s="1"/>
  <c r="AJ175" i="18" s="1"/>
  <c r="K175" i="18"/>
  <c r="AR175" i="18"/>
  <c r="BA175" i="18" s="1"/>
  <c r="BB175" i="18" s="1"/>
  <c r="AS175" i="18"/>
  <c r="H175" i="18"/>
  <c r="O175" i="18" s="1"/>
  <c r="I176" i="18"/>
  <c r="Y176" i="18"/>
  <c r="Z176" i="18" s="1"/>
  <c r="AI176" i="1"/>
  <c r="M176" i="18" s="1"/>
  <c r="AK176" i="18" s="1"/>
  <c r="N176" i="18"/>
  <c r="J176" i="18"/>
  <c r="AI176" i="18" s="1"/>
  <c r="AJ176" i="18" s="1"/>
  <c r="K176" i="18"/>
  <c r="AR176" i="18" s="1"/>
  <c r="H176" i="18"/>
  <c r="O176" i="18" s="1"/>
  <c r="I177" i="18"/>
  <c r="Y177" i="18"/>
  <c r="Z177" i="18"/>
  <c r="AI177" i="1"/>
  <c r="M177" i="18"/>
  <c r="AA177" i="18" s="1"/>
  <c r="N177" i="18"/>
  <c r="J177" i="18"/>
  <c r="AI177" i="18"/>
  <c r="AJ177" i="18"/>
  <c r="K177" i="18"/>
  <c r="AR177" i="18" s="1"/>
  <c r="H177" i="18"/>
  <c r="O177" i="18"/>
  <c r="I178" i="18"/>
  <c r="Y178" i="18" s="1"/>
  <c r="Z178" i="18" s="1"/>
  <c r="AI178" i="1"/>
  <c r="M178" i="18" s="1"/>
  <c r="Q178" i="18" s="1"/>
  <c r="R178" i="18" s="1"/>
  <c r="V178" i="18" s="1"/>
  <c r="W178" i="18" s="1"/>
  <c r="X178" i="18" s="1"/>
  <c r="N178" i="18"/>
  <c r="J178" i="18"/>
  <c r="AI178" i="18" s="1"/>
  <c r="AJ178" i="18" s="1"/>
  <c r="K178" i="18"/>
  <c r="AR178" i="18" s="1"/>
  <c r="H178" i="18"/>
  <c r="O178" i="18" s="1"/>
  <c r="I179" i="18"/>
  <c r="Y179" i="18"/>
  <c r="Z179" i="18"/>
  <c r="AI179" i="1"/>
  <c r="M179" i="18" s="1"/>
  <c r="N179" i="18"/>
  <c r="J179" i="18"/>
  <c r="AI179" i="18"/>
  <c r="AJ179" i="18" s="1"/>
  <c r="K179" i="18"/>
  <c r="AR179" i="18" s="1"/>
  <c r="H179" i="18"/>
  <c r="O179" i="18"/>
  <c r="I180" i="18"/>
  <c r="Y180" i="18"/>
  <c r="Z180" i="18" s="1"/>
  <c r="J180" i="18"/>
  <c r="AI180" i="18"/>
  <c r="AJ180" i="18"/>
  <c r="K180" i="18"/>
  <c r="AR180" i="18"/>
  <c r="AS180" i="18"/>
  <c r="H180" i="18"/>
  <c r="O180" i="18"/>
  <c r="I181" i="18"/>
  <c r="Y181" i="18"/>
  <c r="Z181" i="18" s="1"/>
  <c r="AI181" i="1"/>
  <c r="M181" i="18" s="1"/>
  <c r="N181" i="18"/>
  <c r="J181" i="18"/>
  <c r="AI181" i="18" s="1"/>
  <c r="AJ181" i="18" s="1"/>
  <c r="K181" i="18"/>
  <c r="AR181" i="18"/>
  <c r="AS181" i="18"/>
  <c r="H181" i="18"/>
  <c r="O181" i="18" s="1"/>
  <c r="I182" i="18"/>
  <c r="Y182" i="18" s="1"/>
  <c r="Z182" i="18" s="1"/>
  <c r="AI182" i="1"/>
  <c r="M182" i="18" s="1"/>
  <c r="Q182" i="18" s="1"/>
  <c r="R182" i="18" s="1"/>
  <c r="N182" i="18"/>
  <c r="J182" i="18"/>
  <c r="AI182" i="18" s="1"/>
  <c r="AJ182" i="18" s="1"/>
  <c r="K182" i="18"/>
  <c r="AR182" i="18" s="1"/>
  <c r="AS182" i="18"/>
  <c r="H182" i="18"/>
  <c r="O182" i="18" s="1"/>
  <c r="I183" i="18"/>
  <c r="Y183" i="18"/>
  <c r="Z183" i="18"/>
  <c r="J183" i="18"/>
  <c r="AI183" i="18" s="1"/>
  <c r="AJ183" i="18" s="1"/>
  <c r="K183" i="18"/>
  <c r="AR183" i="18" s="1"/>
  <c r="H183" i="18"/>
  <c r="O183" i="18"/>
  <c r="I184" i="18"/>
  <c r="Y184" i="18" s="1"/>
  <c r="AI184" i="1"/>
  <c r="M184" i="18" s="1"/>
  <c r="N184" i="18"/>
  <c r="J184" i="18"/>
  <c r="AI184" i="18" s="1"/>
  <c r="AJ184" i="18" s="1"/>
  <c r="AK184" i="18" s="1"/>
  <c r="K184" i="18"/>
  <c r="AR184" i="18" s="1"/>
  <c r="AS184" i="18" s="1"/>
  <c r="H184" i="18"/>
  <c r="O184" i="18" s="1"/>
  <c r="I185" i="18"/>
  <c r="Y185" i="18"/>
  <c r="Z185" i="18"/>
  <c r="AI185" i="1"/>
  <c r="M185" i="18" s="1"/>
  <c r="N185" i="18"/>
  <c r="J185" i="18"/>
  <c r="AI185" i="18"/>
  <c r="AJ185" i="18"/>
  <c r="K185" i="18"/>
  <c r="AR185" i="18" s="1"/>
  <c r="H185" i="18"/>
  <c r="O185" i="18" s="1"/>
  <c r="I186" i="18"/>
  <c r="Y186" i="18"/>
  <c r="Z186" i="18" s="1"/>
  <c r="J186" i="18"/>
  <c r="AI186" i="18" s="1"/>
  <c r="AJ186" i="18"/>
  <c r="K186" i="18"/>
  <c r="AR186" i="18" s="1"/>
  <c r="AS186" i="18"/>
  <c r="H186" i="18"/>
  <c r="O186" i="18" s="1"/>
  <c r="I187" i="18"/>
  <c r="Y187" i="18"/>
  <c r="Z187" i="18" s="1"/>
  <c r="AI187" i="1"/>
  <c r="M187" i="18" s="1"/>
  <c r="N187" i="18"/>
  <c r="J187" i="18"/>
  <c r="AI187" i="18" s="1"/>
  <c r="AJ187" i="18" s="1"/>
  <c r="K187" i="18"/>
  <c r="AR187" i="18"/>
  <c r="AS187" i="18"/>
  <c r="H187" i="18"/>
  <c r="O187" i="18" s="1"/>
  <c r="I188" i="18"/>
  <c r="Y188" i="18" s="1"/>
  <c r="Z188" i="18" s="1"/>
  <c r="AI188" i="1"/>
  <c r="M188" i="18" s="1"/>
  <c r="N188" i="18"/>
  <c r="J188" i="18"/>
  <c r="AI188" i="18" s="1"/>
  <c r="AJ188" i="18" s="1"/>
  <c r="K188" i="18"/>
  <c r="AR188" i="18" s="1"/>
  <c r="AS188" i="18"/>
  <c r="H188" i="18"/>
  <c r="O188" i="18" s="1"/>
  <c r="I189" i="18"/>
  <c r="Y189" i="18"/>
  <c r="Z189" i="18"/>
  <c r="AI189" i="1"/>
  <c r="M189" i="18" s="1"/>
  <c r="N189" i="18"/>
  <c r="J189" i="18"/>
  <c r="AI189" i="18"/>
  <c r="AJ189" i="18"/>
  <c r="K189" i="18"/>
  <c r="AR189" i="18" s="1"/>
  <c r="AS189" i="18" s="1"/>
  <c r="H189" i="18"/>
  <c r="O189" i="18"/>
  <c r="BA189" i="18"/>
  <c r="BB189" i="18" s="1"/>
  <c r="I190" i="18"/>
  <c r="Y190" i="18"/>
  <c r="Z190" i="18" s="1"/>
  <c r="AI190" i="1"/>
  <c r="M190" i="18" s="1"/>
  <c r="AK190" i="18" s="1"/>
  <c r="N190" i="18"/>
  <c r="J190" i="18"/>
  <c r="AI190" i="18" s="1"/>
  <c r="AJ190" i="18"/>
  <c r="K190" i="18"/>
  <c r="AR190" i="18" s="1"/>
  <c r="AS190" i="18" s="1"/>
  <c r="H190" i="18"/>
  <c r="O190" i="18" s="1"/>
  <c r="I191" i="18"/>
  <c r="Y191" i="18"/>
  <c r="Z191" i="18"/>
  <c r="J191" i="18"/>
  <c r="AI191" i="18"/>
  <c r="AJ191" i="18" s="1"/>
  <c r="K191" i="18"/>
  <c r="AR191" i="18" s="1"/>
  <c r="AS191" i="18" s="1"/>
  <c r="H191" i="18"/>
  <c r="O191" i="18"/>
  <c r="BA191" i="18"/>
  <c r="BB191" i="18" s="1"/>
  <c r="I192" i="18"/>
  <c r="Y192" i="18"/>
  <c r="Z192" i="18"/>
  <c r="AI192" i="1"/>
  <c r="M192" i="18" s="1"/>
  <c r="AA192" i="18" s="1"/>
  <c r="N192" i="18"/>
  <c r="J192" i="18"/>
  <c r="AI192" i="18"/>
  <c r="AJ192" i="18" s="1"/>
  <c r="K192" i="18"/>
  <c r="AR192" i="18"/>
  <c r="H192" i="18"/>
  <c r="O192" i="18"/>
  <c r="K39" i="18"/>
  <c r="AR39" i="18" s="1"/>
  <c r="H39" i="18"/>
  <c r="O39" i="18"/>
  <c r="I39" i="18"/>
  <c r="Y39" i="18"/>
  <c r="AI39" i="1"/>
  <c r="M39" i="18" s="1"/>
  <c r="N39" i="18"/>
  <c r="K38" i="18"/>
  <c r="AR38" i="18" s="1"/>
  <c r="BA38" i="18" s="1"/>
  <c r="BB38" i="18" s="1"/>
  <c r="H38" i="18"/>
  <c r="O38" i="18"/>
  <c r="I38" i="18"/>
  <c r="Y38" i="18"/>
  <c r="K37" i="18"/>
  <c r="AR37" i="18" s="1"/>
  <c r="H37" i="18"/>
  <c r="O37" i="18"/>
  <c r="I37" i="18"/>
  <c r="Y37" i="18"/>
  <c r="AI37" i="1"/>
  <c r="M37" i="18" s="1"/>
  <c r="N37" i="18"/>
  <c r="K35" i="18"/>
  <c r="AR35" i="18" s="1"/>
  <c r="H35" i="18"/>
  <c r="O35" i="18"/>
  <c r="I35" i="18"/>
  <c r="Y35" i="18"/>
  <c r="AI35" i="1"/>
  <c r="M35" i="18" s="1"/>
  <c r="N35" i="18"/>
  <c r="K33" i="18"/>
  <c r="AR33" i="18" s="1"/>
  <c r="H33" i="18"/>
  <c r="O33" i="18"/>
  <c r="I33" i="18"/>
  <c r="Y33" i="18"/>
  <c r="AI33" i="1"/>
  <c r="M33" i="18" s="1"/>
  <c r="N33" i="18"/>
  <c r="K32" i="18"/>
  <c r="AR32" i="18" s="1"/>
  <c r="BA32" i="18" s="1"/>
  <c r="BB32" i="18" s="1"/>
  <c r="H32" i="18"/>
  <c r="O32" i="18"/>
  <c r="I32" i="18"/>
  <c r="Y32" i="18"/>
  <c r="AI32" i="1"/>
  <c r="M32" i="18" s="1"/>
  <c r="N32" i="18"/>
  <c r="K30" i="18"/>
  <c r="AR30" i="18"/>
  <c r="H30" i="18"/>
  <c r="O30" i="18"/>
  <c r="I30" i="18"/>
  <c r="Y30" i="18"/>
  <c r="K29" i="18"/>
  <c r="AR29" i="18"/>
  <c r="H29" i="18"/>
  <c r="O29" i="18"/>
  <c r="I29" i="18"/>
  <c r="Y29" i="18"/>
  <c r="AI29" i="1"/>
  <c r="M29" i="18"/>
  <c r="AK29" i="18" s="1"/>
  <c r="AL29" i="18" s="1"/>
  <c r="N29" i="18"/>
  <c r="K27" i="18"/>
  <c r="AR27" i="18"/>
  <c r="H27" i="18"/>
  <c r="O27" i="18"/>
  <c r="I27" i="18"/>
  <c r="Y27" i="18"/>
  <c r="AI27" i="1"/>
  <c r="M27" i="18" s="1"/>
  <c r="N27" i="18"/>
  <c r="K26" i="18"/>
  <c r="AR26" i="18"/>
  <c r="BA26" i="18" s="1"/>
  <c r="BB26" i="18" s="1"/>
  <c r="H26" i="18"/>
  <c r="O26" i="18"/>
  <c r="I26" i="18"/>
  <c r="Y26" i="18"/>
  <c r="K24" i="18"/>
  <c r="AR24" i="18"/>
  <c r="H24" i="18"/>
  <c r="O24" i="18"/>
  <c r="I24" i="18"/>
  <c r="Y24" i="18"/>
  <c r="K23" i="18"/>
  <c r="AR23" i="18"/>
  <c r="H23" i="18"/>
  <c r="O23" i="18"/>
  <c r="I23" i="18"/>
  <c r="Y23" i="18"/>
  <c r="AI23" i="1"/>
  <c r="M23" i="18"/>
  <c r="AK23" i="18" s="1"/>
  <c r="AL23" i="18" s="1"/>
  <c r="N23" i="18"/>
  <c r="K21" i="18"/>
  <c r="AR21" i="18"/>
  <c r="H21" i="18"/>
  <c r="O21" i="18"/>
  <c r="I21" i="18"/>
  <c r="Y21" i="18"/>
  <c r="AI21" i="1"/>
  <c r="M21" i="18" s="1"/>
  <c r="N21" i="18"/>
  <c r="K20" i="18"/>
  <c r="AR20" i="18"/>
  <c r="BA20" i="18" s="1"/>
  <c r="BB20" i="18" s="1"/>
  <c r="H20" i="18"/>
  <c r="O20" i="18"/>
  <c r="I20" i="18"/>
  <c r="Y20" i="18"/>
  <c r="K18" i="18"/>
  <c r="AR18" i="18"/>
  <c r="H18" i="18"/>
  <c r="O18" i="18"/>
  <c r="I18" i="18"/>
  <c r="Y18" i="18"/>
  <c r="K17" i="18"/>
  <c r="AR17" i="18"/>
  <c r="H17" i="18"/>
  <c r="O17" i="18"/>
  <c r="I17" i="18"/>
  <c r="Y17" i="18"/>
  <c r="AI17" i="1"/>
  <c r="M17" i="18"/>
  <c r="N17" i="18"/>
  <c r="K15" i="18"/>
  <c r="AR15" i="18"/>
  <c r="H15" i="18"/>
  <c r="O15" i="18"/>
  <c r="I15" i="18"/>
  <c r="Y15" i="18"/>
  <c r="AI15" i="1"/>
  <c r="M15" i="18" s="1"/>
  <c r="N15" i="18"/>
  <c r="K14" i="18"/>
  <c r="AR14" i="18"/>
  <c r="BA14" i="18" s="1"/>
  <c r="BB14" i="18" s="1"/>
  <c r="H14" i="18"/>
  <c r="O14" i="18"/>
  <c r="I14" i="18"/>
  <c r="Y14" i="18"/>
  <c r="K12" i="18"/>
  <c r="AR12" i="18"/>
  <c r="H12" i="18"/>
  <c r="O12" i="18"/>
  <c r="I12" i="18"/>
  <c r="Y12" i="18"/>
  <c r="K11" i="18"/>
  <c r="AR11" i="18"/>
  <c r="H11" i="18"/>
  <c r="O11" i="18"/>
  <c r="I11" i="18"/>
  <c r="Y11" i="18"/>
  <c r="AI11" i="1"/>
  <c r="M11" i="18"/>
  <c r="N11" i="18"/>
  <c r="K9" i="18"/>
  <c r="AR9" i="18"/>
  <c r="H9" i="18"/>
  <c r="O9" i="18"/>
  <c r="I9" i="18"/>
  <c r="Y9" i="18"/>
  <c r="AI9" i="1"/>
  <c r="M9" i="18" s="1"/>
  <c r="N9" i="18"/>
  <c r="K8" i="18"/>
  <c r="AR8" i="18"/>
  <c r="BA8" i="18" s="1"/>
  <c r="H8" i="18"/>
  <c r="O8" i="18"/>
  <c r="I8" i="18"/>
  <c r="Y8" i="18"/>
  <c r="BB8" i="18"/>
  <c r="K6" i="18"/>
  <c r="AR6" i="18"/>
  <c r="H6" i="18"/>
  <c r="O6" i="18"/>
  <c r="I6" i="18"/>
  <c r="Y6" i="18"/>
  <c r="K5" i="18"/>
  <c r="AR5" i="18"/>
  <c r="H5" i="18"/>
  <c r="O5" i="18"/>
  <c r="I5" i="18"/>
  <c r="Y5" i="18"/>
  <c r="AI5" i="1"/>
  <c r="M5" i="18"/>
  <c r="AK5" i="18" s="1"/>
  <c r="AL5" i="18" s="1"/>
  <c r="N5" i="18"/>
  <c r="AS38" i="18"/>
  <c r="AS8" i="18"/>
  <c r="J39" i="18"/>
  <c r="AI39" i="18"/>
  <c r="AJ39" i="18" s="1"/>
  <c r="AK39" i="18" s="1"/>
  <c r="AL39" i="18" s="1"/>
  <c r="Z39" i="18"/>
  <c r="P40" i="18"/>
  <c r="P41" i="18"/>
  <c r="P42" i="18"/>
  <c r="P43" i="18"/>
  <c r="P44" i="18"/>
  <c r="P45" i="18"/>
  <c r="P46" i="18"/>
  <c r="P48" i="18"/>
  <c r="P49" i="18"/>
  <c r="P50" i="18"/>
  <c r="P51" i="18"/>
  <c r="P52" i="18"/>
  <c r="P53" i="18"/>
  <c r="P54" i="18"/>
  <c r="P55" i="18"/>
  <c r="Q55" i="18"/>
  <c r="P56" i="18"/>
  <c r="P57" i="18"/>
  <c r="P58" i="18"/>
  <c r="P59" i="18"/>
  <c r="P60" i="18"/>
  <c r="P61" i="18"/>
  <c r="P62" i="18"/>
  <c r="P63" i="18"/>
  <c r="P64" i="18"/>
  <c r="P65" i="18"/>
  <c r="P66" i="18"/>
  <c r="P67" i="18"/>
  <c r="P68" i="18"/>
  <c r="P69" i="18"/>
  <c r="P70" i="18"/>
  <c r="P71" i="18"/>
  <c r="Q71" i="18"/>
  <c r="P72" i="18"/>
  <c r="P73" i="18"/>
  <c r="P74" i="18"/>
  <c r="P75" i="18"/>
  <c r="Q75" i="18"/>
  <c r="P76" i="18"/>
  <c r="P77" i="18"/>
  <c r="P78" i="18"/>
  <c r="P79" i="18"/>
  <c r="P80" i="18"/>
  <c r="P81" i="18"/>
  <c r="P82" i="18"/>
  <c r="Q82" i="18"/>
  <c r="P83" i="18"/>
  <c r="P84" i="18"/>
  <c r="Q84" i="18"/>
  <c r="R84" i="18" s="1"/>
  <c r="S84" i="18" s="1"/>
  <c r="T84" i="18" s="1"/>
  <c r="F99" i="27" s="1"/>
  <c r="P85" i="18"/>
  <c r="P86" i="18"/>
  <c r="P87" i="18"/>
  <c r="P88" i="18"/>
  <c r="P89" i="18"/>
  <c r="Q89" i="18"/>
  <c r="R89" i="18" s="1"/>
  <c r="V89" i="18" s="1"/>
  <c r="P90" i="18"/>
  <c r="P91" i="18"/>
  <c r="P92" i="18"/>
  <c r="Q92" i="18"/>
  <c r="R92" i="18" s="1"/>
  <c r="S92" i="18" s="1"/>
  <c r="T92" i="18" s="1"/>
  <c r="F107" i="27" s="1"/>
  <c r="P93" i="18"/>
  <c r="P94" i="18"/>
  <c r="Q94" i="18"/>
  <c r="R94" i="18" s="1"/>
  <c r="V94" i="18" s="1"/>
  <c r="P95" i="18"/>
  <c r="Q95" i="18"/>
  <c r="R95" i="18" s="1"/>
  <c r="S95" i="18" s="1"/>
  <c r="T95" i="18" s="1"/>
  <c r="F110" i="27" s="1"/>
  <c r="P96" i="18"/>
  <c r="Q96" i="18"/>
  <c r="R96" i="18" s="1"/>
  <c r="S96" i="18" s="1"/>
  <c r="T96" i="18" s="1"/>
  <c r="F111" i="27" s="1"/>
  <c r="P97" i="18"/>
  <c r="Q97" i="18"/>
  <c r="R97" i="18" s="1"/>
  <c r="P98" i="18"/>
  <c r="P99" i="18"/>
  <c r="P100" i="18"/>
  <c r="P101" i="18"/>
  <c r="P102" i="18"/>
  <c r="P103" i="18"/>
  <c r="P104" i="18"/>
  <c r="P105" i="18"/>
  <c r="P106" i="18"/>
  <c r="P107" i="18"/>
  <c r="Q107" i="18"/>
  <c r="R107" i="18" s="1"/>
  <c r="S107" i="18" s="1"/>
  <c r="T107" i="18" s="1"/>
  <c r="F122" i="27" s="1"/>
  <c r="P109" i="18"/>
  <c r="Q109" i="18"/>
  <c r="R109" i="18" s="1"/>
  <c r="P110" i="18"/>
  <c r="P111" i="18"/>
  <c r="P112" i="18"/>
  <c r="P113" i="18"/>
  <c r="P114" i="18"/>
  <c r="Q114" i="18"/>
  <c r="R114" i="18" s="1"/>
  <c r="V114" i="18" s="1"/>
  <c r="W114" i="18" s="1"/>
  <c r="X114" i="18" s="1"/>
  <c r="P115" i="18"/>
  <c r="P116" i="18"/>
  <c r="Q116" i="18"/>
  <c r="R116" i="18" s="1"/>
  <c r="S116" i="18" s="1"/>
  <c r="T116" i="18" s="1"/>
  <c r="F131" i="27" s="1"/>
  <c r="P117" i="18"/>
  <c r="P118" i="18"/>
  <c r="P119" i="18"/>
  <c r="P120" i="18"/>
  <c r="P121" i="18"/>
  <c r="P122" i="18"/>
  <c r="P126" i="18"/>
  <c r="Q126" i="18"/>
  <c r="P127" i="18"/>
  <c r="P128" i="18"/>
  <c r="P130" i="18"/>
  <c r="Q130" i="18"/>
  <c r="P131" i="18"/>
  <c r="Q131" i="18"/>
  <c r="R131" i="18" s="1"/>
  <c r="P133" i="18"/>
  <c r="P134" i="18"/>
  <c r="P135" i="18"/>
  <c r="P136" i="18"/>
  <c r="P137" i="18"/>
  <c r="P138" i="18"/>
  <c r="P139" i="18"/>
  <c r="P140" i="18"/>
  <c r="P141" i="18"/>
  <c r="Q141" i="18"/>
  <c r="P143" i="18"/>
  <c r="P144" i="18"/>
  <c r="P145" i="18"/>
  <c r="P146" i="18"/>
  <c r="P147" i="18"/>
  <c r="P148" i="18"/>
  <c r="Q148" i="18"/>
  <c r="R148" i="18" s="1"/>
  <c r="S148" i="18" s="1"/>
  <c r="T148" i="18" s="1"/>
  <c r="F165" i="27" s="1"/>
  <c r="P149" i="18"/>
  <c r="P150" i="18"/>
  <c r="Q152" i="18"/>
  <c r="P153" i="18"/>
  <c r="P154" i="18"/>
  <c r="R154" i="18"/>
  <c r="S154" i="18" s="1"/>
  <c r="T154" i="18" s="1"/>
  <c r="F171" i="27" s="1"/>
  <c r="P156" i="18"/>
  <c r="P158" i="18"/>
  <c r="Q158" i="18"/>
  <c r="R158" i="18" s="1"/>
  <c r="S158" i="18" s="1"/>
  <c r="T158" i="18" s="1"/>
  <c r="F175" i="27" s="1"/>
  <c r="P161" i="18"/>
  <c r="P162" i="18"/>
  <c r="Q163" i="18"/>
  <c r="R163" i="18" s="1"/>
  <c r="P164" i="18"/>
  <c r="P165" i="18"/>
  <c r="P166" i="18"/>
  <c r="Q166" i="18"/>
  <c r="R166" i="18" s="1"/>
  <c r="V166" i="18" s="1"/>
  <c r="P168" i="18"/>
  <c r="P169" i="18"/>
  <c r="Q169" i="18"/>
  <c r="R169" i="18" s="1"/>
  <c r="P170" i="18"/>
  <c r="P172" i="18"/>
  <c r="Q172" i="18"/>
  <c r="R172" i="18" s="1"/>
  <c r="P173" i="18"/>
  <c r="Q173" i="18"/>
  <c r="R173" i="18" s="1"/>
  <c r="P174" i="18"/>
  <c r="Q174" i="18"/>
  <c r="R174" i="18" s="1"/>
  <c r="P175" i="18"/>
  <c r="Q175" i="18"/>
  <c r="R175" i="18" s="1"/>
  <c r="P176" i="18"/>
  <c r="Q176" i="18"/>
  <c r="R176" i="18" s="1"/>
  <c r="P177" i="18"/>
  <c r="Q177" i="18"/>
  <c r="R177" i="18" s="1"/>
  <c r="P178" i="18"/>
  <c r="P179" i="18"/>
  <c r="P180" i="18"/>
  <c r="P181" i="18"/>
  <c r="Q181" i="18"/>
  <c r="R181" i="18" s="1"/>
  <c r="P182" i="18"/>
  <c r="P183" i="18"/>
  <c r="P184" i="18"/>
  <c r="Q184" i="18"/>
  <c r="R184" i="18" s="1"/>
  <c r="P185" i="18"/>
  <c r="Q185" i="18"/>
  <c r="R185" i="18" s="1"/>
  <c r="P186" i="18"/>
  <c r="P187" i="18"/>
  <c r="Q187" i="18" s="1"/>
  <c r="R187" i="18" s="1"/>
  <c r="P188" i="18"/>
  <c r="Q188" i="18"/>
  <c r="R188" i="18" s="1"/>
  <c r="P189" i="18"/>
  <c r="P190" i="18"/>
  <c r="Q190" i="18"/>
  <c r="R190" i="18" s="1"/>
  <c r="P191" i="18"/>
  <c r="P192" i="18"/>
  <c r="Q192" i="18"/>
  <c r="R192" i="18" s="1"/>
  <c r="V192" i="18" s="1"/>
  <c r="P39" i="18"/>
  <c r="K27" i="24"/>
  <c r="AR27" i="24"/>
  <c r="H27" i="24"/>
  <c r="O27" i="24"/>
  <c r="I27" i="24"/>
  <c r="Y27" i="24"/>
  <c r="BA27" i="24"/>
  <c r="BB27" i="24" s="1"/>
  <c r="BC27" i="24" s="1"/>
  <c r="BD27" i="24" s="1"/>
  <c r="BE27" i="24" s="1"/>
  <c r="BF27" i="24" s="1"/>
  <c r="J48" i="27" s="1"/>
  <c r="AF27" i="21"/>
  <c r="AC27" i="21"/>
  <c r="AH27" i="21"/>
  <c r="AJ27" i="21" s="1"/>
  <c r="AI27" i="21"/>
  <c r="M27" i="24"/>
  <c r="N27" i="24"/>
  <c r="T27" i="21"/>
  <c r="K26" i="24"/>
  <c r="AR26" i="24"/>
  <c r="BA26" i="24" s="1"/>
  <c r="BB26" i="24" s="1"/>
  <c r="H26" i="24"/>
  <c r="O26" i="24"/>
  <c r="I26" i="24"/>
  <c r="Y26" i="24"/>
  <c r="AF26" i="21"/>
  <c r="AH26" i="21" s="1"/>
  <c r="AC26" i="21"/>
  <c r="T26" i="21"/>
  <c r="K25" i="24"/>
  <c r="AR25" i="24"/>
  <c r="H25" i="24"/>
  <c r="O25" i="24"/>
  <c r="I25" i="24"/>
  <c r="Y25" i="24" s="1"/>
  <c r="AF25" i="21"/>
  <c r="AC25" i="21"/>
  <c r="AH25" i="21"/>
  <c r="N25" i="24" s="1"/>
  <c r="AI25" i="21"/>
  <c r="M25" i="24"/>
  <c r="AT25" i="24" s="1"/>
  <c r="T25" i="21"/>
  <c r="K24" i="24"/>
  <c r="AR24" i="24"/>
  <c r="H24" i="24"/>
  <c r="O24" i="24"/>
  <c r="I24" i="24"/>
  <c r="Y24" i="24"/>
  <c r="BA24" i="24"/>
  <c r="BB24" i="24"/>
  <c r="BC24" i="24" s="1"/>
  <c r="BD24" i="24" s="1"/>
  <c r="AF24" i="21"/>
  <c r="AC24" i="21"/>
  <c r="AH24" i="21"/>
  <c r="AJ24" i="21" s="1"/>
  <c r="AI24" i="21"/>
  <c r="M24" i="24"/>
  <c r="AT24" i="24" s="1"/>
  <c r="AU24" i="24" s="1"/>
  <c r="AV24" i="24" s="1"/>
  <c r="AW24" i="24" s="1"/>
  <c r="I44" i="27" s="1"/>
  <c r="N24" i="24"/>
  <c r="T24" i="21"/>
  <c r="K23" i="24"/>
  <c r="AR23" i="24"/>
  <c r="BA23" i="24" s="1"/>
  <c r="BB23" i="24" s="1"/>
  <c r="BC23" i="24" s="1"/>
  <c r="H23" i="24"/>
  <c r="O23" i="24" s="1"/>
  <c r="P23" i="24" s="1"/>
  <c r="Q23" i="24" s="1"/>
  <c r="I23" i="24"/>
  <c r="Y23" i="24"/>
  <c r="AF23" i="21"/>
  <c r="AC23" i="21"/>
  <c r="AH23" i="21"/>
  <c r="AI23" i="21" s="1"/>
  <c r="M23" i="24" s="1"/>
  <c r="AK23" i="24" s="1"/>
  <c r="T23" i="21"/>
  <c r="K22" i="24"/>
  <c r="AR22" i="24"/>
  <c r="BA22" i="24" s="1"/>
  <c r="BB22" i="24" s="1"/>
  <c r="BC22" i="24" s="1"/>
  <c r="H22" i="24"/>
  <c r="O22" i="24"/>
  <c r="I22" i="24"/>
  <c r="Y22" i="24"/>
  <c r="AF22" i="21"/>
  <c r="AC22" i="21"/>
  <c r="AH22" i="21"/>
  <c r="N22" i="24" s="1"/>
  <c r="AU22" i="24" s="1"/>
  <c r="AI22" i="21"/>
  <c r="M22" i="24"/>
  <c r="T22" i="21"/>
  <c r="K21" i="24"/>
  <c r="AR21" i="24" s="1"/>
  <c r="H21" i="24"/>
  <c r="O21" i="24"/>
  <c r="I21" i="24"/>
  <c r="Y21" i="24"/>
  <c r="AF21" i="21"/>
  <c r="AH21" i="21" s="1"/>
  <c r="AC21" i="21"/>
  <c r="T21" i="21"/>
  <c r="AJ21" i="21" s="1"/>
  <c r="K20" i="24"/>
  <c r="AR20" i="24"/>
  <c r="AS20" i="24" s="1"/>
  <c r="H20" i="24"/>
  <c r="O20" i="24"/>
  <c r="I20" i="24"/>
  <c r="Y20" i="24"/>
  <c r="AF20" i="21"/>
  <c r="AC20" i="21"/>
  <c r="AH20" i="21"/>
  <c r="N20" i="24" s="1"/>
  <c r="AI20" i="21"/>
  <c r="M20" i="24" s="1"/>
  <c r="T20" i="21"/>
  <c r="K19" i="24"/>
  <c r="AR19" i="24"/>
  <c r="H19" i="24"/>
  <c r="O19" i="24"/>
  <c r="I19" i="24"/>
  <c r="Y19" i="24"/>
  <c r="BA19" i="24"/>
  <c r="BB19" i="24" s="1"/>
  <c r="BC19" i="24" s="1"/>
  <c r="BD19" i="24" s="1"/>
  <c r="BE19" i="24" s="1"/>
  <c r="BF19" i="24" s="1"/>
  <c r="J33" i="27" s="1"/>
  <c r="AF19" i="21"/>
  <c r="AC19" i="21"/>
  <c r="AH19" i="21"/>
  <c r="AJ19" i="21" s="1"/>
  <c r="AI19" i="21"/>
  <c r="M19" i="24"/>
  <c r="N19" i="24"/>
  <c r="T19" i="21"/>
  <c r="K18" i="24"/>
  <c r="AR18" i="24"/>
  <c r="BA18" i="24" s="1"/>
  <c r="BB18" i="24" s="1"/>
  <c r="H18" i="24"/>
  <c r="O18" i="24"/>
  <c r="I18" i="24"/>
  <c r="Y18" i="24"/>
  <c r="AF18" i="21"/>
  <c r="AH18" i="21" s="1"/>
  <c r="AC18" i="21"/>
  <c r="T18" i="21"/>
  <c r="K17" i="24"/>
  <c r="AR17" i="24"/>
  <c r="H17" i="24"/>
  <c r="O17" i="24"/>
  <c r="I17" i="24"/>
  <c r="Y17" i="24" s="1"/>
  <c r="AF17" i="21"/>
  <c r="AC17" i="21"/>
  <c r="AH17" i="21"/>
  <c r="N17" i="24" s="1"/>
  <c r="AL17" i="24" s="1"/>
  <c r="AI17" i="21"/>
  <c r="M17" i="24"/>
  <c r="AT17" i="24" s="1"/>
  <c r="T17" i="21"/>
  <c r="K16" i="24"/>
  <c r="AR16" i="24"/>
  <c r="H16" i="24"/>
  <c r="O16" i="24"/>
  <c r="I16" i="24"/>
  <c r="Y16" i="24"/>
  <c r="BA16" i="24"/>
  <c r="BB16" i="24"/>
  <c r="AF16" i="21"/>
  <c r="AC16" i="21"/>
  <c r="AH16" i="21" s="1"/>
  <c r="T16" i="21"/>
  <c r="K15" i="24"/>
  <c r="AR15" i="24"/>
  <c r="BA15" i="24" s="1"/>
  <c r="BB15" i="24" s="1"/>
  <c r="BC15" i="24" s="1"/>
  <c r="H15" i="24"/>
  <c r="O15" i="24" s="1"/>
  <c r="P15" i="24" s="1"/>
  <c r="I15" i="24"/>
  <c r="Y15" i="24" s="1"/>
  <c r="AF15" i="21"/>
  <c r="AC15" i="21"/>
  <c r="AH15" i="21"/>
  <c r="AI15" i="21" s="1"/>
  <c r="M15" i="24" s="1"/>
  <c r="AK15" i="24" s="1"/>
  <c r="T15" i="21"/>
  <c r="K14" i="24"/>
  <c r="AR14" i="24"/>
  <c r="BA14" i="24" s="1"/>
  <c r="BB14" i="24" s="1"/>
  <c r="BC14" i="24" s="1"/>
  <c r="BD14" i="24" s="1"/>
  <c r="H14" i="24"/>
  <c r="O14" i="24"/>
  <c r="I14" i="24"/>
  <c r="Y14" i="24"/>
  <c r="AF14" i="21"/>
  <c r="AC14" i="21"/>
  <c r="AH14" i="21"/>
  <c r="N14" i="24" s="1"/>
  <c r="AU14" i="24" s="1"/>
  <c r="AI14" i="21"/>
  <c r="M14" i="24"/>
  <c r="T14" i="21"/>
  <c r="K13" i="24"/>
  <c r="AR13" i="24" s="1"/>
  <c r="H13" i="24"/>
  <c r="O13" i="24"/>
  <c r="I13" i="24"/>
  <c r="Y13" i="24"/>
  <c r="AF13" i="21"/>
  <c r="AH13" i="21" s="1"/>
  <c r="AC13" i="21"/>
  <c r="T13" i="21"/>
  <c r="K12" i="24"/>
  <c r="AR12" i="24"/>
  <c r="AS12" i="24" s="1"/>
  <c r="H12" i="24"/>
  <c r="O12" i="24"/>
  <c r="I12" i="24"/>
  <c r="Y12" i="24"/>
  <c r="AF12" i="21"/>
  <c r="AC12" i="21"/>
  <c r="AH12" i="21"/>
  <c r="N12" i="24" s="1"/>
  <c r="AI12" i="21"/>
  <c r="M12" i="24" s="1"/>
  <c r="T12" i="21"/>
  <c r="K11" i="24"/>
  <c r="AR11" i="24"/>
  <c r="H11" i="24"/>
  <c r="O11" i="24"/>
  <c r="I11" i="24"/>
  <c r="Y11" i="24"/>
  <c r="BA11" i="24"/>
  <c r="BB11" i="24" s="1"/>
  <c r="BC11" i="24" s="1"/>
  <c r="BD11" i="24" s="1"/>
  <c r="BE11" i="24" s="1"/>
  <c r="BF11" i="24" s="1"/>
  <c r="J17" i="27" s="1"/>
  <c r="AF11" i="21"/>
  <c r="AC11" i="21"/>
  <c r="AH11" i="21"/>
  <c r="AI11" i="21"/>
  <c r="M11" i="24"/>
  <c r="N11" i="24"/>
  <c r="T11" i="21"/>
  <c r="AJ11" i="21" s="1"/>
  <c r="K10" i="24"/>
  <c r="AR10" i="24"/>
  <c r="BA10" i="24" s="1"/>
  <c r="BB10" i="24" s="1"/>
  <c r="H10" i="24"/>
  <c r="O10" i="24"/>
  <c r="I10" i="24"/>
  <c r="Y10" i="24"/>
  <c r="AF10" i="21"/>
  <c r="AH10" i="21" s="1"/>
  <c r="AC10" i="21"/>
  <c r="T10" i="21"/>
  <c r="K9" i="24"/>
  <c r="AR9" i="24"/>
  <c r="BA9" i="24" s="1"/>
  <c r="BB9" i="24" s="1"/>
  <c r="BC9" i="24" s="1"/>
  <c r="BD9" i="24" s="1"/>
  <c r="H9" i="24"/>
  <c r="O9" i="24"/>
  <c r="I9" i="24"/>
  <c r="Y9" i="24" s="1"/>
  <c r="AF9" i="21"/>
  <c r="AC9" i="21"/>
  <c r="AH9" i="21"/>
  <c r="N9" i="24" s="1"/>
  <c r="AI9" i="21"/>
  <c r="M9" i="24"/>
  <c r="AT9" i="24" s="1"/>
  <c r="AU9" i="24" s="1"/>
  <c r="T9" i="21"/>
  <c r="K8" i="24"/>
  <c r="AR8" i="24"/>
  <c r="H8" i="24"/>
  <c r="O8" i="24"/>
  <c r="I8" i="24"/>
  <c r="Y8" i="24"/>
  <c r="BA8" i="24"/>
  <c r="BB8" i="24"/>
  <c r="AF8" i="21"/>
  <c r="AC8" i="21"/>
  <c r="AH8" i="21" s="1"/>
  <c r="T8" i="21"/>
  <c r="K7" i="24"/>
  <c r="AR7" i="24"/>
  <c r="H7" i="24"/>
  <c r="O7" i="24" s="1"/>
  <c r="P7" i="24" s="1"/>
  <c r="Q7" i="24" s="1"/>
  <c r="I7" i="24"/>
  <c r="Y7" i="24" s="1"/>
  <c r="AF7" i="21"/>
  <c r="AC7" i="21"/>
  <c r="AH7" i="21"/>
  <c r="AI7" i="21" s="1"/>
  <c r="M7" i="24" s="1"/>
  <c r="T7" i="21"/>
  <c r="K6" i="24"/>
  <c r="AR6" i="24"/>
  <c r="BA6" i="24" s="1"/>
  <c r="BB6" i="24" s="1"/>
  <c r="BC6" i="24" s="1"/>
  <c r="BD6" i="24" s="1"/>
  <c r="H6" i="24"/>
  <c r="O6" i="24"/>
  <c r="I6" i="24"/>
  <c r="Y6" i="24"/>
  <c r="AF6" i="21"/>
  <c r="AC6" i="21"/>
  <c r="AH6" i="21"/>
  <c r="N6" i="24" s="1"/>
  <c r="AI6" i="21"/>
  <c r="M6" i="24"/>
  <c r="T6" i="21"/>
  <c r="AS27" i="24"/>
  <c r="AT27" i="24" s="1"/>
  <c r="AU27" i="24" s="1"/>
  <c r="AV27" i="24" s="1"/>
  <c r="AW27" i="24" s="1"/>
  <c r="I48" i="27" s="1"/>
  <c r="AS26" i="24"/>
  <c r="AS25" i="24"/>
  <c r="AS24" i="24"/>
  <c r="AS23" i="24"/>
  <c r="AT23" i="24" s="1"/>
  <c r="AS22" i="24"/>
  <c r="AT22" i="24"/>
  <c r="AS19" i="24"/>
  <c r="AT19" i="24" s="1"/>
  <c r="AU19" i="24" s="1"/>
  <c r="AV19" i="24" s="1"/>
  <c r="AW19" i="24" s="1"/>
  <c r="I33" i="27" s="1"/>
  <c r="AS17" i="24"/>
  <c r="AS16" i="24"/>
  <c r="AS15" i="24"/>
  <c r="AS14" i="24"/>
  <c r="AT14" i="24"/>
  <c r="AS11" i="24"/>
  <c r="AT11" i="24" s="1"/>
  <c r="AU11" i="24" s="1"/>
  <c r="AV11" i="24" s="1"/>
  <c r="AW11" i="24" s="1"/>
  <c r="I17" i="27" s="1"/>
  <c r="AS9" i="24"/>
  <c r="AS8" i="24"/>
  <c r="AS7" i="24"/>
  <c r="AT7" i="24" s="1"/>
  <c r="AS6" i="24"/>
  <c r="AT6" i="24"/>
  <c r="AU6" i="24"/>
  <c r="J38" i="18"/>
  <c r="AI38" i="18"/>
  <c r="AJ38" i="18"/>
  <c r="J37" i="18"/>
  <c r="AI37" i="18"/>
  <c r="AJ37" i="18"/>
  <c r="AK37" i="18"/>
  <c r="AL37" i="18" s="1"/>
  <c r="AO37" i="18" s="1"/>
  <c r="AP37" i="18" s="1"/>
  <c r="AQ37" i="18" s="1"/>
  <c r="J27" i="24"/>
  <c r="AI27" i="24"/>
  <c r="AJ27" i="24"/>
  <c r="AK27" i="24"/>
  <c r="AL27" i="24"/>
  <c r="AM27" i="24" s="1"/>
  <c r="AN27" i="24" s="1"/>
  <c r="H48" i="27" s="1"/>
  <c r="J26" i="24"/>
  <c r="AI26" i="24"/>
  <c r="AJ26" i="24"/>
  <c r="J35" i="18"/>
  <c r="AI35" i="18"/>
  <c r="AJ35" i="18"/>
  <c r="AK35" i="18"/>
  <c r="J25" i="24"/>
  <c r="AI25" i="24"/>
  <c r="AJ25" i="24"/>
  <c r="AK25" i="24"/>
  <c r="AL25" i="24"/>
  <c r="J24" i="24"/>
  <c r="AI24" i="24"/>
  <c r="AJ24" i="24"/>
  <c r="AK24" i="24"/>
  <c r="AL24" i="24"/>
  <c r="J33" i="18"/>
  <c r="AI33" i="18"/>
  <c r="AJ33" i="18"/>
  <c r="AK33" i="18"/>
  <c r="AL33" i="18" s="1"/>
  <c r="J32" i="18"/>
  <c r="AI32" i="18"/>
  <c r="AJ32" i="18"/>
  <c r="AK32" i="18"/>
  <c r="AL32" i="18" s="1"/>
  <c r="J23" i="24"/>
  <c r="AI23" i="24"/>
  <c r="AJ23" i="24"/>
  <c r="J22" i="24"/>
  <c r="AI22" i="24"/>
  <c r="AJ22" i="24"/>
  <c r="AK22" i="24"/>
  <c r="AL22" i="24"/>
  <c r="J30" i="18"/>
  <c r="AI30" i="18"/>
  <c r="AJ30" i="18"/>
  <c r="J29" i="18"/>
  <c r="AI29" i="18"/>
  <c r="AJ29" i="18"/>
  <c r="J21" i="24"/>
  <c r="AI21" i="24"/>
  <c r="AJ21" i="24"/>
  <c r="J20" i="24"/>
  <c r="AI20" i="24"/>
  <c r="AJ20" i="24"/>
  <c r="J27" i="18"/>
  <c r="AI27" i="18"/>
  <c r="AJ27" i="18"/>
  <c r="J26" i="18"/>
  <c r="AI26" i="18"/>
  <c r="AJ26" i="18"/>
  <c r="J19" i="24"/>
  <c r="AI19" i="24"/>
  <c r="AJ19" i="24"/>
  <c r="AK19" i="24"/>
  <c r="AL19" i="24"/>
  <c r="AM19" i="24" s="1"/>
  <c r="AN19" i="24" s="1"/>
  <c r="H33" i="27" s="1"/>
  <c r="J18" i="24"/>
  <c r="AI18" i="24"/>
  <c r="AJ18" i="24"/>
  <c r="J24" i="18"/>
  <c r="AI24" i="18"/>
  <c r="AJ24" i="18"/>
  <c r="J23" i="18"/>
  <c r="AI23" i="18"/>
  <c r="AJ23" i="18"/>
  <c r="J17" i="24"/>
  <c r="AI17" i="24"/>
  <c r="AJ17" i="24"/>
  <c r="AK17" i="24"/>
  <c r="J16" i="24"/>
  <c r="AI16" i="24"/>
  <c r="AJ16" i="24"/>
  <c r="J21" i="18"/>
  <c r="AI21" i="18"/>
  <c r="AJ21" i="18"/>
  <c r="J20" i="18"/>
  <c r="AI20" i="18"/>
  <c r="AJ20" i="18"/>
  <c r="J15" i="24"/>
  <c r="AI15" i="24"/>
  <c r="AJ15" i="24"/>
  <c r="J14" i="24"/>
  <c r="AI14" i="24"/>
  <c r="AJ14" i="24"/>
  <c r="AK14" i="24"/>
  <c r="J18" i="18"/>
  <c r="AI18" i="18"/>
  <c r="AJ18" i="18"/>
  <c r="J17" i="18"/>
  <c r="AI17" i="18"/>
  <c r="AJ17" i="18"/>
  <c r="AK17" i="18"/>
  <c r="AL17" i="18" s="1"/>
  <c r="AO17" i="18" s="1"/>
  <c r="J13" i="24"/>
  <c r="AI13" i="24"/>
  <c r="AJ13" i="24"/>
  <c r="J12" i="24"/>
  <c r="AI12" i="24"/>
  <c r="AJ12" i="24"/>
  <c r="AK12" i="24"/>
  <c r="AL12" i="24" s="1"/>
  <c r="J15" i="18"/>
  <c r="AI15" i="18"/>
  <c r="AJ15" i="18"/>
  <c r="J14" i="18"/>
  <c r="AI14" i="18"/>
  <c r="AJ14" i="18"/>
  <c r="J11" i="24"/>
  <c r="AI11" i="24"/>
  <c r="AJ11" i="24"/>
  <c r="AK11" i="24"/>
  <c r="AL11" i="24"/>
  <c r="AM11" i="24" s="1"/>
  <c r="AN11" i="24" s="1"/>
  <c r="H17" i="27" s="1"/>
  <c r="J10" i="24"/>
  <c r="AI10" i="24"/>
  <c r="AJ10" i="24"/>
  <c r="J12" i="18"/>
  <c r="AI12" i="18"/>
  <c r="AJ12" i="18"/>
  <c r="J11" i="18"/>
  <c r="AI11" i="18"/>
  <c r="AJ11" i="18"/>
  <c r="AK11" i="18"/>
  <c r="AL11" i="18" s="1"/>
  <c r="J9" i="24"/>
  <c r="AI9" i="24"/>
  <c r="AJ9" i="24"/>
  <c r="AK9" i="24"/>
  <c r="AL9" i="24" s="1"/>
  <c r="J8" i="24"/>
  <c r="AI8" i="24"/>
  <c r="AJ8" i="24"/>
  <c r="J9" i="18"/>
  <c r="AI9" i="18"/>
  <c r="AJ9" i="18"/>
  <c r="J8" i="18"/>
  <c r="AI8" i="18"/>
  <c r="AJ8" i="18"/>
  <c r="J7" i="24"/>
  <c r="AI7" i="24"/>
  <c r="AJ7" i="24"/>
  <c r="AK7" i="24"/>
  <c r="J6" i="24"/>
  <c r="AI6" i="24"/>
  <c r="AJ6" i="24"/>
  <c r="AK6" i="24"/>
  <c r="AL6" i="24"/>
  <c r="J6" i="18"/>
  <c r="AI6" i="18"/>
  <c r="AJ6" i="18"/>
  <c r="J5" i="18"/>
  <c r="AI5" i="18"/>
  <c r="AJ5" i="18"/>
  <c r="J5" i="24"/>
  <c r="AI5" i="24"/>
  <c r="AJ5" i="24"/>
  <c r="AF5" i="21"/>
  <c r="AH5" i="21" s="1"/>
  <c r="AC5" i="21"/>
  <c r="T5" i="21"/>
  <c r="AJ5" i="21"/>
  <c r="K5" i="24"/>
  <c r="AR5" i="24"/>
  <c r="AS5" i="24"/>
  <c r="H5" i="24"/>
  <c r="O5" i="24"/>
  <c r="I5" i="24"/>
  <c r="Y5" i="24"/>
  <c r="Z5" i="24" s="1"/>
  <c r="BA5" i="24"/>
  <c r="BB5" i="24" s="1"/>
  <c r="K4" i="24"/>
  <c r="AR4" i="24"/>
  <c r="H4" i="24"/>
  <c r="O4" i="24" s="1"/>
  <c r="I4" i="24"/>
  <c r="Y4" i="24"/>
  <c r="AF4" i="21"/>
  <c r="AC4" i="21"/>
  <c r="T4" i="21"/>
  <c r="J4" i="24"/>
  <c r="AI4" i="24" s="1"/>
  <c r="AJ4" i="24" s="1"/>
  <c r="Z38" i="18"/>
  <c r="Z37" i="18"/>
  <c r="Z27" i="24"/>
  <c r="AA27" i="24"/>
  <c r="AB27" i="24" s="1"/>
  <c r="AC27" i="24" s="1"/>
  <c r="AD27" i="24" s="1"/>
  <c r="G48" i="27" s="1"/>
  <c r="Z26" i="24"/>
  <c r="Z35" i="18"/>
  <c r="AA35" i="18" s="1"/>
  <c r="Z25" i="24"/>
  <c r="AA25" i="24" s="1"/>
  <c r="AB25" i="24" s="1"/>
  <c r="Z24" i="24"/>
  <c r="AA24" i="24"/>
  <c r="AB24" i="24"/>
  <c r="Z33" i="18"/>
  <c r="AA33" i="18"/>
  <c r="AB33" i="18" s="1"/>
  <c r="Z32" i="18"/>
  <c r="AA32" i="18" s="1"/>
  <c r="AB32" i="18" s="1"/>
  <c r="Z23" i="24"/>
  <c r="AA23" i="24" s="1"/>
  <c r="Z22" i="24"/>
  <c r="AA22" i="24"/>
  <c r="AB22" i="24"/>
  <c r="Z30" i="18"/>
  <c r="Z29" i="18"/>
  <c r="AA29" i="18" s="1"/>
  <c r="AB29" i="18" s="1"/>
  <c r="AF29" i="18" s="1"/>
  <c r="Z21" i="24"/>
  <c r="Z20" i="24"/>
  <c r="Z27" i="18"/>
  <c r="Z26" i="18"/>
  <c r="Z19" i="24"/>
  <c r="AA19" i="24" s="1"/>
  <c r="AB19" i="24" s="1"/>
  <c r="AC19" i="24" s="1"/>
  <c r="AD19" i="24" s="1"/>
  <c r="G33" i="27" s="1"/>
  <c r="Z18" i="24"/>
  <c r="Z24" i="18"/>
  <c r="Z23" i="18"/>
  <c r="AA23" i="18" s="1"/>
  <c r="AB23" i="18" s="1"/>
  <c r="AF23" i="18" s="1"/>
  <c r="Z17" i="24"/>
  <c r="AA17" i="24" s="1"/>
  <c r="Z16" i="24"/>
  <c r="Z21" i="18"/>
  <c r="Z20" i="18"/>
  <c r="Z15" i="24"/>
  <c r="Z14" i="24"/>
  <c r="AA14" i="24"/>
  <c r="Z18" i="18"/>
  <c r="Z17" i="18"/>
  <c r="AA17" i="18" s="1"/>
  <c r="AB17" i="18" s="1"/>
  <c r="Z13" i="24"/>
  <c r="Z12" i="24"/>
  <c r="AA12" i="24"/>
  <c r="AB12" i="24" s="1"/>
  <c r="Z15" i="18"/>
  <c r="Z14" i="18"/>
  <c r="Z11" i="24"/>
  <c r="AA11" i="24" s="1"/>
  <c r="AB11" i="24" s="1"/>
  <c r="AC11" i="24" s="1"/>
  <c r="AD11" i="24" s="1"/>
  <c r="G17" i="27" s="1"/>
  <c r="Z10" i="24"/>
  <c r="Z12" i="18"/>
  <c r="Z11" i="18"/>
  <c r="AA11" i="18" s="1"/>
  <c r="AB11" i="18" s="1"/>
  <c r="Z9" i="24"/>
  <c r="AA9" i="24" s="1"/>
  <c r="AB9" i="24" s="1"/>
  <c r="Z8" i="24"/>
  <c r="Z9" i="18"/>
  <c r="Z8" i="18"/>
  <c r="Z7" i="24"/>
  <c r="AA7" i="24" s="1"/>
  <c r="Z6" i="24"/>
  <c r="AA6" i="24" s="1"/>
  <c r="AB6" i="24" s="1"/>
  <c r="Z6" i="18"/>
  <c r="Z5" i="18"/>
  <c r="AA5" i="18" s="1"/>
  <c r="AB5" i="18" s="1"/>
  <c r="Z4" i="24"/>
  <c r="P38" i="18"/>
  <c r="P37" i="18"/>
  <c r="P35" i="18"/>
  <c r="Q35" i="18" s="1"/>
  <c r="P33" i="18"/>
  <c r="Q33" i="18" s="1"/>
  <c r="R33" i="18" s="1"/>
  <c r="P32" i="18"/>
  <c r="Q32" i="18"/>
  <c r="R32" i="18" s="1"/>
  <c r="V32" i="18" s="1"/>
  <c r="W32" i="18" s="1"/>
  <c r="X32" i="18" s="1"/>
  <c r="P30" i="18"/>
  <c r="P29" i="18"/>
  <c r="P27" i="18"/>
  <c r="P26" i="18"/>
  <c r="P24" i="18"/>
  <c r="P23" i="18"/>
  <c r="P20" i="18"/>
  <c r="P16" i="24"/>
  <c r="P21" i="18"/>
  <c r="P18" i="18"/>
  <c r="P17" i="18"/>
  <c r="Q17" i="18" s="1"/>
  <c r="R17" i="18" s="1"/>
  <c r="V17" i="18" s="1"/>
  <c r="W17" i="18" s="1"/>
  <c r="X17" i="18" s="1"/>
  <c r="P15" i="18"/>
  <c r="P14" i="18"/>
  <c r="P12" i="18"/>
  <c r="P11" i="18"/>
  <c r="Q11" i="18"/>
  <c r="R11" i="18" s="1"/>
  <c r="V11" i="18" s="1"/>
  <c r="P9" i="18"/>
  <c r="P8" i="18"/>
  <c r="P6" i="18"/>
  <c r="P5" i="18"/>
  <c r="P6" i="24"/>
  <c r="Q6" i="24"/>
  <c r="R6" i="24"/>
  <c r="P8" i="24"/>
  <c r="P9" i="24"/>
  <c r="Q9" i="24"/>
  <c r="R9" i="24"/>
  <c r="P10" i="24"/>
  <c r="P11" i="24"/>
  <c r="Q11" i="24" s="1"/>
  <c r="R11" i="24" s="1"/>
  <c r="P12" i="24"/>
  <c r="Q12" i="24" s="1"/>
  <c r="R12" i="24" s="1"/>
  <c r="P13" i="24"/>
  <c r="P14" i="24"/>
  <c r="Q14" i="24"/>
  <c r="P17" i="24"/>
  <c r="Q17" i="24" s="1"/>
  <c r="R17" i="24" s="1"/>
  <c r="P18" i="24"/>
  <c r="P19" i="24"/>
  <c r="Q19" i="24"/>
  <c r="R19" i="24"/>
  <c r="S19" i="24" s="1"/>
  <c r="T19" i="24" s="1"/>
  <c r="F33" i="27" s="1"/>
  <c r="P20" i="24"/>
  <c r="P21" i="24"/>
  <c r="P22" i="24"/>
  <c r="Q22" i="24"/>
  <c r="R22" i="24" s="1"/>
  <c r="P24" i="24"/>
  <c r="Q24" i="24"/>
  <c r="R24" i="24" s="1"/>
  <c r="P25" i="24"/>
  <c r="Q25" i="24" s="1"/>
  <c r="R25" i="24" s="1"/>
  <c r="P26" i="24"/>
  <c r="P27" i="24"/>
  <c r="Q27" i="24"/>
  <c r="R27" i="24"/>
  <c r="S27" i="24"/>
  <c r="T27" i="24"/>
  <c r="F48" i="27" s="1"/>
  <c r="P5" i="24"/>
  <c r="P4" i="24"/>
  <c r="AR32" i="24"/>
  <c r="O32" i="24"/>
  <c r="Y32" i="24"/>
  <c r="AF32" i="21"/>
  <c r="AC32" i="21"/>
  <c r="AH32" i="21" s="1"/>
  <c r="AJ32" i="21" s="1"/>
  <c r="AR33" i="24"/>
  <c r="O33" i="24"/>
  <c r="Y33" i="24"/>
  <c r="BA33" i="24"/>
  <c r="BB33" i="24" s="1"/>
  <c r="BC33" i="24" s="1"/>
  <c r="BD33" i="24" s="1"/>
  <c r="BE33" i="24" s="1"/>
  <c r="BF33" i="24" s="1"/>
  <c r="AF33" i="21"/>
  <c r="AC33" i="21"/>
  <c r="AH33" i="21" s="1"/>
  <c r="AJ33" i="21" s="1"/>
  <c r="AR34" i="24"/>
  <c r="O34" i="24"/>
  <c r="Y34" i="24"/>
  <c r="AF34" i="21"/>
  <c r="AC34" i="21"/>
  <c r="AR36" i="24"/>
  <c r="AS36" i="24" s="1"/>
  <c r="AT36" i="24" s="1"/>
  <c r="AU36" i="24" s="1"/>
  <c r="AV36" i="24" s="1"/>
  <c r="AW36" i="24" s="1"/>
  <c r="O36" i="24"/>
  <c r="Y36" i="24"/>
  <c r="Z36" i="24" s="1"/>
  <c r="AA36" i="24" s="1"/>
  <c r="AB36" i="24" s="1"/>
  <c r="AC36" i="24" s="1"/>
  <c r="AD36" i="24" s="1"/>
  <c r="BA36" i="24"/>
  <c r="BB36" i="24" s="1"/>
  <c r="BC36" i="24" s="1"/>
  <c r="BD36" i="24" s="1"/>
  <c r="BE36" i="24" s="1"/>
  <c r="BF36" i="24" s="1"/>
  <c r="AF36" i="21"/>
  <c r="AC36" i="21"/>
  <c r="AH36" i="21"/>
  <c r="AJ36" i="21"/>
  <c r="AS33" i="24"/>
  <c r="AT33" i="24"/>
  <c r="AU33" i="24" s="1"/>
  <c r="AV33" i="24" s="1"/>
  <c r="AW33" i="24" s="1"/>
  <c r="AI32" i="24"/>
  <c r="AJ32" i="24"/>
  <c r="AK32" i="24" s="1"/>
  <c r="AL32" i="24" s="1"/>
  <c r="AI33" i="24"/>
  <c r="AJ33" i="24"/>
  <c r="AK33" i="24"/>
  <c r="AL33" i="24"/>
  <c r="AM33" i="24" s="1"/>
  <c r="AN33" i="24" s="1"/>
  <c r="AI34" i="24"/>
  <c r="AJ34" i="24" s="1"/>
  <c r="AK34" i="24" s="1"/>
  <c r="AL34" i="24"/>
  <c r="AI36" i="24"/>
  <c r="AJ36" i="24" s="1"/>
  <c r="AK36" i="24" s="1"/>
  <c r="AL36" i="24" s="1"/>
  <c r="AM36" i="24" s="1"/>
  <c r="AN36" i="24" s="1"/>
  <c r="Z32" i="24"/>
  <c r="AA32" i="24" s="1"/>
  <c r="AB32" i="24" s="1"/>
  <c r="Z33" i="24"/>
  <c r="AA33" i="24" s="1"/>
  <c r="AB33" i="24" s="1"/>
  <c r="AC33" i="24" s="1"/>
  <c r="AD33" i="24" s="1"/>
  <c r="Z34" i="24"/>
  <c r="AA34" i="24" s="1"/>
  <c r="AB34" i="24" s="1"/>
  <c r="I7" i="18"/>
  <c r="Y7" i="18"/>
  <c r="Z7" i="18" s="1"/>
  <c r="AI7" i="1"/>
  <c r="M7" i="18" s="1"/>
  <c r="I10" i="18"/>
  <c r="Y10" i="18" s="1"/>
  <c r="Z10" i="18" s="1"/>
  <c r="I13" i="18"/>
  <c r="Y13" i="18"/>
  <c r="Z13" i="18" s="1"/>
  <c r="AI13" i="1"/>
  <c r="M13" i="18" s="1"/>
  <c r="Q13" i="18" s="1"/>
  <c r="I16" i="18"/>
  <c r="Y16" i="18" s="1"/>
  <c r="Z16" i="18" s="1"/>
  <c r="I19" i="18"/>
  <c r="Y19" i="18"/>
  <c r="Z19" i="18"/>
  <c r="AI19" i="1"/>
  <c r="M19" i="18"/>
  <c r="AA19" i="18" s="1"/>
  <c r="I22" i="18"/>
  <c r="Y22" i="18"/>
  <c r="Z22" i="18" s="1"/>
  <c r="I25" i="18"/>
  <c r="Y25" i="18"/>
  <c r="Z25" i="18" s="1"/>
  <c r="AI25" i="1"/>
  <c r="M25" i="18" s="1"/>
  <c r="I28" i="18"/>
  <c r="Y28" i="18" s="1"/>
  <c r="Z28" i="18" s="1"/>
  <c r="I31" i="18"/>
  <c r="Y31" i="18"/>
  <c r="Z31" i="18"/>
  <c r="AI31" i="1"/>
  <c r="M31" i="18" s="1"/>
  <c r="AA31" i="18" s="1"/>
  <c r="I34" i="18"/>
  <c r="Y34" i="18"/>
  <c r="Z34" i="18" s="1"/>
  <c r="I36" i="18"/>
  <c r="Y36" i="18"/>
  <c r="Z36" i="18" s="1"/>
  <c r="AI47" i="1"/>
  <c r="M47" i="18" s="1"/>
  <c r="AI108" i="1"/>
  <c r="M108" i="18" s="1"/>
  <c r="BC108" i="18" s="1"/>
  <c r="AA124" i="18"/>
  <c r="AI125" i="1"/>
  <c r="M125" i="18"/>
  <c r="BC125" i="18" s="1"/>
  <c r="AI129" i="1"/>
  <c r="M129" i="18" s="1"/>
  <c r="AA129" i="18" s="1"/>
  <c r="M132" i="18"/>
  <c r="M155" i="18"/>
  <c r="AA155" i="18" s="1"/>
  <c r="M159" i="18"/>
  <c r="AA159" i="18" s="1"/>
  <c r="M160" i="18"/>
  <c r="M167" i="18"/>
  <c r="BC167" i="18" s="1"/>
  <c r="AI171" i="1"/>
  <c r="M171" i="18" s="1"/>
  <c r="AT171" i="18" s="1"/>
  <c r="AU171" i="18" s="1"/>
  <c r="K7" i="18"/>
  <c r="AR7" i="18"/>
  <c r="H7" i="18"/>
  <c r="O7" i="18"/>
  <c r="N7" i="18"/>
  <c r="AO7" i="1"/>
  <c r="AR7" i="1"/>
  <c r="AO9" i="1"/>
  <c r="AR9" i="1" s="1"/>
  <c r="K10" i="18"/>
  <c r="AR10" i="18"/>
  <c r="H10" i="18"/>
  <c r="O10" i="18"/>
  <c r="BA10" i="18"/>
  <c r="BB10" i="18" s="1"/>
  <c r="AO11" i="1"/>
  <c r="AR11" i="1" s="1"/>
  <c r="K13" i="18"/>
  <c r="AR13" i="18"/>
  <c r="H13" i="18"/>
  <c r="O13" i="18"/>
  <c r="N13" i="18"/>
  <c r="AO13" i="1"/>
  <c r="AR13" i="1" s="1"/>
  <c r="AO15" i="1"/>
  <c r="AR15" i="1" s="1"/>
  <c r="K16" i="18"/>
  <c r="AR16" i="18"/>
  <c r="AS16" i="18" s="1"/>
  <c r="H16" i="18"/>
  <c r="O16" i="18" s="1"/>
  <c r="AO17" i="1"/>
  <c r="AR17" i="1"/>
  <c r="K19" i="18"/>
  <c r="AR19" i="18"/>
  <c r="H19" i="18"/>
  <c r="O19" i="18" s="1"/>
  <c r="BA19" i="18" s="1"/>
  <c r="BB19" i="18" s="1"/>
  <c r="BC19" i="18" s="1"/>
  <c r="N19" i="18"/>
  <c r="AO19" i="1"/>
  <c r="AR19" i="1" s="1"/>
  <c r="AO21" i="1"/>
  <c r="AR21" i="1" s="1"/>
  <c r="K22" i="18"/>
  <c r="AR22" i="18" s="1"/>
  <c r="BA22" i="18" s="1"/>
  <c r="BB22" i="18" s="1"/>
  <c r="H22" i="18"/>
  <c r="O22" i="18" s="1"/>
  <c r="AO23" i="1"/>
  <c r="AR23" i="1" s="1"/>
  <c r="K25" i="18"/>
  <c r="AR25" i="18" s="1"/>
  <c r="BA25" i="18" s="1"/>
  <c r="BB25" i="18" s="1"/>
  <c r="BC25" i="18" s="1"/>
  <c r="H25" i="18"/>
  <c r="O25" i="18"/>
  <c r="N25" i="18"/>
  <c r="AO25" i="1"/>
  <c r="AR25" i="1"/>
  <c r="AO27" i="1"/>
  <c r="AR27" i="1" s="1"/>
  <c r="K28" i="18"/>
  <c r="AR28" i="18" s="1"/>
  <c r="BA28" i="18" s="1"/>
  <c r="BB28" i="18" s="1"/>
  <c r="H28" i="18"/>
  <c r="O28" i="18"/>
  <c r="AO29" i="1"/>
  <c r="AR29" i="1" s="1"/>
  <c r="K31" i="18"/>
  <c r="AR31" i="18"/>
  <c r="H31" i="18"/>
  <c r="O31" i="18"/>
  <c r="N31" i="18"/>
  <c r="AO31" i="1"/>
  <c r="AR31" i="1"/>
  <c r="AO32" i="1"/>
  <c r="AR32" i="1" s="1"/>
  <c r="AO33" i="1"/>
  <c r="AR33" i="1"/>
  <c r="K34" i="18"/>
  <c r="AR34" i="18"/>
  <c r="H34" i="18"/>
  <c r="O34" i="18"/>
  <c r="BA34" i="18"/>
  <c r="BB34" i="18" s="1"/>
  <c r="AO35" i="1"/>
  <c r="AR35" i="1" s="1"/>
  <c r="K36" i="18"/>
  <c r="AR36" i="18" s="1"/>
  <c r="H36" i="18"/>
  <c r="O36" i="18"/>
  <c r="AO37" i="1"/>
  <c r="AR37" i="1" s="1"/>
  <c r="AO39" i="1"/>
  <c r="AR39" i="1" s="1"/>
  <c r="AO41" i="1"/>
  <c r="AR41" i="1"/>
  <c r="AO43" i="1"/>
  <c r="AR43" i="1"/>
  <c r="AO45" i="1"/>
  <c r="AR45" i="1" s="1"/>
  <c r="AO52" i="1"/>
  <c r="AR52" i="1" s="1"/>
  <c r="AO53" i="1"/>
  <c r="AR53" i="1" s="1"/>
  <c r="AO54" i="1"/>
  <c r="AR54" i="1" s="1"/>
  <c r="AO55" i="1"/>
  <c r="AR55" i="1" s="1"/>
  <c r="AO56" i="1"/>
  <c r="AR56" i="1" s="1"/>
  <c r="AO57" i="1"/>
  <c r="AR57" i="1" s="1"/>
  <c r="AO58" i="1"/>
  <c r="AR58" i="1"/>
  <c r="AO59" i="1"/>
  <c r="AR59" i="1" s="1"/>
  <c r="AO60" i="1"/>
  <c r="AR60" i="1"/>
  <c r="AO61" i="1"/>
  <c r="AR61" i="1" s="1"/>
  <c r="AO63" i="1"/>
  <c r="AR63" i="1" s="1"/>
  <c r="AO64" i="1"/>
  <c r="AR64" i="1" s="1"/>
  <c r="AO65" i="1"/>
  <c r="AR65" i="1" s="1"/>
  <c r="AO66" i="1"/>
  <c r="AR66" i="1" s="1"/>
  <c r="AO67" i="1"/>
  <c r="AR67" i="1" s="1"/>
  <c r="AO68" i="1"/>
  <c r="AR68" i="1" s="1"/>
  <c r="AO69" i="1"/>
  <c r="AR69" i="1" s="1"/>
  <c r="AO70" i="1"/>
  <c r="AR70" i="1"/>
  <c r="AO71" i="1"/>
  <c r="AR71" i="1" s="1"/>
  <c r="AO72" i="1"/>
  <c r="AR72" i="1" s="1"/>
  <c r="AO73" i="1"/>
  <c r="AR73" i="1"/>
  <c r="AO74" i="1"/>
  <c r="AR74" i="1"/>
  <c r="AO75" i="1"/>
  <c r="AR75" i="1" s="1"/>
  <c r="AO76" i="1"/>
  <c r="AR76" i="1"/>
  <c r="AO77" i="1"/>
  <c r="AR77" i="1" s="1"/>
  <c r="AO78" i="1"/>
  <c r="AR78" i="1" s="1"/>
  <c r="AO79" i="1"/>
  <c r="AR79" i="1" s="1"/>
  <c r="AO80" i="1"/>
  <c r="AR80" i="1" s="1"/>
  <c r="AO82" i="1"/>
  <c r="AR82" i="1"/>
  <c r="AO84" i="1"/>
  <c r="AR84" i="1" s="1"/>
  <c r="AO87" i="1"/>
  <c r="AR87" i="1" s="1"/>
  <c r="AO89" i="1"/>
  <c r="AR89" i="1"/>
  <c r="AO92" i="1"/>
  <c r="AR92" i="1" s="1"/>
  <c r="AO94" i="1"/>
  <c r="AR94" i="1"/>
  <c r="AO95" i="1"/>
  <c r="AR95" i="1" s="1"/>
  <c r="AO96" i="1"/>
  <c r="AR96" i="1" s="1"/>
  <c r="AO102" i="1"/>
  <c r="AR102" i="1"/>
  <c r="AO103" i="1"/>
  <c r="AR103" i="1" s="1"/>
  <c r="BH124" i="18"/>
  <c r="AO5" i="1"/>
  <c r="AR5" i="1" s="1"/>
  <c r="K4" i="18"/>
  <c r="AR4" i="18"/>
  <c r="H4" i="18"/>
  <c r="O4" i="18"/>
  <c r="I4" i="18"/>
  <c r="Y4" i="18" s="1"/>
  <c r="AI4" i="1"/>
  <c r="M4" i="18"/>
  <c r="AT4" i="18" s="1"/>
  <c r="N4" i="18"/>
  <c r="AO4" i="1"/>
  <c r="AR4" i="1" s="1"/>
  <c r="N47" i="18"/>
  <c r="N108" i="18"/>
  <c r="N125" i="18"/>
  <c r="N129" i="18"/>
  <c r="N132" i="18"/>
  <c r="N155" i="18"/>
  <c r="N159" i="18"/>
  <c r="N160" i="18"/>
  <c r="N167" i="18"/>
  <c r="N171" i="18"/>
  <c r="AS10" i="18"/>
  <c r="AS19" i="18"/>
  <c r="AT19" i="18"/>
  <c r="AU19" i="18" s="1"/>
  <c r="AX19" i="18" s="1"/>
  <c r="AY19" i="18" s="1"/>
  <c r="AZ19" i="18" s="1"/>
  <c r="AS25" i="18"/>
  <c r="AT25" i="18"/>
  <c r="AU25" i="18" s="1"/>
  <c r="AX25" i="18" s="1"/>
  <c r="AY25" i="18" s="1"/>
  <c r="AS34" i="18"/>
  <c r="AY124" i="18"/>
  <c r="AS4" i="18"/>
  <c r="AT108" i="18"/>
  <c r="AT125" i="18"/>
  <c r="AU125" i="18" s="1"/>
  <c r="AT159" i="18"/>
  <c r="J7" i="18"/>
  <c r="AI7" i="18"/>
  <c r="AJ7" i="18"/>
  <c r="J10" i="18"/>
  <c r="AI10" i="18"/>
  <c r="AJ10" i="18"/>
  <c r="AO11" i="18"/>
  <c r="AP11" i="18" s="1"/>
  <c r="J13" i="18"/>
  <c r="AI13" i="18" s="1"/>
  <c r="AJ13" i="18"/>
  <c r="J16" i="18"/>
  <c r="AI16" i="18" s="1"/>
  <c r="AJ16" i="18" s="1"/>
  <c r="J19" i="18"/>
  <c r="AI19" i="18"/>
  <c r="AJ19" i="18" s="1"/>
  <c r="AK19" i="18" s="1"/>
  <c r="AL19" i="18" s="1"/>
  <c r="AO19" i="18" s="1"/>
  <c r="AP19" i="18" s="1"/>
  <c r="AQ19" i="18" s="1"/>
  <c r="J22" i="18"/>
  <c r="AI22" i="18"/>
  <c r="AJ22" i="18"/>
  <c r="AO23" i="18"/>
  <c r="J25" i="18"/>
  <c r="AI25" i="18" s="1"/>
  <c r="AJ25" i="18" s="1"/>
  <c r="AK25" i="18" s="1"/>
  <c r="AL25" i="18" s="1"/>
  <c r="J28" i="18"/>
  <c r="AI28" i="18" s="1"/>
  <c r="AJ28" i="18" s="1"/>
  <c r="AO29" i="18"/>
  <c r="J31" i="18"/>
  <c r="AI31" i="18" s="1"/>
  <c r="AJ31" i="18" s="1"/>
  <c r="AO32" i="18"/>
  <c r="AO33" i="18"/>
  <c r="AP33" i="18" s="1"/>
  <c r="J34" i="18"/>
  <c r="AI34" i="18"/>
  <c r="AJ34" i="18"/>
  <c r="J36" i="18"/>
  <c r="AI36" i="18"/>
  <c r="AJ36" i="18" s="1"/>
  <c r="AO39" i="18"/>
  <c r="AO92" i="18"/>
  <c r="AO107" i="18"/>
  <c r="AP107" i="18" s="1"/>
  <c r="AQ107" i="18" s="1"/>
  <c r="AP124" i="18"/>
  <c r="AO5" i="18"/>
  <c r="J4" i="18"/>
  <c r="AI4" i="18"/>
  <c r="AJ4" i="18"/>
  <c r="AK4" i="18" s="1"/>
  <c r="AL4" i="18" s="1"/>
  <c r="AK47" i="18"/>
  <c r="AL47" i="18" s="1"/>
  <c r="AK108" i="18"/>
  <c r="AL108" i="18" s="1"/>
  <c r="AM108" i="18" s="1"/>
  <c r="AN108" i="18" s="1"/>
  <c r="AK125" i="18"/>
  <c r="AL125" i="18" s="1"/>
  <c r="AK129" i="18"/>
  <c r="AL129" i="18" s="1"/>
  <c r="AK159" i="18"/>
  <c r="AL159" i="18" s="1"/>
  <c r="AM159" i="18" s="1"/>
  <c r="AK160" i="18"/>
  <c r="AL160" i="18" s="1"/>
  <c r="AM160" i="18" s="1"/>
  <c r="AN160" i="18" s="1"/>
  <c r="AK171" i="18"/>
  <c r="AL171" i="18" s="1"/>
  <c r="P32" i="24"/>
  <c r="Q32" i="24" s="1"/>
  <c r="R32" i="24" s="1"/>
  <c r="S32" i="24" s="1"/>
  <c r="T32" i="24" s="1"/>
  <c r="P33" i="24"/>
  <c r="Q33" i="24"/>
  <c r="R33" i="24"/>
  <c r="S33" i="24"/>
  <c r="T33" i="24" s="1"/>
  <c r="P34" i="24"/>
  <c r="Q34" i="24"/>
  <c r="R34" i="24" s="1"/>
  <c r="P36" i="24"/>
  <c r="Q36" i="24"/>
  <c r="R36" i="24" s="1"/>
  <c r="S36" i="24" s="1"/>
  <c r="T36" i="24" s="1"/>
  <c r="L5" i="24"/>
  <c r="L6" i="24"/>
  <c r="L7" i="24"/>
  <c r="L8" i="24"/>
  <c r="L9" i="24"/>
  <c r="L10" i="24"/>
  <c r="L11" i="24"/>
  <c r="L12" i="24"/>
  <c r="L13" i="24"/>
  <c r="L14" i="24"/>
  <c r="L15" i="24"/>
  <c r="L16" i="24"/>
  <c r="L17" i="24"/>
  <c r="L18" i="24"/>
  <c r="L19" i="24"/>
  <c r="L20" i="24"/>
  <c r="L21" i="24"/>
  <c r="L22" i="24"/>
  <c r="L23" i="24"/>
  <c r="L24" i="24"/>
  <c r="L25" i="24"/>
  <c r="L26" i="24"/>
  <c r="L27" i="24"/>
  <c r="L28" i="24"/>
  <c r="L29" i="24"/>
  <c r="L30" i="24"/>
  <c r="L31" i="24"/>
  <c r="L35" i="24"/>
  <c r="L37" i="24"/>
  <c r="L38" i="24"/>
  <c r="L39" i="24"/>
  <c r="L40" i="24"/>
  <c r="L41" i="24"/>
  <c r="L42" i="24"/>
  <c r="L43" i="24"/>
  <c r="L44" i="24"/>
  <c r="L45" i="24"/>
  <c r="L46" i="24"/>
  <c r="L47" i="24"/>
  <c r="L48" i="24"/>
  <c r="L4" i="24"/>
  <c r="L4" i="18"/>
  <c r="AG36" i="21"/>
  <c r="AI36" i="21"/>
  <c r="AG37" i="21"/>
  <c r="AG38" i="21"/>
  <c r="AG39" i="21"/>
  <c r="AG40" i="21"/>
  <c r="AG41" i="21"/>
  <c r="AG42" i="21"/>
  <c r="AG43" i="21"/>
  <c r="AG44" i="21"/>
  <c r="AG45" i="21"/>
  <c r="AG46" i="21"/>
  <c r="AG47" i="21"/>
  <c r="AG48" i="21"/>
  <c r="AG35" i="21"/>
  <c r="AG34" i="21"/>
  <c r="AG33" i="21"/>
  <c r="AI33" i="21"/>
  <c r="F19" i="5"/>
  <c r="G19" i="5"/>
  <c r="K45" i="6"/>
  <c r="K44" i="6"/>
  <c r="K43" i="6"/>
  <c r="K42" i="6"/>
  <c r="K41" i="6"/>
  <c r="K40" i="6"/>
  <c r="K66" i="6"/>
  <c r="K65" i="6"/>
  <c r="K64" i="6"/>
  <c r="K63" i="6"/>
  <c r="K62" i="6"/>
  <c r="K61" i="6"/>
  <c r="K60" i="6"/>
  <c r="F18" i="5"/>
  <c r="G18" i="5"/>
  <c r="F17" i="5"/>
  <c r="G17" i="5"/>
  <c r="AG32" i="21"/>
  <c r="AI32" i="21"/>
  <c r="J32" i="21"/>
  <c r="Q32" i="21"/>
  <c r="J33" i="21"/>
  <c r="Q33" i="21"/>
  <c r="J34" i="21"/>
  <c r="Q34" i="21"/>
  <c r="J35" i="21"/>
  <c r="Q35" i="21"/>
  <c r="J36" i="21"/>
  <c r="Q36" i="21"/>
  <c r="J37" i="21"/>
  <c r="Q37" i="21"/>
  <c r="J38" i="21"/>
  <c r="U38" i="21" s="1"/>
  <c r="Q38" i="21"/>
  <c r="J39" i="21"/>
  <c r="U39" i="21" s="1"/>
  <c r="Q39" i="21"/>
  <c r="F16" i="5"/>
  <c r="G16" i="5"/>
  <c r="AG5" i="21"/>
  <c r="AG6" i="21"/>
  <c r="AG7" i="21"/>
  <c r="AG8" i="21"/>
  <c r="AG9" i="21"/>
  <c r="AG10" i="21"/>
  <c r="AG11" i="21"/>
  <c r="AG12" i="21"/>
  <c r="AG13" i="21"/>
  <c r="AG14" i="21"/>
  <c r="AG15" i="21"/>
  <c r="AG16" i="21"/>
  <c r="AG17" i="21"/>
  <c r="AG18" i="21"/>
  <c r="AG19" i="21"/>
  <c r="AG20" i="21"/>
  <c r="AG21" i="21"/>
  <c r="AG22" i="21"/>
  <c r="AG23" i="21"/>
  <c r="AG24" i="21"/>
  <c r="AG25" i="21"/>
  <c r="AG26" i="21"/>
  <c r="AG27" i="21"/>
  <c r="AG28" i="21"/>
  <c r="AG29" i="21"/>
  <c r="AG30" i="21"/>
  <c r="AG31" i="21"/>
  <c r="Q23" i="21"/>
  <c r="Q24" i="21"/>
  <c r="Q25" i="21"/>
  <c r="Q26" i="21"/>
  <c r="Q27" i="21"/>
  <c r="Q28" i="21"/>
  <c r="Q29" i="21"/>
  <c r="U29" i="21" s="1"/>
  <c r="Q30" i="21"/>
  <c r="Q31" i="21"/>
  <c r="Q4" i="21"/>
  <c r="Q5" i="21"/>
  <c r="Q6" i="21"/>
  <c r="Q7" i="21"/>
  <c r="Q8" i="21"/>
  <c r="Q9" i="21"/>
  <c r="U9" i="21" s="1"/>
  <c r="Q10" i="21"/>
  <c r="Q11" i="21"/>
  <c r="Q12" i="21"/>
  <c r="Q13" i="21"/>
  <c r="Q14" i="21"/>
  <c r="Q15" i="21"/>
  <c r="Q16" i="21"/>
  <c r="Q17" i="21"/>
  <c r="U17" i="21" s="1"/>
  <c r="Q18" i="21"/>
  <c r="Q19" i="21"/>
  <c r="Q20" i="21"/>
  <c r="Q21" i="21"/>
  <c r="Q22" i="21"/>
  <c r="J7" i="21"/>
  <c r="U7" i="21"/>
  <c r="J8" i="21"/>
  <c r="U8" i="21" s="1"/>
  <c r="J9" i="21"/>
  <c r="J10" i="21"/>
  <c r="U10" i="21"/>
  <c r="J11" i="21"/>
  <c r="U11" i="21"/>
  <c r="J12" i="21"/>
  <c r="U12" i="21" s="1"/>
  <c r="J13" i="21"/>
  <c r="U13" i="21"/>
  <c r="J14" i="21"/>
  <c r="U14" i="21"/>
  <c r="J15" i="21"/>
  <c r="U15" i="21"/>
  <c r="J16" i="21"/>
  <c r="U16" i="21" s="1"/>
  <c r="J17" i="21"/>
  <c r="J18" i="21"/>
  <c r="U18" i="21"/>
  <c r="J19" i="21"/>
  <c r="U19" i="21"/>
  <c r="J20" i="21"/>
  <c r="U20" i="21" s="1"/>
  <c r="J21" i="21"/>
  <c r="U21" i="21"/>
  <c r="J22" i="21"/>
  <c r="U22" i="21"/>
  <c r="J23" i="21"/>
  <c r="U23" i="21"/>
  <c r="J24" i="21"/>
  <c r="U24" i="21" s="1"/>
  <c r="J25" i="21"/>
  <c r="U25" i="21"/>
  <c r="J26" i="21"/>
  <c r="U26" i="21"/>
  <c r="J27" i="21"/>
  <c r="U27" i="21"/>
  <c r="J28" i="21"/>
  <c r="U28" i="21" s="1"/>
  <c r="J29" i="21"/>
  <c r="J30" i="21"/>
  <c r="U30" i="21"/>
  <c r="J31" i="21"/>
  <c r="U31" i="21"/>
  <c r="J6" i="21"/>
  <c r="U6" i="21" s="1"/>
  <c r="J5" i="21"/>
  <c r="U5" i="21"/>
  <c r="AG4" i="21"/>
  <c r="J4" i="21"/>
  <c r="U4" i="21"/>
  <c r="V7" i="20"/>
  <c r="V6" i="20"/>
  <c r="V5" i="20"/>
  <c r="V4" i="20"/>
  <c r="V3" i="20"/>
  <c r="U7" i="20"/>
  <c r="U6" i="20"/>
  <c r="U5" i="20"/>
  <c r="U4" i="20"/>
  <c r="U3" i="20"/>
  <c r="T7" i="20"/>
  <c r="T6" i="20"/>
  <c r="T5" i="20"/>
  <c r="T4" i="20"/>
  <c r="T3" i="20"/>
  <c r="S7" i="20"/>
  <c r="S6" i="20"/>
  <c r="S5" i="20"/>
  <c r="S4" i="20"/>
  <c r="S3" i="20"/>
  <c r="BP32" i="18"/>
  <c r="BP31" i="18"/>
  <c r="BP30" i="18"/>
  <c r="BP29" i="18"/>
  <c r="BP28" i="18"/>
  <c r="BP27" i="18"/>
  <c r="BP26" i="18"/>
  <c r="BP25" i="18"/>
  <c r="BP24" i="18"/>
  <c r="BP23" i="18"/>
  <c r="BP22" i="18"/>
  <c r="BP21" i="18"/>
  <c r="BP20" i="18"/>
  <c r="BO32" i="18"/>
  <c r="BO31" i="18"/>
  <c r="BO30" i="18"/>
  <c r="BO29" i="18"/>
  <c r="BO28" i="18"/>
  <c r="BO27" i="18"/>
  <c r="BO26" i="18"/>
  <c r="BO25" i="18"/>
  <c r="BO24" i="18"/>
  <c r="BO23" i="18"/>
  <c r="BO22" i="18"/>
  <c r="BO21" i="18"/>
  <c r="BO20" i="18"/>
  <c r="BN25" i="18"/>
  <c r="BN24" i="18"/>
  <c r="BN23" i="18"/>
  <c r="BN22" i="18"/>
  <c r="AF5" i="18"/>
  <c r="AF11" i="18"/>
  <c r="AG11" i="18" s="1"/>
  <c r="AH11" i="18" s="1"/>
  <c r="AF17" i="18"/>
  <c r="AG17" i="18" s="1"/>
  <c r="AH17" i="18" s="1"/>
  <c r="AB19" i="18"/>
  <c r="AF19" i="18" s="1"/>
  <c r="AG19" i="18" s="1"/>
  <c r="AH19" i="18" s="1"/>
  <c r="AF32" i="18"/>
  <c r="AG32" i="18" s="1"/>
  <c r="AF33" i="18"/>
  <c r="AG33" i="18" s="1"/>
  <c r="AH33" i="18" s="1"/>
  <c r="AG124" i="18"/>
  <c r="AF131" i="18"/>
  <c r="P7" i="18"/>
  <c r="P10" i="18"/>
  <c r="P13" i="18"/>
  <c r="P16" i="18"/>
  <c r="P19" i="18"/>
  <c r="Q19" i="18"/>
  <c r="R19" i="18" s="1"/>
  <c r="V19" i="18" s="1"/>
  <c r="W19" i="18" s="1"/>
  <c r="P22" i="18"/>
  <c r="P25" i="18"/>
  <c r="Q25" i="18" s="1"/>
  <c r="R25" i="18" s="1"/>
  <c r="P28" i="18"/>
  <c r="P31" i="18"/>
  <c r="V33" i="18"/>
  <c r="W33" i="18" s="1"/>
  <c r="P34" i="18"/>
  <c r="P36" i="18"/>
  <c r="V84" i="18"/>
  <c r="W84" i="18" s="1"/>
  <c r="X84" i="18" s="1"/>
  <c r="V87" i="18"/>
  <c r="V92" i="18"/>
  <c r="V95" i="18"/>
  <c r="V96" i="18"/>
  <c r="W96" i="18" s="1"/>
  <c r="X96" i="18" s="1"/>
  <c r="V97" i="18"/>
  <c r="W97" i="18" s="1"/>
  <c r="X97" i="18" s="1"/>
  <c r="V107" i="18"/>
  <c r="W107" i="18" s="1"/>
  <c r="V109" i="18"/>
  <c r="W109" i="18" s="1"/>
  <c r="X109" i="18" s="1"/>
  <c r="V116" i="18"/>
  <c r="W116" i="18" s="1"/>
  <c r="X116" i="18" s="1"/>
  <c r="W124" i="18"/>
  <c r="V131" i="18"/>
  <c r="V135" i="18"/>
  <c r="V154" i="18"/>
  <c r="W154" i="18" s="1"/>
  <c r="V169" i="18"/>
  <c r="V172" i="18"/>
  <c r="W172" i="18"/>
  <c r="V174" i="18"/>
  <c r="W174" i="18" s="1"/>
  <c r="V175" i="18"/>
  <c r="W175" i="18" s="1"/>
  <c r="V176" i="18"/>
  <c r="W176" i="18" s="1"/>
  <c r="X176" i="18" s="1"/>
  <c r="V181" i="18"/>
  <c r="W181" i="18" s="1"/>
  <c r="X181" i="18" s="1"/>
  <c r="V182" i="18"/>
  <c r="W182" i="18" s="1"/>
  <c r="X182" i="18" s="1"/>
  <c r="V184" i="18"/>
  <c r="W184" i="18" s="1"/>
  <c r="X184" i="18" s="1"/>
  <c r="V185" i="18"/>
  <c r="W185" i="18" s="1"/>
  <c r="X185" i="18" s="1"/>
  <c r="V187" i="18"/>
  <c r="W187" i="18" s="1"/>
  <c r="V188" i="18"/>
  <c r="W188" i="18" s="1"/>
  <c r="X188" i="18" s="1"/>
  <c r="V190" i="18"/>
  <c r="W190" i="18" s="1"/>
  <c r="P4" i="18"/>
  <c r="Q4" i="18" s="1"/>
  <c r="R4" i="18" s="1"/>
  <c r="O175" i="12"/>
  <c r="K48" i="6"/>
  <c r="K49" i="6"/>
  <c r="K50" i="6"/>
  <c r="K51" i="6"/>
  <c r="K52" i="6"/>
  <c r="K53" i="6"/>
  <c r="K54" i="6"/>
  <c r="K55" i="6"/>
  <c r="K56" i="6"/>
  <c r="K57" i="6"/>
  <c r="K58" i="6"/>
  <c r="K59" i="6"/>
  <c r="O178" i="12"/>
  <c r="O181" i="12"/>
  <c r="O185" i="12"/>
  <c r="O189" i="12"/>
  <c r="O163" i="12"/>
  <c r="O152" i="12"/>
  <c r="O156" i="12"/>
  <c r="O164" i="12"/>
  <c r="O168" i="12"/>
  <c r="O172" i="12"/>
  <c r="O137" i="12"/>
  <c r="O139" i="12"/>
  <c r="O143" i="12"/>
  <c r="O149" i="12"/>
  <c r="O136" i="12"/>
  <c r="O138" i="12"/>
  <c r="O141" i="12"/>
  <c r="O148" i="12"/>
  <c r="O119" i="12"/>
  <c r="O100" i="12"/>
  <c r="O104" i="12"/>
  <c r="O112" i="12"/>
  <c r="O56" i="12"/>
  <c r="O68" i="12"/>
  <c r="O69" i="12"/>
  <c r="O73" i="12"/>
  <c r="O39" i="12"/>
  <c r="O43" i="12"/>
  <c r="O48" i="12"/>
  <c r="O51" i="12"/>
  <c r="O53" i="12"/>
  <c r="Q175" i="12"/>
  <c r="R175" i="12"/>
  <c r="Q178" i="12"/>
  <c r="R178" i="12"/>
  <c r="Q181" i="12"/>
  <c r="R181" i="12"/>
  <c r="Q185" i="12"/>
  <c r="R185" i="12"/>
  <c r="Q189" i="12"/>
  <c r="R189" i="12"/>
  <c r="Q163" i="12"/>
  <c r="R163" i="12"/>
  <c r="Q152" i="12"/>
  <c r="R152" i="12"/>
  <c r="Q164" i="12"/>
  <c r="R164" i="12"/>
  <c r="Q168" i="12"/>
  <c r="R168" i="12"/>
  <c r="Q172" i="12"/>
  <c r="R172" i="12"/>
  <c r="Q137" i="12"/>
  <c r="R137" i="12"/>
  <c r="Q141" i="12"/>
  <c r="R141" i="12"/>
  <c r="Q148" i="12"/>
  <c r="R148" i="12"/>
  <c r="Q119" i="12"/>
  <c r="R119" i="12"/>
  <c r="Q104" i="12"/>
  <c r="R104" i="12"/>
  <c r="R56" i="12"/>
  <c r="R68" i="12"/>
  <c r="Q69" i="12"/>
  <c r="R69" i="12"/>
  <c r="Q73" i="12"/>
  <c r="R73" i="12"/>
  <c r="Q39" i="12"/>
  <c r="R39" i="12"/>
  <c r="R43" i="12"/>
  <c r="R48" i="12"/>
  <c r="R51" i="12"/>
  <c r="R53" i="12"/>
  <c r="AL46" i="12"/>
  <c r="O174" i="12"/>
  <c r="Q174" i="12"/>
  <c r="R174" i="12"/>
  <c r="O186" i="12"/>
  <c r="O190" i="12"/>
  <c r="Q190" i="12"/>
  <c r="R190" i="12"/>
  <c r="O159" i="12"/>
  <c r="Q159" i="12"/>
  <c r="R159" i="12"/>
  <c r="O161" i="12"/>
  <c r="O165" i="12"/>
  <c r="O171" i="12"/>
  <c r="Q171" i="12"/>
  <c r="R171" i="12"/>
  <c r="O158" i="12"/>
  <c r="Q158" i="12"/>
  <c r="R158" i="12"/>
  <c r="O160" i="12"/>
  <c r="Q160" i="12"/>
  <c r="R160" i="12"/>
  <c r="O170" i="12"/>
  <c r="Q170" i="12"/>
  <c r="R170" i="12"/>
  <c r="O122" i="12"/>
  <c r="O126" i="12"/>
  <c r="Q126" i="12"/>
  <c r="R126" i="12"/>
  <c r="O134" i="12"/>
  <c r="O78" i="12"/>
  <c r="R78" i="12"/>
  <c r="O90" i="12"/>
  <c r="O91" i="12"/>
  <c r="O95" i="12"/>
  <c r="Q95" i="12"/>
  <c r="R95" i="12"/>
  <c r="O61" i="12"/>
  <c r="Q61" i="12"/>
  <c r="R61" i="12"/>
  <c r="O65" i="12"/>
  <c r="Q65" i="12"/>
  <c r="R65" i="12"/>
  <c r="O70" i="12"/>
  <c r="R70" i="12"/>
  <c r="O75" i="12"/>
  <c r="Q75" i="12"/>
  <c r="R75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40" i="12"/>
  <c r="O41" i="12"/>
  <c r="O42" i="12"/>
  <c r="O44" i="12"/>
  <c r="O45" i="12"/>
  <c r="O46" i="12"/>
  <c r="O49" i="12"/>
  <c r="O50" i="12"/>
  <c r="O52" i="12"/>
  <c r="O54" i="12"/>
  <c r="O55" i="12"/>
  <c r="O57" i="12"/>
  <c r="O58" i="12"/>
  <c r="O60" i="12"/>
  <c r="O63" i="12"/>
  <c r="O64" i="12"/>
  <c r="O66" i="12"/>
  <c r="O67" i="12"/>
  <c r="O71" i="12"/>
  <c r="O72" i="12"/>
  <c r="O74" i="12"/>
  <c r="O76" i="12"/>
  <c r="O77" i="12"/>
  <c r="O79" i="12"/>
  <c r="O80" i="12"/>
  <c r="O81" i="12"/>
  <c r="O82" i="12"/>
  <c r="O83" i="12"/>
  <c r="O84" i="12"/>
  <c r="O85" i="12"/>
  <c r="O86" i="12"/>
  <c r="O87" i="12"/>
  <c r="O88" i="12"/>
  <c r="O89" i="12"/>
  <c r="O92" i="12"/>
  <c r="O93" i="12"/>
  <c r="O94" i="12"/>
  <c r="O96" i="12"/>
  <c r="O98" i="12"/>
  <c r="O99" i="12"/>
  <c r="O101" i="12"/>
  <c r="O102" i="12"/>
  <c r="O103" i="12"/>
  <c r="O105" i="12"/>
  <c r="O106" i="12"/>
  <c r="O107" i="12"/>
  <c r="O109" i="12"/>
  <c r="O110" i="12"/>
  <c r="O111" i="12"/>
  <c r="O113" i="12"/>
  <c r="O114" i="12"/>
  <c r="O115" i="12"/>
  <c r="O117" i="12"/>
  <c r="O118" i="12"/>
  <c r="O120" i="12"/>
  <c r="O121" i="12"/>
  <c r="AA124" i="12"/>
  <c r="O127" i="12"/>
  <c r="O128" i="12"/>
  <c r="O130" i="12"/>
  <c r="O131" i="12"/>
  <c r="O133" i="12"/>
  <c r="O135" i="12"/>
  <c r="O140" i="12"/>
  <c r="O146" i="12"/>
  <c r="O147" i="12"/>
  <c r="O150" i="12"/>
  <c r="O153" i="12"/>
  <c r="O154" i="12"/>
  <c r="O157" i="12"/>
  <c r="O162" i="12"/>
  <c r="O166" i="12"/>
  <c r="O169" i="12"/>
  <c r="O173" i="12"/>
  <c r="O176" i="12"/>
  <c r="O177" i="12"/>
  <c r="O179" i="12"/>
  <c r="O180" i="12"/>
  <c r="O183" i="12"/>
  <c r="O184" i="12"/>
  <c r="O187" i="12"/>
  <c r="O188" i="12"/>
  <c r="O191" i="12"/>
  <c r="O192" i="12"/>
  <c r="O4" i="12"/>
  <c r="AE155" i="18"/>
  <c r="AE171" i="18"/>
  <c r="AE167" i="18"/>
  <c r="AE160" i="18"/>
  <c r="AE159" i="18"/>
  <c r="AE151" i="18"/>
  <c r="AE142" i="18"/>
  <c r="AE132" i="18"/>
  <c r="AE129" i="18"/>
  <c r="AE125" i="18"/>
  <c r="AE123" i="18"/>
  <c r="AE108" i="18"/>
  <c r="AE47" i="18"/>
  <c r="U171" i="18"/>
  <c r="U167" i="18"/>
  <c r="U160" i="18"/>
  <c r="U159" i="18"/>
  <c r="U155" i="18"/>
  <c r="U151" i="18"/>
  <c r="U142" i="18"/>
  <c r="U132" i="18"/>
  <c r="U129" i="18"/>
  <c r="U125" i="18"/>
  <c r="U123" i="18"/>
  <c r="U108" i="18"/>
  <c r="U47" i="18"/>
  <c r="AE5" i="18"/>
  <c r="AE6" i="18"/>
  <c r="AE7" i="18"/>
  <c r="AE8" i="18"/>
  <c r="AE9" i="18"/>
  <c r="AE10" i="18"/>
  <c r="AE11" i="18"/>
  <c r="AE12" i="18"/>
  <c r="AE13" i="18"/>
  <c r="AE14" i="18"/>
  <c r="AE15" i="18"/>
  <c r="AE16" i="18"/>
  <c r="AE17" i="18"/>
  <c r="AE18" i="18"/>
  <c r="AE19" i="18"/>
  <c r="AE20" i="18"/>
  <c r="AE21" i="18"/>
  <c r="AE22" i="18"/>
  <c r="AE23" i="18"/>
  <c r="AE24" i="18"/>
  <c r="AE25" i="18"/>
  <c r="AE26" i="18"/>
  <c r="AE27" i="18"/>
  <c r="AE28" i="18"/>
  <c r="AE29" i="18"/>
  <c r="AE30" i="18"/>
  <c r="AE31" i="18"/>
  <c r="AE32" i="18"/>
  <c r="AE33" i="18"/>
  <c r="AE34" i="18"/>
  <c r="AE35" i="18"/>
  <c r="AE36" i="18"/>
  <c r="AE37" i="18"/>
  <c r="AE38" i="18"/>
  <c r="AE39" i="18"/>
  <c r="AE40" i="18"/>
  <c r="AE41" i="18"/>
  <c r="AE42" i="18"/>
  <c r="AE43" i="18"/>
  <c r="AE44" i="18"/>
  <c r="AE45" i="18"/>
  <c r="AE46" i="18"/>
  <c r="AE48" i="18"/>
  <c r="AE49" i="18"/>
  <c r="AE50" i="18"/>
  <c r="AE51" i="18"/>
  <c r="AE52" i="18"/>
  <c r="AE53" i="18"/>
  <c r="AE54" i="18"/>
  <c r="AE55" i="18"/>
  <c r="AE56" i="18"/>
  <c r="AE57" i="18"/>
  <c r="AE58" i="18"/>
  <c r="AE59" i="18"/>
  <c r="AE60" i="18"/>
  <c r="AE61" i="18"/>
  <c r="AE62" i="18"/>
  <c r="AE63" i="18"/>
  <c r="AE64" i="18"/>
  <c r="AE65" i="18"/>
  <c r="AE66" i="18"/>
  <c r="AE67" i="18"/>
  <c r="AE68" i="18"/>
  <c r="AE69" i="18"/>
  <c r="AE70" i="18"/>
  <c r="AE71" i="18"/>
  <c r="AE72" i="18"/>
  <c r="AE73" i="18"/>
  <c r="AE74" i="18"/>
  <c r="AE75" i="18"/>
  <c r="AE76" i="18"/>
  <c r="AE77" i="18"/>
  <c r="AE78" i="18"/>
  <c r="AE79" i="18"/>
  <c r="AE80" i="18"/>
  <c r="AE81" i="18"/>
  <c r="AE82" i="18"/>
  <c r="AE83" i="18"/>
  <c r="AE84" i="18"/>
  <c r="AE85" i="18"/>
  <c r="AE86" i="18"/>
  <c r="AE87" i="18"/>
  <c r="AE88" i="18"/>
  <c r="AE89" i="18"/>
  <c r="AE90" i="18"/>
  <c r="AE91" i="18"/>
  <c r="AE92" i="18"/>
  <c r="AE93" i="18"/>
  <c r="AE94" i="18"/>
  <c r="AE95" i="18"/>
  <c r="AE96" i="18"/>
  <c r="AE97" i="18"/>
  <c r="AE98" i="18"/>
  <c r="AE99" i="18"/>
  <c r="AE100" i="18"/>
  <c r="AE101" i="18"/>
  <c r="AE102" i="18"/>
  <c r="AE103" i="18"/>
  <c r="AE104" i="18"/>
  <c r="AE105" i="18"/>
  <c r="AE106" i="18"/>
  <c r="AE107" i="18"/>
  <c r="AE109" i="18"/>
  <c r="AE110" i="18"/>
  <c r="AE111" i="18"/>
  <c r="AE112" i="18"/>
  <c r="AE113" i="18"/>
  <c r="AE114" i="18"/>
  <c r="AE115" i="18"/>
  <c r="AE116" i="18"/>
  <c r="AE117" i="18"/>
  <c r="AE118" i="18"/>
  <c r="AE119" i="18"/>
  <c r="AE120" i="18"/>
  <c r="AE121" i="18"/>
  <c r="AE122" i="18"/>
  <c r="AE124" i="18"/>
  <c r="AE126" i="18"/>
  <c r="AE127" i="18"/>
  <c r="AE128" i="18"/>
  <c r="AE130" i="18"/>
  <c r="AE131" i="18"/>
  <c r="AE133" i="18"/>
  <c r="AE134" i="18"/>
  <c r="AE135" i="18"/>
  <c r="AE136" i="18"/>
  <c r="AE137" i="18"/>
  <c r="AE138" i="18"/>
  <c r="AE139" i="18"/>
  <c r="AE140" i="18"/>
  <c r="AE141" i="18"/>
  <c r="AE143" i="18"/>
  <c r="AE144" i="18"/>
  <c r="AE145" i="18"/>
  <c r="AE146" i="18"/>
  <c r="AE147" i="18"/>
  <c r="AE148" i="18"/>
  <c r="AE149" i="18"/>
  <c r="AE150" i="18"/>
  <c r="AE152" i="18"/>
  <c r="AE153" i="18"/>
  <c r="AE154" i="18"/>
  <c r="AE156" i="18"/>
  <c r="AE157" i="18"/>
  <c r="AE158" i="18"/>
  <c r="AE161" i="18"/>
  <c r="AE162" i="18"/>
  <c r="AE163" i="18"/>
  <c r="AE164" i="18"/>
  <c r="AE165" i="18"/>
  <c r="AE166" i="18"/>
  <c r="AE168" i="18"/>
  <c r="AE169" i="18"/>
  <c r="AE170" i="18"/>
  <c r="AE172" i="18"/>
  <c r="AE173" i="18"/>
  <c r="AE174" i="18"/>
  <c r="AE175" i="18"/>
  <c r="AE176" i="18"/>
  <c r="AE177" i="18"/>
  <c r="AE178" i="18"/>
  <c r="AE179" i="18"/>
  <c r="AE180" i="18"/>
  <c r="AE181" i="18"/>
  <c r="AE182" i="18"/>
  <c r="AE183" i="18"/>
  <c r="AE184" i="18"/>
  <c r="AE185" i="18"/>
  <c r="AE186" i="18"/>
  <c r="AE187" i="18"/>
  <c r="AE188" i="18"/>
  <c r="AE189" i="18"/>
  <c r="AE190" i="18"/>
  <c r="AE191" i="18"/>
  <c r="AE192" i="18"/>
  <c r="AE4" i="18"/>
  <c r="U5" i="18"/>
  <c r="U6" i="18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29" i="18"/>
  <c r="U30" i="18"/>
  <c r="U31" i="18"/>
  <c r="U32" i="18"/>
  <c r="U33" i="18"/>
  <c r="U34" i="18"/>
  <c r="U35" i="18"/>
  <c r="U36" i="18"/>
  <c r="U37" i="18"/>
  <c r="U38" i="18"/>
  <c r="U39" i="18"/>
  <c r="U40" i="18"/>
  <c r="U41" i="18"/>
  <c r="U42" i="18"/>
  <c r="U43" i="18"/>
  <c r="U44" i="18"/>
  <c r="U45" i="18"/>
  <c r="U46" i="18"/>
  <c r="U4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62" i="18"/>
  <c r="U63" i="18"/>
  <c r="U64" i="18"/>
  <c r="U65" i="18"/>
  <c r="U66" i="18"/>
  <c r="U67" i="18"/>
  <c r="U68" i="18"/>
  <c r="U69" i="18"/>
  <c r="U70" i="18"/>
  <c r="U71" i="18"/>
  <c r="U72" i="18"/>
  <c r="U73" i="18"/>
  <c r="U74" i="18"/>
  <c r="U75" i="18"/>
  <c r="U76" i="18"/>
  <c r="U77" i="18"/>
  <c r="U78" i="18"/>
  <c r="U79" i="18"/>
  <c r="U80" i="18"/>
  <c r="U81" i="18"/>
  <c r="U82" i="18"/>
  <c r="U83" i="18"/>
  <c r="U84" i="18"/>
  <c r="U85" i="18"/>
  <c r="U86" i="18"/>
  <c r="U87" i="18"/>
  <c r="U88" i="18"/>
  <c r="U89" i="18"/>
  <c r="U90" i="18"/>
  <c r="U91" i="18"/>
  <c r="U92" i="18"/>
  <c r="U93" i="18"/>
  <c r="U94" i="18"/>
  <c r="U95" i="18"/>
  <c r="U96" i="18"/>
  <c r="U97" i="18"/>
  <c r="U98" i="18"/>
  <c r="U99" i="18"/>
  <c r="U100" i="18"/>
  <c r="U101" i="18"/>
  <c r="U102" i="18"/>
  <c r="U103" i="18"/>
  <c r="U104" i="18"/>
  <c r="U105" i="18"/>
  <c r="U106" i="18"/>
  <c r="U107" i="18"/>
  <c r="U109" i="18"/>
  <c r="U110" i="18"/>
  <c r="U111" i="18"/>
  <c r="U112" i="18"/>
  <c r="U113" i="18"/>
  <c r="U114" i="18"/>
  <c r="U115" i="18"/>
  <c r="U116" i="18"/>
  <c r="U117" i="18"/>
  <c r="U118" i="18"/>
  <c r="U119" i="18"/>
  <c r="U120" i="18"/>
  <c r="U121" i="18"/>
  <c r="U122" i="18"/>
  <c r="U126" i="18"/>
  <c r="U127" i="18"/>
  <c r="U128" i="18"/>
  <c r="U130" i="18"/>
  <c r="U131" i="18"/>
  <c r="U133" i="18"/>
  <c r="U134" i="18"/>
  <c r="U135" i="18"/>
  <c r="U136" i="18"/>
  <c r="U137" i="18"/>
  <c r="U138" i="18"/>
  <c r="U139" i="18"/>
  <c r="U140" i="18"/>
  <c r="U141" i="18"/>
  <c r="U143" i="18"/>
  <c r="U144" i="18"/>
  <c r="U145" i="18"/>
  <c r="U146" i="18"/>
  <c r="U147" i="18"/>
  <c r="U148" i="18"/>
  <c r="U149" i="18"/>
  <c r="U150" i="18"/>
  <c r="U152" i="18"/>
  <c r="U153" i="18"/>
  <c r="U154" i="18"/>
  <c r="U156" i="18"/>
  <c r="U157" i="18"/>
  <c r="U158" i="18"/>
  <c r="U161" i="18"/>
  <c r="U162" i="18"/>
  <c r="U163" i="18"/>
  <c r="U164" i="18"/>
  <c r="U165" i="18"/>
  <c r="U166" i="18"/>
  <c r="U168" i="18"/>
  <c r="U169" i="18"/>
  <c r="U170" i="18"/>
  <c r="U172" i="18"/>
  <c r="U173" i="18"/>
  <c r="U174" i="18"/>
  <c r="U175" i="18"/>
  <c r="U176" i="18"/>
  <c r="U177" i="18"/>
  <c r="U178" i="18"/>
  <c r="U179" i="18"/>
  <c r="U180" i="18"/>
  <c r="U181" i="18"/>
  <c r="U182" i="18"/>
  <c r="U183" i="18"/>
  <c r="U184" i="18"/>
  <c r="U185" i="18"/>
  <c r="U186" i="18"/>
  <c r="U187" i="18"/>
  <c r="U188" i="18"/>
  <c r="U189" i="18"/>
  <c r="U190" i="18"/>
  <c r="U191" i="18"/>
  <c r="U192" i="18"/>
  <c r="U4" i="18"/>
  <c r="V52" i="20"/>
  <c r="V51" i="20"/>
  <c r="V50" i="20"/>
  <c r="V49" i="20"/>
  <c r="V48" i="20"/>
  <c r="T52" i="20"/>
  <c r="T51" i="20"/>
  <c r="T50" i="20"/>
  <c r="T49" i="20"/>
  <c r="T48" i="20"/>
  <c r="U52" i="20"/>
  <c r="U51" i="20"/>
  <c r="U50" i="20"/>
  <c r="U49" i="20"/>
  <c r="U48" i="20"/>
  <c r="S52" i="20"/>
  <c r="S51" i="20"/>
  <c r="S50" i="20"/>
  <c r="S49" i="20"/>
  <c r="S48" i="20"/>
  <c r="V30" i="20"/>
  <c r="V29" i="20"/>
  <c r="V28" i="20"/>
  <c r="V27" i="20"/>
  <c r="V26" i="20"/>
  <c r="U30" i="20"/>
  <c r="U29" i="20"/>
  <c r="U28" i="20"/>
  <c r="U27" i="20"/>
  <c r="U26" i="20"/>
  <c r="T30" i="20"/>
  <c r="T29" i="20"/>
  <c r="T28" i="20"/>
  <c r="T27" i="20"/>
  <c r="T26" i="20"/>
  <c r="S30" i="20"/>
  <c r="S29" i="20"/>
  <c r="S28" i="20"/>
  <c r="S27" i="20"/>
  <c r="S26" i="20"/>
  <c r="I10" i="20"/>
  <c r="AD7" i="20" s="1"/>
  <c r="I11" i="20"/>
  <c r="I12" i="20"/>
  <c r="I13" i="20"/>
  <c r="I14" i="20"/>
  <c r="I15" i="20"/>
  <c r="I58" i="20"/>
  <c r="AD3" i="20" s="1"/>
  <c r="I59" i="20"/>
  <c r="I60" i="20"/>
  <c r="I61" i="20"/>
  <c r="I62" i="20"/>
  <c r="I63" i="20"/>
  <c r="I46" i="20"/>
  <c r="AD4" i="20" s="1"/>
  <c r="I47" i="20"/>
  <c r="I48" i="20"/>
  <c r="I49" i="20"/>
  <c r="I50" i="20"/>
  <c r="I51" i="20"/>
  <c r="I34" i="20"/>
  <c r="AC5" i="20" s="1"/>
  <c r="I35" i="20"/>
  <c r="I36" i="20"/>
  <c r="I37" i="20"/>
  <c r="I38" i="20"/>
  <c r="I39" i="20"/>
  <c r="I22" i="20"/>
  <c r="AD6" i="20" s="1"/>
  <c r="I23" i="20"/>
  <c r="AC6" i="20" s="1"/>
  <c r="I24" i="20"/>
  <c r="I25" i="20"/>
  <c r="I26" i="20"/>
  <c r="I27" i="20"/>
  <c r="X7" i="20"/>
  <c r="X3" i="20"/>
  <c r="X4" i="20"/>
  <c r="X5" i="20"/>
  <c r="X6" i="20"/>
  <c r="I4" i="20"/>
  <c r="AB7" i="20" s="1"/>
  <c r="I5" i="20"/>
  <c r="I6" i="20"/>
  <c r="I7" i="20"/>
  <c r="I8" i="20"/>
  <c r="I9" i="20"/>
  <c r="I52" i="20"/>
  <c r="AA3" i="20" s="1"/>
  <c r="I53" i="20"/>
  <c r="I54" i="20"/>
  <c r="I55" i="20"/>
  <c r="I56" i="20"/>
  <c r="I57" i="20"/>
  <c r="I40" i="20"/>
  <c r="AB4" i="20" s="1"/>
  <c r="I41" i="20"/>
  <c r="AA4" i="20" s="1"/>
  <c r="I43" i="20"/>
  <c r="I44" i="20"/>
  <c r="I45" i="20"/>
  <c r="I28" i="20"/>
  <c r="AB5" i="20" s="1"/>
  <c r="I29" i="20"/>
  <c r="AA5" i="20" s="1"/>
  <c r="I30" i="20"/>
  <c r="I31" i="20"/>
  <c r="I32" i="20"/>
  <c r="I33" i="20"/>
  <c r="I16" i="20"/>
  <c r="I17" i="20"/>
  <c r="I18" i="20"/>
  <c r="I19" i="20"/>
  <c r="I20" i="20"/>
  <c r="I21" i="20"/>
  <c r="AA6" i="20" s="1"/>
  <c r="Z7" i="20"/>
  <c r="Z6" i="20"/>
  <c r="Z5" i="20"/>
  <c r="Z4" i="20"/>
  <c r="Z3" i="20"/>
  <c r="Y3" i="20"/>
  <c r="Y4" i="20"/>
  <c r="Y5" i="20"/>
  <c r="Y6" i="20"/>
  <c r="Y7" i="20"/>
  <c r="W5" i="20"/>
  <c r="W6" i="20"/>
  <c r="W7" i="20"/>
  <c r="AC3" i="20"/>
  <c r="AC4" i="20"/>
  <c r="AC7" i="20"/>
  <c r="G5" i="9"/>
  <c r="H5" i="9"/>
  <c r="I5" i="9"/>
  <c r="G6" i="9"/>
  <c r="H6" i="9"/>
  <c r="I6" i="9"/>
  <c r="G7" i="9"/>
  <c r="H7" i="9"/>
  <c r="I7" i="9"/>
  <c r="G8" i="9"/>
  <c r="H8" i="9"/>
  <c r="I8" i="9"/>
  <c r="G9" i="9"/>
  <c r="H9" i="9"/>
  <c r="I9" i="9"/>
  <c r="G10" i="9"/>
  <c r="H10" i="9"/>
  <c r="H68" i="9" s="1"/>
  <c r="H79" i="9" s="1"/>
  <c r="I10" i="9"/>
  <c r="G11" i="9"/>
  <c r="H11" i="9"/>
  <c r="I11" i="9"/>
  <c r="G12" i="9"/>
  <c r="H12" i="9"/>
  <c r="I12" i="9"/>
  <c r="G13" i="9"/>
  <c r="H13" i="9"/>
  <c r="I13" i="9"/>
  <c r="G14" i="9"/>
  <c r="H14" i="9"/>
  <c r="I14" i="9"/>
  <c r="G15" i="9"/>
  <c r="H15" i="9"/>
  <c r="I15" i="9"/>
  <c r="G16" i="9"/>
  <c r="H16" i="9"/>
  <c r="I16" i="9"/>
  <c r="G17" i="9"/>
  <c r="H17" i="9"/>
  <c r="I17" i="9"/>
  <c r="G18" i="9"/>
  <c r="H18" i="9"/>
  <c r="I18" i="9"/>
  <c r="G19" i="9"/>
  <c r="H19" i="9"/>
  <c r="I19" i="9"/>
  <c r="G20" i="9"/>
  <c r="H20" i="9"/>
  <c r="I20" i="9"/>
  <c r="G21" i="9"/>
  <c r="H21" i="9"/>
  <c r="I21" i="9"/>
  <c r="G22" i="9"/>
  <c r="H22" i="9"/>
  <c r="I22" i="9"/>
  <c r="G23" i="9"/>
  <c r="H23" i="9"/>
  <c r="I23" i="9"/>
  <c r="G24" i="9"/>
  <c r="H24" i="9"/>
  <c r="I24" i="9"/>
  <c r="G25" i="9"/>
  <c r="H25" i="9"/>
  <c r="I25" i="9"/>
  <c r="G26" i="9"/>
  <c r="H26" i="9"/>
  <c r="I26" i="9"/>
  <c r="G27" i="9"/>
  <c r="H27" i="9"/>
  <c r="I27" i="9"/>
  <c r="G28" i="9"/>
  <c r="H28" i="9"/>
  <c r="I28" i="9"/>
  <c r="G29" i="9"/>
  <c r="H29" i="9"/>
  <c r="I29" i="9"/>
  <c r="G30" i="9"/>
  <c r="H30" i="9"/>
  <c r="I30" i="9"/>
  <c r="G31" i="9"/>
  <c r="H31" i="9"/>
  <c r="I31" i="9"/>
  <c r="G32" i="9"/>
  <c r="H32" i="9"/>
  <c r="I32" i="9"/>
  <c r="G33" i="9"/>
  <c r="H33" i="9"/>
  <c r="I33" i="9"/>
  <c r="G34" i="9"/>
  <c r="H34" i="9"/>
  <c r="H72" i="9" s="1"/>
  <c r="H83" i="9" s="1"/>
  <c r="I34" i="9"/>
  <c r="G35" i="9"/>
  <c r="H35" i="9"/>
  <c r="I35" i="9"/>
  <c r="G36" i="9"/>
  <c r="H36" i="9"/>
  <c r="I36" i="9"/>
  <c r="G37" i="9"/>
  <c r="H37" i="9"/>
  <c r="I37" i="9"/>
  <c r="G38" i="9"/>
  <c r="H38" i="9"/>
  <c r="I38" i="9"/>
  <c r="G39" i="9"/>
  <c r="H39" i="9"/>
  <c r="I39" i="9"/>
  <c r="G40" i="9"/>
  <c r="H40" i="9"/>
  <c r="I40" i="9"/>
  <c r="G41" i="9"/>
  <c r="H41" i="9"/>
  <c r="I41" i="9"/>
  <c r="G42" i="9"/>
  <c r="H42" i="9"/>
  <c r="I42" i="9"/>
  <c r="G43" i="9"/>
  <c r="H43" i="9"/>
  <c r="I43" i="9"/>
  <c r="G44" i="9"/>
  <c r="H44" i="9"/>
  <c r="I44" i="9"/>
  <c r="G45" i="9"/>
  <c r="H45" i="9"/>
  <c r="I45" i="9"/>
  <c r="G46" i="9"/>
  <c r="H46" i="9"/>
  <c r="I46" i="9"/>
  <c r="G47" i="9"/>
  <c r="H47" i="9"/>
  <c r="I47" i="9"/>
  <c r="G48" i="9"/>
  <c r="H48" i="9"/>
  <c r="I48" i="9"/>
  <c r="G49" i="9"/>
  <c r="H49" i="9"/>
  <c r="I49" i="9"/>
  <c r="G50" i="9"/>
  <c r="H50" i="9"/>
  <c r="I50" i="9"/>
  <c r="G51" i="9"/>
  <c r="H51" i="9"/>
  <c r="I51" i="9"/>
  <c r="G52" i="9"/>
  <c r="H52" i="9"/>
  <c r="I52" i="9"/>
  <c r="G53" i="9"/>
  <c r="H53" i="9"/>
  <c r="I53" i="9"/>
  <c r="G54" i="9"/>
  <c r="H54" i="9"/>
  <c r="I54" i="9"/>
  <c r="G55" i="9"/>
  <c r="H55" i="9"/>
  <c r="I55" i="9"/>
  <c r="G56" i="9"/>
  <c r="H56" i="9"/>
  <c r="I56" i="9"/>
  <c r="G57" i="9"/>
  <c r="H57" i="9"/>
  <c r="I57" i="9"/>
  <c r="G58" i="9"/>
  <c r="H58" i="9"/>
  <c r="H76" i="9" s="1"/>
  <c r="H87" i="9" s="1"/>
  <c r="I58" i="9"/>
  <c r="G59" i="9"/>
  <c r="H59" i="9"/>
  <c r="I59" i="9"/>
  <c r="G60" i="9"/>
  <c r="H60" i="9"/>
  <c r="I60" i="9"/>
  <c r="G61" i="9"/>
  <c r="H61" i="9"/>
  <c r="I61" i="9"/>
  <c r="G62" i="9"/>
  <c r="H62" i="9"/>
  <c r="I62" i="9"/>
  <c r="G63" i="9"/>
  <c r="H63" i="9"/>
  <c r="I63" i="9"/>
  <c r="G4" i="9"/>
  <c r="H4" i="9"/>
  <c r="H69" i="9" s="1"/>
  <c r="H80" i="9" s="1"/>
  <c r="I4" i="9"/>
  <c r="I69" i="9" s="1"/>
  <c r="I80" i="9" s="1"/>
  <c r="H37" i="19"/>
  <c r="G37" i="19"/>
  <c r="F37" i="19"/>
  <c r="E37" i="19"/>
  <c r="H36" i="19"/>
  <c r="G36" i="19"/>
  <c r="F36" i="19"/>
  <c r="E36" i="19"/>
  <c r="H35" i="19"/>
  <c r="G35" i="19"/>
  <c r="F35" i="19"/>
  <c r="E35" i="19"/>
  <c r="H34" i="19"/>
  <c r="G34" i="19"/>
  <c r="F34" i="19"/>
  <c r="E34" i="19"/>
  <c r="H33" i="19"/>
  <c r="G33" i="19"/>
  <c r="F33" i="19"/>
  <c r="E33" i="19"/>
  <c r="H32" i="19"/>
  <c r="G32" i="19"/>
  <c r="F32" i="19"/>
  <c r="E32" i="19"/>
  <c r="H31" i="19"/>
  <c r="G31" i="19"/>
  <c r="F31" i="19"/>
  <c r="E31" i="19"/>
  <c r="H30" i="19"/>
  <c r="G30" i="19"/>
  <c r="F30" i="19"/>
  <c r="E30" i="19"/>
  <c r="H29" i="19"/>
  <c r="G29" i="19"/>
  <c r="F29" i="19"/>
  <c r="E29" i="19"/>
  <c r="H28" i="19"/>
  <c r="G28" i="19"/>
  <c r="F28" i="19"/>
  <c r="E28" i="19"/>
  <c r="H27" i="19"/>
  <c r="G27" i="19"/>
  <c r="F27" i="19"/>
  <c r="E27" i="19"/>
  <c r="H26" i="19"/>
  <c r="G26" i="19"/>
  <c r="F26" i="19"/>
  <c r="E26" i="19"/>
  <c r="H25" i="19"/>
  <c r="G25" i="19"/>
  <c r="F25" i="19"/>
  <c r="E25" i="19"/>
  <c r="L192" i="18"/>
  <c r="L191" i="18"/>
  <c r="X190" i="18"/>
  <c r="L190" i="18"/>
  <c r="L189" i="18"/>
  <c r="L188" i="18"/>
  <c r="X187" i="18"/>
  <c r="L187" i="18"/>
  <c r="L186" i="18"/>
  <c r="L185" i="18"/>
  <c r="L184" i="18"/>
  <c r="L183" i="18"/>
  <c r="L182" i="18"/>
  <c r="L181" i="18"/>
  <c r="L180" i="18"/>
  <c r="L179" i="18"/>
  <c r="L178" i="18"/>
  <c r="L177" i="18"/>
  <c r="L176" i="18"/>
  <c r="X175" i="18"/>
  <c r="L175" i="18"/>
  <c r="X174" i="18"/>
  <c r="L174" i="18"/>
  <c r="L173" i="18"/>
  <c r="X172" i="18"/>
  <c r="L172" i="18"/>
  <c r="AR171" i="18"/>
  <c r="BA171" i="18" s="1"/>
  <c r="AI171" i="18"/>
  <c r="L170" i="18"/>
  <c r="L169" i="18"/>
  <c r="L168" i="18"/>
  <c r="AR167" i="18"/>
  <c r="BA167" i="18"/>
  <c r="AI167" i="18"/>
  <c r="L166" i="18"/>
  <c r="L165" i="18"/>
  <c r="L164" i="18"/>
  <c r="L163" i="18"/>
  <c r="L162" i="18"/>
  <c r="L161" i="18"/>
  <c r="AR160" i="18"/>
  <c r="BA160" i="18" s="1"/>
  <c r="AI160" i="18"/>
  <c r="AR159" i="18"/>
  <c r="BA159" i="18"/>
  <c r="AN159" i="18"/>
  <c r="AI159" i="18"/>
  <c r="L158" i="18"/>
  <c r="L157" i="18"/>
  <c r="L156" i="18"/>
  <c r="AR155" i="18"/>
  <c r="BA155" i="18" s="1"/>
  <c r="AI155" i="18"/>
  <c r="X154" i="18"/>
  <c r="L154" i="18"/>
  <c r="L153" i="18"/>
  <c r="L152" i="18"/>
  <c r="AR151" i="18"/>
  <c r="BA151" i="18"/>
  <c r="AI151" i="18"/>
  <c r="L150" i="18"/>
  <c r="L149" i="18"/>
  <c r="L148" i="18"/>
  <c r="L147" i="18"/>
  <c r="L146" i="18"/>
  <c r="L145" i="18"/>
  <c r="L144" i="18"/>
  <c r="L143" i="18"/>
  <c r="AR142" i="18"/>
  <c r="BA142" i="18"/>
  <c r="AI142" i="18"/>
  <c r="L141" i="18"/>
  <c r="L140" i="18"/>
  <c r="L139" i="18"/>
  <c r="L138" i="18"/>
  <c r="L137" i="18"/>
  <c r="L136" i="18"/>
  <c r="L135" i="18"/>
  <c r="L134" i="18"/>
  <c r="L133" i="18"/>
  <c r="AR132" i="18"/>
  <c r="BA132" i="18"/>
  <c r="AI132" i="18"/>
  <c r="L131" i="18"/>
  <c r="L130" i="18"/>
  <c r="AR129" i="18"/>
  <c r="BA129" i="18"/>
  <c r="AI129" i="18"/>
  <c r="L128" i="18"/>
  <c r="L127" i="18"/>
  <c r="L126" i="18"/>
  <c r="AR125" i="18"/>
  <c r="BA125" i="18" s="1"/>
  <c r="AI125" i="18"/>
  <c r="AR124" i="18"/>
  <c r="BA124" i="18"/>
  <c r="AQ124" i="18"/>
  <c r="AI124" i="18"/>
  <c r="AH124" i="18"/>
  <c r="AR123" i="18"/>
  <c r="BA123" i="18" s="1"/>
  <c r="AI123" i="18"/>
  <c r="L122" i="18"/>
  <c r="L121" i="18"/>
  <c r="L120" i="18"/>
  <c r="L119" i="18"/>
  <c r="L118" i="18"/>
  <c r="L117" i="18"/>
  <c r="L116" i="18"/>
  <c r="L115" i="18"/>
  <c r="L114" i="18"/>
  <c r="L113" i="18"/>
  <c r="L112" i="18"/>
  <c r="L111" i="18"/>
  <c r="L110" i="18"/>
  <c r="L109" i="18"/>
  <c r="AR108" i="18"/>
  <c r="BA108" i="18"/>
  <c r="AI108" i="18"/>
  <c r="X107" i="18"/>
  <c r="L107" i="18"/>
  <c r="L106" i="18"/>
  <c r="L105" i="18"/>
  <c r="L104" i="18"/>
  <c r="L103" i="18"/>
  <c r="L102" i="18"/>
  <c r="L101" i="18"/>
  <c r="L100" i="18"/>
  <c r="L99" i="18"/>
  <c r="L98" i="18"/>
  <c r="L97" i="18"/>
  <c r="L96" i="18"/>
  <c r="L95" i="18"/>
  <c r="L94" i="18"/>
  <c r="L93" i="18"/>
  <c r="L92" i="18"/>
  <c r="L91" i="18"/>
  <c r="L90" i="18"/>
  <c r="L89" i="18"/>
  <c r="L88" i="18"/>
  <c r="L87" i="18"/>
  <c r="L86" i="18"/>
  <c r="L85" i="18"/>
  <c r="L84" i="18"/>
  <c r="L83" i="18"/>
  <c r="L82" i="18"/>
  <c r="L81" i="18"/>
  <c r="L80" i="18"/>
  <c r="L79" i="18"/>
  <c r="L78" i="18"/>
  <c r="L77" i="18"/>
  <c r="L76" i="18"/>
  <c r="L75" i="18"/>
  <c r="L74" i="18"/>
  <c r="L73" i="18"/>
  <c r="L72" i="18"/>
  <c r="L71" i="18"/>
  <c r="L70" i="18"/>
  <c r="L69" i="18"/>
  <c r="L68" i="18"/>
  <c r="L67" i="18"/>
  <c r="L66" i="18"/>
  <c r="L65" i="18"/>
  <c r="L64" i="18"/>
  <c r="L63" i="18"/>
  <c r="L62" i="18"/>
  <c r="L61" i="18"/>
  <c r="L60" i="18"/>
  <c r="L59" i="18"/>
  <c r="L58" i="18"/>
  <c r="L57" i="18"/>
  <c r="L56" i="18"/>
  <c r="L55" i="18"/>
  <c r="L54" i="18"/>
  <c r="L53" i="18"/>
  <c r="L52" i="18"/>
  <c r="L51" i="18"/>
  <c r="L50" i="18"/>
  <c r="L49" i="18"/>
  <c r="L48" i="18"/>
  <c r="AR47" i="18"/>
  <c r="BA47" i="18" s="1"/>
  <c r="AI47" i="18"/>
  <c r="L46" i="18"/>
  <c r="L45" i="18"/>
  <c r="L44" i="18"/>
  <c r="L43" i="18"/>
  <c r="L42" i="18"/>
  <c r="L41" i="18"/>
  <c r="L40" i="18"/>
  <c r="L39" i="18"/>
  <c r="L38" i="18"/>
  <c r="L37" i="18"/>
  <c r="L36" i="18"/>
  <c r="L35" i="18"/>
  <c r="L34" i="18"/>
  <c r="AQ33" i="18"/>
  <c r="X33" i="18"/>
  <c r="L33" i="18"/>
  <c r="AH32" i="18"/>
  <c r="L32" i="18"/>
  <c r="L31" i="18"/>
  <c r="L30" i="18"/>
  <c r="L29" i="18"/>
  <c r="L28" i="18"/>
  <c r="L27" i="18"/>
  <c r="L26" i="18"/>
  <c r="AZ25" i="18"/>
  <c r="L25" i="18"/>
  <c r="L24" i="18"/>
  <c r="L23" i="18"/>
  <c r="L22" i="18"/>
  <c r="L21" i="18"/>
  <c r="L20" i="18"/>
  <c r="X19" i="18"/>
  <c r="L19" i="18"/>
  <c r="L18" i="18"/>
  <c r="L17" i="18"/>
  <c r="L16" i="18"/>
  <c r="L15" i="18"/>
  <c r="L14" i="18"/>
  <c r="L13" i="18"/>
  <c r="L12" i="18"/>
  <c r="AQ11" i="18"/>
  <c r="L11" i="18"/>
  <c r="L10" i="18"/>
  <c r="L9" i="18"/>
  <c r="L8" i="18"/>
  <c r="L7" i="18"/>
  <c r="L6" i="18"/>
  <c r="L5" i="18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Z111" i="11"/>
  <c r="Z112" i="11"/>
  <c r="Z113" i="11"/>
  <c r="Z114" i="11"/>
  <c r="Z115" i="11"/>
  <c r="Z116" i="11"/>
  <c r="Z117" i="11"/>
  <c r="Z118" i="11"/>
  <c r="Z119" i="11"/>
  <c r="Z120" i="11"/>
  <c r="Z121" i="11"/>
  <c r="Z122" i="11"/>
  <c r="Z123" i="11"/>
  <c r="Z124" i="11"/>
  <c r="Z125" i="11"/>
  <c r="Z126" i="11"/>
  <c r="Z127" i="11"/>
  <c r="Z128" i="11"/>
  <c r="Z129" i="11"/>
  <c r="Z130" i="11"/>
  <c r="Z131" i="11"/>
  <c r="Z132" i="11"/>
  <c r="Z133" i="11"/>
  <c r="Z134" i="11"/>
  <c r="Z135" i="11"/>
  <c r="Z136" i="11"/>
  <c r="Z137" i="11"/>
  <c r="Z138" i="11"/>
  <c r="Z139" i="11"/>
  <c r="Z140" i="11"/>
  <c r="Z141" i="11"/>
  <c r="Z142" i="11"/>
  <c r="Z143" i="11"/>
  <c r="Z144" i="11"/>
  <c r="Z145" i="11"/>
  <c r="Z146" i="11"/>
  <c r="Z147" i="11"/>
  <c r="Z148" i="11"/>
  <c r="Z149" i="11"/>
  <c r="Z150" i="11"/>
  <c r="Z151" i="11"/>
  <c r="Z152" i="11"/>
  <c r="Z153" i="11"/>
  <c r="Z154" i="11"/>
  <c r="Z155" i="11"/>
  <c r="Z156" i="11"/>
  <c r="Z157" i="11"/>
  <c r="Z158" i="11"/>
  <c r="Z159" i="11"/>
  <c r="Z160" i="11"/>
  <c r="Z161" i="11"/>
  <c r="Z162" i="11"/>
  <c r="Z163" i="11"/>
  <c r="Z164" i="11"/>
  <c r="Z165" i="11"/>
  <c r="Z166" i="11"/>
  <c r="Z167" i="11"/>
  <c r="Z168" i="11"/>
  <c r="Z169" i="11"/>
  <c r="Z170" i="11"/>
  <c r="Z171" i="11"/>
  <c r="Z172" i="11"/>
  <c r="Z173" i="11"/>
  <c r="Z174" i="11"/>
  <c r="Z175" i="11"/>
  <c r="Z176" i="11"/>
  <c r="Z177" i="11"/>
  <c r="Z178" i="11"/>
  <c r="Z179" i="11"/>
  <c r="Z180" i="11"/>
  <c r="Z181" i="11"/>
  <c r="Z182" i="11"/>
  <c r="Z183" i="11"/>
  <c r="Z184" i="11"/>
  <c r="Z185" i="11"/>
  <c r="Z186" i="11"/>
  <c r="Z187" i="11"/>
  <c r="Z188" i="11"/>
  <c r="Z189" i="11"/>
  <c r="Z190" i="11"/>
  <c r="Z191" i="11"/>
  <c r="Z192" i="11"/>
  <c r="Z4" i="11"/>
  <c r="U33" i="2"/>
  <c r="D95" i="2" s="1"/>
  <c r="U34" i="2"/>
  <c r="U35" i="2"/>
  <c r="U36" i="2"/>
  <c r="U38" i="2"/>
  <c r="U39" i="2"/>
  <c r="J46" i="9"/>
  <c r="K46" i="9"/>
  <c r="J47" i="9"/>
  <c r="K47" i="9"/>
  <c r="J48" i="9"/>
  <c r="K48" i="9"/>
  <c r="J49" i="9"/>
  <c r="K49" i="9"/>
  <c r="J50" i="9"/>
  <c r="K50" i="9"/>
  <c r="J51" i="9"/>
  <c r="K51" i="9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Y111" i="11"/>
  <c r="Y112" i="11"/>
  <c r="Y113" i="11"/>
  <c r="Y114" i="11"/>
  <c r="Y115" i="11"/>
  <c r="Y116" i="11"/>
  <c r="Y117" i="11"/>
  <c r="Y118" i="11"/>
  <c r="Y119" i="11"/>
  <c r="Y120" i="11"/>
  <c r="Y121" i="11"/>
  <c r="Y122" i="11"/>
  <c r="Y123" i="11"/>
  <c r="Y124" i="11"/>
  <c r="Y125" i="11"/>
  <c r="Y126" i="11"/>
  <c r="Y127" i="11"/>
  <c r="Y128" i="11"/>
  <c r="Y129" i="11"/>
  <c r="Y130" i="11"/>
  <c r="Y131" i="11"/>
  <c r="Y132" i="11"/>
  <c r="Y133" i="11"/>
  <c r="Y134" i="11"/>
  <c r="Y135" i="11"/>
  <c r="Y136" i="11"/>
  <c r="Y137" i="11"/>
  <c r="Y138" i="11"/>
  <c r="Y139" i="11"/>
  <c r="Y140" i="11"/>
  <c r="Y141" i="11"/>
  <c r="Y142" i="11"/>
  <c r="Y143" i="11"/>
  <c r="Y144" i="11"/>
  <c r="Y145" i="11"/>
  <c r="Y146" i="11"/>
  <c r="Y147" i="11"/>
  <c r="Y148" i="11"/>
  <c r="Y149" i="11"/>
  <c r="Y150" i="11"/>
  <c r="Y151" i="11"/>
  <c r="Y152" i="11"/>
  <c r="Y153" i="11"/>
  <c r="Y154" i="11"/>
  <c r="Y155" i="11"/>
  <c r="Y156" i="11"/>
  <c r="Y157" i="11"/>
  <c r="Y158" i="11"/>
  <c r="Y159" i="11"/>
  <c r="Y160" i="11"/>
  <c r="Y161" i="11"/>
  <c r="Y162" i="11"/>
  <c r="Y163" i="11"/>
  <c r="Y164" i="11"/>
  <c r="Y165" i="11"/>
  <c r="Y166" i="11"/>
  <c r="Y167" i="11"/>
  <c r="Y168" i="11"/>
  <c r="Y169" i="11"/>
  <c r="Y170" i="11"/>
  <c r="Y171" i="11"/>
  <c r="Y172" i="11"/>
  <c r="Y173" i="11"/>
  <c r="Y174" i="11"/>
  <c r="Y175" i="11"/>
  <c r="Y176" i="11"/>
  <c r="Y177" i="11"/>
  <c r="Y178" i="11"/>
  <c r="Y179" i="11"/>
  <c r="Y180" i="11"/>
  <c r="Y181" i="11"/>
  <c r="Y182" i="11"/>
  <c r="Y183" i="11"/>
  <c r="Y184" i="11"/>
  <c r="Y185" i="11"/>
  <c r="Y186" i="11"/>
  <c r="Y187" i="11"/>
  <c r="Y188" i="11"/>
  <c r="Y189" i="11"/>
  <c r="Y190" i="11"/>
  <c r="Y191" i="11"/>
  <c r="Y192" i="11"/>
  <c r="Y4" i="11"/>
  <c r="J10" i="9"/>
  <c r="J68" i="9" s="1"/>
  <c r="J79" i="9" s="1"/>
  <c r="J11" i="9"/>
  <c r="J12" i="9"/>
  <c r="J13" i="9"/>
  <c r="J14" i="9"/>
  <c r="J15" i="9"/>
  <c r="K10" i="9"/>
  <c r="K11" i="9"/>
  <c r="K12" i="9"/>
  <c r="K13" i="9"/>
  <c r="K14" i="9"/>
  <c r="K15" i="9"/>
  <c r="J4" i="9"/>
  <c r="J5" i="9"/>
  <c r="J6" i="9"/>
  <c r="J7" i="9"/>
  <c r="J8" i="9"/>
  <c r="J9" i="9"/>
  <c r="K4" i="9"/>
  <c r="K5" i="9"/>
  <c r="K6" i="9"/>
  <c r="K7" i="9"/>
  <c r="K8" i="9"/>
  <c r="K9" i="9"/>
  <c r="J22" i="9"/>
  <c r="J70" i="9" s="1"/>
  <c r="J81" i="9" s="1"/>
  <c r="J23" i="9"/>
  <c r="J24" i="9"/>
  <c r="J25" i="9"/>
  <c r="J26" i="9"/>
  <c r="J27" i="9"/>
  <c r="K22" i="9"/>
  <c r="K23" i="9"/>
  <c r="K24" i="9"/>
  <c r="K25" i="9"/>
  <c r="K26" i="9"/>
  <c r="K27" i="9"/>
  <c r="J16" i="9"/>
  <c r="J17" i="9"/>
  <c r="J18" i="9"/>
  <c r="J19" i="9"/>
  <c r="J20" i="9"/>
  <c r="J21" i="9"/>
  <c r="K16" i="9"/>
  <c r="K17" i="9"/>
  <c r="K18" i="9"/>
  <c r="K19" i="9"/>
  <c r="K20" i="9"/>
  <c r="K21" i="9"/>
  <c r="J34" i="9"/>
  <c r="J72" i="9" s="1"/>
  <c r="J83" i="9" s="1"/>
  <c r="J35" i="9"/>
  <c r="J36" i="9"/>
  <c r="J37" i="9"/>
  <c r="J38" i="9"/>
  <c r="J39" i="9"/>
  <c r="K34" i="9"/>
  <c r="K35" i="9"/>
  <c r="K36" i="9"/>
  <c r="K37" i="9"/>
  <c r="K38" i="9"/>
  <c r="K39" i="9"/>
  <c r="J28" i="9"/>
  <c r="J29" i="9"/>
  <c r="J30" i="9"/>
  <c r="J31" i="9"/>
  <c r="J32" i="9"/>
  <c r="J33" i="9"/>
  <c r="K28" i="9"/>
  <c r="K29" i="9"/>
  <c r="K30" i="9"/>
  <c r="K31" i="9"/>
  <c r="K32" i="9"/>
  <c r="K33" i="9"/>
  <c r="J40" i="9"/>
  <c r="J41" i="9"/>
  <c r="J42" i="9"/>
  <c r="J43" i="9"/>
  <c r="J44" i="9"/>
  <c r="J45" i="9"/>
  <c r="K40" i="9"/>
  <c r="K41" i="9"/>
  <c r="K42" i="9"/>
  <c r="K43" i="9"/>
  <c r="K44" i="9"/>
  <c r="K45" i="9"/>
  <c r="J58" i="9"/>
  <c r="J59" i="9"/>
  <c r="J60" i="9"/>
  <c r="J61" i="9"/>
  <c r="J62" i="9"/>
  <c r="J63" i="9"/>
  <c r="K58" i="9"/>
  <c r="K59" i="9"/>
  <c r="K60" i="9"/>
  <c r="K61" i="9"/>
  <c r="K62" i="9"/>
  <c r="K63" i="9"/>
  <c r="J52" i="9"/>
  <c r="J53" i="9"/>
  <c r="J54" i="9"/>
  <c r="J55" i="9"/>
  <c r="J56" i="9"/>
  <c r="J57" i="9"/>
  <c r="K52" i="9"/>
  <c r="K53" i="9"/>
  <c r="K54" i="9"/>
  <c r="K55" i="9"/>
  <c r="K56" i="9"/>
  <c r="K57" i="9"/>
  <c r="N4" i="16"/>
  <c r="M98" i="2"/>
  <c r="L98" i="2"/>
  <c r="M97" i="2"/>
  <c r="L97" i="2"/>
  <c r="M96" i="2"/>
  <c r="L96" i="2"/>
  <c r="M95" i="2"/>
  <c r="L95" i="2"/>
  <c r="M94" i="2"/>
  <c r="L94" i="2"/>
  <c r="U77" i="2"/>
  <c r="U78" i="2"/>
  <c r="U79" i="2"/>
  <c r="U59" i="2"/>
  <c r="K97" i="2" s="1"/>
  <c r="U62" i="2"/>
  <c r="U40" i="2"/>
  <c r="U41" i="2"/>
  <c r="U42" i="2"/>
  <c r="U45" i="2"/>
  <c r="U48" i="2"/>
  <c r="U50" i="2"/>
  <c r="U24" i="2"/>
  <c r="U25" i="2"/>
  <c r="U32" i="2"/>
  <c r="U9" i="2"/>
  <c r="U11" i="2"/>
  <c r="K94" i="2"/>
  <c r="U13" i="2"/>
  <c r="U23" i="2"/>
  <c r="J94" i="2"/>
  <c r="U58" i="2"/>
  <c r="I97" i="2" s="1"/>
  <c r="U61" i="2"/>
  <c r="U70" i="2"/>
  <c r="U73" i="2"/>
  <c r="U43" i="2"/>
  <c r="U46" i="2"/>
  <c r="U49" i="2"/>
  <c r="U51" i="2"/>
  <c r="U26" i="2"/>
  <c r="I95" i="2"/>
  <c r="U37" i="2"/>
  <c r="V33" i="2" s="1"/>
  <c r="U3" i="2"/>
  <c r="I94" i="2" s="1"/>
  <c r="U5" i="2"/>
  <c r="U8" i="2"/>
  <c r="U10" i="2"/>
  <c r="U17" i="2"/>
  <c r="U18" i="2"/>
  <c r="H94" i="2" s="1"/>
  <c r="U21" i="2"/>
  <c r="U57" i="2"/>
  <c r="U60" i="2"/>
  <c r="U63" i="2"/>
  <c r="U71" i="2"/>
  <c r="U27" i="2"/>
  <c r="U28" i="2"/>
  <c r="U30" i="2"/>
  <c r="G95" i="2"/>
  <c r="U2" i="2"/>
  <c r="U4" i="2"/>
  <c r="U7" i="2"/>
  <c r="U12" i="2"/>
  <c r="U14" i="2"/>
  <c r="U16" i="2"/>
  <c r="F94" i="2"/>
  <c r="U80" i="2"/>
  <c r="E98" i="2" s="1"/>
  <c r="U72" i="2"/>
  <c r="E97" i="2"/>
  <c r="U44" i="2"/>
  <c r="E96" i="2" s="1"/>
  <c r="U47" i="2"/>
  <c r="U29" i="2"/>
  <c r="U31" i="2"/>
  <c r="U81" i="2"/>
  <c r="D98" i="2" s="1"/>
  <c r="U82" i="2"/>
  <c r="U83" i="2"/>
  <c r="V81" i="2" s="1"/>
  <c r="U74" i="2"/>
  <c r="D97" i="2" s="1"/>
  <c r="U75" i="2"/>
  <c r="U76" i="2"/>
  <c r="U52" i="2"/>
  <c r="U53" i="2"/>
  <c r="U54" i="2"/>
  <c r="U55" i="2"/>
  <c r="U56" i="2"/>
  <c r="D96" i="2"/>
  <c r="U15" i="2"/>
  <c r="U20" i="2"/>
  <c r="V52" i="2"/>
  <c r="U19" i="2"/>
  <c r="U22" i="2"/>
  <c r="U6" i="2"/>
  <c r="U64" i="2"/>
  <c r="U65" i="2"/>
  <c r="U66" i="2"/>
  <c r="U67" i="2"/>
  <c r="U68" i="2"/>
  <c r="U69" i="2"/>
  <c r="Q5" i="12"/>
  <c r="R5" i="12"/>
  <c r="Q7" i="12"/>
  <c r="R7" i="12"/>
  <c r="Q9" i="12"/>
  <c r="R9" i="12"/>
  <c r="Q11" i="12"/>
  <c r="R11" i="12"/>
  <c r="Q13" i="12"/>
  <c r="R13" i="12"/>
  <c r="Q15" i="12"/>
  <c r="R15" i="12"/>
  <c r="Q17" i="12"/>
  <c r="R17" i="12"/>
  <c r="Q19" i="12"/>
  <c r="R19" i="12"/>
  <c r="Q21" i="12"/>
  <c r="R21" i="12"/>
  <c r="Q23" i="12"/>
  <c r="R23" i="12"/>
  <c r="Q25" i="12"/>
  <c r="R25" i="12"/>
  <c r="Q27" i="12"/>
  <c r="R27" i="12"/>
  <c r="Q29" i="12"/>
  <c r="R29" i="12"/>
  <c r="Q31" i="12"/>
  <c r="R31" i="12"/>
  <c r="Q32" i="12"/>
  <c r="R32" i="12"/>
  <c r="Q33" i="12"/>
  <c r="R33" i="12"/>
  <c r="Q35" i="12"/>
  <c r="R35" i="12"/>
  <c r="Q37" i="12"/>
  <c r="R37" i="12"/>
  <c r="R41" i="12"/>
  <c r="R45" i="12"/>
  <c r="R49" i="12"/>
  <c r="R50" i="12"/>
  <c r="R52" i="12"/>
  <c r="R54" i="12"/>
  <c r="Q55" i="12"/>
  <c r="R55" i="12"/>
  <c r="Q57" i="12"/>
  <c r="R57" i="12"/>
  <c r="R58" i="12"/>
  <c r="R60" i="12"/>
  <c r="Q63" i="12"/>
  <c r="R63" i="12"/>
  <c r="R64" i="12"/>
  <c r="R66" i="12"/>
  <c r="Q67" i="12"/>
  <c r="R67" i="12"/>
  <c r="Q71" i="12"/>
  <c r="R71" i="12"/>
  <c r="R72" i="12"/>
  <c r="R74" i="12"/>
  <c r="R76" i="12"/>
  <c r="Q77" i="12"/>
  <c r="R77" i="12"/>
  <c r="Q79" i="12"/>
  <c r="R79" i="12"/>
  <c r="R80" i="12"/>
  <c r="Q82" i="12"/>
  <c r="R82" i="12"/>
  <c r="Q84" i="12"/>
  <c r="R84" i="12"/>
  <c r="Q87" i="12"/>
  <c r="R87" i="12"/>
  <c r="Q89" i="12"/>
  <c r="R89" i="12"/>
  <c r="Q92" i="12"/>
  <c r="R92" i="12"/>
  <c r="Q94" i="12"/>
  <c r="R94" i="12"/>
  <c r="Q96" i="12"/>
  <c r="R96" i="12"/>
  <c r="Q102" i="12"/>
  <c r="R102" i="12"/>
  <c r="Q103" i="12"/>
  <c r="R103" i="12"/>
  <c r="Q106" i="12"/>
  <c r="R106" i="12"/>
  <c r="Q107" i="12"/>
  <c r="R107" i="12"/>
  <c r="Q109" i="12"/>
  <c r="R109" i="12"/>
  <c r="Q114" i="12"/>
  <c r="R114" i="12"/>
  <c r="Q115" i="12"/>
  <c r="R115" i="12"/>
  <c r="Q118" i="12"/>
  <c r="R118" i="12"/>
  <c r="Q120" i="12"/>
  <c r="R120" i="12"/>
  <c r="Q121" i="12"/>
  <c r="R121" i="12"/>
  <c r="AD124" i="12"/>
  <c r="Q127" i="12"/>
  <c r="R127" i="12"/>
  <c r="Q130" i="12"/>
  <c r="R130" i="12"/>
  <c r="Q131" i="12"/>
  <c r="R131" i="12"/>
  <c r="Q133" i="12"/>
  <c r="R133" i="12"/>
  <c r="Q135" i="12"/>
  <c r="R135" i="12"/>
  <c r="Q150" i="12"/>
  <c r="R150" i="12"/>
  <c r="Q154" i="12"/>
  <c r="R154" i="12"/>
  <c r="Q157" i="12"/>
  <c r="R157" i="12"/>
  <c r="Q162" i="12"/>
  <c r="R162" i="12"/>
  <c r="Q166" i="12"/>
  <c r="R166" i="12"/>
  <c r="Q169" i="12"/>
  <c r="R169" i="12"/>
  <c r="Q173" i="12"/>
  <c r="R173" i="12"/>
  <c r="Q176" i="12"/>
  <c r="R176" i="12"/>
  <c r="Q177" i="12"/>
  <c r="R177" i="12"/>
  <c r="Q179" i="12"/>
  <c r="R179" i="12"/>
  <c r="Q184" i="12"/>
  <c r="R184" i="12"/>
  <c r="Q187" i="12"/>
  <c r="R187" i="12"/>
  <c r="Q188" i="12"/>
  <c r="R188" i="12"/>
  <c r="Q192" i="12"/>
  <c r="R192" i="12"/>
  <c r="Q4" i="12"/>
  <c r="R4" i="12"/>
  <c r="AP5" i="1"/>
  <c r="AP7" i="1"/>
  <c r="AP9" i="1"/>
  <c r="AP11" i="1"/>
  <c r="AP13" i="1"/>
  <c r="AP15" i="1"/>
  <c r="AP17" i="1"/>
  <c r="AP19" i="1"/>
  <c r="AP21" i="1"/>
  <c r="AP23" i="1"/>
  <c r="AP25" i="1"/>
  <c r="AP27" i="1"/>
  <c r="AP29" i="1"/>
  <c r="AP31" i="1"/>
  <c r="AP32" i="1"/>
  <c r="AP33" i="1"/>
  <c r="AP35" i="1"/>
  <c r="AP37" i="1"/>
  <c r="AP39" i="1"/>
  <c r="AP41" i="1"/>
  <c r="AP43" i="1"/>
  <c r="AP45" i="1"/>
  <c r="AP47" i="1"/>
  <c r="AP52" i="1"/>
  <c r="AP53" i="1"/>
  <c r="AP54" i="1"/>
  <c r="AP55" i="1"/>
  <c r="AP56" i="1"/>
  <c r="AP57" i="1"/>
  <c r="AP58" i="1"/>
  <c r="AP59" i="1"/>
  <c r="AP60" i="1"/>
  <c r="AP61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2" i="1"/>
  <c r="AP84" i="1"/>
  <c r="AP87" i="1"/>
  <c r="AP89" i="1"/>
  <c r="AP92" i="1"/>
  <c r="AP94" i="1"/>
  <c r="AP95" i="1"/>
  <c r="AP96" i="1"/>
  <c r="AP97" i="1"/>
  <c r="AP102" i="1"/>
  <c r="AP103" i="1"/>
  <c r="AP104" i="1"/>
  <c r="AP106" i="1"/>
  <c r="AP107" i="1"/>
  <c r="AP108" i="1"/>
  <c r="AP109" i="1"/>
  <c r="AP114" i="1"/>
  <c r="AP115" i="1"/>
  <c r="AP116" i="1"/>
  <c r="AP118" i="1"/>
  <c r="AP119" i="1"/>
  <c r="AP120" i="1"/>
  <c r="AP121" i="1"/>
  <c r="AP126" i="1"/>
  <c r="AP133" i="1"/>
  <c r="AP135" i="1"/>
  <c r="AP141" i="1"/>
  <c r="AP144" i="1"/>
  <c r="AP148" i="1"/>
  <c r="AP150" i="1"/>
  <c r="AP154" i="1"/>
  <c r="AP157" i="1"/>
  <c r="AP158" i="1"/>
  <c r="AP163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1" i="1"/>
  <c r="AP182" i="1"/>
  <c r="AP184" i="1"/>
  <c r="AP185" i="1"/>
  <c r="AP187" i="1"/>
  <c r="AP188" i="1"/>
  <c r="AP189" i="1"/>
  <c r="AP190" i="1"/>
  <c r="AP192" i="1"/>
  <c r="AP4" i="1"/>
  <c r="K69" i="6"/>
  <c r="K70" i="6"/>
  <c r="O97" i="12"/>
  <c r="O108" i="12"/>
  <c r="O116" i="12"/>
  <c r="O123" i="12"/>
  <c r="O125" i="12"/>
  <c r="O129" i="12"/>
  <c r="O132" i="12"/>
  <c r="O142" i="12"/>
  <c r="O144" i="12"/>
  <c r="O145" i="12"/>
  <c r="O151" i="12"/>
  <c r="O155" i="12"/>
  <c r="O167" i="12"/>
  <c r="O182" i="12"/>
  <c r="Q47" i="12"/>
  <c r="R47" i="12"/>
  <c r="Q59" i="12"/>
  <c r="R59" i="12"/>
  <c r="R62" i="12"/>
  <c r="Q97" i="12"/>
  <c r="R97" i="12"/>
  <c r="Q108" i="12"/>
  <c r="R108" i="12"/>
  <c r="Q116" i="12"/>
  <c r="R116" i="12"/>
  <c r="Q125" i="12"/>
  <c r="R125" i="12"/>
  <c r="Q129" i="12"/>
  <c r="R129" i="12"/>
  <c r="Q132" i="12"/>
  <c r="R132" i="12"/>
  <c r="Q144" i="12"/>
  <c r="R144" i="12"/>
  <c r="Q155" i="12"/>
  <c r="R155" i="12"/>
  <c r="Q167" i="12"/>
  <c r="R167" i="12"/>
  <c r="Q182" i="12"/>
  <c r="R182" i="12"/>
  <c r="K71" i="6"/>
  <c r="K34" i="6"/>
  <c r="K27" i="6"/>
  <c r="K30" i="6"/>
  <c r="K25" i="6"/>
  <c r="M25" i="6" s="1"/>
  <c r="N25" i="6" s="1"/>
  <c r="O25" i="6" s="1"/>
  <c r="K14" i="6"/>
  <c r="M14" i="6" s="1"/>
  <c r="N14" i="6" s="1"/>
  <c r="O14" i="6" s="1"/>
  <c r="K24" i="6"/>
  <c r="K13" i="6"/>
  <c r="K9" i="6"/>
  <c r="K17" i="6"/>
  <c r="K16" i="6"/>
  <c r="K12" i="6"/>
  <c r="K15" i="6"/>
  <c r="K11" i="6"/>
  <c r="M11" i="6" s="1"/>
  <c r="N11" i="6" s="1"/>
  <c r="O11" i="6" s="1"/>
  <c r="K18" i="6"/>
  <c r="K6" i="6"/>
  <c r="K23" i="6"/>
  <c r="V84" i="11"/>
  <c r="W84" i="11"/>
  <c r="X84" i="11"/>
  <c r="V87" i="11"/>
  <c r="W87" i="11"/>
  <c r="X87" i="11"/>
  <c r="V92" i="11"/>
  <c r="W92" i="11"/>
  <c r="X92" i="11"/>
  <c r="V95" i="11"/>
  <c r="W95" i="11"/>
  <c r="X95" i="11"/>
  <c r="V96" i="11"/>
  <c r="W96" i="11"/>
  <c r="X96" i="11"/>
  <c r="V103" i="11"/>
  <c r="W103" i="11"/>
  <c r="X103" i="11"/>
  <c r="V104" i="11"/>
  <c r="W104" i="11"/>
  <c r="X104" i="11"/>
  <c r="V107" i="11"/>
  <c r="W107" i="11"/>
  <c r="X107" i="11"/>
  <c r="V108" i="11"/>
  <c r="W108" i="11"/>
  <c r="X108" i="11"/>
  <c r="V115" i="11"/>
  <c r="W115" i="11"/>
  <c r="X115" i="11"/>
  <c r="V116" i="11"/>
  <c r="W116" i="11"/>
  <c r="X116" i="11"/>
  <c r="V119" i="11"/>
  <c r="W119" i="11"/>
  <c r="X119" i="11"/>
  <c r="V120" i="11"/>
  <c r="W120" i="11"/>
  <c r="X120" i="11"/>
  <c r="V124" i="11"/>
  <c r="W124" i="11"/>
  <c r="X124" i="11"/>
  <c r="V132" i="11"/>
  <c r="W132" i="11"/>
  <c r="X132" i="11"/>
  <c r="V133" i="11"/>
  <c r="W133" i="11"/>
  <c r="X133" i="11"/>
  <c r="V135" i="11"/>
  <c r="W135" i="11"/>
  <c r="X135" i="11"/>
  <c r="V141" i="11"/>
  <c r="W141" i="11"/>
  <c r="X141" i="11"/>
  <c r="V144" i="11"/>
  <c r="W144" i="11"/>
  <c r="X144" i="11"/>
  <c r="V148" i="11"/>
  <c r="W148" i="11"/>
  <c r="X148" i="11"/>
  <c r="V150" i="11"/>
  <c r="W150" i="11"/>
  <c r="X150" i="11"/>
  <c r="V152" i="11"/>
  <c r="W152" i="11"/>
  <c r="X152" i="11"/>
  <c r="V154" i="11"/>
  <c r="W154" i="11"/>
  <c r="X154" i="11"/>
  <c r="V155" i="11"/>
  <c r="W155" i="11"/>
  <c r="X155" i="11"/>
  <c r="V157" i="11"/>
  <c r="W157" i="11"/>
  <c r="X157" i="11"/>
  <c r="V158" i="11"/>
  <c r="W158" i="11"/>
  <c r="X158" i="11"/>
  <c r="V159" i="11"/>
  <c r="W159" i="11"/>
  <c r="X159" i="11"/>
  <c r="V160" i="11"/>
  <c r="W160" i="11"/>
  <c r="X160" i="11"/>
  <c r="V163" i="11"/>
  <c r="W163" i="11"/>
  <c r="X163" i="11"/>
  <c r="V167" i="11"/>
  <c r="W167" i="11"/>
  <c r="X167" i="11"/>
  <c r="Q6" i="6"/>
  <c r="R6" i="6"/>
  <c r="S6" i="6" s="1"/>
  <c r="T6" i="6" s="1"/>
  <c r="K7" i="6"/>
  <c r="Q7" i="6" s="1"/>
  <c r="R7" i="6" s="1"/>
  <c r="S7" i="6" s="1"/>
  <c r="T7" i="6" s="1"/>
  <c r="K8" i="6"/>
  <c r="Q8" i="6" s="1"/>
  <c r="R8" i="6" s="1"/>
  <c r="S8" i="6" s="1"/>
  <c r="T8" i="6" s="1"/>
  <c r="Q9" i="6"/>
  <c r="R9" i="6"/>
  <c r="S9" i="6" s="1"/>
  <c r="T9" i="6" s="1"/>
  <c r="K10" i="6"/>
  <c r="Q10" i="6"/>
  <c r="R10" i="6"/>
  <c r="S10" i="6" s="1"/>
  <c r="T10" i="6" s="1"/>
  <c r="Q11" i="6"/>
  <c r="R11" i="6" s="1"/>
  <c r="S11" i="6" s="1"/>
  <c r="T11" i="6" s="1"/>
  <c r="Q12" i="6"/>
  <c r="R12" i="6"/>
  <c r="S12" i="6" s="1"/>
  <c r="T12" i="6" s="1"/>
  <c r="Q13" i="6"/>
  <c r="R13" i="6" s="1"/>
  <c r="S13" i="6" s="1"/>
  <c r="T13" i="6" s="1"/>
  <c r="Q15" i="6"/>
  <c r="R15" i="6" s="1"/>
  <c r="S15" i="6" s="1"/>
  <c r="T15" i="6" s="1"/>
  <c r="Q16" i="6"/>
  <c r="R16" i="6"/>
  <c r="S16" i="6" s="1"/>
  <c r="T16" i="6" s="1"/>
  <c r="Q17" i="6"/>
  <c r="R17" i="6" s="1"/>
  <c r="S17" i="6" s="1"/>
  <c r="T17" i="6" s="1"/>
  <c r="Q18" i="6"/>
  <c r="R18" i="6"/>
  <c r="S18" i="6" s="1"/>
  <c r="T18" i="6" s="1"/>
  <c r="K19" i="6"/>
  <c r="Q19" i="6" s="1"/>
  <c r="R19" i="6" s="1"/>
  <c r="S19" i="6" s="1"/>
  <c r="T19" i="6" s="1"/>
  <c r="K20" i="6"/>
  <c r="Q20" i="6" s="1"/>
  <c r="R20" i="6" s="1"/>
  <c r="S20" i="6" s="1"/>
  <c r="T20" i="6" s="1"/>
  <c r="K21" i="6"/>
  <c r="Q21" i="6" s="1"/>
  <c r="R21" i="6" s="1"/>
  <c r="S21" i="6" s="1"/>
  <c r="T21" i="6" s="1"/>
  <c r="K22" i="6"/>
  <c r="M22" i="6" s="1"/>
  <c r="N22" i="6" s="1"/>
  <c r="O22" i="6" s="1"/>
  <c r="Q22" i="6"/>
  <c r="R22" i="6" s="1"/>
  <c r="S22" i="6" s="1"/>
  <c r="T22" i="6" s="1"/>
  <c r="Q23" i="6"/>
  <c r="R23" i="6"/>
  <c r="S23" i="6" s="1"/>
  <c r="T23" i="6" s="1"/>
  <c r="Q24" i="6"/>
  <c r="R24" i="6" s="1"/>
  <c r="S24" i="6" s="1"/>
  <c r="T24" i="6" s="1"/>
  <c r="Q25" i="6"/>
  <c r="R25" i="6"/>
  <c r="S25" i="6" s="1"/>
  <c r="T25" i="6" s="1"/>
  <c r="K26" i="6"/>
  <c r="Q26" i="6" s="1"/>
  <c r="R26" i="6" s="1"/>
  <c r="S26" i="6" s="1"/>
  <c r="T26" i="6" s="1"/>
  <c r="Q27" i="6"/>
  <c r="R27" i="6" s="1"/>
  <c r="S27" i="6" s="1"/>
  <c r="T27" i="6" s="1"/>
  <c r="K28" i="6"/>
  <c r="Q28" i="6" s="1"/>
  <c r="R28" i="6" s="1"/>
  <c r="S28" i="6" s="1"/>
  <c r="T28" i="6" s="1"/>
  <c r="K29" i="6"/>
  <c r="M29" i="6" s="1"/>
  <c r="N29" i="6" s="1"/>
  <c r="O29" i="6" s="1"/>
  <c r="Q29" i="6"/>
  <c r="R29" i="6"/>
  <c r="S29" i="6" s="1"/>
  <c r="T29" i="6" s="1"/>
  <c r="Q30" i="6"/>
  <c r="R30" i="6"/>
  <c r="S30" i="6"/>
  <c r="T30" i="6" s="1"/>
  <c r="K31" i="6"/>
  <c r="M31" i="6" s="1"/>
  <c r="N31" i="6" s="1"/>
  <c r="O31" i="6" s="1"/>
  <c r="Q31" i="6"/>
  <c r="R31" i="6" s="1"/>
  <c r="S31" i="6" s="1"/>
  <c r="T31" i="6" s="1"/>
  <c r="K32" i="6"/>
  <c r="Q32" i="6"/>
  <c r="R32" i="6" s="1"/>
  <c r="S32" i="6" s="1"/>
  <c r="T32" i="6" s="1"/>
  <c r="K33" i="6"/>
  <c r="Q33" i="6" s="1"/>
  <c r="R33" i="6" s="1"/>
  <c r="S33" i="6" s="1"/>
  <c r="T33" i="6" s="1"/>
  <c r="Q34" i="6"/>
  <c r="R34" i="6"/>
  <c r="S34" i="6"/>
  <c r="T34" i="6" s="1"/>
  <c r="K35" i="6"/>
  <c r="Q35" i="6" s="1"/>
  <c r="R35" i="6" s="1"/>
  <c r="S35" i="6" s="1"/>
  <c r="T35" i="6" s="1"/>
  <c r="K36" i="6"/>
  <c r="Q36" i="6"/>
  <c r="R36" i="6" s="1"/>
  <c r="S36" i="6" s="1"/>
  <c r="T36" i="6" s="1"/>
  <c r="K37" i="6"/>
  <c r="M37" i="6" s="1"/>
  <c r="N37" i="6" s="1"/>
  <c r="O37" i="6" s="1"/>
  <c r="Q37" i="6"/>
  <c r="R37" i="6" s="1"/>
  <c r="S37" i="6" s="1"/>
  <c r="T37" i="6" s="1"/>
  <c r="K38" i="6"/>
  <c r="Q38" i="6" s="1"/>
  <c r="R38" i="6" s="1"/>
  <c r="S38" i="6" s="1"/>
  <c r="T38" i="6" s="1"/>
  <c r="K39" i="6"/>
  <c r="Q39" i="6"/>
  <c r="R39" i="6"/>
  <c r="S39" i="6" s="1"/>
  <c r="T39" i="6" s="1"/>
  <c r="M6" i="6"/>
  <c r="N6" i="6"/>
  <c r="M7" i="6"/>
  <c r="N7" i="6" s="1"/>
  <c r="O7" i="6" s="1"/>
  <c r="M8" i="6"/>
  <c r="N8" i="6"/>
  <c r="O8" i="6" s="1"/>
  <c r="M9" i="6"/>
  <c r="N9" i="6" s="1"/>
  <c r="O9" i="6" s="1"/>
  <c r="M10" i="6"/>
  <c r="N10" i="6"/>
  <c r="O10" i="6" s="1"/>
  <c r="M12" i="6"/>
  <c r="N12" i="6"/>
  <c r="O12" i="6" s="1"/>
  <c r="M13" i="6"/>
  <c r="N13" i="6" s="1"/>
  <c r="O13" i="6" s="1"/>
  <c r="M15" i="6"/>
  <c r="N15" i="6" s="1"/>
  <c r="O15" i="6" s="1"/>
  <c r="M16" i="6"/>
  <c r="N16" i="6"/>
  <c r="O16" i="6" s="1"/>
  <c r="M17" i="6"/>
  <c r="N17" i="6" s="1"/>
  <c r="O17" i="6" s="1"/>
  <c r="M18" i="6"/>
  <c r="N18" i="6"/>
  <c r="O18" i="6" s="1"/>
  <c r="M20" i="6"/>
  <c r="N20" i="6"/>
  <c r="O20" i="6" s="1"/>
  <c r="M21" i="6"/>
  <c r="N21" i="6" s="1"/>
  <c r="O21" i="6" s="1"/>
  <c r="M23" i="6"/>
  <c r="N23" i="6" s="1"/>
  <c r="O23" i="6" s="1"/>
  <c r="M24" i="6"/>
  <c r="N24" i="6"/>
  <c r="O24" i="6" s="1"/>
  <c r="M27" i="6"/>
  <c r="N27" i="6" s="1"/>
  <c r="O27" i="6" s="1"/>
  <c r="M28" i="6"/>
  <c r="N28" i="6"/>
  <c r="O28" i="6" s="1"/>
  <c r="M30" i="6"/>
  <c r="N30" i="6"/>
  <c r="M32" i="6"/>
  <c r="N32" i="6"/>
  <c r="O32" i="6" s="1"/>
  <c r="M33" i="6"/>
  <c r="N33" i="6" s="1"/>
  <c r="O33" i="6" s="1"/>
  <c r="M34" i="6"/>
  <c r="N34" i="6"/>
  <c r="O34" i="6" s="1"/>
  <c r="M35" i="6"/>
  <c r="N35" i="6" s="1"/>
  <c r="O35" i="6" s="1"/>
  <c r="M36" i="6"/>
  <c r="N36" i="6"/>
  <c r="O36" i="6" s="1"/>
  <c r="M38" i="6"/>
  <c r="N38" i="6"/>
  <c r="M39" i="6"/>
  <c r="N39" i="6" s="1"/>
  <c r="O39" i="6" s="1"/>
  <c r="O6" i="6"/>
  <c r="O30" i="6"/>
  <c r="O38" i="6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5" i="1"/>
  <c r="AG126" i="1"/>
  <c r="AG127" i="1"/>
  <c r="AG128" i="1"/>
  <c r="AG129" i="1"/>
  <c r="AG130" i="1"/>
  <c r="AG131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6" i="1"/>
  <c r="AG157" i="1"/>
  <c r="AG158" i="1"/>
  <c r="AG161" i="1"/>
  <c r="AG162" i="1"/>
  <c r="AG163" i="1"/>
  <c r="AG164" i="1"/>
  <c r="AG165" i="1"/>
  <c r="AG166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6" i="1"/>
  <c r="AG5" i="1"/>
  <c r="AG4" i="1"/>
  <c r="C7" i="5"/>
  <c r="G7" i="5" s="1"/>
  <c r="D7" i="5"/>
  <c r="F7" i="5" s="1"/>
  <c r="E7" i="5"/>
  <c r="F8" i="5"/>
  <c r="G8" i="5" s="1"/>
  <c r="F9" i="5"/>
  <c r="G9" i="5"/>
  <c r="F10" i="5"/>
  <c r="G10" i="5" s="1"/>
  <c r="F11" i="5"/>
  <c r="G11" i="5"/>
  <c r="F12" i="5"/>
  <c r="G12" i="5" s="1"/>
  <c r="F13" i="5"/>
  <c r="G13" i="5"/>
  <c r="F14" i="5"/>
  <c r="G14" i="5" s="1"/>
  <c r="F15" i="5"/>
  <c r="G15" i="5"/>
  <c r="Q192" i="11"/>
  <c r="T192" i="11"/>
  <c r="P192" i="11"/>
  <c r="S192" i="11" s="1"/>
  <c r="O192" i="11"/>
  <c r="R192" i="11"/>
  <c r="Q191" i="11"/>
  <c r="T191" i="11"/>
  <c r="P191" i="11"/>
  <c r="S191" i="11"/>
  <c r="O191" i="11"/>
  <c r="R191" i="11" s="1"/>
  <c r="Q190" i="11"/>
  <c r="T190" i="11"/>
  <c r="P190" i="11"/>
  <c r="S190" i="11"/>
  <c r="O190" i="11"/>
  <c r="R190" i="11"/>
  <c r="Q189" i="11"/>
  <c r="T189" i="11"/>
  <c r="P189" i="11"/>
  <c r="S189" i="11" s="1"/>
  <c r="O189" i="11"/>
  <c r="R189" i="11"/>
  <c r="Q188" i="11"/>
  <c r="T188" i="11"/>
  <c r="P188" i="11"/>
  <c r="S188" i="11" s="1"/>
  <c r="O188" i="11"/>
  <c r="R188" i="11" s="1"/>
  <c r="Q187" i="11"/>
  <c r="T187" i="11"/>
  <c r="P187" i="11"/>
  <c r="S187" i="11"/>
  <c r="O187" i="11"/>
  <c r="R187" i="11" s="1"/>
  <c r="Q186" i="11"/>
  <c r="T186" i="11"/>
  <c r="P186" i="11"/>
  <c r="S186" i="11"/>
  <c r="O186" i="11"/>
  <c r="R186" i="11"/>
  <c r="Q185" i="11"/>
  <c r="T185" i="11"/>
  <c r="P185" i="11"/>
  <c r="S185" i="11" s="1"/>
  <c r="O185" i="11"/>
  <c r="R185" i="11"/>
  <c r="Q184" i="11"/>
  <c r="T184" i="11"/>
  <c r="P184" i="11"/>
  <c r="S184" i="11" s="1"/>
  <c r="O184" i="11"/>
  <c r="R184" i="11" s="1"/>
  <c r="Q183" i="11"/>
  <c r="T183" i="11"/>
  <c r="P183" i="11"/>
  <c r="S183" i="11"/>
  <c r="O183" i="11"/>
  <c r="R183" i="11" s="1"/>
  <c r="Q182" i="11"/>
  <c r="T182" i="11"/>
  <c r="P182" i="11"/>
  <c r="S182" i="11"/>
  <c r="O182" i="11"/>
  <c r="R182" i="11"/>
  <c r="Q181" i="11"/>
  <c r="T181" i="11"/>
  <c r="P181" i="11"/>
  <c r="S181" i="11" s="1"/>
  <c r="O181" i="11"/>
  <c r="R181" i="11"/>
  <c r="Q180" i="11"/>
  <c r="T180" i="11"/>
  <c r="P180" i="11"/>
  <c r="S180" i="11" s="1"/>
  <c r="O180" i="11"/>
  <c r="R180" i="11" s="1"/>
  <c r="Q179" i="11"/>
  <c r="T179" i="11"/>
  <c r="P179" i="11"/>
  <c r="S179" i="11"/>
  <c r="O179" i="11"/>
  <c r="R179" i="11" s="1"/>
  <c r="Q178" i="11"/>
  <c r="T178" i="11"/>
  <c r="P178" i="11"/>
  <c r="S178" i="11"/>
  <c r="O178" i="11"/>
  <c r="R178" i="11"/>
  <c r="Q177" i="11"/>
  <c r="T177" i="11"/>
  <c r="P177" i="11"/>
  <c r="S177" i="11" s="1"/>
  <c r="O177" i="11"/>
  <c r="R177" i="11"/>
  <c r="Q176" i="11"/>
  <c r="T176" i="11"/>
  <c r="P176" i="11"/>
  <c r="S176" i="11" s="1"/>
  <c r="O176" i="11"/>
  <c r="R176" i="11" s="1"/>
  <c r="Q175" i="11"/>
  <c r="T175" i="11"/>
  <c r="P175" i="11"/>
  <c r="S175" i="11"/>
  <c r="O175" i="11"/>
  <c r="R175" i="11" s="1"/>
  <c r="Q174" i="11"/>
  <c r="T174" i="11"/>
  <c r="P174" i="11"/>
  <c r="S174" i="11"/>
  <c r="O174" i="11"/>
  <c r="R174" i="11"/>
  <c r="Q173" i="11"/>
  <c r="T173" i="11"/>
  <c r="P173" i="11"/>
  <c r="S173" i="11" s="1"/>
  <c r="O173" i="11"/>
  <c r="R173" i="11"/>
  <c r="Q172" i="11"/>
  <c r="T172" i="11"/>
  <c r="P172" i="11"/>
  <c r="S172" i="11" s="1"/>
  <c r="O172" i="11"/>
  <c r="R172" i="11" s="1"/>
  <c r="Q171" i="11"/>
  <c r="T171" i="11"/>
  <c r="P171" i="11"/>
  <c r="S171" i="11"/>
  <c r="O171" i="11"/>
  <c r="R171" i="11" s="1"/>
  <c r="Q170" i="11"/>
  <c r="T170" i="11"/>
  <c r="P170" i="11"/>
  <c r="S170" i="11"/>
  <c r="O170" i="11"/>
  <c r="R170" i="11"/>
  <c r="Q169" i="11"/>
  <c r="T169" i="11"/>
  <c r="P169" i="11"/>
  <c r="S169" i="11"/>
  <c r="O169" i="11"/>
  <c r="R169" i="11"/>
  <c r="Q168" i="11"/>
  <c r="T168" i="11"/>
  <c r="P168" i="11"/>
  <c r="S168" i="11"/>
  <c r="O168" i="11"/>
  <c r="R168" i="11" s="1"/>
  <c r="Q167" i="11"/>
  <c r="T167" i="11"/>
  <c r="P167" i="11"/>
  <c r="S167" i="11"/>
  <c r="O167" i="11"/>
  <c r="R167" i="11" s="1"/>
  <c r="Q166" i="11"/>
  <c r="T166" i="11"/>
  <c r="P166" i="11"/>
  <c r="S166" i="11"/>
  <c r="O166" i="11"/>
  <c r="R166" i="11"/>
  <c r="Q165" i="11"/>
  <c r="T165" i="11"/>
  <c r="P165" i="11"/>
  <c r="S165" i="11" s="1"/>
  <c r="O165" i="11"/>
  <c r="R165" i="11"/>
  <c r="Q164" i="11"/>
  <c r="T164" i="11"/>
  <c r="P164" i="11"/>
  <c r="S164" i="11"/>
  <c r="O164" i="11"/>
  <c r="R164" i="11" s="1"/>
  <c r="Q163" i="11"/>
  <c r="T163" i="11"/>
  <c r="P163" i="11"/>
  <c r="S163" i="11"/>
  <c r="O163" i="11"/>
  <c r="R163" i="11" s="1"/>
  <c r="Q162" i="11"/>
  <c r="T162" i="11"/>
  <c r="P162" i="11"/>
  <c r="S162" i="11"/>
  <c r="O162" i="11"/>
  <c r="R162" i="11"/>
  <c r="Q161" i="11"/>
  <c r="T161" i="11"/>
  <c r="P161" i="11"/>
  <c r="S161" i="11"/>
  <c r="O161" i="11"/>
  <c r="R161" i="11"/>
  <c r="Q160" i="11"/>
  <c r="T160" i="11"/>
  <c r="P160" i="11"/>
  <c r="S160" i="11"/>
  <c r="O160" i="11"/>
  <c r="R160" i="11" s="1"/>
  <c r="Q159" i="11"/>
  <c r="T159" i="11"/>
  <c r="P159" i="11"/>
  <c r="S159" i="11"/>
  <c r="O159" i="11"/>
  <c r="R159" i="11" s="1"/>
  <c r="Q158" i="11"/>
  <c r="T158" i="11"/>
  <c r="P158" i="11"/>
  <c r="S158" i="11"/>
  <c r="O158" i="11"/>
  <c r="R158" i="11"/>
  <c r="Q157" i="11"/>
  <c r="T157" i="11"/>
  <c r="P157" i="11"/>
  <c r="S157" i="11"/>
  <c r="O157" i="11"/>
  <c r="R157" i="11"/>
  <c r="Q156" i="11"/>
  <c r="T156" i="11"/>
  <c r="P156" i="11"/>
  <c r="S156" i="11"/>
  <c r="O156" i="11"/>
  <c r="R156" i="11" s="1"/>
  <c r="Q155" i="11"/>
  <c r="T155" i="11"/>
  <c r="P155" i="11"/>
  <c r="S155" i="11"/>
  <c r="O155" i="11"/>
  <c r="R155" i="11" s="1"/>
  <c r="Q154" i="11"/>
  <c r="T154" i="11"/>
  <c r="P154" i="11"/>
  <c r="S154" i="11"/>
  <c r="O154" i="11"/>
  <c r="R154" i="11"/>
  <c r="Q153" i="11"/>
  <c r="T153" i="11"/>
  <c r="P153" i="11"/>
  <c r="S153" i="11" s="1"/>
  <c r="O153" i="11"/>
  <c r="R153" i="11"/>
  <c r="Q152" i="11"/>
  <c r="T152" i="11"/>
  <c r="P152" i="11"/>
  <c r="S152" i="11"/>
  <c r="O152" i="11"/>
  <c r="R152" i="11" s="1"/>
  <c r="Q151" i="11"/>
  <c r="T151" i="11"/>
  <c r="P151" i="11"/>
  <c r="S151" i="11"/>
  <c r="O151" i="11"/>
  <c r="R151" i="11" s="1"/>
  <c r="Q150" i="11"/>
  <c r="T150" i="11"/>
  <c r="P150" i="11"/>
  <c r="S150" i="11"/>
  <c r="O150" i="11"/>
  <c r="R150" i="11"/>
  <c r="Q149" i="11"/>
  <c r="T149" i="11"/>
  <c r="P149" i="11"/>
  <c r="S149" i="11" s="1"/>
  <c r="O149" i="11"/>
  <c r="R149" i="11"/>
  <c r="Q148" i="11"/>
  <c r="T148" i="11"/>
  <c r="P148" i="11"/>
  <c r="S148" i="11" s="1"/>
  <c r="O148" i="11"/>
  <c r="R148" i="11" s="1"/>
  <c r="Q147" i="11"/>
  <c r="T147" i="11"/>
  <c r="P147" i="11"/>
  <c r="S147" i="11"/>
  <c r="O147" i="11"/>
  <c r="R147" i="11" s="1"/>
  <c r="Q146" i="11"/>
  <c r="T146" i="11"/>
  <c r="P146" i="11"/>
  <c r="S146" i="11"/>
  <c r="O146" i="11"/>
  <c r="R146" i="11"/>
  <c r="Q145" i="11"/>
  <c r="T145" i="11"/>
  <c r="P145" i="11"/>
  <c r="S145" i="11" s="1"/>
  <c r="O145" i="11"/>
  <c r="R145" i="11"/>
  <c r="Q144" i="11"/>
  <c r="T144" i="11"/>
  <c r="P144" i="11"/>
  <c r="S144" i="11" s="1"/>
  <c r="O144" i="11"/>
  <c r="R144" i="11" s="1"/>
  <c r="Q143" i="11"/>
  <c r="T143" i="11"/>
  <c r="P143" i="11"/>
  <c r="S143" i="11"/>
  <c r="O143" i="11"/>
  <c r="R143" i="11" s="1"/>
  <c r="Q142" i="11"/>
  <c r="T142" i="11"/>
  <c r="P142" i="11"/>
  <c r="S142" i="11"/>
  <c r="O142" i="11"/>
  <c r="R142" i="11"/>
  <c r="Q141" i="11"/>
  <c r="T141" i="11"/>
  <c r="P141" i="11"/>
  <c r="S141" i="11" s="1"/>
  <c r="O141" i="11"/>
  <c r="R141" i="11"/>
  <c r="Q140" i="11"/>
  <c r="T140" i="11"/>
  <c r="P140" i="11"/>
  <c r="S140" i="11" s="1"/>
  <c r="O140" i="11"/>
  <c r="R140" i="11" s="1"/>
  <c r="Q139" i="11"/>
  <c r="T139" i="11"/>
  <c r="P139" i="11"/>
  <c r="S139" i="11"/>
  <c r="O139" i="11"/>
  <c r="R139" i="11" s="1"/>
  <c r="Q138" i="11"/>
  <c r="T138" i="11"/>
  <c r="P138" i="11"/>
  <c r="S138" i="11"/>
  <c r="O138" i="11"/>
  <c r="R138" i="11"/>
  <c r="Q137" i="11"/>
  <c r="T137" i="11"/>
  <c r="P137" i="11"/>
  <c r="S137" i="11" s="1"/>
  <c r="O137" i="11"/>
  <c r="R137" i="11"/>
  <c r="Q136" i="11"/>
  <c r="T136" i="11"/>
  <c r="P136" i="11"/>
  <c r="S136" i="11" s="1"/>
  <c r="O136" i="11"/>
  <c r="R136" i="11" s="1"/>
  <c r="Q135" i="11"/>
  <c r="T135" i="11"/>
  <c r="P135" i="11"/>
  <c r="S135" i="11"/>
  <c r="O135" i="11"/>
  <c r="R135" i="11" s="1"/>
  <c r="Q134" i="11"/>
  <c r="T134" i="11"/>
  <c r="P134" i="11"/>
  <c r="S134" i="11"/>
  <c r="O134" i="11"/>
  <c r="R134" i="11"/>
  <c r="Q133" i="11"/>
  <c r="T133" i="11"/>
  <c r="P133" i="11"/>
  <c r="S133" i="11" s="1"/>
  <c r="O133" i="11"/>
  <c r="R133" i="11"/>
  <c r="Q132" i="11"/>
  <c r="T132" i="11"/>
  <c r="P132" i="11"/>
  <c r="S132" i="11" s="1"/>
  <c r="O132" i="11"/>
  <c r="R132" i="11" s="1"/>
  <c r="Q131" i="11"/>
  <c r="T131" i="11"/>
  <c r="P131" i="11"/>
  <c r="S131" i="11"/>
  <c r="O131" i="11"/>
  <c r="R131" i="11" s="1"/>
  <c r="Q130" i="11"/>
  <c r="T130" i="11"/>
  <c r="P130" i="11"/>
  <c r="S130" i="11"/>
  <c r="O130" i="11"/>
  <c r="R130" i="11"/>
  <c r="Q129" i="11"/>
  <c r="T129" i="11" s="1"/>
  <c r="P129" i="11"/>
  <c r="S129" i="11" s="1"/>
  <c r="O129" i="11"/>
  <c r="R129" i="11"/>
  <c r="Q128" i="11"/>
  <c r="T128" i="11"/>
  <c r="P128" i="11"/>
  <c r="S128" i="11"/>
  <c r="O128" i="11"/>
  <c r="R128" i="11" s="1"/>
  <c r="Q127" i="11"/>
  <c r="T127" i="11"/>
  <c r="P127" i="11"/>
  <c r="S127" i="11"/>
  <c r="O127" i="11"/>
  <c r="R127" i="11" s="1"/>
  <c r="Q126" i="11"/>
  <c r="T126" i="11" s="1"/>
  <c r="P126" i="11"/>
  <c r="S126" i="11"/>
  <c r="O126" i="11"/>
  <c r="R126" i="11"/>
  <c r="Q125" i="11"/>
  <c r="T125" i="11" s="1"/>
  <c r="P125" i="11"/>
  <c r="S125" i="11" s="1"/>
  <c r="O125" i="11"/>
  <c r="R125" i="11"/>
  <c r="Q123" i="11"/>
  <c r="T123" i="11"/>
  <c r="P123" i="11"/>
  <c r="S123" i="11" s="1"/>
  <c r="O123" i="11"/>
  <c r="R123" i="11" s="1"/>
  <c r="Q122" i="11"/>
  <c r="T122" i="11"/>
  <c r="P122" i="11"/>
  <c r="S122" i="11"/>
  <c r="O122" i="11"/>
  <c r="R122" i="11" s="1"/>
  <c r="Q121" i="11"/>
  <c r="T121" i="11" s="1"/>
  <c r="P121" i="11"/>
  <c r="S121" i="11"/>
  <c r="O121" i="11"/>
  <c r="R121" i="11"/>
  <c r="Q120" i="11"/>
  <c r="T120" i="11" s="1"/>
  <c r="P120" i="11"/>
  <c r="S120" i="11"/>
  <c r="O120" i="11"/>
  <c r="R120" i="11"/>
  <c r="Q119" i="11"/>
  <c r="T119" i="11"/>
  <c r="P119" i="11"/>
  <c r="S119" i="11"/>
  <c r="O119" i="11"/>
  <c r="R119" i="11" s="1"/>
  <c r="Q118" i="11"/>
  <c r="T118" i="11"/>
  <c r="P118" i="11"/>
  <c r="S118" i="11"/>
  <c r="O118" i="11"/>
  <c r="R118" i="11" s="1"/>
  <c r="Q117" i="11"/>
  <c r="T117" i="11"/>
  <c r="P117" i="11"/>
  <c r="S117" i="11"/>
  <c r="O117" i="11"/>
  <c r="R117" i="11"/>
  <c r="Q116" i="11"/>
  <c r="T116" i="11"/>
  <c r="P116" i="11"/>
  <c r="S116" i="11" s="1"/>
  <c r="O116" i="11"/>
  <c r="R116" i="11"/>
  <c r="Q115" i="11"/>
  <c r="T115" i="11"/>
  <c r="P115" i="11"/>
  <c r="S115" i="11"/>
  <c r="O115" i="11"/>
  <c r="R115" i="11" s="1"/>
  <c r="Q114" i="11"/>
  <c r="T114" i="11"/>
  <c r="P114" i="11"/>
  <c r="S114" i="11"/>
  <c r="O114" i="11"/>
  <c r="R114" i="11" s="1"/>
  <c r="Q113" i="11"/>
  <c r="T113" i="11"/>
  <c r="P113" i="11"/>
  <c r="S113" i="11"/>
  <c r="O113" i="11"/>
  <c r="R113" i="11"/>
  <c r="Q112" i="11"/>
  <c r="T112" i="11"/>
  <c r="P112" i="11"/>
  <c r="S112" i="11" s="1"/>
  <c r="O112" i="11"/>
  <c r="R112" i="11"/>
  <c r="Q111" i="11"/>
  <c r="T111" i="11"/>
  <c r="P111" i="11"/>
  <c r="S111" i="11" s="1"/>
  <c r="O111" i="11"/>
  <c r="R111" i="11" s="1"/>
  <c r="Q110" i="11"/>
  <c r="T110" i="11"/>
  <c r="P110" i="11"/>
  <c r="S110" i="11"/>
  <c r="O110" i="11"/>
  <c r="R110" i="11" s="1"/>
  <c r="Q109" i="11"/>
  <c r="T109" i="11"/>
  <c r="P109" i="11"/>
  <c r="S109" i="11"/>
  <c r="O109" i="11"/>
  <c r="R109" i="11"/>
  <c r="Q108" i="11"/>
  <c r="T108" i="11"/>
  <c r="P108" i="11"/>
  <c r="S108" i="11"/>
  <c r="O108" i="11"/>
  <c r="R108" i="11"/>
  <c r="Q107" i="11"/>
  <c r="T107" i="11"/>
  <c r="P107" i="11"/>
  <c r="S107" i="11"/>
  <c r="O107" i="11"/>
  <c r="R107" i="11" s="1"/>
  <c r="Q106" i="11"/>
  <c r="T106" i="11"/>
  <c r="P106" i="11"/>
  <c r="S106" i="11"/>
  <c r="O106" i="11"/>
  <c r="R106" i="11" s="1"/>
  <c r="Q105" i="11"/>
  <c r="T105" i="11"/>
  <c r="P105" i="11"/>
  <c r="S105" i="11"/>
  <c r="O105" i="11"/>
  <c r="R105" i="11"/>
  <c r="Q104" i="11"/>
  <c r="T104" i="11"/>
  <c r="P104" i="11"/>
  <c r="S104" i="11" s="1"/>
  <c r="O104" i="11"/>
  <c r="R104" i="11"/>
  <c r="Q103" i="11"/>
  <c r="T103" i="11"/>
  <c r="P103" i="11"/>
  <c r="S103" i="11" s="1"/>
  <c r="O103" i="11"/>
  <c r="R103" i="11" s="1"/>
  <c r="Q102" i="11"/>
  <c r="T102" i="11"/>
  <c r="P102" i="11"/>
  <c r="S102" i="11"/>
  <c r="O102" i="11"/>
  <c r="R102" i="11" s="1"/>
  <c r="Q101" i="11"/>
  <c r="T101" i="11"/>
  <c r="P101" i="11"/>
  <c r="S101" i="11"/>
  <c r="O101" i="11"/>
  <c r="R101" i="11"/>
  <c r="Q100" i="11"/>
  <c r="T100" i="11"/>
  <c r="P100" i="11"/>
  <c r="S100" i="11" s="1"/>
  <c r="O100" i="11"/>
  <c r="R100" i="11"/>
  <c r="Q99" i="11"/>
  <c r="T99" i="11"/>
  <c r="P99" i="11"/>
  <c r="S99" i="11" s="1"/>
  <c r="O99" i="11"/>
  <c r="R99" i="11" s="1"/>
  <c r="Q98" i="11"/>
  <c r="T98" i="11"/>
  <c r="P98" i="11"/>
  <c r="S98" i="11"/>
  <c r="O98" i="11"/>
  <c r="R98" i="11" s="1"/>
  <c r="Q97" i="11"/>
  <c r="T97" i="11"/>
  <c r="P97" i="11"/>
  <c r="S97" i="11"/>
  <c r="O97" i="11"/>
  <c r="R97" i="11"/>
  <c r="Q96" i="11"/>
  <c r="T96" i="11" s="1"/>
  <c r="P96" i="11"/>
  <c r="S96" i="11"/>
  <c r="O96" i="11"/>
  <c r="R96" i="11"/>
  <c r="Q95" i="11"/>
  <c r="T95" i="11"/>
  <c r="P95" i="11"/>
  <c r="S95" i="11" s="1"/>
  <c r="O95" i="11"/>
  <c r="R95" i="11" s="1"/>
  <c r="Q94" i="11"/>
  <c r="T94" i="11"/>
  <c r="P94" i="11"/>
  <c r="S94" i="11"/>
  <c r="O94" i="11"/>
  <c r="R94" i="11" s="1"/>
  <c r="Q93" i="11"/>
  <c r="T93" i="11" s="1"/>
  <c r="P93" i="11"/>
  <c r="S93" i="11"/>
  <c r="O93" i="11"/>
  <c r="R93" i="11"/>
  <c r="Q92" i="11"/>
  <c r="T92" i="11" s="1"/>
  <c r="P92" i="11"/>
  <c r="S92" i="11" s="1"/>
  <c r="O92" i="11"/>
  <c r="R92" i="11"/>
  <c r="Q91" i="11"/>
  <c r="T91" i="11"/>
  <c r="P91" i="11"/>
  <c r="S91" i="11" s="1"/>
  <c r="O91" i="11"/>
  <c r="R91" i="11" s="1"/>
  <c r="Q90" i="11"/>
  <c r="T90" i="11"/>
  <c r="P90" i="11"/>
  <c r="S90" i="11"/>
  <c r="O90" i="11"/>
  <c r="R90" i="11" s="1"/>
  <c r="Q89" i="11"/>
  <c r="T89" i="11" s="1"/>
  <c r="P89" i="11"/>
  <c r="S89" i="11"/>
  <c r="O89" i="11"/>
  <c r="R89" i="11"/>
  <c r="Q88" i="11"/>
  <c r="T88" i="11" s="1"/>
  <c r="P88" i="11"/>
  <c r="S88" i="11" s="1"/>
  <c r="O88" i="11"/>
  <c r="R88" i="11"/>
  <c r="Q87" i="11"/>
  <c r="T87" i="11"/>
  <c r="P87" i="11"/>
  <c r="S87" i="11" s="1"/>
  <c r="O87" i="11"/>
  <c r="R87" i="11" s="1"/>
  <c r="Q86" i="11"/>
  <c r="T86" i="11"/>
  <c r="P86" i="11"/>
  <c r="S86" i="11"/>
  <c r="O86" i="11"/>
  <c r="R86" i="11" s="1"/>
  <c r="Q85" i="11"/>
  <c r="T85" i="11" s="1"/>
  <c r="P85" i="11"/>
  <c r="S85" i="11"/>
  <c r="O85" i="11"/>
  <c r="R85" i="11"/>
  <c r="Q84" i="11"/>
  <c r="T84" i="11" s="1"/>
  <c r="P84" i="11"/>
  <c r="S84" i="11"/>
  <c r="O84" i="11"/>
  <c r="R84" i="11"/>
  <c r="Q83" i="11"/>
  <c r="T83" i="11"/>
  <c r="P83" i="11"/>
  <c r="S83" i="11"/>
  <c r="O83" i="11"/>
  <c r="R83" i="11" s="1"/>
  <c r="Q82" i="11"/>
  <c r="T82" i="11"/>
  <c r="P82" i="11"/>
  <c r="S82" i="11"/>
  <c r="O82" i="11"/>
  <c r="R82" i="11" s="1"/>
  <c r="Q81" i="11"/>
  <c r="T81" i="11"/>
  <c r="P81" i="11"/>
  <c r="S81" i="11"/>
  <c r="O81" i="11"/>
  <c r="R81" i="11"/>
  <c r="Q80" i="11"/>
  <c r="T80" i="11"/>
  <c r="P80" i="11"/>
  <c r="S80" i="11" s="1"/>
  <c r="O80" i="11"/>
  <c r="R80" i="11"/>
  <c r="Q79" i="11"/>
  <c r="T79" i="11"/>
  <c r="P79" i="11"/>
  <c r="S79" i="11"/>
  <c r="O79" i="11"/>
  <c r="R79" i="11" s="1"/>
  <c r="Q78" i="11"/>
  <c r="T78" i="11"/>
  <c r="P78" i="11"/>
  <c r="S78" i="11"/>
  <c r="O78" i="11"/>
  <c r="R78" i="11" s="1"/>
  <c r="Q77" i="11"/>
  <c r="T77" i="11"/>
  <c r="P77" i="11"/>
  <c r="S77" i="11"/>
  <c r="O77" i="11"/>
  <c r="R77" i="11"/>
  <c r="Q76" i="11"/>
  <c r="T76" i="11"/>
  <c r="P76" i="11"/>
  <c r="S76" i="11" s="1"/>
  <c r="O76" i="11"/>
  <c r="R76" i="11"/>
  <c r="Q75" i="11"/>
  <c r="T75" i="11"/>
  <c r="P75" i="11"/>
  <c r="S75" i="11" s="1"/>
  <c r="O75" i="11"/>
  <c r="R75" i="11" s="1"/>
  <c r="Q74" i="11"/>
  <c r="T74" i="11"/>
  <c r="P74" i="11"/>
  <c r="S74" i="11"/>
  <c r="O74" i="11"/>
  <c r="R74" i="11" s="1"/>
  <c r="Q73" i="11"/>
  <c r="T73" i="11" s="1"/>
  <c r="P73" i="11"/>
  <c r="S73" i="11"/>
  <c r="O73" i="11"/>
  <c r="R73" i="11"/>
  <c r="Q72" i="11"/>
  <c r="T72" i="11"/>
  <c r="P72" i="11"/>
  <c r="S72" i="11" s="1"/>
  <c r="O72" i="11"/>
  <c r="R72" i="11"/>
  <c r="Q71" i="11"/>
  <c r="T71" i="11"/>
  <c r="P71" i="11"/>
  <c r="S71" i="11" s="1"/>
  <c r="O71" i="11"/>
  <c r="R71" i="11" s="1"/>
  <c r="Q70" i="11"/>
  <c r="T70" i="11"/>
  <c r="P70" i="11"/>
  <c r="S70" i="11"/>
  <c r="O70" i="11"/>
  <c r="R70" i="11" s="1"/>
  <c r="Q69" i="11"/>
  <c r="T69" i="11"/>
  <c r="P69" i="11"/>
  <c r="S69" i="11"/>
  <c r="O69" i="11"/>
  <c r="R69" i="11"/>
  <c r="Q68" i="11"/>
  <c r="T68" i="11" s="1"/>
  <c r="P68" i="11"/>
  <c r="S68" i="11" s="1"/>
  <c r="O68" i="11"/>
  <c r="R68" i="11"/>
  <c r="Q67" i="11"/>
  <c r="T67" i="11"/>
  <c r="P67" i="11"/>
  <c r="S67" i="11" s="1"/>
  <c r="O67" i="11"/>
  <c r="R67" i="11" s="1"/>
  <c r="Q66" i="11"/>
  <c r="T66" i="11"/>
  <c r="P66" i="11"/>
  <c r="S66" i="11"/>
  <c r="O66" i="11"/>
  <c r="R66" i="11" s="1"/>
  <c r="Q65" i="11"/>
  <c r="T65" i="11"/>
  <c r="P65" i="11"/>
  <c r="S65" i="11"/>
  <c r="O65" i="11"/>
  <c r="R65" i="11"/>
  <c r="Q64" i="11"/>
  <c r="T64" i="11"/>
  <c r="P64" i="11"/>
  <c r="S64" i="11" s="1"/>
  <c r="O64" i="11"/>
  <c r="R64" i="11"/>
  <c r="Q63" i="11"/>
  <c r="T63" i="11"/>
  <c r="P63" i="11"/>
  <c r="S63" i="11" s="1"/>
  <c r="O63" i="11"/>
  <c r="R63" i="11" s="1"/>
  <c r="Q62" i="11"/>
  <c r="T62" i="11"/>
  <c r="P62" i="11"/>
  <c r="S62" i="11"/>
  <c r="O62" i="11"/>
  <c r="R62" i="11" s="1"/>
  <c r="Q61" i="11"/>
  <c r="T61" i="11" s="1"/>
  <c r="P61" i="11"/>
  <c r="S61" i="11"/>
  <c r="O61" i="11"/>
  <c r="R61" i="11"/>
  <c r="Q60" i="11"/>
  <c r="T60" i="11" s="1"/>
  <c r="P60" i="11"/>
  <c r="S60" i="11" s="1"/>
  <c r="O60" i="11"/>
  <c r="R60" i="11"/>
  <c r="Q59" i="11"/>
  <c r="T59" i="11"/>
  <c r="P59" i="11"/>
  <c r="S59" i="11" s="1"/>
  <c r="O59" i="11"/>
  <c r="R59" i="11" s="1"/>
  <c r="Q58" i="11"/>
  <c r="T58" i="11"/>
  <c r="P58" i="11"/>
  <c r="S58" i="11"/>
  <c r="O58" i="11"/>
  <c r="R58" i="11" s="1"/>
  <c r="Q57" i="11"/>
  <c r="T57" i="11"/>
  <c r="P57" i="11"/>
  <c r="S57" i="11"/>
  <c r="O57" i="11"/>
  <c r="R57" i="11"/>
  <c r="Q56" i="11"/>
  <c r="T56" i="11" s="1"/>
  <c r="P56" i="11"/>
  <c r="S56" i="11" s="1"/>
  <c r="O56" i="11"/>
  <c r="R56" i="11"/>
  <c r="Q55" i="11"/>
  <c r="T55" i="11"/>
  <c r="P55" i="11"/>
  <c r="S55" i="11"/>
  <c r="O55" i="11"/>
  <c r="R55" i="11" s="1"/>
  <c r="Q54" i="11"/>
  <c r="T54" i="11"/>
  <c r="P54" i="11"/>
  <c r="S54" i="11"/>
  <c r="O54" i="11"/>
  <c r="R54" i="11" s="1"/>
  <c r="Q53" i="11"/>
  <c r="T53" i="11" s="1"/>
  <c r="P53" i="11"/>
  <c r="S53" i="11"/>
  <c r="O53" i="11"/>
  <c r="R53" i="11"/>
  <c r="Q52" i="11"/>
  <c r="T52" i="11"/>
  <c r="P52" i="11"/>
  <c r="S52" i="11"/>
  <c r="O52" i="11"/>
  <c r="R52" i="11"/>
  <c r="Q51" i="11"/>
  <c r="T51" i="11"/>
  <c r="P51" i="11"/>
  <c r="S51" i="11" s="1"/>
  <c r="O51" i="11"/>
  <c r="R51" i="11" s="1"/>
  <c r="Q50" i="11"/>
  <c r="T50" i="11"/>
  <c r="P50" i="11"/>
  <c r="S50" i="11"/>
  <c r="O50" i="11"/>
  <c r="R50" i="11" s="1"/>
  <c r="Q49" i="11"/>
  <c r="T49" i="11"/>
  <c r="P49" i="11"/>
  <c r="S49" i="11"/>
  <c r="O49" i="11"/>
  <c r="R49" i="11"/>
  <c r="Q48" i="11"/>
  <c r="T48" i="11"/>
  <c r="P48" i="11"/>
  <c r="S48" i="11"/>
  <c r="O48" i="11"/>
  <c r="R48" i="11"/>
  <c r="Q47" i="11"/>
  <c r="T47" i="11"/>
  <c r="P47" i="11"/>
  <c r="S47" i="11"/>
  <c r="O47" i="11"/>
  <c r="R47" i="11" s="1"/>
  <c r="Q46" i="11"/>
  <c r="T46" i="11"/>
  <c r="P46" i="11"/>
  <c r="S46" i="11"/>
  <c r="O46" i="11"/>
  <c r="R46" i="11" s="1"/>
  <c r="Q45" i="11"/>
  <c r="T45" i="11"/>
  <c r="P45" i="11"/>
  <c r="S45" i="11"/>
  <c r="O45" i="11"/>
  <c r="R45" i="11"/>
  <c r="Q44" i="11"/>
  <c r="T44" i="11"/>
  <c r="P44" i="11"/>
  <c r="S44" i="11"/>
  <c r="O44" i="11"/>
  <c r="R44" i="11"/>
  <c r="Q43" i="11"/>
  <c r="T43" i="11"/>
  <c r="P43" i="11"/>
  <c r="S43" i="11" s="1"/>
  <c r="O43" i="11"/>
  <c r="R43" i="11" s="1"/>
  <c r="Q42" i="11"/>
  <c r="T42" i="11"/>
  <c r="P42" i="11"/>
  <c r="S42" i="11"/>
  <c r="O42" i="11"/>
  <c r="R42" i="11" s="1"/>
  <c r="Q41" i="11"/>
  <c r="T41" i="11"/>
  <c r="P41" i="11"/>
  <c r="S41" i="11"/>
  <c r="O41" i="11"/>
  <c r="R41" i="11"/>
  <c r="Q40" i="11"/>
  <c r="T40" i="11"/>
  <c r="P40" i="11"/>
  <c r="S40" i="11" s="1"/>
  <c r="O40" i="11"/>
  <c r="R40" i="11"/>
  <c r="Q39" i="11"/>
  <c r="T39" i="11"/>
  <c r="P39" i="11"/>
  <c r="S39" i="11" s="1"/>
  <c r="O39" i="11"/>
  <c r="R39" i="11" s="1"/>
  <c r="Q38" i="11"/>
  <c r="T38" i="11"/>
  <c r="P38" i="11"/>
  <c r="S38" i="11"/>
  <c r="O38" i="11"/>
  <c r="R38" i="11" s="1"/>
  <c r="Q37" i="11"/>
  <c r="T37" i="11"/>
  <c r="P37" i="11"/>
  <c r="S37" i="11"/>
  <c r="O37" i="11"/>
  <c r="R37" i="11"/>
  <c r="Q36" i="11"/>
  <c r="T36" i="11"/>
  <c r="P36" i="11"/>
  <c r="S36" i="11" s="1"/>
  <c r="O36" i="11"/>
  <c r="R36" i="11"/>
  <c r="Q35" i="11"/>
  <c r="T35" i="11"/>
  <c r="P35" i="11"/>
  <c r="S35" i="11" s="1"/>
  <c r="O35" i="11"/>
  <c r="R35" i="11" s="1"/>
  <c r="Q34" i="11"/>
  <c r="T34" i="11"/>
  <c r="P34" i="11"/>
  <c r="S34" i="11"/>
  <c r="O34" i="11"/>
  <c r="R34" i="11" s="1"/>
  <c r="Q33" i="11"/>
  <c r="T33" i="11"/>
  <c r="P33" i="11"/>
  <c r="S33" i="11"/>
  <c r="O33" i="11"/>
  <c r="R33" i="11"/>
  <c r="Q32" i="11"/>
  <c r="T32" i="11"/>
  <c r="P32" i="11"/>
  <c r="S32" i="11"/>
  <c r="O32" i="11"/>
  <c r="R32" i="11" s="1"/>
  <c r="Q31" i="11"/>
  <c r="T31" i="11"/>
  <c r="P31" i="11"/>
  <c r="S31" i="11"/>
  <c r="O31" i="11"/>
  <c r="R31" i="11" s="1"/>
  <c r="Q30" i="11"/>
  <c r="T30" i="11"/>
  <c r="P30" i="11"/>
  <c r="S30" i="11"/>
  <c r="O30" i="11"/>
  <c r="R30" i="11" s="1"/>
  <c r="Q29" i="11"/>
  <c r="T29" i="11"/>
  <c r="P29" i="11"/>
  <c r="S29" i="11"/>
  <c r="O29" i="11"/>
  <c r="R29" i="11"/>
  <c r="Q28" i="11"/>
  <c r="T28" i="11"/>
  <c r="P28" i="11"/>
  <c r="S28" i="11"/>
  <c r="O28" i="11"/>
  <c r="R28" i="11" s="1"/>
  <c r="Q27" i="11"/>
  <c r="T27" i="11"/>
  <c r="P27" i="11"/>
  <c r="S27" i="11" s="1"/>
  <c r="O27" i="11"/>
  <c r="R27" i="11" s="1"/>
  <c r="Q26" i="11"/>
  <c r="T26" i="11" s="1"/>
  <c r="P26" i="11"/>
  <c r="S26" i="11"/>
  <c r="O26" i="11"/>
  <c r="R26" i="11" s="1"/>
  <c r="Q25" i="11"/>
  <c r="T25" i="11" s="1"/>
  <c r="P25" i="11"/>
  <c r="S25" i="11" s="1"/>
  <c r="O25" i="11"/>
  <c r="R25" i="11"/>
  <c r="Q24" i="11"/>
  <c r="T24" i="11"/>
  <c r="P24" i="11"/>
  <c r="S24" i="11"/>
  <c r="O24" i="11"/>
  <c r="R24" i="11" s="1"/>
  <c r="Q23" i="11"/>
  <c r="T23" i="11"/>
  <c r="P23" i="11"/>
  <c r="S23" i="11"/>
  <c r="O23" i="11"/>
  <c r="R23" i="11" s="1"/>
  <c r="Q22" i="11"/>
  <c r="T22" i="11"/>
  <c r="P22" i="11"/>
  <c r="S22" i="11"/>
  <c r="O22" i="11"/>
  <c r="R22" i="11" s="1"/>
  <c r="Q21" i="11"/>
  <c r="T21" i="11" s="1"/>
  <c r="P21" i="11"/>
  <c r="S21" i="11" s="1"/>
  <c r="O21" i="11"/>
  <c r="R21" i="11" s="1"/>
  <c r="Q20" i="11"/>
  <c r="T20" i="11"/>
  <c r="P20" i="11"/>
  <c r="S20" i="11" s="1"/>
  <c r="O20" i="11"/>
  <c r="R20" i="11" s="1"/>
  <c r="Q19" i="11"/>
  <c r="T19" i="11"/>
  <c r="P19" i="11"/>
  <c r="S19" i="11" s="1"/>
  <c r="O19" i="11"/>
  <c r="R19" i="11" s="1"/>
  <c r="Q18" i="11"/>
  <c r="T18" i="11"/>
  <c r="P18" i="11"/>
  <c r="S18" i="11"/>
  <c r="O18" i="11"/>
  <c r="R18" i="11" s="1"/>
  <c r="Q17" i="11"/>
  <c r="T17" i="11"/>
  <c r="P17" i="11"/>
  <c r="S17" i="11" s="1"/>
  <c r="O17" i="11"/>
  <c r="R17" i="11" s="1"/>
  <c r="Q16" i="11"/>
  <c r="T16" i="11"/>
  <c r="P16" i="11"/>
  <c r="S16" i="11" s="1"/>
  <c r="O16" i="11"/>
  <c r="R16" i="11" s="1"/>
  <c r="Q15" i="11"/>
  <c r="T15" i="11" s="1"/>
  <c r="P15" i="11"/>
  <c r="S15" i="11"/>
  <c r="O15" i="11"/>
  <c r="R15" i="11" s="1"/>
  <c r="Q14" i="11"/>
  <c r="T14" i="11" s="1"/>
  <c r="P14" i="11"/>
  <c r="S14" i="11" s="1"/>
  <c r="O14" i="11"/>
  <c r="R14" i="11" s="1"/>
  <c r="Q13" i="11"/>
  <c r="T13" i="11" s="1"/>
  <c r="P13" i="11"/>
  <c r="S13" i="11" s="1"/>
  <c r="O13" i="11"/>
  <c r="R13" i="11" s="1"/>
  <c r="Q12" i="11"/>
  <c r="T12" i="11" s="1"/>
  <c r="P12" i="11"/>
  <c r="S12" i="11"/>
  <c r="O12" i="11"/>
  <c r="R12" i="11" s="1"/>
  <c r="Q11" i="11"/>
  <c r="T11" i="11" s="1"/>
  <c r="P11" i="11"/>
  <c r="S11" i="11" s="1"/>
  <c r="O11" i="11"/>
  <c r="R11" i="11" s="1"/>
  <c r="Q10" i="11"/>
  <c r="T10" i="11" s="1"/>
  <c r="P10" i="11"/>
  <c r="S10" i="11"/>
  <c r="O10" i="11"/>
  <c r="R10" i="11" s="1"/>
  <c r="Q9" i="11"/>
  <c r="T9" i="11" s="1"/>
  <c r="P9" i="11"/>
  <c r="S9" i="11" s="1"/>
  <c r="O9" i="11"/>
  <c r="R9" i="11" s="1"/>
  <c r="Q8" i="11"/>
  <c r="T8" i="11" s="1"/>
  <c r="P8" i="11"/>
  <c r="S8" i="11" s="1"/>
  <c r="O8" i="11"/>
  <c r="R8" i="11" s="1"/>
  <c r="Q7" i="11"/>
  <c r="T7" i="11" s="1"/>
  <c r="P7" i="11"/>
  <c r="S7" i="11"/>
  <c r="O7" i="11"/>
  <c r="R7" i="11" s="1"/>
  <c r="Q6" i="11"/>
  <c r="T6" i="11" s="1"/>
  <c r="P6" i="11"/>
  <c r="S6" i="11" s="1"/>
  <c r="O6" i="11"/>
  <c r="R6" i="11" s="1"/>
  <c r="Q5" i="11"/>
  <c r="T5" i="11" s="1"/>
  <c r="P5" i="11"/>
  <c r="S5" i="11" s="1"/>
  <c r="O5" i="11"/>
  <c r="R5" i="11" s="1"/>
  <c r="Q4" i="11"/>
  <c r="T4" i="11" s="1"/>
  <c r="P4" i="11"/>
  <c r="S4" i="11" s="1"/>
  <c r="O4" i="11"/>
  <c r="R4" i="11" s="1"/>
  <c r="J20" i="1"/>
  <c r="U20" i="1" s="1"/>
  <c r="Q20" i="1"/>
  <c r="J21" i="1"/>
  <c r="Q21" i="1"/>
  <c r="J22" i="1"/>
  <c r="U22" i="1" s="1"/>
  <c r="Q22" i="1"/>
  <c r="J23" i="1"/>
  <c r="Q23" i="1"/>
  <c r="J24" i="1"/>
  <c r="Q24" i="1"/>
  <c r="U24" i="1" s="1"/>
  <c r="J25" i="1"/>
  <c r="Q25" i="1"/>
  <c r="J26" i="1"/>
  <c r="Q26" i="1"/>
  <c r="J27" i="1"/>
  <c r="Q27" i="1"/>
  <c r="J28" i="1"/>
  <c r="U28" i="1" s="1"/>
  <c r="Q28" i="1"/>
  <c r="J29" i="1"/>
  <c r="U29" i="1" s="1"/>
  <c r="Q29" i="1"/>
  <c r="J30" i="1"/>
  <c r="U30" i="1" s="1"/>
  <c r="Q30" i="1"/>
  <c r="J31" i="1"/>
  <c r="U31" i="1" s="1"/>
  <c r="Q31" i="1"/>
  <c r="J32" i="1"/>
  <c r="Q32" i="1"/>
  <c r="U32" i="1" s="1"/>
  <c r="J33" i="1"/>
  <c r="U33" i="1" s="1"/>
  <c r="Q33" i="1"/>
  <c r="J34" i="1"/>
  <c r="Q34" i="1"/>
  <c r="J35" i="1"/>
  <c r="Q35" i="1"/>
  <c r="J36" i="1"/>
  <c r="Q36" i="1"/>
  <c r="U36" i="1"/>
  <c r="J37" i="1"/>
  <c r="U37" i="1" s="1"/>
  <c r="Q37" i="1"/>
  <c r="J38" i="1"/>
  <c r="U38" i="1" s="1"/>
  <c r="Q38" i="1"/>
  <c r="J39" i="1"/>
  <c r="Q39" i="1"/>
  <c r="J40" i="1"/>
  <c r="Q40" i="1"/>
  <c r="U40" i="1" s="1"/>
  <c r="J41" i="1"/>
  <c r="Q41" i="1"/>
  <c r="U41" i="1" s="1"/>
  <c r="J42" i="1"/>
  <c r="U42" i="1" s="1"/>
  <c r="Q42" i="1"/>
  <c r="J43" i="1"/>
  <c r="Q43" i="1"/>
  <c r="J44" i="1"/>
  <c r="U44" i="1" s="1"/>
  <c r="Q44" i="1"/>
  <c r="J45" i="1"/>
  <c r="Q45" i="1"/>
  <c r="J46" i="1"/>
  <c r="Q46" i="1"/>
  <c r="J47" i="1"/>
  <c r="O47" i="1"/>
  <c r="Q47" i="1" s="1"/>
  <c r="J48" i="1"/>
  <c r="Q48" i="1"/>
  <c r="J49" i="1"/>
  <c r="Q49" i="1"/>
  <c r="K49" i="1"/>
  <c r="J50" i="1"/>
  <c r="Q50" i="1"/>
  <c r="U50" i="1"/>
  <c r="J51" i="1"/>
  <c r="Q51" i="1"/>
  <c r="J52" i="1"/>
  <c r="Q52" i="1"/>
  <c r="J53" i="1"/>
  <c r="Q53" i="1"/>
  <c r="U53" i="1" s="1"/>
  <c r="J54" i="1"/>
  <c r="Q54" i="1"/>
  <c r="U54" i="1" s="1"/>
  <c r="J55" i="1"/>
  <c r="Q55" i="1"/>
  <c r="U55" i="1" s="1"/>
  <c r="J56" i="1"/>
  <c r="U56" i="1" s="1"/>
  <c r="Q56" i="1"/>
  <c r="J57" i="1"/>
  <c r="U57" i="1" s="1"/>
  <c r="Q57" i="1"/>
  <c r="J58" i="1"/>
  <c r="U58" i="1" s="1"/>
  <c r="Q58" i="1"/>
  <c r="J59" i="1"/>
  <c r="Q59" i="1"/>
  <c r="J60" i="1"/>
  <c r="Q60" i="1"/>
  <c r="J61" i="1"/>
  <c r="N61" i="1"/>
  <c r="O61" i="1"/>
  <c r="P61" i="1"/>
  <c r="J62" i="1"/>
  <c r="Q62" i="1"/>
  <c r="U62" i="1" s="1"/>
  <c r="J63" i="1"/>
  <c r="Q63" i="1"/>
  <c r="J64" i="1"/>
  <c r="Q64" i="1"/>
  <c r="J65" i="1"/>
  <c r="U65" i="1" s="1"/>
  <c r="Q65" i="1"/>
  <c r="J66" i="1"/>
  <c r="U66" i="1" s="1"/>
  <c r="Q66" i="1"/>
  <c r="J67" i="1"/>
  <c r="U67" i="1" s="1"/>
  <c r="Q67" i="1"/>
  <c r="J68" i="1"/>
  <c r="Q68" i="1"/>
  <c r="U68" i="1" s="1"/>
  <c r="J69" i="1"/>
  <c r="Q69" i="1"/>
  <c r="U69" i="1"/>
  <c r="J70" i="1"/>
  <c r="Q70" i="1"/>
  <c r="U70" i="1" s="1"/>
  <c r="J71" i="1"/>
  <c r="Q71" i="1"/>
  <c r="J72" i="1"/>
  <c r="U72" i="1" s="1"/>
  <c r="Q72" i="1"/>
  <c r="J73" i="1"/>
  <c r="U73" i="1" s="1"/>
  <c r="Q73" i="1"/>
  <c r="J74" i="1"/>
  <c r="U74" i="1" s="1"/>
  <c r="Q74" i="1"/>
  <c r="J75" i="1"/>
  <c r="Q75" i="1"/>
  <c r="J76" i="1"/>
  <c r="Q76" i="1"/>
  <c r="U76" i="1" s="1"/>
  <c r="J77" i="1"/>
  <c r="U77" i="1" s="1"/>
  <c r="Q77" i="1"/>
  <c r="J78" i="1"/>
  <c r="Q78" i="1"/>
  <c r="U78" i="1" s="1"/>
  <c r="J79" i="1"/>
  <c r="U79" i="1" s="1"/>
  <c r="Q79" i="1"/>
  <c r="J80" i="1"/>
  <c r="Q80" i="1"/>
  <c r="J81" i="1"/>
  <c r="U81" i="1" s="1"/>
  <c r="Q81" i="1"/>
  <c r="J82" i="1"/>
  <c r="Q82" i="1"/>
  <c r="J83" i="1"/>
  <c r="Q83" i="1"/>
  <c r="J84" i="1"/>
  <c r="Q84" i="1"/>
  <c r="J85" i="1"/>
  <c r="Q85" i="1"/>
  <c r="U85" i="1"/>
  <c r="J86" i="1"/>
  <c r="U86" i="1" s="1"/>
  <c r="Q86" i="1"/>
  <c r="J87" i="1"/>
  <c r="Q87" i="1"/>
  <c r="J88" i="1"/>
  <c r="Q88" i="1"/>
  <c r="J89" i="1"/>
  <c r="Q89" i="1"/>
  <c r="U89" i="1"/>
  <c r="J90" i="1"/>
  <c r="Q90" i="1"/>
  <c r="J91" i="1"/>
  <c r="U91" i="1" s="1"/>
  <c r="Q91" i="1"/>
  <c r="J92" i="1"/>
  <c r="Q92" i="1"/>
  <c r="J93" i="1"/>
  <c r="U93" i="1" s="1"/>
  <c r="Q93" i="1"/>
  <c r="J94" i="1"/>
  <c r="O94" i="1"/>
  <c r="Q94" i="1" s="1"/>
  <c r="U94" i="1" s="1"/>
  <c r="P94" i="1"/>
  <c r="J95" i="1"/>
  <c r="N95" i="1"/>
  <c r="O95" i="1"/>
  <c r="P95" i="1"/>
  <c r="J96" i="1"/>
  <c r="Q96" i="1"/>
  <c r="J97" i="1"/>
  <c r="Q97" i="1"/>
  <c r="J98" i="1"/>
  <c r="Q98" i="1"/>
  <c r="U98" i="1"/>
  <c r="J99" i="1"/>
  <c r="Q99" i="1"/>
  <c r="U99" i="1" s="1"/>
  <c r="J100" i="1"/>
  <c r="U100" i="1" s="1"/>
  <c r="Q100" i="1"/>
  <c r="J101" i="1"/>
  <c r="Q101" i="1"/>
  <c r="J102" i="1"/>
  <c r="U102" i="1" s="1"/>
  <c r="Q102" i="1"/>
  <c r="J103" i="1"/>
  <c r="Q103" i="1"/>
  <c r="J104" i="1"/>
  <c r="Q104" i="1"/>
  <c r="J105" i="1"/>
  <c r="N105" i="1"/>
  <c r="O105" i="1"/>
  <c r="J106" i="1"/>
  <c r="N106" i="1"/>
  <c r="O106" i="1"/>
  <c r="J107" i="1"/>
  <c r="O107" i="1"/>
  <c r="Q107" i="1" s="1"/>
  <c r="U107" i="1" s="1"/>
  <c r="J108" i="1"/>
  <c r="Q108" i="1"/>
  <c r="J109" i="1"/>
  <c r="U109" i="1" s="1"/>
  <c r="Q109" i="1"/>
  <c r="J110" i="1"/>
  <c r="Q110" i="1"/>
  <c r="U110" i="1" s="1"/>
  <c r="J111" i="1"/>
  <c r="U111" i="1" s="1"/>
  <c r="Q111" i="1"/>
  <c r="J112" i="1"/>
  <c r="Q112" i="1"/>
  <c r="J113" i="1"/>
  <c r="Q113" i="1"/>
  <c r="J114" i="1"/>
  <c r="U114" i="1" s="1"/>
  <c r="Q114" i="1"/>
  <c r="J115" i="1"/>
  <c r="Q115" i="1"/>
  <c r="U115" i="1"/>
  <c r="J116" i="1"/>
  <c r="U116" i="1" s="1"/>
  <c r="Q116" i="1"/>
  <c r="J117" i="1"/>
  <c r="Q117" i="1"/>
  <c r="J118" i="1"/>
  <c r="Q118" i="1"/>
  <c r="U118" i="1" s="1"/>
  <c r="J119" i="1"/>
  <c r="Q119" i="1"/>
  <c r="U119" i="1"/>
  <c r="J120" i="1"/>
  <c r="Q120" i="1"/>
  <c r="J121" i="1"/>
  <c r="U121" i="1" s="1"/>
  <c r="Q121" i="1"/>
  <c r="J122" i="1"/>
  <c r="U122" i="1" s="1"/>
  <c r="Q122" i="1"/>
  <c r="J123" i="1"/>
  <c r="U123" i="1" s="1"/>
  <c r="Q123" i="1"/>
  <c r="U124" i="1"/>
  <c r="J125" i="1"/>
  <c r="U125" i="1" s="1"/>
  <c r="Q125" i="1"/>
  <c r="J126" i="1"/>
  <c r="Q126" i="1"/>
  <c r="J127" i="1"/>
  <c r="U127" i="1" s="1"/>
  <c r="Q127" i="1"/>
  <c r="J128" i="1"/>
  <c r="Q128" i="1"/>
  <c r="J129" i="1"/>
  <c r="N129" i="1"/>
  <c r="Q129" i="1" s="1"/>
  <c r="U129" i="1" s="1"/>
  <c r="J130" i="1"/>
  <c r="U130" i="1" s="1"/>
  <c r="Q130" i="1"/>
  <c r="J131" i="1"/>
  <c r="Q131" i="1"/>
  <c r="J132" i="1"/>
  <c r="Q132" i="1"/>
  <c r="J133" i="1"/>
  <c r="Q133" i="1"/>
  <c r="J134" i="1"/>
  <c r="U134" i="1" s="1"/>
  <c r="Q134" i="1"/>
  <c r="J135" i="1"/>
  <c r="U135" i="1" s="1"/>
  <c r="Q135" i="1"/>
  <c r="J136" i="1"/>
  <c r="U136" i="1" s="1"/>
  <c r="Q136" i="1"/>
  <c r="J137" i="1"/>
  <c r="Q137" i="1"/>
  <c r="U137" i="1" s="1"/>
  <c r="J138" i="1"/>
  <c r="Q138" i="1"/>
  <c r="U138" i="1"/>
  <c r="J139" i="1"/>
  <c r="Q139" i="1"/>
  <c r="J140" i="1"/>
  <c r="Q140" i="1"/>
  <c r="J141" i="1"/>
  <c r="U141" i="1" s="1"/>
  <c r="Q141" i="1"/>
  <c r="J142" i="1"/>
  <c r="O142" i="1"/>
  <c r="Q142" i="1" s="1"/>
  <c r="U142" i="1" s="1"/>
  <c r="J143" i="1"/>
  <c r="Q143" i="1"/>
  <c r="U143" i="1"/>
  <c r="J144" i="1"/>
  <c r="U144" i="1" s="1"/>
  <c r="Q144" i="1"/>
  <c r="J145" i="1"/>
  <c r="Q145" i="1"/>
  <c r="J146" i="1"/>
  <c r="Q146" i="1"/>
  <c r="J147" i="1"/>
  <c r="Q147" i="1"/>
  <c r="U147" i="1"/>
  <c r="J148" i="1"/>
  <c r="Q148" i="1"/>
  <c r="J149" i="1"/>
  <c r="U149" i="1" s="1"/>
  <c r="Q149" i="1"/>
  <c r="J150" i="1"/>
  <c r="Q150" i="1"/>
  <c r="J151" i="1"/>
  <c r="U151" i="1" s="1"/>
  <c r="Q151" i="1"/>
  <c r="J152" i="1"/>
  <c r="Q152" i="1"/>
  <c r="J153" i="1"/>
  <c r="O153" i="1"/>
  <c r="Q153" i="1" s="1"/>
  <c r="J154" i="1"/>
  <c r="Q154" i="1"/>
  <c r="J155" i="1"/>
  <c r="Q155" i="1"/>
  <c r="J156" i="1"/>
  <c r="U156" i="1" s="1"/>
  <c r="Q156" i="1"/>
  <c r="J157" i="1"/>
  <c r="U157" i="1" s="1"/>
  <c r="Q157" i="1"/>
  <c r="J158" i="1"/>
  <c r="Q158" i="1"/>
  <c r="J159" i="1"/>
  <c r="Q159" i="1"/>
  <c r="J160" i="1"/>
  <c r="U160" i="1" s="1"/>
  <c r="Q160" i="1"/>
  <c r="J161" i="1"/>
  <c r="Q161" i="1"/>
  <c r="J162" i="1"/>
  <c r="U162" i="1" s="1"/>
  <c r="Q162" i="1"/>
  <c r="J163" i="1"/>
  <c r="Q163" i="1"/>
  <c r="U163" i="1" s="1"/>
  <c r="J164" i="1"/>
  <c r="U164" i="1" s="1"/>
  <c r="Q164" i="1"/>
  <c r="J165" i="1"/>
  <c r="Q165" i="1"/>
  <c r="J166" i="1"/>
  <c r="Q166" i="1"/>
  <c r="J167" i="1"/>
  <c r="U167" i="1" s="1"/>
  <c r="Q167" i="1"/>
  <c r="J168" i="1"/>
  <c r="Q168" i="1"/>
  <c r="U168" i="1"/>
  <c r="J169" i="1"/>
  <c r="U169" i="1" s="1"/>
  <c r="Q169" i="1"/>
  <c r="J170" i="1"/>
  <c r="Q170" i="1"/>
  <c r="J171" i="1"/>
  <c r="O171" i="1"/>
  <c r="Q171" i="1" s="1"/>
  <c r="U171" i="1" s="1"/>
  <c r="J172" i="1"/>
  <c r="Q172" i="1"/>
  <c r="J173" i="1"/>
  <c r="U173" i="1" s="1"/>
  <c r="Q173" i="1"/>
  <c r="J174" i="1"/>
  <c r="U174" i="1" s="1"/>
  <c r="Q174" i="1"/>
  <c r="J175" i="1"/>
  <c r="U175" i="1" s="1"/>
  <c r="Q175" i="1"/>
  <c r="J176" i="1"/>
  <c r="Q176" i="1"/>
  <c r="U176" i="1" s="1"/>
  <c r="J177" i="1"/>
  <c r="Q177" i="1"/>
  <c r="U177" i="1"/>
  <c r="J178" i="1"/>
  <c r="Q178" i="1"/>
  <c r="J179" i="1"/>
  <c r="Q179" i="1"/>
  <c r="J180" i="1"/>
  <c r="U180" i="1" s="1"/>
  <c r="Q180" i="1"/>
  <c r="J181" i="1"/>
  <c r="U181" i="1" s="1"/>
  <c r="Q181" i="1"/>
  <c r="J182" i="1"/>
  <c r="U182" i="1" s="1"/>
  <c r="Q182" i="1"/>
  <c r="J183" i="1"/>
  <c r="Q183" i="1"/>
  <c r="J184" i="1"/>
  <c r="Q184" i="1"/>
  <c r="U184" i="1" s="1"/>
  <c r="J185" i="1"/>
  <c r="U185" i="1" s="1"/>
  <c r="Q185" i="1"/>
  <c r="J186" i="1"/>
  <c r="Q186" i="1"/>
  <c r="J187" i="1"/>
  <c r="U187" i="1" s="1"/>
  <c r="Q187" i="1"/>
  <c r="J188" i="1"/>
  <c r="Q188" i="1"/>
  <c r="J189" i="1"/>
  <c r="Q189" i="1"/>
  <c r="U189" i="1" s="1"/>
  <c r="J190" i="1"/>
  <c r="Q190" i="1"/>
  <c r="J191" i="1"/>
  <c r="Q191" i="1"/>
  <c r="J192" i="1"/>
  <c r="Q192" i="1"/>
  <c r="J6" i="1"/>
  <c r="Q6" i="1"/>
  <c r="U6" i="1"/>
  <c r="J7" i="1"/>
  <c r="U7" i="1" s="1"/>
  <c r="Q7" i="1"/>
  <c r="J8" i="1"/>
  <c r="Q8" i="1"/>
  <c r="J9" i="1"/>
  <c r="Q9" i="1"/>
  <c r="J10" i="1"/>
  <c r="Q10" i="1"/>
  <c r="U10" i="1"/>
  <c r="J11" i="1"/>
  <c r="Q11" i="1"/>
  <c r="J12" i="1"/>
  <c r="U12" i="1" s="1"/>
  <c r="Q12" i="1"/>
  <c r="J13" i="1"/>
  <c r="Q13" i="1"/>
  <c r="J14" i="1"/>
  <c r="U14" i="1" s="1"/>
  <c r="Q14" i="1"/>
  <c r="J15" i="1"/>
  <c r="Q15" i="1"/>
  <c r="J16" i="1"/>
  <c r="Q16" i="1"/>
  <c r="J17" i="1"/>
  <c r="Q17" i="1"/>
  <c r="J18" i="1"/>
  <c r="U18" i="1" s="1"/>
  <c r="Q18" i="1"/>
  <c r="J19" i="1"/>
  <c r="U19" i="1" s="1"/>
  <c r="Q19" i="1"/>
  <c r="J5" i="1"/>
  <c r="U5" i="1" s="1"/>
  <c r="Q5" i="1"/>
  <c r="J4" i="1"/>
  <c r="Q4" i="1"/>
  <c r="U4" i="1" s="1"/>
  <c r="T29" i="3"/>
  <c r="T27" i="3"/>
  <c r="T26" i="3"/>
  <c r="T25" i="3"/>
  <c r="T24" i="3"/>
  <c r="T23" i="3"/>
  <c r="T22" i="3"/>
  <c r="T21" i="3"/>
  <c r="T20" i="3"/>
  <c r="T19" i="3"/>
  <c r="T18" i="3"/>
  <c r="T17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62" i="3"/>
  <c r="F63" i="3"/>
  <c r="F6" i="3"/>
  <c r="F7" i="3"/>
  <c r="F8" i="3"/>
  <c r="F9" i="3"/>
  <c r="F10" i="3"/>
  <c r="N4" i="5"/>
  <c r="N11" i="5" s="1"/>
  <c r="N5" i="5"/>
  <c r="N6" i="5"/>
  <c r="N7" i="5"/>
  <c r="N8" i="5"/>
  <c r="N9" i="5"/>
  <c r="C6" i="5"/>
  <c r="F6" i="5"/>
  <c r="G6" i="5"/>
  <c r="C5" i="5"/>
  <c r="G5" i="5" s="1"/>
  <c r="D5" i="5"/>
  <c r="F5" i="5" s="1"/>
  <c r="E5" i="5"/>
  <c r="C4" i="5"/>
  <c r="D4" i="5"/>
  <c r="F4" i="5" s="1"/>
  <c r="G4" i="5" s="1"/>
  <c r="E4" i="5"/>
  <c r="J3" i="2"/>
  <c r="L3" i="2" s="1"/>
  <c r="J4" i="2"/>
  <c r="L4" i="2"/>
  <c r="J5" i="2"/>
  <c r="L5" i="2"/>
  <c r="J6" i="2"/>
  <c r="L6" i="2" s="1"/>
  <c r="F6" i="2"/>
  <c r="J7" i="2"/>
  <c r="L7" i="2" s="1"/>
  <c r="J8" i="2"/>
  <c r="L8" i="2"/>
  <c r="J9" i="2"/>
  <c r="L9" i="2" s="1"/>
  <c r="J10" i="2"/>
  <c r="L10" i="2" s="1"/>
  <c r="J11" i="2"/>
  <c r="L11" i="2" s="1"/>
  <c r="J12" i="2"/>
  <c r="L12" i="2"/>
  <c r="J13" i="2"/>
  <c r="L13" i="2" s="1"/>
  <c r="J14" i="2"/>
  <c r="L14" i="2" s="1"/>
  <c r="J15" i="2"/>
  <c r="L15" i="2" s="1"/>
  <c r="J16" i="2"/>
  <c r="L16" i="2"/>
  <c r="J17" i="2"/>
  <c r="L17" i="2" s="1"/>
  <c r="J18" i="2"/>
  <c r="L18" i="2" s="1"/>
  <c r="J19" i="2"/>
  <c r="F19" i="2"/>
  <c r="L19" i="2"/>
  <c r="J20" i="2"/>
  <c r="L20" i="2"/>
  <c r="J21" i="2"/>
  <c r="L21" i="2"/>
  <c r="J22" i="2"/>
  <c r="L22" i="2" s="1"/>
  <c r="J23" i="2"/>
  <c r="L23" i="2"/>
  <c r="J24" i="2"/>
  <c r="L24" i="2"/>
  <c r="J25" i="2"/>
  <c r="L25" i="2"/>
  <c r="J26" i="2"/>
  <c r="L26" i="2" s="1"/>
  <c r="J27" i="2"/>
  <c r="L27" i="2"/>
  <c r="J28" i="2"/>
  <c r="L28" i="2"/>
  <c r="J29" i="2"/>
  <c r="L29" i="2"/>
  <c r="J30" i="2"/>
  <c r="L30" i="2" s="1"/>
  <c r="J31" i="2"/>
  <c r="L31" i="2"/>
  <c r="J32" i="2"/>
  <c r="L32" i="2"/>
  <c r="J33" i="2"/>
  <c r="L33" i="2"/>
  <c r="J34" i="2"/>
  <c r="L34" i="2" s="1"/>
  <c r="J35" i="2"/>
  <c r="L35" i="2"/>
  <c r="J36" i="2"/>
  <c r="L36" i="2"/>
  <c r="J37" i="2"/>
  <c r="L37" i="2"/>
  <c r="J38" i="2"/>
  <c r="L38" i="2" s="1"/>
  <c r="J39" i="2"/>
  <c r="L39" i="2"/>
  <c r="J40" i="2"/>
  <c r="L40" i="2"/>
  <c r="J41" i="2"/>
  <c r="L41" i="2"/>
  <c r="J42" i="2"/>
  <c r="L42" i="2" s="1"/>
  <c r="J43" i="2"/>
  <c r="L43" i="2"/>
  <c r="J44" i="2"/>
  <c r="L44" i="2"/>
  <c r="J45" i="2"/>
  <c r="L45" i="2"/>
  <c r="J46" i="2"/>
  <c r="L46" i="2" s="1"/>
  <c r="J47" i="2"/>
  <c r="L47" i="2"/>
  <c r="J48" i="2"/>
  <c r="L48" i="2"/>
  <c r="J49" i="2"/>
  <c r="L49" i="2"/>
  <c r="J50" i="2"/>
  <c r="L50" i="2" s="1"/>
  <c r="J51" i="2"/>
  <c r="L51" i="2"/>
  <c r="J52" i="2"/>
  <c r="L52" i="2"/>
  <c r="J53" i="2"/>
  <c r="L53" i="2"/>
  <c r="J54" i="2"/>
  <c r="L54" i="2" s="1"/>
  <c r="J55" i="2"/>
  <c r="L55" i="2"/>
  <c r="J56" i="2"/>
  <c r="L56" i="2"/>
  <c r="J57" i="2"/>
  <c r="L57" i="2"/>
  <c r="J58" i="2"/>
  <c r="L58" i="2" s="1"/>
  <c r="J59" i="2"/>
  <c r="L59" i="2"/>
  <c r="J60" i="2"/>
  <c r="L60" i="2"/>
  <c r="J61" i="2"/>
  <c r="L61" i="2"/>
  <c r="J62" i="2"/>
  <c r="L62" i="2" s="1"/>
  <c r="J63" i="2"/>
  <c r="L63" i="2"/>
  <c r="J64" i="2"/>
  <c r="L64" i="2"/>
  <c r="J65" i="2"/>
  <c r="L65" i="2"/>
  <c r="J66" i="2"/>
  <c r="L66" i="2" s="1"/>
  <c r="J67" i="2"/>
  <c r="L67" i="2"/>
  <c r="J68" i="2"/>
  <c r="L68" i="2"/>
  <c r="J69" i="2"/>
  <c r="L69" i="2"/>
  <c r="J70" i="2"/>
  <c r="L70" i="2" s="1"/>
  <c r="J71" i="2"/>
  <c r="L71" i="2"/>
  <c r="J72" i="2"/>
  <c r="L72" i="2"/>
  <c r="J73" i="2"/>
  <c r="L73" i="2"/>
  <c r="J74" i="2"/>
  <c r="L74" i="2" s="1"/>
  <c r="J75" i="2"/>
  <c r="L75" i="2"/>
  <c r="J76" i="2"/>
  <c r="L76" i="2"/>
  <c r="J77" i="2"/>
  <c r="L77" i="2"/>
  <c r="J78" i="2"/>
  <c r="L78" i="2" s="1"/>
  <c r="J79" i="2"/>
  <c r="L79" i="2"/>
  <c r="J80" i="2"/>
  <c r="L80" i="2"/>
  <c r="J81" i="2"/>
  <c r="L81" i="2"/>
  <c r="J82" i="2"/>
  <c r="L82" i="2" s="1"/>
  <c r="J83" i="2"/>
  <c r="L83" i="2"/>
  <c r="J2" i="2"/>
  <c r="L2" i="2"/>
  <c r="AH21" i="2"/>
  <c r="AJ21" i="2" s="1"/>
  <c r="AF21" i="2"/>
  <c r="AI20" i="2"/>
  <c r="AJ20" i="2"/>
  <c r="AI19" i="2"/>
  <c r="AJ19" i="2"/>
  <c r="AI6" i="2"/>
  <c r="AJ6" i="2" s="1"/>
  <c r="K12" i="2"/>
  <c r="L88" i="2"/>
  <c r="K2" i="2" s="1"/>
  <c r="K4" i="2"/>
  <c r="K5" i="2"/>
  <c r="K7" i="2"/>
  <c r="K8" i="2"/>
  <c r="K9" i="2"/>
  <c r="K10" i="2"/>
  <c r="K14" i="2"/>
  <c r="K15" i="2"/>
  <c r="K16" i="2"/>
  <c r="K17" i="2"/>
  <c r="K18" i="2"/>
  <c r="K20" i="2"/>
  <c r="K23" i="2"/>
  <c r="K24" i="2"/>
  <c r="K25" i="2"/>
  <c r="K26" i="2"/>
  <c r="K27" i="2"/>
  <c r="K28" i="2"/>
  <c r="K31" i="2"/>
  <c r="K32" i="2"/>
  <c r="K33" i="2"/>
  <c r="K34" i="2"/>
  <c r="K35" i="2"/>
  <c r="K36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77" i="2"/>
  <c r="K78" i="2"/>
  <c r="K79" i="2"/>
  <c r="K80" i="2"/>
  <c r="K81" i="2"/>
  <c r="K82" i="2"/>
  <c r="K83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57" i="2"/>
  <c r="AU108" i="18" l="1"/>
  <c r="AV108" i="18" s="1"/>
  <c r="AW108" i="18" s="1"/>
  <c r="AB31" i="18"/>
  <c r="AF31" i="18" s="1"/>
  <c r="AG31" i="18" s="1"/>
  <c r="AH31" i="18" s="1"/>
  <c r="R13" i="18"/>
  <c r="V13" i="18" s="1"/>
  <c r="W13" i="18" s="1"/>
  <c r="X13" i="18" s="1"/>
  <c r="AB35" i="18"/>
  <c r="AF35" i="18" s="1"/>
  <c r="AG35" i="18" s="1"/>
  <c r="AH35" i="18" s="1"/>
  <c r="AB192" i="18"/>
  <c r="AF192" i="18" s="1"/>
  <c r="AK175" i="18"/>
  <c r="AL175" i="18" s="1"/>
  <c r="AO175" i="18" s="1"/>
  <c r="AP175" i="18" s="1"/>
  <c r="AQ175" i="18" s="1"/>
  <c r="V158" i="18"/>
  <c r="W158" i="18" s="1"/>
  <c r="X158" i="18" s="1"/>
  <c r="AA108" i="18"/>
  <c r="Q59" i="18"/>
  <c r="R59" i="18" s="1"/>
  <c r="V59" i="18" s="1"/>
  <c r="W59" i="18" s="1"/>
  <c r="X59" i="18" s="1"/>
  <c r="AL35" i="18"/>
  <c r="AO35" i="18" s="1"/>
  <c r="AP35" i="18" s="1"/>
  <c r="AQ35" i="18" s="1"/>
  <c r="AA37" i="18"/>
  <c r="AK118" i="18"/>
  <c r="AL118" i="18" s="1"/>
  <c r="AO118" i="18" s="1"/>
  <c r="AP118" i="18" s="1"/>
  <c r="AQ118" i="18" s="1"/>
  <c r="R35" i="18"/>
  <c r="V35" i="18" s="1"/>
  <c r="W35" i="18" s="1"/>
  <c r="X35" i="18" s="1"/>
  <c r="Q37" i="18"/>
  <c r="U158" i="1"/>
  <c r="U112" i="1"/>
  <c r="Q105" i="1"/>
  <c r="Q95" i="1"/>
  <c r="U82" i="1"/>
  <c r="Q61" i="1"/>
  <c r="U61" i="1" s="1"/>
  <c r="U17" i="1"/>
  <c r="U13" i="1"/>
  <c r="U186" i="1"/>
  <c r="U179" i="1"/>
  <c r="U172" i="1"/>
  <c r="U161" i="1"/>
  <c r="U154" i="1"/>
  <c r="U150" i="1"/>
  <c r="U140" i="1"/>
  <c r="U133" i="1"/>
  <c r="U126" i="1"/>
  <c r="U108" i="1"/>
  <c r="U101" i="1"/>
  <c r="U92" i="1"/>
  <c r="U71" i="1"/>
  <c r="U64" i="1"/>
  <c r="U43" i="1"/>
  <c r="U26" i="1"/>
  <c r="U16" i="1"/>
  <c r="U9" i="1"/>
  <c r="U192" i="1"/>
  <c r="U178" i="1"/>
  <c r="U146" i="1"/>
  <c r="U139" i="1"/>
  <c r="U132" i="1"/>
  <c r="U104" i="1"/>
  <c r="U97" i="1"/>
  <c r="U88" i="1"/>
  <c r="U84" i="1"/>
  <c r="U63" i="1"/>
  <c r="U60" i="1"/>
  <c r="U46" i="1"/>
  <c r="U39" i="1"/>
  <c r="U35" i="1"/>
  <c r="U25" i="1"/>
  <c r="AK15" i="18"/>
  <c r="AL15" i="18" s="1"/>
  <c r="AO15" i="18" s="1"/>
  <c r="AP15" i="18" s="1"/>
  <c r="AQ15" i="18" s="1"/>
  <c r="AA15" i="18"/>
  <c r="AB15" i="18" s="1"/>
  <c r="AF15" i="18" s="1"/>
  <c r="AG15" i="18" s="1"/>
  <c r="AH15" i="18" s="1"/>
  <c r="Q15" i="18"/>
  <c r="R15" i="18" s="1"/>
  <c r="V15" i="18" s="1"/>
  <c r="W15" i="18" s="1"/>
  <c r="X15" i="18" s="1"/>
  <c r="AF175" i="18"/>
  <c r="AG175" i="18" s="1"/>
  <c r="AH175" i="18" s="1"/>
  <c r="AA170" i="18"/>
  <c r="AB170" i="18" s="1"/>
  <c r="Q170" i="18"/>
  <c r="R170" i="18" s="1"/>
  <c r="U170" i="1"/>
  <c r="U117" i="1"/>
  <c r="Q106" i="1"/>
  <c r="U106" i="1" s="1"/>
  <c r="U96" i="1"/>
  <c r="U21" i="1"/>
  <c r="V168" i="18"/>
  <c r="W168" i="18" s="1"/>
  <c r="X168" i="18" s="1"/>
  <c r="U15" i="1"/>
  <c r="U8" i="1"/>
  <c r="U188" i="1"/>
  <c r="U152" i="1"/>
  <c r="U145" i="1"/>
  <c r="U131" i="1"/>
  <c r="U128" i="1"/>
  <c r="U103" i="1"/>
  <c r="U87" i="1"/>
  <c r="U80" i="1"/>
  <c r="U59" i="1"/>
  <c r="U52" i="1"/>
  <c r="U49" i="1"/>
  <c r="U45" i="1"/>
  <c r="U11" i="1"/>
  <c r="U191" i="1"/>
  <c r="U166" i="1"/>
  <c r="U159" i="1"/>
  <c r="U155" i="1"/>
  <c r="U148" i="1"/>
  <c r="U120" i="1"/>
  <c r="U113" i="1"/>
  <c r="U90" i="1"/>
  <c r="U83" i="1"/>
  <c r="U51" i="1"/>
  <c r="U48" i="1"/>
  <c r="U34" i="1"/>
  <c r="U27" i="1"/>
  <c r="AK7" i="18"/>
  <c r="AL7" i="18" s="1"/>
  <c r="AO7" i="18" s="1"/>
  <c r="AP7" i="18" s="1"/>
  <c r="AQ7" i="18" s="1"/>
  <c r="Q7" i="18"/>
  <c r="R7" i="18" s="1"/>
  <c r="S119" i="18"/>
  <c r="T119" i="18" s="1"/>
  <c r="F134" i="27" s="1"/>
  <c r="F141" i="27" s="1"/>
  <c r="BO9" i="18"/>
  <c r="V132" i="18" s="1"/>
  <c r="BN9" i="18"/>
  <c r="BO8" i="18"/>
  <c r="V129" i="18" s="1"/>
  <c r="BO7" i="18"/>
  <c r="V125" i="18" s="1"/>
  <c r="BN8" i="18"/>
  <c r="BO6" i="18"/>
  <c r="V123" i="18" s="1"/>
  <c r="BN7" i="18"/>
  <c r="V119" i="18"/>
  <c r="W119" i="18" s="1"/>
  <c r="X119" i="18" s="1"/>
  <c r="BN6" i="18"/>
  <c r="AA9" i="18"/>
  <c r="AB9" i="18" s="1"/>
  <c r="AF9" i="18" s="1"/>
  <c r="AG9" i="18" s="1"/>
  <c r="AH9" i="18" s="1"/>
  <c r="Q9" i="18"/>
  <c r="R9" i="18" s="1"/>
  <c r="V9" i="18" s="1"/>
  <c r="W9" i="18" s="1"/>
  <c r="X9" i="18" s="1"/>
  <c r="AK9" i="18"/>
  <c r="AL9" i="18" s="1"/>
  <c r="AO9" i="18" s="1"/>
  <c r="AP9" i="18" s="1"/>
  <c r="AQ9" i="18" s="1"/>
  <c r="AA157" i="18"/>
  <c r="AB157" i="18" s="1"/>
  <c r="Q157" i="18"/>
  <c r="R157" i="18" s="1"/>
  <c r="AA189" i="18"/>
  <c r="AB189" i="18" s="1"/>
  <c r="Q189" i="18"/>
  <c r="R189" i="18" s="1"/>
  <c r="U190" i="1"/>
  <c r="U183" i="1"/>
  <c r="U165" i="1"/>
  <c r="U75" i="1"/>
  <c r="U23" i="1"/>
  <c r="AA21" i="18"/>
  <c r="AB21" i="18" s="1"/>
  <c r="AF21" i="18" s="1"/>
  <c r="AG21" i="18" s="1"/>
  <c r="AH21" i="18" s="1"/>
  <c r="AK21" i="18"/>
  <c r="AL21" i="18" s="1"/>
  <c r="AO21" i="18" s="1"/>
  <c r="AP21" i="18" s="1"/>
  <c r="AQ21" i="18" s="1"/>
  <c r="V150" i="18"/>
  <c r="W150" i="18" s="1"/>
  <c r="X150" i="18" s="1"/>
  <c r="S150" i="18"/>
  <c r="T150" i="18" s="1"/>
  <c r="F167" i="27" s="1"/>
  <c r="W92" i="18"/>
  <c r="X92" i="18" s="1"/>
  <c r="AP39" i="18"/>
  <c r="AQ39" i="18" s="1"/>
  <c r="AP17" i="18"/>
  <c r="AQ17" i="18" s="1"/>
  <c r="S166" i="18"/>
  <c r="T166" i="18" s="1"/>
  <c r="F183" i="27" s="1"/>
  <c r="BC170" i="18"/>
  <c r="BD170" i="18" s="1"/>
  <c r="AA119" i="18"/>
  <c r="AT119" i="18"/>
  <c r="AI58" i="1"/>
  <c r="N58" i="18"/>
  <c r="AI74" i="1"/>
  <c r="N74" i="18"/>
  <c r="AO164" i="1"/>
  <c r="AK164" i="1"/>
  <c r="AI43" i="1"/>
  <c r="N43" i="18"/>
  <c r="W89" i="18"/>
  <c r="X89" i="18" s="1"/>
  <c r="AA179" i="18"/>
  <c r="AB179" i="18" s="1"/>
  <c r="AF179" i="18" s="1"/>
  <c r="AG179" i="18" s="1"/>
  <c r="AH179" i="18" s="1"/>
  <c r="AI56" i="1"/>
  <c r="N56" i="18"/>
  <c r="AI72" i="1"/>
  <c r="N72" i="18"/>
  <c r="V99" i="25"/>
  <c r="Z99" i="25" s="1"/>
  <c r="AA99" i="25" s="1"/>
  <c r="AB99" i="25" s="1"/>
  <c r="X99" i="28"/>
  <c r="W99" i="28"/>
  <c r="V99" i="28"/>
  <c r="X131" i="28"/>
  <c r="W131" i="28"/>
  <c r="V131" i="28"/>
  <c r="AK126" i="1"/>
  <c r="AK129" i="1"/>
  <c r="AO129" i="1"/>
  <c r="AK134" i="1"/>
  <c r="AI45" i="1"/>
  <c r="N45" i="18"/>
  <c r="AT189" i="18"/>
  <c r="AA188" i="18"/>
  <c r="AB188" i="18" s="1"/>
  <c r="AF188" i="18" s="1"/>
  <c r="AG188" i="18" s="1"/>
  <c r="AH188" i="18" s="1"/>
  <c r="AA166" i="18"/>
  <c r="AB166" i="18" s="1"/>
  <c r="AI54" i="1"/>
  <c r="N54" i="18"/>
  <c r="N70" i="18"/>
  <c r="AI70" i="1"/>
  <c r="V107" i="25"/>
  <c r="Z107" i="25" s="1"/>
  <c r="AA107" i="25" s="1"/>
  <c r="AB107" i="25" s="1"/>
  <c r="W107" i="28"/>
  <c r="X119" i="28"/>
  <c r="V119" i="25"/>
  <c r="W119" i="28"/>
  <c r="V119" i="28"/>
  <c r="AK162" i="1"/>
  <c r="AO162" i="1"/>
  <c r="AG5" i="18"/>
  <c r="AH5" i="18" s="1"/>
  <c r="AJ4" i="1"/>
  <c r="AG23" i="18"/>
  <c r="AH23" i="18" s="1"/>
  <c r="AG29" i="18"/>
  <c r="AH29" i="18" s="1"/>
  <c r="Q179" i="18"/>
  <c r="R179" i="18" s="1"/>
  <c r="AA190" i="18"/>
  <c r="R152" i="18"/>
  <c r="BC131" i="18"/>
  <c r="BD131" i="18" s="1"/>
  <c r="AA130" i="18"/>
  <c r="AK126" i="18"/>
  <c r="AK75" i="18"/>
  <c r="AA75" i="18"/>
  <c r="AB75" i="18" s="1"/>
  <c r="AF75" i="18" s="1"/>
  <c r="AG75" i="18" s="1"/>
  <c r="AH75" i="18" s="1"/>
  <c r="AI52" i="1"/>
  <c r="N52" i="18"/>
  <c r="AI68" i="1"/>
  <c r="N68" i="18"/>
  <c r="V165" i="25"/>
  <c r="X165" i="28"/>
  <c r="W165" i="28"/>
  <c r="V165" i="28"/>
  <c r="W87" i="18"/>
  <c r="X87" i="18" s="1"/>
  <c r="AK84" i="18"/>
  <c r="AA84" i="18"/>
  <c r="AB84" i="18" s="1"/>
  <c r="AO50" i="1"/>
  <c r="AP50" i="1" s="1"/>
  <c r="AI50" i="1"/>
  <c r="N50" i="18"/>
  <c r="AI66" i="1"/>
  <c r="N66" i="18"/>
  <c r="AK130" i="1"/>
  <c r="AO130" i="1"/>
  <c r="BD25" i="18"/>
  <c r="W11" i="18"/>
  <c r="X11" i="18" s="1"/>
  <c r="Q21" i="18"/>
  <c r="R21" i="18" s="1"/>
  <c r="V21" i="18" s="1"/>
  <c r="W21" i="18" s="1"/>
  <c r="X21" i="18" s="1"/>
  <c r="AT188" i="18"/>
  <c r="AU188" i="18" s="1"/>
  <c r="AX188" i="18" s="1"/>
  <c r="AY188" i="18" s="1"/>
  <c r="AZ188" i="18" s="1"/>
  <c r="AL174" i="18"/>
  <c r="AK131" i="18"/>
  <c r="AL131" i="18" s="1"/>
  <c r="AI64" i="1"/>
  <c r="N64" i="18"/>
  <c r="AI80" i="1"/>
  <c r="N80" i="18"/>
  <c r="AO125" i="1"/>
  <c r="AK125" i="1"/>
  <c r="V171" i="25"/>
  <c r="Z171" i="25" s="1"/>
  <c r="AA171" i="25" s="1"/>
  <c r="AB171" i="25" s="1"/>
  <c r="X171" i="28"/>
  <c r="W171" i="28"/>
  <c r="V171" i="28"/>
  <c r="V175" i="25"/>
  <c r="Z175" i="25" s="1"/>
  <c r="AA175" i="25" s="1"/>
  <c r="AB175" i="25" s="1"/>
  <c r="X175" i="28"/>
  <c r="W175" i="28"/>
  <c r="V175" i="28"/>
  <c r="W95" i="18"/>
  <c r="X95" i="18" s="1"/>
  <c r="AM129" i="18"/>
  <c r="AN129" i="18" s="1"/>
  <c r="AP5" i="18"/>
  <c r="AQ5" i="18" s="1"/>
  <c r="AP92" i="18"/>
  <c r="AQ92" i="18" s="1"/>
  <c r="AP23" i="18"/>
  <c r="AQ23" i="18" s="1"/>
  <c r="AK13" i="18"/>
  <c r="AL13" i="18" s="1"/>
  <c r="AT175" i="18"/>
  <c r="AU175" i="18" s="1"/>
  <c r="AO62" i="1"/>
  <c r="AP62" i="1" s="1"/>
  <c r="AI62" i="1"/>
  <c r="N62" i="18"/>
  <c r="N78" i="18"/>
  <c r="AI78" i="1"/>
  <c r="X130" i="28"/>
  <c r="V130" i="25"/>
  <c r="Z130" i="25" s="1"/>
  <c r="AA130" i="25" s="1"/>
  <c r="AB130" i="25" s="1"/>
  <c r="W130" i="28"/>
  <c r="V130" i="28"/>
  <c r="X135" i="28"/>
  <c r="V135" i="25"/>
  <c r="Z135" i="25" s="1"/>
  <c r="AA135" i="25" s="1"/>
  <c r="AB135" i="25" s="1"/>
  <c r="W135" i="28"/>
  <c r="V135" i="28"/>
  <c r="V150" i="25"/>
  <c r="Z150" i="25" s="1"/>
  <c r="AA150" i="25" s="1"/>
  <c r="AB150" i="25" s="1"/>
  <c r="W150" i="28"/>
  <c r="V150" i="28"/>
  <c r="X150" i="28"/>
  <c r="V158" i="25"/>
  <c r="Z158" i="25" s="1"/>
  <c r="AA158" i="25" s="1"/>
  <c r="AB158" i="25" s="1"/>
  <c r="X158" i="28"/>
  <c r="W158" i="28"/>
  <c r="V158" i="28"/>
  <c r="V180" i="25"/>
  <c r="Z180" i="25" s="1"/>
  <c r="AA180" i="25" s="1"/>
  <c r="AB180" i="25" s="1"/>
  <c r="AH18" i="25" s="1"/>
  <c r="AB172" i="25" s="1"/>
  <c r="X180" i="28"/>
  <c r="AO166" i="1"/>
  <c r="AK166" i="1"/>
  <c r="AI41" i="1"/>
  <c r="N41" i="18"/>
  <c r="AM125" i="18"/>
  <c r="AN125" i="18" s="1"/>
  <c r="S181" i="18"/>
  <c r="T181" i="18" s="1"/>
  <c r="F198" i="27" s="1"/>
  <c r="S131" i="18"/>
  <c r="T131" i="18" s="1"/>
  <c r="F148" i="27" s="1"/>
  <c r="W94" i="18"/>
  <c r="X94" i="18" s="1"/>
  <c r="AT190" i="18"/>
  <c r="AU190" i="18" s="1"/>
  <c r="AX190" i="18" s="1"/>
  <c r="AY190" i="18" s="1"/>
  <c r="AZ190" i="18" s="1"/>
  <c r="BC175" i="18"/>
  <c r="BD175" i="18" s="1"/>
  <c r="BE175" i="18" s="1"/>
  <c r="BF175" i="18" s="1"/>
  <c r="J192" i="27" s="1"/>
  <c r="AT170" i="18"/>
  <c r="AU170" i="18" s="1"/>
  <c r="AK166" i="18"/>
  <c r="AT163" i="18"/>
  <c r="AI60" i="1"/>
  <c r="N60" i="18"/>
  <c r="AI76" i="1"/>
  <c r="N76" i="18"/>
  <c r="AK131" i="1"/>
  <c r="AC131" i="18" s="1"/>
  <c r="AD131" i="18" s="1"/>
  <c r="G148" i="27" s="1"/>
  <c r="AO131" i="1"/>
  <c r="V167" i="28"/>
  <c r="V167" i="25"/>
  <c r="Z167" i="25" s="1"/>
  <c r="AA167" i="25" s="1"/>
  <c r="AB167" i="25" s="1"/>
  <c r="X167" i="28"/>
  <c r="W167" i="28"/>
  <c r="AU79" i="18"/>
  <c r="AX79" i="18" s="1"/>
  <c r="X110" i="28"/>
  <c r="V110" i="25"/>
  <c r="Z110" i="25" s="1"/>
  <c r="AA110" i="25" s="1"/>
  <c r="AB110" i="25" s="1"/>
  <c r="X122" i="28"/>
  <c r="V122" i="25"/>
  <c r="Z122" i="25" s="1"/>
  <c r="AA122" i="25" s="1"/>
  <c r="AB122" i="25" s="1"/>
  <c r="AK121" i="1"/>
  <c r="AH134" i="1"/>
  <c r="AH139" i="1"/>
  <c r="AK139" i="1" s="1"/>
  <c r="AH143" i="1"/>
  <c r="X174" i="28"/>
  <c r="AA97" i="18"/>
  <c r="AB97" i="18" s="1"/>
  <c r="BC94" i="18"/>
  <c r="BD94" i="18" s="1"/>
  <c r="BG94" i="18" s="1"/>
  <c r="BH94" i="18" s="1"/>
  <c r="BI94" i="18" s="1"/>
  <c r="BC75" i="18"/>
  <c r="AH81" i="1"/>
  <c r="AH83" i="1"/>
  <c r="AH91" i="1"/>
  <c r="AH93" i="1"/>
  <c r="AH105" i="1"/>
  <c r="AH112" i="1"/>
  <c r="AH138" i="1"/>
  <c r="AK83" i="1"/>
  <c r="AK97" i="1"/>
  <c r="AK109" i="1"/>
  <c r="S109" i="18" s="1"/>
  <c r="T109" i="18" s="1"/>
  <c r="F124" i="27" s="1"/>
  <c r="AH161" i="1"/>
  <c r="AK173" i="1"/>
  <c r="AK181" i="1"/>
  <c r="AH186" i="1"/>
  <c r="AH90" i="1"/>
  <c r="AH100" i="1"/>
  <c r="AH123" i="1"/>
  <c r="AK123" i="1" s="1"/>
  <c r="AH142" i="1"/>
  <c r="AH149" i="1"/>
  <c r="AH156" i="1"/>
  <c r="AK156" i="1" s="1"/>
  <c r="AK175" i="1"/>
  <c r="AM175" i="18" s="1"/>
  <c r="AN175" i="18" s="1"/>
  <c r="H192" i="27" s="1"/>
  <c r="AK177" i="1"/>
  <c r="AA59" i="18"/>
  <c r="AB59" i="18" s="1"/>
  <c r="V111" i="28"/>
  <c r="V118" i="28"/>
  <c r="V123" i="28"/>
  <c r="V134" i="28"/>
  <c r="AR135" i="1"/>
  <c r="W135" i="18" s="1"/>
  <c r="X135" i="18" s="1"/>
  <c r="AK172" i="1"/>
  <c r="AH86" i="1"/>
  <c r="AK86" i="1" s="1"/>
  <c r="AH88" i="1"/>
  <c r="AH99" i="1"/>
  <c r="AK99" i="1" s="1"/>
  <c r="W123" i="28"/>
  <c r="AH111" i="1"/>
  <c r="AH113" i="1"/>
  <c r="AH122" i="1"/>
  <c r="AH147" i="1"/>
  <c r="AH153" i="1"/>
  <c r="AK168" i="1"/>
  <c r="S168" i="18" s="1"/>
  <c r="T168" i="18" s="1"/>
  <c r="F185" i="27" s="1"/>
  <c r="AK171" i="1"/>
  <c r="AV171" i="18" s="1"/>
  <c r="AW171" i="18" s="1"/>
  <c r="AH180" i="1"/>
  <c r="AT84" i="18"/>
  <c r="X111" i="28"/>
  <c r="V111" i="25"/>
  <c r="Z111" i="25" s="1"/>
  <c r="AA111" i="25" s="1"/>
  <c r="AB111" i="25" s="1"/>
  <c r="X118" i="28"/>
  <c r="V118" i="25"/>
  <c r="Z118" i="25" s="1"/>
  <c r="AA118" i="25" s="1"/>
  <c r="AB118" i="25" s="1"/>
  <c r="X134" i="28"/>
  <c r="V134" i="25"/>
  <c r="Z134" i="25" s="1"/>
  <c r="AA134" i="25" s="1"/>
  <c r="AH146" i="1"/>
  <c r="AH151" i="1"/>
  <c r="V174" i="28"/>
  <c r="AH165" i="1"/>
  <c r="AK170" i="1"/>
  <c r="BC84" i="18"/>
  <c r="BD84" i="18" s="1"/>
  <c r="AK52" i="1"/>
  <c r="AK54" i="1"/>
  <c r="AK56" i="1"/>
  <c r="AK58" i="1"/>
  <c r="AK60" i="1"/>
  <c r="AK64" i="1"/>
  <c r="AK66" i="1"/>
  <c r="AK68" i="1"/>
  <c r="AK70" i="1"/>
  <c r="AK72" i="1"/>
  <c r="AK74" i="1"/>
  <c r="AK76" i="1"/>
  <c r="AK78" i="1"/>
  <c r="AK80" i="1"/>
  <c r="AH85" i="1"/>
  <c r="X102" i="28"/>
  <c r="W110" i="28"/>
  <c r="AH98" i="1"/>
  <c r="AH101" i="1"/>
  <c r="AK101" i="1" s="1"/>
  <c r="W122" i="28"/>
  <c r="AH110" i="1"/>
  <c r="AH117" i="1"/>
  <c r="AH136" i="1"/>
  <c r="AH140" i="1"/>
  <c r="AH145" i="1"/>
  <c r="W174" i="28"/>
  <c r="AK174" i="1"/>
  <c r="S174" i="18" s="1"/>
  <c r="T174" i="18" s="1"/>
  <c r="F191" i="27" s="1"/>
  <c r="AK176" i="1"/>
  <c r="AK178" i="1"/>
  <c r="AK189" i="1"/>
  <c r="AR192" i="1"/>
  <c r="W192" i="18" s="1"/>
  <c r="X192" i="18" s="1"/>
  <c r="AH16" i="1"/>
  <c r="AM148" i="18"/>
  <c r="AN148" i="18" s="1"/>
  <c r="H165" i="27" s="1"/>
  <c r="AO148" i="18"/>
  <c r="AP148" i="18" s="1"/>
  <c r="AQ148" i="18" s="1"/>
  <c r="S120" i="18"/>
  <c r="T120" i="18" s="1"/>
  <c r="F135" i="27" s="1"/>
  <c r="V120" i="18"/>
  <c r="W120" i="18" s="1"/>
  <c r="X120" i="18" s="1"/>
  <c r="S163" i="18"/>
  <c r="T163" i="18" s="1"/>
  <c r="F180" i="27" s="1"/>
  <c r="BO12" i="18"/>
  <c r="V155" i="18" s="1"/>
  <c r="BN11" i="18"/>
  <c r="BO11" i="18"/>
  <c r="V151" i="18" s="1"/>
  <c r="V163" i="18"/>
  <c r="W163" i="18" s="1"/>
  <c r="X163" i="18" s="1"/>
  <c r="BO13" i="18"/>
  <c r="V159" i="18" s="1"/>
  <c r="BO16" i="18"/>
  <c r="V171" i="18" s="1"/>
  <c r="W171" i="18" s="1"/>
  <c r="X171" i="18" s="1"/>
  <c r="BO15" i="18"/>
  <c r="V167" i="18" s="1"/>
  <c r="S152" i="18"/>
  <c r="T152" i="18" s="1"/>
  <c r="F169" i="27" s="1"/>
  <c r="V152" i="18"/>
  <c r="V173" i="18"/>
  <c r="W173" i="18" s="1"/>
  <c r="X173" i="18" s="1"/>
  <c r="AK31" i="18"/>
  <c r="AL31" i="18" s="1"/>
  <c r="AO31" i="18" s="1"/>
  <c r="AP31" i="18" s="1"/>
  <c r="AQ31" i="18" s="1"/>
  <c r="Q164" i="18"/>
  <c r="R164" i="18" s="1"/>
  <c r="BN26" i="18" s="1"/>
  <c r="R103" i="18"/>
  <c r="Q69" i="18"/>
  <c r="R69" i="18" s="1"/>
  <c r="V69" i="18" s="1"/>
  <c r="W69" i="18" s="1"/>
  <c r="X69" i="18" s="1"/>
  <c r="AA133" i="18"/>
  <c r="AB126" i="18"/>
  <c r="AK169" i="18"/>
  <c r="AL169" i="18" s="1"/>
  <c r="AO169" i="18" s="1"/>
  <c r="AK168" i="18"/>
  <c r="AL168" i="18" s="1"/>
  <c r="AT148" i="18"/>
  <c r="AU148" i="18" s="1"/>
  <c r="AA103" i="18"/>
  <c r="AB103" i="18" s="1"/>
  <c r="BC61" i="18"/>
  <c r="R75" i="18"/>
  <c r="V75" i="18" s="1"/>
  <c r="W75" i="18" s="1"/>
  <c r="X75" i="18" s="1"/>
  <c r="R71" i="18"/>
  <c r="V71" i="18" s="1"/>
  <c r="W71" i="18" s="1"/>
  <c r="X71" i="18" s="1"/>
  <c r="AA174" i="18"/>
  <c r="AB174" i="18" s="1"/>
  <c r="AL172" i="18"/>
  <c r="AU126" i="18"/>
  <c r="BD75" i="18"/>
  <c r="BG75" i="18" s="1"/>
  <c r="BH75" i="18" s="1"/>
  <c r="BI75" i="18" s="1"/>
  <c r="AO131" i="18"/>
  <c r="Q133" i="18"/>
  <c r="R126" i="18"/>
  <c r="Q79" i="18"/>
  <c r="R79" i="18" s="1"/>
  <c r="V79" i="18" s="1"/>
  <c r="AL184" i="18"/>
  <c r="AO184" i="18" s="1"/>
  <c r="AP184" i="18" s="1"/>
  <c r="AQ184" i="18" s="1"/>
  <c r="AU163" i="18"/>
  <c r="BR15" i="18" s="1"/>
  <c r="AX167" i="18" s="1"/>
  <c r="AA148" i="18"/>
  <c r="AB148" i="18" s="1"/>
  <c r="BD126" i="18"/>
  <c r="AA107" i="18"/>
  <c r="AB107" i="18" s="1"/>
  <c r="V177" i="18"/>
  <c r="W177" i="18" s="1"/>
  <c r="X177" i="18" s="1"/>
  <c r="Q31" i="18"/>
  <c r="R31" i="18" s="1"/>
  <c r="Q67" i="18"/>
  <c r="AL158" i="18"/>
  <c r="AB141" i="18"/>
  <c r="AA79" i="18"/>
  <c r="AB79" i="18" s="1"/>
  <c r="AF79" i="18" s="1"/>
  <c r="AG79" i="18" s="1"/>
  <c r="AH79" i="18" s="1"/>
  <c r="V148" i="18"/>
  <c r="W148" i="18" s="1"/>
  <c r="X148" i="18" s="1"/>
  <c r="R82" i="18"/>
  <c r="V82" i="18" s="1"/>
  <c r="W82" i="18" s="1"/>
  <c r="X82" i="18" s="1"/>
  <c r="AL176" i="18"/>
  <c r="AB158" i="18"/>
  <c r="AL126" i="18"/>
  <c r="AK73" i="18"/>
  <c r="AK71" i="18"/>
  <c r="R73" i="18"/>
  <c r="V73" i="18" s="1"/>
  <c r="W73" i="18" s="1"/>
  <c r="X73" i="18" s="1"/>
  <c r="AF97" i="18"/>
  <c r="AG97" i="18" s="1"/>
  <c r="AH97" i="18" s="1"/>
  <c r="BD19" i="18"/>
  <c r="BG19" i="18" s="1"/>
  <c r="R104" i="18"/>
  <c r="Q73" i="18"/>
  <c r="Q61" i="18"/>
  <c r="R61" i="18" s="1"/>
  <c r="V61" i="18" s="1"/>
  <c r="W61" i="18" s="1"/>
  <c r="X61" i="18" s="1"/>
  <c r="R137" i="18"/>
  <c r="V137" i="18" s="1"/>
  <c r="AK109" i="18"/>
  <c r="AL109" i="18" s="1"/>
  <c r="BC63" i="18"/>
  <c r="BD63" i="18" s="1"/>
  <c r="BG63" i="18" s="1"/>
  <c r="BH63" i="18" s="1"/>
  <c r="BI63" i="18" s="1"/>
  <c r="AA39" i="18"/>
  <c r="AB39" i="18" s="1"/>
  <c r="AF39" i="18" s="1"/>
  <c r="AG39" i="18" s="1"/>
  <c r="AH39" i="18" s="1"/>
  <c r="Q39" i="18"/>
  <c r="R39" i="18" s="1"/>
  <c r="V39" i="18" s="1"/>
  <c r="W39" i="18" s="1"/>
  <c r="X39" i="18" s="1"/>
  <c r="AT77" i="18"/>
  <c r="AU77" i="18" s="1"/>
  <c r="Q77" i="18"/>
  <c r="R77" i="18" s="1"/>
  <c r="V77" i="18" s="1"/>
  <c r="W77" i="18" s="1"/>
  <c r="X77" i="18" s="1"/>
  <c r="AK77" i="18"/>
  <c r="AL77" i="18" s="1"/>
  <c r="AO77" i="18" s="1"/>
  <c r="BC121" i="18"/>
  <c r="BD121" i="18" s="1"/>
  <c r="AB163" i="18"/>
  <c r="AT115" i="18"/>
  <c r="AU115" i="18" s="1"/>
  <c r="AK115" i="18"/>
  <c r="AL115" i="18" s="1"/>
  <c r="Q115" i="18"/>
  <c r="R115" i="18" s="1"/>
  <c r="BC171" i="18"/>
  <c r="BD171" i="18" s="1"/>
  <c r="BE171" i="18" s="1"/>
  <c r="BF171" i="18" s="1"/>
  <c r="AA171" i="18"/>
  <c r="AK162" i="18"/>
  <c r="AL162" i="18" s="1"/>
  <c r="Q162" i="18"/>
  <c r="R162" i="18" s="1"/>
  <c r="AT102" i="18"/>
  <c r="AU102" i="18" s="1"/>
  <c r="AX102" i="18" s="1"/>
  <c r="AY102" i="18" s="1"/>
  <c r="AZ102" i="18" s="1"/>
  <c r="AA102" i="18"/>
  <c r="AB102" i="18" s="1"/>
  <c r="AF102" i="18" s="1"/>
  <c r="AG102" i="18" s="1"/>
  <c r="AH102" i="18" s="1"/>
  <c r="Q102" i="18"/>
  <c r="R102" i="18" s="1"/>
  <c r="V102" i="18" s="1"/>
  <c r="W102" i="18" s="1"/>
  <c r="X102" i="18" s="1"/>
  <c r="AK150" i="18"/>
  <c r="AL150" i="18" s="1"/>
  <c r="AU119" i="18"/>
  <c r="AV163" i="18"/>
  <c r="AW163" i="18" s="1"/>
  <c r="I180" i="27" s="1"/>
  <c r="AX163" i="18"/>
  <c r="AY163" i="18" s="1"/>
  <c r="AZ163" i="18" s="1"/>
  <c r="BR11" i="18"/>
  <c r="AX151" i="18" s="1"/>
  <c r="BR12" i="18"/>
  <c r="AX155" i="18" s="1"/>
  <c r="BR13" i="18"/>
  <c r="AX159" i="18" s="1"/>
  <c r="AA121" i="18"/>
  <c r="AB121" i="18" s="1"/>
  <c r="Q121" i="18"/>
  <c r="R121" i="18" s="1"/>
  <c r="AT121" i="18"/>
  <c r="AU121" i="18" s="1"/>
  <c r="AT106" i="18"/>
  <c r="AU106" i="18" s="1"/>
  <c r="AX106" i="18" s="1"/>
  <c r="AY106" i="18" s="1"/>
  <c r="AZ106" i="18" s="1"/>
  <c r="Q106" i="18"/>
  <c r="R106" i="18" s="1"/>
  <c r="V106" i="18" s="1"/>
  <c r="W106" i="18" s="1"/>
  <c r="X106" i="18" s="1"/>
  <c r="AK106" i="18"/>
  <c r="AL106" i="18" s="1"/>
  <c r="AO106" i="18" s="1"/>
  <c r="AP106" i="18" s="1"/>
  <c r="AQ106" i="18" s="1"/>
  <c r="BD61" i="18"/>
  <c r="BG61" i="18" s="1"/>
  <c r="BH61" i="18" s="1"/>
  <c r="BI61" i="18" s="1"/>
  <c r="BE148" i="18"/>
  <c r="BF148" i="18" s="1"/>
  <c r="J165" i="27" s="1"/>
  <c r="BG148" i="18"/>
  <c r="BH148" i="18" s="1"/>
  <c r="BI148" i="18" s="1"/>
  <c r="AA144" i="18"/>
  <c r="AB144" i="18" s="1"/>
  <c r="BC144" i="18"/>
  <c r="BD144" i="18" s="1"/>
  <c r="Q144" i="18"/>
  <c r="R144" i="18" s="1"/>
  <c r="BD167" i="18"/>
  <c r="BE167" i="18" s="1"/>
  <c r="BF167" i="18" s="1"/>
  <c r="BD108" i="18"/>
  <c r="BE108" i="18" s="1"/>
  <c r="BF108" i="18" s="1"/>
  <c r="R133" i="18"/>
  <c r="R67" i="18"/>
  <c r="V67" i="18" s="1"/>
  <c r="W67" i="18" s="1"/>
  <c r="X67" i="18" s="1"/>
  <c r="BC189" i="18"/>
  <c r="BD189" i="18" s="1"/>
  <c r="AT182" i="18"/>
  <c r="AU182" i="18" s="1"/>
  <c r="AX182" i="18" s="1"/>
  <c r="AY182" i="18" s="1"/>
  <c r="AZ182" i="18" s="1"/>
  <c r="AK179" i="18"/>
  <c r="AL179" i="18" s="1"/>
  <c r="AO179" i="18" s="1"/>
  <c r="AP179" i="18" s="1"/>
  <c r="AQ179" i="18" s="1"/>
  <c r="AK170" i="18"/>
  <c r="AL170" i="18" s="1"/>
  <c r="AA162" i="18"/>
  <c r="AB162" i="18" s="1"/>
  <c r="AK157" i="18"/>
  <c r="AL157" i="18" s="1"/>
  <c r="AA137" i="18"/>
  <c r="AB137" i="18" s="1"/>
  <c r="AF137" i="18" s="1"/>
  <c r="AA127" i="18"/>
  <c r="AB127" i="18" s="1"/>
  <c r="AF127" i="18" s="1"/>
  <c r="AK119" i="18"/>
  <c r="AK103" i="18"/>
  <c r="AL103" i="18" s="1"/>
  <c r="AL82" i="18"/>
  <c r="AO82" i="18" s="1"/>
  <c r="AP82" i="18" s="1"/>
  <c r="AQ82" i="18" s="1"/>
  <c r="AB67" i="18"/>
  <c r="AF67" i="18" s="1"/>
  <c r="AG67" i="18" s="1"/>
  <c r="AH67" i="18" s="1"/>
  <c r="AB73" i="18"/>
  <c r="AF73" i="18" s="1"/>
  <c r="AG73" i="18" s="1"/>
  <c r="AH73" i="18" s="1"/>
  <c r="AU4" i="18"/>
  <c r="AX4" i="18" s="1"/>
  <c r="AY4" i="18" s="1"/>
  <c r="AZ4" i="18" s="1"/>
  <c r="AP32" i="18"/>
  <c r="AQ32" i="18" s="1"/>
  <c r="AP29" i="18"/>
  <c r="AQ29" i="18" s="1"/>
  <c r="BD125" i="18"/>
  <c r="BE125" i="18" s="1"/>
  <c r="BF125" i="18" s="1"/>
  <c r="R37" i="18"/>
  <c r="V37" i="18" s="1"/>
  <c r="W37" i="18" s="1"/>
  <c r="X37" i="18" s="1"/>
  <c r="AK188" i="18"/>
  <c r="AL188" i="18" s="1"/>
  <c r="AO188" i="18" s="1"/>
  <c r="AP188" i="18" s="1"/>
  <c r="AQ188" i="18" s="1"/>
  <c r="AA172" i="18"/>
  <c r="AB172" i="18" s="1"/>
  <c r="AA168" i="18"/>
  <c r="AB168" i="18" s="1"/>
  <c r="AA154" i="18"/>
  <c r="AB154" i="18" s="1"/>
  <c r="AK144" i="18"/>
  <c r="AL144" i="18" s="1"/>
  <c r="BD67" i="18"/>
  <c r="BG67" i="18" s="1"/>
  <c r="BH67" i="18" s="1"/>
  <c r="BI67" i="18" s="1"/>
  <c r="BC59" i="18"/>
  <c r="Q29" i="18"/>
  <c r="R29" i="18" s="1"/>
  <c r="V29" i="18" s="1"/>
  <c r="W29" i="18" s="1"/>
  <c r="X29" i="18" s="1"/>
  <c r="Q127" i="18"/>
  <c r="R127" i="18" s="1"/>
  <c r="V127" i="18" s="1"/>
  <c r="AK182" i="18"/>
  <c r="AL182" i="18" s="1"/>
  <c r="AO182" i="18" s="1"/>
  <c r="AP182" i="18" s="1"/>
  <c r="AQ182" i="18" s="1"/>
  <c r="AK181" i="18"/>
  <c r="AL181" i="18" s="1"/>
  <c r="AK178" i="18"/>
  <c r="AL178" i="18" s="1"/>
  <c r="AL164" i="18"/>
  <c r="AK163" i="18"/>
  <c r="AL163" i="18" s="1"/>
  <c r="AT154" i="18"/>
  <c r="AU154" i="18" s="1"/>
  <c r="AK152" i="18"/>
  <c r="AL152" i="18" s="1"/>
  <c r="AA152" i="18"/>
  <c r="AB152" i="18" s="1"/>
  <c r="AT131" i="18"/>
  <c r="AU131" i="18" s="1"/>
  <c r="AL121" i="18"/>
  <c r="BC77" i="18"/>
  <c r="BD77" i="18" s="1"/>
  <c r="BG77" i="18" s="1"/>
  <c r="BH77" i="18" s="1"/>
  <c r="BI77" i="18" s="1"/>
  <c r="Q5" i="18"/>
  <c r="R5" i="18" s="1"/>
  <c r="V5" i="18" s="1"/>
  <c r="W5" i="18" s="1"/>
  <c r="X5" i="18" s="1"/>
  <c r="R63" i="18"/>
  <c r="V63" i="18" s="1"/>
  <c r="W63" i="18" s="1"/>
  <c r="X63" i="18" s="1"/>
  <c r="AU189" i="18"/>
  <c r="AT184" i="18"/>
  <c r="AU184" i="18" s="1"/>
  <c r="AX184" i="18" s="1"/>
  <c r="AY184" i="18" s="1"/>
  <c r="AZ184" i="18" s="1"/>
  <c r="AK133" i="18"/>
  <c r="AL133" i="18" s="1"/>
  <c r="AA13" i="18"/>
  <c r="AB13" i="18" s="1"/>
  <c r="AF13" i="18" s="1"/>
  <c r="AG13" i="18" s="1"/>
  <c r="AH13" i="18" s="1"/>
  <c r="R141" i="18"/>
  <c r="AA182" i="18"/>
  <c r="AB182" i="18" s="1"/>
  <c r="AF182" i="18" s="1"/>
  <c r="AG182" i="18" s="1"/>
  <c r="AH182" i="18" s="1"/>
  <c r="AA178" i="18"/>
  <c r="AB178" i="18" s="1"/>
  <c r="AB177" i="18"/>
  <c r="AK154" i="18"/>
  <c r="AL154" i="18" s="1"/>
  <c r="AK127" i="18"/>
  <c r="AL127" i="18" s="1"/>
  <c r="AO127" i="18" s="1"/>
  <c r="AK116" i="18"/>
  <c r="AL116" i="18" s="1"/>
  <c r="AL114" i="18"/>
  <c r="AO114" i="18" s="1"/>
  <c r="AP114" i="18" s="1"/>
  <c r="AQ114" i="18" s="1"/>
  <c r="AL73" i="18"/>
  <c r="AO73" i="18" s="1"/>
  <c r="AP73" i="18" s="1"/>
  <c r="AQ73" i="18" s="1"/>
  <c r="AT61" i="18"/>
  <c r="AA61" i="18"/>
  <c r="AP77" i="18"/>
  <c r="AQ77" i="18" s="1"/>
  <c r="Q23" i="18"/>
  <c r="R23" i="18" s="1"/>
  <c r="V23" i="18" s="1"/>
  <c r="W23" i="18" s="1"/>
  <c r="X23" i="18" s="1"/>
  <c r="AB37" i="18"/>
  <c r="AF37" i="18" s="1"/>
  <c r="AG37" i="18" s="1"/>
  <c r="AH37" i="18" s="1"/>
  <c r="R130" i="18"/>
  <c r="AL166" i="18"/>
  <c r="AA150" i="18"/>
  <c r="AB150" i="18" s="1"/>
  <c r="AT144" i="18"/>
  <c r="AU144" i="18" s="1"/>
  <c r="AB133" i="18"/>
  <c r="AB130" i="18"/>
  <c r="J76" i="9"/>
  <c r="J87" i="9" s="1"/>
  <c r="J73" i="9"/>
  <c r="J84" i="9" s="1"/>
  <c r="J71" i="9"/>
  <c r="J82" i="9" s="1"/>
  <c r="J69" i="9"/>
  <c r="J80" i="9" s="1"/>
  <c r="L61" i="9"/>
  <c r="L53" i="9"/>
  <c r="L45" i="9"/>
  <c r="L37" i="9"/>
  <c r="L29" i="9"/>
  <c r="L21" i="9"/>
  <c r="L13" i="9"/>
  <c r="L5" i="9"/>
  <c r="L58" i="9"/>
  <c r="G76" i="9"/>
  <c r="G87" i="9" s="1"/>
  <c r="I77" i="9"/>
  <c r="I88" i="9" s="1"/>
  <c r="L50" i="9"/>
  <c r="L42" i="9"/>
  <c r="G72" i="9"/>
  <c r="G83" i="9" s="1"/>
  <c r="M83" i="9" s="1"/>
  <c r="L34" i="9"/>
  <c r="I73" i="9"/>
  <c r="I84" i="9" s="1"/>
  <c r="L26" i="9"/>
  <c r="L18" i="9"/>
  <c r="G68" i="9"/>
  <c r="G79" i="9" s="1"/>
  <c r="L10" i="9"/>
  <c r="L63" i="9"/>
  <c r="L55" i="9"/>
  <c r="H77" i="9"/>
  <c r="H88" i="9" s="1"/>
  <c r="L47" i="9"/>
  <c r="L39" i="9"/>
  <c r="L31" i="9"/>
  <c r="H73" i="9"/>
  <c r="H84" i="9" s="1"/>
  <c r="L23" i="9"/>
  <c r="L15" i="9"/>
  <c r="L7" i="9"/>
  <c r="L60" i="9"/>
  <c r="G77" i="9"/>
  <c r="G88" i="9" s="1"/>
  <c r="L52" i="9"/>
  <c r="I74" i="9"/>
  <c r="I85" i="9" s="1"/>
  <c r="L44" i="9"/>
  <c r="L36" i="9"/>
  <c r="G73" i="9"/>
  <c r="G84" i="9" s="1"/>
  <c r="M84" i="9" s="1"/>
  <c r="L28" i="9"/>
  <c r="I70" i="9"/>
  <c r="I81" i="9" s="1"/>
  <c r="L20" i="9"/>
  <c r="L12" i="9"/>
  <c r="J77" i="9"/>
  <c r="J88" i="9" s="1"/>
  <c r="J75" i="9"/>
  <c r="J86" i="9" s="1"/>
  <c r="L57" i="9"/>
  <c r="L49" i="9"/>
  <c r="H74" i="9"/>
  <c r="H85" i="9" s="1"/>
  <c r="L41" i="9"/>
  <c r="L33" i="9"/>
  <c r="L25" i="9"/>
  <c r="H70" i="9"/>
  <c r="H81" i="9" s="1"/>
  <c r="L17" i="9"/>
  <c r="L9" i="9"/>
  <c r="J74" i="9"/>
  <c r="J85" i="9" s="1"/>
  <c r="L62" i="9"/>
  <c r="L54" i="9"/>
  <c r="G74" i="9"/>
  <c r="G85" i="9" s="1"/>
  <c r="L46" i="9"/>
  <c r="I75" i="9"/>
  <c r="I86" i="9" s="1"/>
  <c r="L38" i="9"/>
  <c r="L30" i="9"/>
  <c r="G70" i="9"/>
  <c r="G81" i="9" s="1"/>
  <c r="L22" i="9"/>
  <c r="I71" i="9"/>
  <c r="I82" i="9" s="1"/>
  <c r="L14" i="9"/>
  <c r="L6" i="9"/>
  <c r="L59" i="9"/>
  <c r="L51" i="9"/>
  <c r="L43" i="9"/>
  <c r="H75" i="9"/>
  <c r="H86" i="9" s="1"/>
  <c r="L35" i="9"/>
  <c r="L27" i="9"/>
  <c r="L19" i="9"/>
  <c r="H71" i="9"/>
  <c r="H82" i="9" s="1"/>
  <c r="L11" i="9"/>
  <c r="G69" i="9"/>
  <c r="G80" i="9" s="1"/>
  <c r="M80" i="9" s="1"/>
  <c r="L4" i="9"/>
  <c r="I76" i="9"/>
  <c r="I87" i="9" s="1"/>
  <c r="L56" i="9"/>
  <c r="L48" i="9"/>
  <c r="G75" i="9"/>
  <c r="G86" i="9" s="1"/>
  <c r="L40" i="9"/>
  <c r="I72" i="9"/>
  <c r="I83" i="9" s="1"/>
  <c r="L32" i="9"/>
  <c r="L24" i="9"/>
  <c r="G71" i="9"/>
  <c r="G82" i="9" s="1"/>
  <c r="L16" i="9"/>
  <c r="I68" i="9"/>
  <c r="I79" i="9" s="1"/>
  <c r="L8" i="9"/>
  <c r="AK167" i="18"/>
  <c r="AL167" i="18" s="1"/>
  <c r="AM167" i="18" s="1"/>
  <c r="AN167" i="18" s="1"/>
  <c r="AU159" i="18"/>
  <c r="AV159" i="18" s="1"/>
  <c r="AW159" i="18" s="1"/>
  <c r="BC159" i="18"/>
  <c r="BD159" i="18" s="1"/>
  <c r="BE159" i="18" s="1"/>
  <c r="BF159" i="18" s="1"/>
  <c r="AT155" i="18"/>
  <c r="AU155" i="18" s="1"/>
  <c r="AV155" i="18" s="1"/>
  <c r="AW155" i="18" s="1"/>
  <c r="BC155" i="18"/>
  <c r="BD155" i="18" s="1"/>
  <c r="BE155" i="18" s="1"/>
  <c r="BF155" i="18" s="1"/>
  <c r="AK155" i="18"/>
  <c r="AL155" i="18" s="1"/>
  <c r="AM155" i="18" s="1"/>
  <c r="AN155" i="18" s="1"/>
  <c r="U47" i="1"/>
  <c r="U105" i="1"/>
  <c r="U153" i="1"/>
  <c r="U95" i="1"/>
  <c r="G21" i="5"/>
  <c r="S151" i="12"/>
  <c r="M19" i="6"/>
  <c r="N19" i="6" s="1"/>
  <c r="O19" i="6" s="1"/>
  <c r="Q14" i="6"/>
  <c r="R14" i="6" s="1"/>
  <c r="S14" i="6" s="1"/>
  <c r="T14" i="6" s="1"/>
  <c r="K38" i="2"/>
  <c r="K30" i="2"/>
  <c r="K22" i="2"/>
  <c r="K13" i="2"/>
  <c r="K3" i="2"/>
  <c r="M26" i="6"/>
  <c r="N26" i="6" s="1"/>
  <c r="O26" i="6" s="1"/>
  <c r="S145" i="12"/>
  <c r="K37" i="2"/>
  <c r="K29" i="2"/>
  <c r="K21" i="2"/>
  <c r="K11" i="2"/>
  <c r="G94" i="2"/>
  <c r="V2" i="2"/>
  <c r="G97" i="2"/>
  <c r="V57" i="2"/>
  <c r="K96" i="2"/>
  <c r="S184" i="12"/>
  <c r="S95" i="12"/>
  <c r="S13" i="12"/>
  <c r="V40" i="2"/>
  <c r="K95" i="2"/>
  <c r="S96" i="12"/>
  <c r="S85" i="12"/>
  <c r="E95" i="2"/>
  <c r="S74" i="12"/>
  <c r="S27" i="12"/>
  <c r="V4" i="18"/>
  <c r="W4" i="18" s="1"/>
  <c r="X4" i="18" s="1"/>
  <c r="I96" i="2"/>
  <c r="S177" i="12"/>
  <c r="S153" i="12"/>
  <c r="D94" i="2"/>
  <c r="V13" i="2"/>
  <c r="K98" i="2"/>
  <c r="V77" i="2"/>
  <c r="S186" i="12"/>
  <c r="S141" i="12"/>
  <c r="S81" i="12"/>
  <c r="S67" i="12"/>
  <c r="AB6" i="20"/>
  <c r="S15" i="12"/>
  <c r="S61" i="12"/>
  <c r="V25" i="18"/>
  <c r="W25" i="18" s="1"/>
  <c r="X25" i="18" s="1"/>
  <c r="V7" i="18"/>
  <c r="W7" i="18" s="1"/>
  <c r="X7" i="18" s="1"/>
  <c r="AA7" i="20"/>
  <c r="V31" i="18"/>
  <c r="W31" i="18" s="1"/>
  <c r="X31" i="18" s="1"/>
  <c r="AO13" i="18"/>
  <c r="AP13" i="18" s="1"/>
  <c r="AQ13" i="18" s="1"/>
  <c r="V74" i="2"/>
  <c r="H95" i="2"/>
  <c r="S17" i="12"/>
  <c r="AB3" i="20"/>
  <c r="AO25" i="18"/>
  <c r="AP25" i="18" s="1"/>
  <c r="AQ25" i="18" s="1"/>
  <c r="W79" i="18"/>
  <c r="X79" i="18" s="1"/>
  <c r="V24" i="2"/>
  <c r="AD5" i="20"/>
  <c r="BA4" i="18"/>
  <c r="BB4" i="18" s="1"/>
  <c r="BC4" i="18" s="1"/>
  <c r="BD4" i="18" s="1"/>
  <c r="Z4" i="18"/>
  <c r="AA4" i="18" s="1"/>
  <c r="AB4" i="18" s="1"/>
  <c r="BG25" i="18"/>
  <c r="BH25" i="18" s="1"/>
  <c r="BI25" i="18" s="1"/>
  <c r="S22" i="12"/>
  <c r="K68" i="6"/>
  <c r="AO4" i="18"/>
  <c r="AP4" i="18" s="1"/>
  <c r="AQ4" i="18" s="1"/>
  <c r="BA31" i="18"/>
  <c r="BB31" i="18" s="1"/>
  <c r="BC31" i="18" s="1"/>
  <c r="BD31" i="18" s="1"/>
  <c r="AS31" i="18"/>
  <c r="AT31" i="18" s="1"/>
  <c r="AU31" i="18" s="1"/>
  <c r="AA160" i="18"/>
  <c r="BC160" i="18"/>
  <c r="BD160" i="18" s="1"/>
  <c r="BE160" i="18" s="1"/>
  <c r="BF160" i="18" s="1"/>
  <c r="BC132" i="18"/>
  <c r="BD132" i="18" s="1"/>
  <c r="BE132" i="18" s="1"/>
  <c r="BF132" i="18" s="1"/>
  <c r="AT132" i="18"/>
  <c r="AU132" i="18" s="1"/>
  <c r="AV132" i="18" s="1"/>
  <c r="AW132" i="18" s="1"/>
  <c r="AA132" i="18"/>
  <c r="AA25" i="18"/>
  <c r="AB25" i="18" s="1"/>
  <c r="S22" i="24"/>
  <c r="T22" i="24" s="1"/>
  <c r="F40" i="27" s="1"/>
  <c r="AY79" i="18"/>
  <c r="AZ79" i="18" s="1"/>
  <c r="AT47" i="18"/>
  <c r="AU47" i="18" s="1"/>
  <c r="AA47" i="18"/>
  <c r="AC32" i="24"/>
  <c r="AD32" i="24" s="1"/>
  <c r="AM32" i="24"/>
  <c r="AN32" i="24" s="1"/>
  <c r="AC12" i="24"/>
  <c r="AD12" i="24" s="1"/>
  <c r="G20" i="27" s="1"/>
  <c r="AT160" i="18"/>
  <c r="AU160" i="18" s="1"/>
  <c r="AV160" i="18" s="1"/>
  <c r="AW160" i="18" s="1"/>
  <c r="BA13" i="18"/>
  <c r="BB13" i="18" s="1"/>
  <c r="BC13" i="18" s="1"/>
  <c r="BD13" i="18" s="1"/>
  <c r="AS13" i="18"/>
  <c r="AT13" i="18" s="1"/>
  <c r="AU13" i="18" s="1"/>
  <c r="BA7" i="18"/>
  <c r="BB7" i="18" s="1"/>
  <c r="BC7" i="18" s="1"/>
  <c r="BD7" i="18" s="1"/>
  <c r="AT129" i="18"/>
  <c r="AU129" i="18" s="1"/>
  <c r="AV129" i="18" s="1"/>
  <c r="AW129" i="18" s="1"/>
  <c r="Q13" i="24"/>
  <c r="AS28" i="18"/>
  <c r="BC129" i="18"/>
  <c r="BD129" i="18" s="1"/>
  <c r="BE129" i="18" s="1"/>
  <c r="BF129" i="18" s="1"/>
  <c r="AS36" i="18"/>
  <c r="BA36" i="18"/>
  <c r="BB36" i="18" s="1"/>
  <c r="BH19" i="18"/>
  <c r="BI19" i="18" s="1"/>
  <c r="AA7" i="18"/>
  <c r="AB7" i="18" s="1"/>
  <c r="AK132" i="18"/>
  <c r="AL132" i="18" s="1"/>
  <c r="AM132" i="18" s="1"/>
  <c r="AN132" i="18" s="1"/>
  <c r="BA16" i="18"/>
  <c r="BB16" i="18" s="1"/>
  <c r="AS22" i="18"/>
  <c r="BC47" i="18"/>
  <c r="BD47" i="18" s="1"/>
  <c r="AT167" i="18"/>
  <c r="AU167" i="18" s="1"/>
  <c r="AV167" i="18" s="1"/>
  <c r="AW167" i="18" s="1"/>
  <c r="AA167" i="18"/>
  <c r="S17" i="24"/>
  <c r="T17" i="24" s="1"/>
  <c r="F29" i="27" s="1"/>
  <c r="AC25" i="24"/>
  <c r="AD25" i="24" s="1"/>
  <c r="G45" i="27" s="1"/>
  <c r="AS4" i="24"/>
  <c r="BA4" i="24"/>
  <c r="BB4" i="24" s="1"/>
  <c r="AI13" i="21"/>
  <c r="M13" i="24" s="1"/>
  <c r="AK13" i="24" s="1"/>
  <c r="N13" i="24"/>
  <c r="Q20" i="24"/>
  <c r="R20" i="24" s="1"/>
  <c r="AK20" i="24"/>
  <c r="AL20" i="24" s="1"/>
  <c r="AT20" i="24"/>
  <c r="AU20" i="24" s="1"/>
  <c r="BC26" i="24"/>
  <c r="BD26" i="24" s="1"/>
  <c r="AA125" i="18"/>
  <c r="AS21" i="24"/>
  <c r="BA21" i="24"/>
  <c r="BB21" i="24" s="1"/>
  <c r="BC21" i="24" s="1"/>
  <c r="AB17" i="24"/>
  <c r="AC17" i="24" s="1"/>
  <c r="AD17" i="24" s="1"/>
  <c r="G29" i="27" s="1"/>
  <c r="AA20" i="24"/>
  <c r="AB20" i="24" s="1"/>
  <c r="AC22" i="24"/>
  <c r="AD22" i="24" s="1"/>
  <c r="G40" i="27" s="1"/>
  <c r="BC5" i="24"/>
  <c r="BD5" i="24" s="1"/>
  <c r="BE5" i="24" s="1"/>
  <c r="BF5" i="24" s="1"/>
  <c r="J5" i="27" s="1"/>
  <c r="AI18" i="21"/>
  <c r="M18" i="24" s="1"/>
  <c r="N18" i="24"/>
  <c r="AJ18" i="21"/>
  <c r="AA27" i="18"/>
  <c r="AB27" i="18" s="1"/>
  <c r="AK27" i="18"/>
  <c r="AL27" i="18" s="1"/>
  <c r="BA34" i="24"/>
  <c r="BB34" i="24" s="1"/>
  <c r="BC34" i="24" s="1"/>
  <c r="BD34" i="24" s="1"/>
  <c r="AS34" i="24"/>
  <c r="AT34" i="24" s="1"/>
  <c r="AU34" i="24" s="1"/>
  <c r="S12" i="24"/>
  <c r="T12" i="24" s="1"/>
  <c r="F20" i="27" s="1"/>
  <c r="AL14" i="24"/>
  <c r="BC10" i="24"/>
  <c r="BD10" i="24" s="1"/>
  <c r="BE10" i="24" s="1"/>
  <c r="BF10" i="24" s="1"/>
  <c r="J16" i="27" s="1"/>
  <c r="AJ16" i="21"/>
  <c r="AI16" i="21"/>
  <c r="M16" i="24" s="1"/>
  <c r="N16" i="24"/>
  <c r="AI26" i="21"/>
  <c r="M26" i="24" s="1"/>
  <c r="N26" i="24"/>
  <c r="AJ26" i="21"/>
  <c r="BA32" i="24"/>
  <c r="BB32" i="24" s="1"/>
  <c r="BC32" i="24" s="1"/>
  <c r="BD32" i="24" s="1"/>
  <c r="BE32" i="24" s="1"/>
  <c r="BF32" i="24" s="1"/>
  <c r="AS32" i="24"/>
  <c r="AT32" i="24" s="1"/>
  <c r="AU32" i="24" s="1"/>
  <c r="AV32" i="24" s="1"/>
  <c r="AW32" i="24" s="1"/>
  <c r="S24" i="24"/>
  <c r="T24" i="24" s="1"/>
  <c r="F44" i="27" s="1"/>
  <c r="AB14" i="24"/>
  <c r="AH4" i="21"/>
  <c r="AM24" i="24"/>
  <c r="AN24" i="24" s="1"/>
  <c r="H44" i="27" s="1"/>
  <c r="BA7" i="24"/>
  <c r="BB7" i="24" s="1"/>
  <c r="BC7" i="24" s="1"/>
  <c r="AT12" i="24"/>
  <c r="AU12" i="24" s="1"/>
  <c r="AI21" i="21"/>
  <c r="M21" i="24" s="1"/>
  <c r="AK21" i="24" s="1"/>
  <c r="N21" i="24"/>
  <c r="BD22" i="24"/>
  <c r="BE22" i="24" s="1"/>
  <c r="BF22" i="24" s="1"/>
  <c r="J40" i="27" s="1"/>
  <c r="R14" i="24"/>
  <c r="Q27" i="18"/>
  <c r="R27" i="18" s="1"/>
  <c r="AB23" i="24"/>
  <c r="AC23" i="24" s="1"/>
  <c r="AD23" i="24" s="1"/>
  <c r="G41" i="27" s="1"/>
  <c r="AC24" i="24"/>
  <c r="AD24" i="24" s="1"/>
  <c r="G44" i="27" s="1"/>
  <c r="AU23" i="24"/>
  <c r="AS13" i="24"/>
  <c r="BA13" i="24"/>
  <c r="BB13" i="24" s="1"/>
  <c r="BC16" i="24"/>
  <c r="BD16" i="24" s="1"/>
  <c r="BE16" i="24" s="1"/>
  <c r="BF16" i="24" s="1"/>
  <c r="J28" i="27" s="1"/>
  <c r="AV22" i="24"/>
  <c r="AW22" i="24" s="1"/>
  <c r="I40" i="27" s="1"/>
  <c r="S11" i="24"/>
  <c r="T11" i="24" s="1"/>
  <c r="F17" i="27" s="1"/>
  <c r="AI10" i="21"/>
  <c r="M10" i="24" s="1"/>
  <c r="N10" i="24"/>
  <c r="AJ10" i="21"/>
  <c r="AJ13" i="21"/>
  <c r="AU17" i="24"/>
  <c r="AV17" i="24" s="1"/>
  <c r="AW17" i="24" s="1"/>
  <c r="I29" i="27" s="1"/>
  <c r="BA17" i="24"/>
  <c r="BB17" i="24" s="1"/>
  <c r="BC17" i="24" s="1"/>
  <c r="BD17" i="24" s="1"/>
  <c r="BE24" i="24"/>
  <c r="BF24" i="24" s="1"/>
  <c r="J44" i="27" s="1"/>
  <c r="AS7" i="18"/>
  <c r="AT7" i="18" s="1"/>
  <c r="AU7" i="18" s="1"/>
  <c r="AH34" i="21"/>
  <c r="AA15" i="24"/>
  <c r="AI5" i="21"/>
  <c r="M5" i="24" s="1"/>
  <c r="AA5" i="24" s="1"/>
  <c r="AB5" i="24" s="1"/>
  <c r="AC5" i="24" s="1"/>
  <c r="AD5" i="24" s="1"/>
  <c r="G5" i="27" s="1"/>
  <c r="N5" i="24"/>
  <c r="AT15" i="24"/>
  <c r="AU15" i="24" s="1"/>
  <c r="AV15" i="24" s="1"/>
  <c r="AW15" i="24" s="1"/>
  <c r="I25" i="27" s="1"/>
  <c r="AJ8" i="21"/>
  <c r="AI8" i="21"/>
  <c r="M8" i="24" s="1"/>
  <c r="BC8" i="24" s="1"/>
  <c r="BD8" i="24" s="1"/>
  <c r="BE8" i="24" s="1"/>
  <c r="BF8" i="24" s="1"/>
  <c r="J12" i="27" s="1"/>
  <c r="N8" i="24"/>
  <c r="Q15" i="24"/>
  <c r="AU25" i="24"/>
  <c r="AV25" i="24" s="1"/>
  <c r="AW25" i="24" s="1"/>
  <c r="I45" i="27" s="1"/>
  <c r="BA25" i="24"/>
  <c r="BB25" i="24" s="1"/>
  <c r="BC25" i="24" s="1"/>
  <c r="BD25" i="24" s="1"/>
  <c r="BE25" i="24" s="1"/>
  <c r="BF25" i="24" s="1"/>
  <c r="J45" i="27" s="1"/>
  <c r="AS39" i="18"/>
  <c r="AT39" i="18" s="1"/>
  <c r="AU39" i="18" s="1"/>
  <c r="BA39" i="18"/>
  <c r="BB39" i="18" s="1"/>
  <c r="BC39" i="18" s="1"/>
  <c r="BD39" i="18" s="1"/>
  <c r="AS183" i="18"/>
  <c r="BA183" i="18"/>
  <c r="BB183" i="18" s="1"/>
  <c r="AJ7" i="21"/>
  <c r="AJ15" i="21"/>
  <c r="AJ23" i="21"/>
  <c r="AS9" i="18"/>
  <c r="AT9" i="18" s="1"/>
  <c r="AU9" i="18" s="1"/>
  <c r="BA9" i="18"/>
  <c r="BB9" i="18" s="1"/>
  <c r="BC9" i="18" s="1"/>
  <c r="BD9" i="18" s="1"/>
  <c r="AS15" i="18"/>
  <c r="AT15" i="18" s="1"/>
  <c r="AU15" i="18" s="1"/>
  <c r="BA15" i="18"/>
  <c r="BB15" i="18" s="1"/>
  <c r="BC15" i="18" s="1"/>
  <c r="BD15" i="18" s="1"/>
  <c r="AS168" i="18"/>
  <c r="AT168" i="18" s="1"/>
  <c r="AU168" i="18" s="1"/>
  <c r="BA168" i="18"/>
  <c r="BB168" i="18" s="1"/>
  <c r="BC168" i="18" s="1"/>
  <c r="BD168" i="18" s="1"/>
  <c r="AS10" i="24"/>
  <c r="AT10" i="24" s="1"/>
  <c r="AS18" i="24"/>
  <c r="AT18" i="24" s="1"/>
  <c r="AU18" i="24" s="1"/>
  <c r="AJ12" i="21"/>
  <c r="AM12" i="24" s="1"/>
  <c r="AN12" i="24" s="1"/>
  <c r="H20" i="27" s="1"/>
  <c r="AJ20" i="21"/>
  <c r="AS5" i="18"/>
  <c r="AT5" i="18" s="1"/>
  <c r="AU5" i="18" s="1"/>
  <c r="BA5" i="18"/>
  <c r="BB5" i="18" s="1"/>
  <c r="BC5" i="18" s="1"/>
  <c r="BD5" i="18" s="1"/>
  <c r="AS17" i="18"/>
  <c r="AT17" i="18" s="1"/>
  <c r="AU17" i="18" s="1"/>
  <c r="BA17" i="18"/>
  <c r="BB17" i="18" s="1"/>
  <c r="BC17" i="18" s="1"/>
  <c r="BD17" i="18" s="1"/>
  <c r="BA18" i="18"/>
  <c r="BB18" i="18" s="1"/>
  <c r="AS18" i="18"/>
  <c r="AA187" i="18"/>
  <c r="AB187" i="18" s="1"/>
  <c r="AS165" i="18"/>
  <c r="BA165" i="18"/>
  <c r="BB165" i="18" s="1"/>
  <c r="AJ9" i="21"/>
  <c r="AM9" i="24" s="1"/>
  <c r="AN9" i="24" s="1"/>
  <c r="H13" i="27" s="1"/>
  <c r="AJ17" i="21"/>
  <c r="AM17" i="24" s="1"/>
  <c r="AN17" i="24" s="1"/>
  <c r="H29" i="27" s="1"/>
  <c r="AJ25" i="21"/>
  <c r="AM25" i="24" s="1"/>
  <c r="AN25" i="24" s="1"/>
  <c r="H45" i="27" s="1"/>
  <c r="AS21" i="18"/>
  <c r="AT21" i="18" s="1"/>
  <c r="AU21" i="18" s="1"/>
  <c r="BA21" i="18"/>
  <c r="BB21" i="18" s="1"/>
  <c r="BC21" i="18" s="1"/>
  <c r="BD21" i="18" s="1"/>
  <c r="BA37" i="18"/>
  <c r="BB37" i="18" s="1"/>
  <c r="BC37" i="18" s="1"/>
  <c r="BD37" i="18" s="1"/>
  <c r="AS37" i="18"/>
  <c r="AT37" i="18" s="1"/>
  <c r="AU37" i="18" s="1"/>
  <c r="AS192" i="18"/>
  <c r="AT192" i="18" s="1"/>
  <c r="AU192" i="18" s="1"/>
  <c r="BA192" i="18"/>
  <c r="BB192" i="18" s="1"/>
  <c r="BC192" i="18" s="1"/>
  <c r="BD192" i="18" s="1"/>
  <c r="AA181" i="18"/>
  <c r="AB181" i="18" s="1"/>
  <c r="AJ6" i="21"/>
  <c r="S6" i="24" s="1"/>
  <c r="T6" i="24" s="1"/>
  <c r="F8" i="27" s="1"/>
  <c r="N7" i="24"/>
  <c r="AL7" i="24" s="1"/>
  <c r="AM7" i="24" s="1"/>
  <c r="AN7" i="24" s="1"/>
  <c r="H9" i="27" s="1"/>
  <c r="AJ14" i="21"/>
  <c r="BE14" i="24" s="1"/>
  <c r="BF14" i="24" s="1"/>
  <c r="J24" i="27" s="1"/>
  <c r="N15" i="24"/>
  <c r="AL15" i="24" s="1"/>
  <c r="AJ22" i="21"/>
  <c r="AM22" i="24" s="1"/>
  <c r="AN22" i="24" s="1"/>
  <c r="H40" i="27" s="1"/>
  <c r="N23" i="24"/>
  <c r="AS14" i="18"/>
  <c r="BA6" i="18"/>
  <c r="BB6" i="18" s="1"/>
  <c r="AS6" i="18"/>
  <c r="AS11" i="18"/>
  <c r="AT11" i="18" s="1"/>
  <c r="AU11" i="18" s="1"/>
  <c r="BA11" i="18"/>
  <c r="BB11" i="18" s="1"/>
  <c r="BC11" i="18" s="1"/>
  <c r="BD11" i="18" s="1"/>
  <c r="AS23" i="18"/>
  <c r="AT23" i="18" s="1"/>
  <c r="AU23" i="18" s="1"/>
  <c r="BA23" i="18"/>
  <c r="BB23" i="18" s="1"/>
  <c r="BC23" i="18" s="1"/>
  <c r="BD23" i="18" s="1"/>
  <c r="BA24" i="18"/>
  <c r="BB24" i="18" s="1"/>
  <c r="AS24" i="18"/>
  <c r="AS35" i="18"/>
  <c r="AT35" i="18" s="1"/>
  <c r="AU35" i="18" s="1"/>
  <c r="BA35" i="18"/>
  <c r="BB35" i="18" s="1"/>
  <c r="BC35" i="18" s="1"/>
  <c r="BD35" i="18" s="1"/>
  <c r="BA157" i="18"/>
  <c r="BB157" i="18" s="1"/>
  <c r="BC157" i="18" s="1"/>
  <c r="BD157" i="18" s="1"/>
  <c r="BA12" i="24"/>
  <c r="BB12" i="24" s="1"/>
  <c r="BC12" i="24" s="1"/>
  <c r="BD12" i="24" s="1"/>
  <c r="BA20" i="24"/>
  <c r="BB20" i="24" s="1"/>
  <c r="BC20" i="24" s="1"/>
  <c r="BD20" i="24" s="1"/>
  <c r="AS20" i="18"/>
  <c r="AS27" i="18"/>
  <c r="AT27" i="18" s="1"/>
  <c r="AU27" i="18" s="1"/>
  <c r="BA27" i="18"/>
  <c r="BB27" i="18" s="1"/>
  <c r="BC27" i="18" s="1"/>
  <c r="BD27" i="18" s="1"/>
  <c r="AS33" i="18"/>
  <c r="AT33" i="18" s="1"/>
  <c r="AU33" i="18" s="1"/>
  <c r="BA33" i="18"/>
  <c r="BB33" i="18" s="1"/>
  <c r="BC33" i="18" s="1"/>
  <c r="BD33" i="18" s="1"/>
  <c r="AK192" i="18"/>
  <c r="AL192" i="18" s="1"/>
  <c r="BA188" i="18"/>
  <c r="BB188" i="18" s="1"/>
  <c r="BC188" i="18" s="1"/>
  <c r="BD188" i="18" s="1"/>
  <c r="BA187" i="18"/>
  <c r="BB187" i="18" s="1"/>
  <c r="BC187" i="18" s="1"/>
  <c r="BD187" i="18" s="1"/>
  <c r="AA185" i="18"/>
  <c r="AB185" i="18" s="1"/>
  <c r="Z184" i="18"/>
  <c r="AA184" i="18" s="1"/>
  <c r="AB184" i="18" s="1"/>
  <c r="BA184" i="18"/>
  <c r="BB184" i="18" s="1"/>
  <c r="BC184" i="18" s="1"/>
  <c r="BD184" i="18" s="1"/>
  <c r="AS179" i="18"/>
  <c r="AT179" i="18" s="1"/>
  <c r="AU179" i="18" s="1"/>
  <c r="BA179" i="18"/>
  <c r="BB179" i="18" s="1"/>
  <c r="BC179" i="18" s="1"/>
  <c r="BD179" i="18" s="1"/>
  <c r="AA173" i="18"/>
  <c r="AB173" i="18" s="1"/>
  <c r="AS26" i="18"/>
  <c r="BA12" i="18"/>
  <c r="BB12" i="18" s="1"/>
  <c r="AS12" i="18"/>
  <c r="AS29" i="18"/>
  <c r="AT29" i="18" s="1"/>
  <c r="AU29" i="18" s="1"/>
  <c r="BA29" i="18"/>
  <c r="BB29" i="18" s="1"/>
  <c r="BC29" i="18" s="1"/>
  <c r="BD29" i="18" s="1"/>
  <c r="BA30" i="18"/>
  <c r="BB30" i="18" s="1"/>
  <c r="AS30" i="18"/>
  <c r="BC32" i="18"/>
  <c r="BD32" i="18" s="1"/>
  <c r="AL190" i="18"/>
  <c r="AB190" i="18"/>
  <c r="BA181" i="18"/>
  <c r="BB181" i="18" s="1"/>
  <c r="BC181" i="18" s="1"/>
  <c r="BD181" i="18" s="1"/>
  <c r="AS177" i="18"/>
  <c r="AT177" i="18" s="1"/>
  <c r="AU177" i="18" s="1"/>
  <c r="BA177" i="18"/>
  <c r="BB177" i="18" s="1"/>
  <c r="BC177" i="18" s="1"/>
  <c r="BD177" i="18" s="1"/>
  <c r="AT173" i="18"/>
  <c r="AU173" i="18" s="1"/>
  <c r="BA163" i="18"/>
  <c r="BB163" i="18" s="1"/>
  <c r="BC163" i="18" s="1"/>
  <c r="BD163" i="18" s="1"/>
  <c r="AS32" i="18"/>
  <c r="AT32" i="18" s="1"/>
  <c r="AU32" i="18" s="1"/>
  <c r="AK187" i="18"/>
  <c r="AL187" i="18" s="1"/>
  <c r="BA185" i="18"/>
  <c r="BB185" i="18" s="1"/>
  <c r="BC185" i="18" s="1"/>
  <c r="BD185" i="18" s="1"/>
  <c r="AS185" i="18"/>
  <c r="AT185" i="18" s="1"/>
  <c r="AU185" i="18" s="1"/>
  <c r="BA182" i="18"/>
  <c r="BB182" i="18" s="1"/>
  <c r="BC182" i="18" s="1"/>
  <c r="BD182" i="18" s="1"/>
  <c r="AS157" i="18"/>
  <c r="AT157" i="18" s="1"/>
  <c r="AU157" i="18" s="1"/>
  <c r="AS156" i="18"/>
  <c r="BA156" i="18"/>
  <c r="BB156" i="18" s="1"/>
  <c r="AS145" i="18"/>
  <c r="BA145" i="18"/>
  <c r="BB145" i="18" s="1"/>
  <c r="AS140" i="18"/>
  <c r="BA140" i="18"/>
  <c r="BB140" i="18" s="1"/>
  <c r="AS110" i="18"/>
  <c r="BA110" i="18"/>
  <c r="BB110" i="18" s="1"/>
  <c r="AT187" i="18"/>
  <c r="AU187" i="18" s="1"/>
  <c r="AK185" i="18"/>
  <c r="AL185" i="18" s="1"/>
  <c r="AT181" i="18"/>
  <c r="AU181" i="18" s="1"/>
  <c r="BC173" i="18"/>
  <c r="BD173" i="18" s="1"/>
  <c r="AK173" i="18"/>
  <c r="AL173" i="18" s="1"/>
  <c r="AS169" i="18"/>
  <c r="AT169" i="18" s="1"/>
  <c r="AU169" i="18" s="1"/>
  <c r="BA169" i="18"/>
  <c r="BB169" i="18" s="1"/>
  <c r="BC169" i="18" s="1"/>
  <c r="BD169" i="18" s="1"/>
  <c r="AS152" i="18"/>
  <c r="AT152" i="18" s="1"/>
  <c r="AU152" i="18" s="1"/>
  <c r="BA152" i="18"/>
  <c r="BB152" i="18" s="1"/>
  <c r="BC152" i="18" s="1"/>
  <c r="BD152" i="18" s="1"/>
  <c r="AS139" i="18"/>
  <c r="BA139" i="18"/>
  <c r="BB139" i="18" s="1"/>
  <c r="AS130" i="18"/>
  <c r="AT130" i="18" s="1"/>
  <c r="AU130" i="18" s="1"/>
  <c r="BA130" i="18"/>
  <c r="BB130" i="18" s="1"/>
  <c r="BC130" i="18" s="1"/>
  <c r="BD130" i="18" s="1"/>
  <c r="AT104" i="18"/>
  <c r="AU104" i="18" s="1"/>
  <c r="AA104" i="18"/>
  <c r="AB104" i="18" s="1"/>
  <c r="AK104" i="18"/>
  <c r="AL104" i="18" s="1"/>
  <c r="AA176" i="18"/>
  <c r="AB176" i="18" s="1"/>
  <c r="AS174" i="18"/>
  <c r="AT174" i="18" s="1"/>
  <c r="AU174" i="18" s="1"/>
  <c r="BA174" i="18"/>
  <c r="BB174" i="18" s="1"/>
  <c r="BC174" i="18" s="1"/>
  <c r="BD174" i="18" s="1"/>
  <c r="AA164" i="18"/>
  <c r="AB164" i="18" s="1"/>
  <c r="AS162" i="18"/>
  <c r="AT162" i="18" s="1"/>
  <c r="AU162" i="18" s="1"/>
  <c r="BA162" i="18"/>
  <c r="BB162" i="18" s="1"/>
  <c r="BC162" i="18" s="1"/>
  <c r="BD162" i="18" s="1"/>
  <c r="AS122" i="18"/>
  <c r="BA122" i="18"/>
  <c r="BB122" i="18" s="1"/>
  <c r="AS114" i="18"/>
  <c r="AT114" i="18" s="1"/>
  <c r="AU114" i="18" s="1"/>
  <c r="BA114" i="18"/>
  <c r="BB114" i="18" s="1"/>
  <c r="BC114" i="18" s="1"/>
  <c r="BD114" i="18" s="1"/>
  <c r="AS107" i="18"/>
  <c r="AT107" i="18" s="1"/>
  <c r="AU107" i="18" s="1"/>
  <c r="BA107" i="18"/>
  <c r="BB107" i="18" s="1"/>
  <c r="BC107" i="18" s="1"/>
  <c r="BD107" i="18" s="1"/>
  <c r="AK189" i="18"/>
  <c r="AL189" i="18" s="1"/>
  <c r="AK177" i="18"/>
  <c r="AL177" i="18" s="1"/>
  <c r="AA120" i="18"/>
  <c r="AB120" i="18" s="1"/>
  <c r="AB119" i="18"/>
  <c r="AS178" i="18"/>
  <c r="AT178" i="18" s="1"/>
  <c r="AU178" i="18" s="1"/>
  <c r="BA178" i="18"/>
  <c r="BB178" i="18" s="1"/>
  <c r="BC178" i="18" s="1"/>
  <c r="BD178" i="18" s="1"/>
  <c r="AA169" i="18"/>
  <c r="AB169" i="18" s="1"/>
  <c r="AS166" i="18"/>
  <c r="AT166" i="18" s="1"/>
  <c r="AU166" i="18" s="1"/>
  <c r="BA166" i="18"/>
  <c r="BB166" i="18" s="1"/>
  <c r="BC166" i="18" s="1"/>
  <c r="BD166" i="18" s="1"/>
  <c r="AS141" i="18"/>
  <c r="AT141" i="18" s="1"/>
  <c r="AU141" i="18" s="1"/>
  <c r="BA141" i="18"/>
  <c r="BB141" i="18" s="1"/>
  <c r="BC141" i="18" s="1"/>
  <c r="BD141" i="18" s="1"/>
  <c r="AS172" i="18"/>
  <c r="AT172" i="18" s="1"/>
  <c r="AU172" i="18" s="1"/>
  <c r="BA172" i="18"/>
  <c r="BB172" i="18" s="1"/>
  <c r="BC172" i="18" s="1"/>
  <c r="BD172" i="18" s="1"/>
  <c r="AS158" i="18"/>
  <c r="AT158" i="18" s="1"/>
  <c r="AU158" i="18" s="1"/>
  <c r="BA158" i="18"/>
  <c r="BB158" i="18" s="1"/>
  <c r="BC158" i="18" s="1"/>
  <c r="BD158" i="18" s="1"/>
  <c r="BA150" i="18"/>
  <c r="BB150" i="18" s="1"/>
  <c r="BC150" i="18" s="1"/>
  <c r="BD150" i="18" s="1"/>
  <c r="AS150" i="18"/>
  <c r="AT150" i="18" s="1"/>
  <c r="AU150" i="18" s="1"/>
  <c r="AS135" i="18"/>
  <c r="AT135" i="18" s="1"/>
  <c r="AU135" i="18" s="1"/>
  <c r="BA135" i="18"/>
  <c r="BB135" i="18" s="1"/>
  <c r="BC135" i="18" s="1"/>
  <c r="BD135" i="18" s="1"/>
  <c r="AL119" i="18"/>
  <c r="AT109" i="18"/>
  <c r="AU109" i="18" s="1"/>
  <c r="AA109" i="18"/>
  <c r="AB109" i="18" s="1"/>
  <c r="BA190" i="18"/>
  <c r="BB190" i="18" s="1"/>
  <c r="BC190" i="18" s="1"/>
  <c r="BD190" i="18" s="1"/>
  <c r="BA186" i="18"/>
  <c r="BB186" i="18" s="1"/>
  <c r="BA180" i="18"/>
  <c r="BB180" i="18" s="1"/>
  <c r="AS116" i="18"/>
  <c r="AT116" i="18" s="1"/>
  <c r="AU116" i="18" s="1"/>
  <c r="BA116" i="18"/>
  <c r="BB116" i="18" s="1"/>
  <c r="BC116" i="18" s="1"/>
  <c r="BD116" i="18" s="1"/>
  <c r="AS112" i="18"/>
  <c r="BA112" i="18"/>
  <c r="BB112" i="18" s="1"/>
  <c r="AS176" i="18"/>
  <c r="AT176" i="18" s="1"/>
  <c r="AU176" i="18" s="1"/>
  <c r="BA176" i="18"/>
  <c r="BB176" i="18" s="1"/>
  <c r="BC176" i="18" s="1"/>
  <c r="BD176" i="18" s="1"/>
  <c r="AS164" i="18"/>
  <c r="AT164" i="18" s="1"/>
  <c r="AU164" i="18" s="1"/>
  <c r="BA164" i="18"/>
  <c r="BB164" i="18" s="1"/>
  <c r="BC164" i="18" s="1"/>
  <c r="BD164" i="18" s="1"/>
  <c r="BA154" i="18"/>
  <c r="BB154" i="18" s="1"/>
  <c r="BC154" i="18" s="1"/>
  <c r="BD154" i="18" s="1"/>
  <c r="AS143" i="18"/>
  <c r="BA143" i="18"/>
  <c r="BB143" i="18" s="1"/>
  <c r="AA96" i="18"/>
  <c r="AB96" i="18" s="1"/>
  <c r="AT96" i="18"/>
  <c r="AU96" i="18" s="1"/>
  <c r="AS91" i="18"/>
  <c r="BA91" i="18"/>
  <c r="BB91" i="18" s="1"/>
  <c r="AS53" i="18"/>
  <c r="BA53" i="18"/>
  <c r="BB53" i="18" s="1"/>
  <c r="AS105" i="18"/>
  <c r="BA105" i="18"/>
  <c r="BB105" i="18" s="1"/>
  <c r="BC96" i="18"/>
  <c r="BD96" i="18" s="1"/>
  <c r="AT92" i="18"/>
  <c r="AU92" i="18" s="1"/>
  <c r="AS137" i="18"/>
  <c r="AT137" i="18" s="1"/>
  <c r="AU137" i="18" s="1"/>
  <c r="BA137" i="18"/>
  <c r="BB137" i="18" s="1"/>
  <c r="BC137" i="18" s="1"/>
  <c r="BD137" i="18" s="1"/>
  <c r="AK120" i="18"/>
  <c r="AL120" i="18" s="1"/>
  <c r="AU84" i="18"/>
  <c r="AA135" i="18"/>
  <c r="AB135" i="18" s="1"/>
  <c r="BA102" i="18"/>
  <c r="BB102" i="18" s="1"/>
  <c r="BC102" i="18" s="1"/>
  <c r="BD102" i="18" s="1"/>
  <c r="AK96" i="18"/>
  <c r="AL96" i="18" s="1"/>
  <c r="AA94" i="18"/>
  <c r="AB94" i="18" s="1"/>
  <c r="AT94" i="18"/>
  <c r="AU94" i="18" s="1"/>
  <c r="AL84" i="18"/>
  <c r="AS83" i="18"/>
  <c r="BA83" i="18"/>
  <c r="BB83" i="18" s="1"/>
  <c r="AS127" i="18"/>
  <c r="AT127" i="18" s="1"/>
  <c r="AU127" i="18" s="1"/>
  <c r="BA127" i="18"/>
  <c r="BB127" i="18" s="1"/>
  <c r="BC127" i="18" s="1"/>
  <c r="BD127" i="18" s="1"/>
  <c r="AS118" i="18"/>
  <c r="AT118" i="18" s="1"/>
  <c r="AU118" i="18" s="1"/>
  <c r="BA118" i="18"/>
  <c r="BB118" i="18" s="1"/>
  <c r="BC118" i="18" s="1"/>
  <c r="BD118" i="18" s="1"/>
  <c r="BA109" i="18"/>
  <c r="BB109" i="18" s="1"/>
  <c r="BC109" i="18" s="1"/>
  <c r="BD109" i="18" s="1"/>
  <c r="AS87" i="18"/>
  <c r="AT87" i="18" s="1"/>
  <c r="AU87" i="18" s="1"/>
  <c r="BA87" i="18"/>
  <c r="BB87" i="18" s="1"/>
  <c r="BC87" i="18" s="1"/>
  <c r="BD87" i="18" s="1"/>
  <c r="AS147" i="18"/>
  <c r="BA147" i="18"/>
  <c r="BB147" i="18" s="1"/>
  <c r="AK141" i="18"/>
  <c r="AL141" i="18" s="1"/>
  <c r="AK135" i="18"/>
  <c r="AL135" i="18" s="1"/>
  <c r="AS133" i="18"/>
  <c r="AT133" i="18" s="1"/>
  <c r="AU133" i="18" s="1"/>
  <c r="BA133" i="18"/>
  <c r="BB133" i="18" s="1"/>
  <c r="BC133" i="18" s="1"/>
  <c r="BD133" i="18" s="1"/>
  <c r="AK130" i="18"/>
  <c r="AL130" i="18" s="1"/>
  <c r="BA106" i="18"/>
  <c r="BB106" i="18" s="1"/>
  <c r="BC106" i="18" s="1"/>
  <c r="BD106" i="18" s="1"/>
  <c r="AA106" i="18"/>
  <c r="AB106" i="18" s="1"/>
  <c r="AS71" i="18"/>
  <c r="AT71" i="18" s="1"/>
  <c r="AU71" i="18" s="1"/>
  <c r="BA71" i="18"/>
  <c r="BB71" i="18" s="1"/>
  <c r="BC71" i="18" s="1"/>
  <c r="BD71" i="18" s="1"/>
  <c r="AS149" i="18"/>
  <c r="BA149" i="18"/>
  <c r="BB149" i="18" s="1"/>
  <c r="AS120" i="18"/>
  <c r="AT120" i="18" s="1"/>
  <c r="AU120" i="18" s="1"/>
  <c r="BA120" i="18"/>
  <c r="BB120" i="18" s="1"/>
  <c r="BC120" i="18" s="1"/>
  <c r="BD120" i="18" s="1"/>
  <c r="AA118" i="18"/>
  <c r="AB118" i="18" s="1"/>
  <c r="AA116" i="18"/>
  <c r="AB116" i="18" s="1"/>
  <c r="AA114" i="18"/>
  <c r="AB114" i="18" s="1"/>
  <c r="BA104" i="18"/>
  <c r="BB104" i="18" s="1"/>
  <c r="BC104" i="18" s="1"/>
  <c r="BD104" i="18" s="1"/>
  <c r="AK102" i="18"/>
  <c r="AL102" i="18" s="1"/>
  <c r="BA98" i="18"/>
  <c r="BB98" i="18" s="1"/>
  <c r="AK94" i="18"/>
  <c r="AL94" i="18" s="1"/>
  <c r="BA92" i="18"/>
  <c r="BB92" i="18" s="1"/>
  <c r="BC92" i="18" s="1"/>
  <c r="BD92" i="18" s="1"/>
  <c r="AS90" i="18"/>
  <c r="BA90" i="18"/>
  <c r="BB90" i="18" s="1"/>
  <c r="AS89" i="18"/>
  <c r="AT89" i="18" s="1"/>
  <c r="AU89" i="18" s="1"/>
  <c r="BA89" i="18"/>
  <c r="BB89" i="18" s="1"/>
  <c r="BC89" i="18" s="1"/>
  <c r="BD89" i="18" s="1"/>
  <c r="AK137" i="18"/>
  <c r="AL137" i="18" s="1"/>
  <c r="BA119" i="18"/>
  <c r="BB119" i="18" s="1"/>
  <c r="BC119" i="18" s="1"/>
  <c r="BD119" i="18" s="1"/>
  <c r="Z117" i="18"/>
  <c r="BA117" i="18"/>
  <c r="BB117" i="18" s="1"/>
  <c r="Z115" i="18"/>
  <c r="AA115" i="18" s="1"/>
  <c r="AB115" i="18" s="1"/>
  <c r="BA115" i="18"/>
  <c r="BB115" i="18" s="1"/>
  <c r="BC115" i="18" s="1"/>
  <c r="BD115" i="18" s="1"/>
  <c r="Z113" i="18"/>
  <c r="BA113" i="18"/>
  <c r="BB113" i="18" s="1"/>
  <c r="Z111" i="18"/>
  <c r="BA111" i="18"/>
  <c r="BB111" i="18" s="1"/>
  <c r="AA92" i="18"/>
  <c r="AB92" i="18" s="1"/>
  <c r="BA56" i="18"/>
  <c r="BB56" i="18" s="1"/>
  <c r="Z56" i="18"/>
  <c r="AA63" i="18"/>
  <c r="AB63" i="18" s="1"/>
  <c r="AT63" i="18"/>
  <c r="AU63" i="18" s="1"/>
  <c r="AA65" i="18"/>
  <c r="AT65" i="18"/>
  <c r="AB69" i="18"/>
  <c r="AS103" i="18"/>
  <c r="AT103" i="18" s="1"/>
  <c r="AU103" i="18" s="1"/>
  <c r="BA103" i="18"/>
  <c r="BB103" i="18" s="1"/>
  <c r="BC103" i="18" s="1"/>
  <c r="BD103" i="18" s="1"/>
  <c r="AS101" i="18"/>
  <c r="BA101" i="18"/>
  <c r="BB101" i="18" s="1"/>
  <c r="AS99" i="18"/>
  <c r="BA99" i="18"/>
  <c r="BB99" i="18" s="1"/>
  <c r="AK97" i="18"/>
  <c r="AL97" i="18" s="1"/>
  <c r="AA95" i="18"/>
  <c r="AB95" i="18" s="1"/>
  <c r="AA87" i="18"/>
  <c r="AB87" i="18" s="1"/>
  <c r="BA79" i="18"/>
  <c r="BB79" i="18" s="1"/>
  <c r="BC79" i="18" s="1"/>
  <c r="BD79" i="18" s="1"/>
  <c r="AL71" i="18"/>
  <c r="AT69" i="18"/>
  <c r="AU69" i="18" s="1"/>
  <c r="AK67" i="18"/>
  <c r="AL67" i="18" s="1"/>
  <c r="AK65" i="18"/>
  <c r="AS64" i="18"/>
  <c r="BA64" i="18"/>
  <c r="BB64" i="18" s="1"/>
  <c r="AK63" i="18"/>
  <c r="AL63" i="18" s="1"/>
  <c r="AU59" i="18"/>
  <c r="AS57" i="18"/>
  <c r="AT57" i="18" s="1"/>
  <c r="BA57" i="18"/>
  <c r="BB57" i="18" s="1"/>
  <c r="BC57" i="18" s="1"/>
  <c r="AA55" i="18"/>
  <c r="AK55" i="18"/>
  <c r="AK95" i="18"/>
  <c r="AL95" i="18" s="1"/>
  <c r="AL75" i="18"/>
  <c r="AS66" i="18"/>
  <c r="BA66" i="18"/>
  <c r="BB66" i="18" s="1"/>
  <c r="AL59" i="18"/>
  <c r="AK87" i="18"/>
  <c r="AL87" i="18" s="1"/>
  <c r="AS85" i="18"/>
  <c r="BA85" i="18"/>
  <c r="BB85" i="18" s="1"/>
  <c r="AK79" i="18"/>
  <c r="AL79" i="18" s="1"/>
  <c r="AT75" i="18"/>
  <c r="AU75" i="18" s="1"/>
  <c r="AS72" i="18"/>
  <c r="BA72" i="18"/>
  <c r="BB72" i="18" s="1"/>
  <c r="BA69" i="18"/>
  <c r="BB69" i="18" s="1"/>
  <c r="BC69" i="18" s="1"/>
  <c r="BD69" i="18" s="1"/>
  <c r="BC65" i="18"/>
  <c r="BD59" i="18"/>
  <c r="BA54" i="18"/>
  <c r="BB54" i="18" s="1"/>
  <c r="Z54" i="18"/>
  <c r="AS97" i="18"/>
  <c r="AT97" i="18" s="1"/>
  <c r="AU97" i="18" s="1"/>
  <c r="BA97" i="18"/>
  <c r="BB97" i="18" s="1"/>
  <c r="BC97" i="18" s="1"/>
  <c r="BD97" i="18" s="1"/>
  <c r="AA89" i="18"/>
  <c r="AB89" i="18" s="1"/>
  <c r="AT73" i="18"/>
  <c r="AU73" i="18" s="1"/>
  <c r="AS55" i="18"/>
  <c r="AT55" i="18" s="1"/>
  <c r="BA55" i="18"/>
  <c r="BB55" i="18" s="1"/>
  <c r="BC55" i="18" s="1"/>
  <c r="AS95" i="18"/>
  <c r="AT95" i="18" s="1"/>
  <c r="AU95" i="18" s="1"/>
  <c r="BA95" i="18"/>
  <c r="BB95" i="18" s="1"/>
  <c r="BC95" i="18" s="1"/>
  <c r="BD95" i="18" s="1"/>
  <c r="AK89" i="18"/>
  <c r="AL89" i="18" s="1"/>
  <c r="AA77" i="18"/>
  <c r="AB77" i="18" s="1"/>
  <c r="AB71" i="18"/>
  <c r="AK69" i="18"/>
  <c r="AL69" i="18" s="1"/>
  <c r="AT67" i="18"/>
  <c r="AU67" i="18" s="1"/>
  <c r="AU61" i="18"/>
  <c r="AB61" i="18"/>
  <c r="AS93" i="18"/>
  <c r="BA93" i="18"/>
  <c r="BB93" i="18" s="1"/>
  <c r="AS82" i="18"/>
  <c r="AT82" i="18" s="1"/>
  <c r="AU82" i="18" s="1"/>
  <c r="BA82" i="18"/>
  <c r="BB82" i="18" s="1"/>
  <c r="BC82" i="18" s="1"/>
  <c r="BD82" i="18" s="1"/>
  <c r="BA73" i="18"/>
  <c r="BB73" i="18" s="1"/>
  <c r="BC73" i="18" s="1"/>
  <c r="BD73" i="18" s="1"/>
  <c r="AL61" i="18"/>
  <c r="AA57" i="18"/>
  <c r="AK57" i="18"/>
  <c r="Z51" i="18"/>
  <c r="BA51" i="18"/>
  <c r="BB51" i="18" s="1"/>
  <c r="AO49" i="1"/>
  <c r="AI49" i="1"/>
  <c r="N49" i="18"/>
  <c r="AO51" i="1"/>
  <c r="AI51" i="1"/>
  <c r="N51" i="18"/>
  <c r="AI53" i="1"/>
  <c r="N53" i="18"/>
  <c r="BA31" i="24"/>
  <c r="BB31" i="24" s="1"/>
  <c r="AS31" i="24"/>
  <c r="R41" i="24"/>
  <c r="S41" i="24" s="1"/>
  <c r="T41" i="24" s="1"/>
  <c r="F146" i="27" s="1"/>
  <c r="BA41" i="24"/>
  <c r="BB41" i="24" s="1"/>
  <c r="BC41" i="24" s="1"/>
  <c r="BA45" i="24"/>
  <c r="BB45" i="24" s="1"/>
  <c r="BC45" i="24" s="1"/>
  <c r="AS80" i="18"/>
  <c r="BA80" i="18"/>
  <c r="BB80" i="18" s="1"/>
  <c r="N65" i="18"/>
  <c r="R65" i="18" s="1"/>
  <c r="AS52" i="18"/>
  <c r="BA52" i="18"/>
  <c r="BB52" i="18" s="1"/>
  <c r="AS44" i="18"/>
  <c r="BA44" i="18"/>
  <c r="BB44" i="18" s="1"/>
  <c r="AC28" i="24"/>
  <c r="AD28" i="24" s="1"/>
  <c r="G59" i="27" s="1"/>
  <c r="AA41" i="24"/>
  <c r="AT41" i="24"/>
  <c r="AU41" i="24" s="1"/>
  <c r="AV41" i="24" s="1"/>
  <c r="AW41" i="24" s="1"/>
  <c r="I146" i="27" s="1"/>
  <c r="AK41" i="24"/>
  <c r="AL41" i="24" s="1"/>
  <c r="AM41" i="24" s="1"/>
  <c r="AN41" i="24" s="1"/>
  <c r="H146" i="27" s="1"/>
  <c r="BC44" i="24"/>
  <c r="BD44" i="24" s="1"/>
  <c r="BE44" i="24" s="1"/>
  <c r="BF44" i="24" s="1"/>
  <c r="J172" i="27" s="1"/>
  <c r="AK45" i="24"/>
  <c r="AA45" i="24"/>
  <c r="BA29" i="24"/>
  <c r="BB29" i="24" s="1"/>
  <c r="BC29" i="24" s="1"/>
  <c r="BD29" i="24" s="1"/>
  <c r="BE29" i="24" s="1"/>
  <c r="BF29" i="24" s="1"/>
  <c r="J60" i="27" s="1"/>
  <c r="AS29" i="24"/>
  <c r="AT29" i="24" s="1"/>
  <c r="AU29" i="24" s="1"/>
  <c r="AV29" i="24" s="1"/>
  <c r="AW29" i="24" s="1"/>
  <c r="I60" i="27" s="1"/>
  <c r="AA40" i="24"/>
  <c r="AB40" i="24" s="1"/>
  <c r="AC40" i="24" s="1"/>
  <c r="AD40" i="24" s="1"/>
  <c r="G142" i="27" s="1"/>
  <c r="AA82" i="18"/>
  <c r="AB82" i="18" s="1"/>
  <c r="AS78" i="18"/>
  <c r="BA78" i="18"/>
  <c r="BB78" i="18" s="1"/>
  <c r="AS74" i="18"/>
  <c r="BA74" i="18"/>
  <c r="BB74" i="18" s="1"/>
  <c r="AS58" i="18"/>
  <c r="BA58" i="18"/>
  <c r="BB58" i="18" s="1"/>
  <c r="BC39" i="24"/>
  <c r="BD39" i="24" s="1"/>
  <c r="BE39" i="24" s="1"/>
  <c r="BF39" i="24" s="1"/>
  <c r="J140" i="27" s="1"/>
  <c r="AK124" i="18"/>
  <c r="AL124" i="18" s="1"/>
  <c r="AM124" i="18" s="1"/>
  <c r="AN124" i="18" s="1"/>
  <c r="BC124" i="18"/>
  <c r="BD124" i="18" s="1"/>
  <c r="BE124" i="18" s="1"/>
  <c r="BF124" i="18" s="1"/>
  <c r="AT124" i="18"/>
  <c r="AU124" i="18" s="1"/>
  <c r="AV124" i="18" s="1"/>
  <c r="AW124" i="18" s="1"/>
  <c r="AS70" i="18"/>
  <c r="BA70" i="18"/>
  <c r="BB70" i="18" s="1"/>
  <c r="AS60" i="18"/>
  <c r="BA60" i="18"/>
  <c r="BB60" i="18" s="1"/>
  <c r="N57" i="18"/>
  <c r="R57" i="18" s="1"/>
  <c r="N55" i="18"/>
  <c r="R55" i="18" s="1"/>
  <c r="AH37" i="21"/>
  <c r="BA43" i="24"/>
  <c r="BB43" i="24" s="1"/>
  <c r="BC43" i="24" s="1"/>
  <c r="AV35" i="24"/>
  <c r="AW35" i="24" s="1"/>
  <c r="I123" i="27" s="1"/>
  <c r="AS76" i="18"/>
  <c r="BA76" i="18"/>
  <c r="BB76" i="18" s="1"/>
  <c r="AS62" i="18"/>
  <c r="BA62" i="18"/>
  <c r="BB62" i="18" s="1"/>
  <c r="BD28" i="24"/>
  <c r="BC42" i="24"/>
  <c r="BD42" i="24" s="1"/>
  <c r="AA43" i="24"/>
  <c r="AK43" i="24"/>
  <c r="BC46" i="24"/>
  <c r="BD46" i="24" s="1"/>
  <c r="BE46" i="24" s="1"/>
  <c r="BF46" i="24" s="1"/>
  <c r="J177" i="27" s="1"/>
  <c r="AM35" i="24"/>
  <c r="AN35" i="24" s="1"/>
  <c r="H123" i="27" s="1"/>
  <c r="BA47" i="24"/>
  <c r="BB47" i="24" s="1"/>
  <c r="BC47" i="24" s="1"/>
  <c r="BD47" i="24" s="1"/>
  <c r="S35" i="24"/>
  <c r="T35" i="24" s="1"/>
  <c r="F123" i="27" s="1"/>
  <c r="AO105" i="1"/>
  <c r="AK105" i="1"/>
  <c r="V120" i="25" s="1"/>
  <c r="X169" i="28"/>
  <c r="W169" i="28"/>
  <c r="V169" i="28"/>
  <c r="W181" i="28"/>
  <c r="V181" i="28"/>
  <c r="X181" i="28"/>
  <c r="AK169" i="1"/>
  <c r="V186" i="25" s="1"/>
  <c r="Z186" i="25" s="1"/>
  <c r="AA186" i="25" s="1"/>
  <c r="AB186" i="25" s="1"/>
  <c r="AR169" i="1"/>
  <c r="AS50" i="18"/>
  <c r="BA50" i="18"/>
  <c r="BB50" i="18" s="1"/>
  <c r="AA39" i="24"/>
  <c r="AB39" i="24" s="1"/>
  <c r="AC39" i="24" s="1"/>
  <c r="AD39" i="24" s="1"/>
  <c r="G140" i="27" s="1"/>
  <c r="N41" i="24"/>
  <c r="AJ41" i="21"/>
  <c r="N43" i="24"/>
  <c r="R43" i="24" s="1"/>
  <c r="S43" i="24" s="1"/>
  <c r="T43" i="24" s="1"/>
  <c r="F168" i="27" s="1"/>
  <c r="AJ43" i="21"/>
  <c r="N45" i="24"/>
  <c r="R45" i="24" s="1"/>
  <c r="S45" i="24" s="1"/>
  <c r="T45" i="24" s="1"/>
  <c r="F176" i="27" s="1"/>
  <c r="AJ45" i="21"/>
  <c r="N47" i="24"/>
  <c r="R47" i="24" s="1"/>
  <c r="S47" i="24" s="1"/>
  <c r="T47" i="24" s="1"/>
  <c r="F184" i="27" s="1"/>
  <c r="AJ47" i="21"/>
  <c r="X112" i="28"/>
  <c r="W112" i="28"/>
  <c r="V112" i="28"/>
  <c r="X124" i="28"/>
  <c r="W124" i="28"/>
  <c r="V124" i="28"/>
  <c r="AK137" i="1"/>
  <c r="V154" i="25" s="1"/>
  <c r="Z154" i="25" s="1"/>
  <c r="AA154" i="25" s="1"/>
  <c r="AB154" i="25" s="1"/>
  <c r="AO137" i="1"/>
  <c r="AS48" i="18"/>
  <c r="BA48" i="18"/>
  <c r="BB48" i="18" s="1"/>
  <c r="AI48" i="1"/>
  <c r="AS45" i="18"/>
  <c r="BA45" i="18"/>
  <c r="BB45" i="18" s="1"/>
  <c r="BA35" i="24"/>
  <c r="BB35" i="24" s="1"/>
  <c r="BC35" i="24" s="1"/>
  <c r="BD35" i="24" s="1"/>
  <c r="BE35" i="24" s="1"/>
  <c r="BF35" i="24" s="1"/>
  <c r="J123" i="27" s="1"/>
  <c r="AK102" i="1"/>
  <c r="W152" i="28"/>
  <c r="V152" i="28"/>
  <c r="X152" i="28"/>
  <c r="AT39" i="24"/>
  <c r="AU39" i="24" s="1"/>
  <c r="AV39" i="24" s="1"/>
  <c r="AW39" i="24" s="1"/>
  <c r="I140" i="27" s="1"/>
  <c r="AA38" i="24"/>
  <c r="N38" i="24"/>
  <c r="BD38" i="24" s="1"/>
  <c r="BE38" i="24" s="1"/>
  <c r="BF38" i="24" s="1"/>
  <c r="J139" i="27" s="1"/>
  <c r="AJ38" i="21"/>
  <c r="X107" i="28"/>
  <c r="V107" i="28"/>
  <c r="AO127" i="1"/>
  <c r="AK127" i="1"/>
  <c r="V144" i="25" s="1"/>
  <c r="Z144" i="25" s="1"/>
  <c r="AA144" i="25" s="1"/>
  <c r="AB144" i="25" s="1"/>
  <c r="AS43" i="18"/>
  <c r="BA43" i="18"/>
  <c r="BB43" i="18" s="1"/>
  <c r="AS28" i="24"/>
  <c r="AT28" i="24" s="1"/>
  <c r="AU28" i="24" s="1"/>
  <c r="AI31" i="21"/>
  <c r="M31" i="24" s="1"/>
  <c r="N31" i="24"/>
  <c r="AJ42" i="21"/>
  <c r="AI42" i="21"/>
  <c r="M42" i="24" s="1"/>
  <c r="AT42" i="24" s="1"/>
  <c r="AU42" i="24" s="1"/>
  <c r="AV42" i="24" s="1"/>
  <c r="AW42" i="24" s="1"/>
  <c r="I149" i="27" s="1"/>
  <c r="AJ44" i="21"/>
  <c r="AI44" i="21"/>
  <c r="M44" i="24" s="1"/>
  <c r="AJ46" i="21"/>
  <c r="AI46" i="21"/>
  <c r="M46" i="24" s="1"/>
  <c r="AJ48" i="21"/>
  <c r="AI48" i="21"/>
  <c r="M48" i="24" s="1"/>
  <c r="AA48" i="24" s="1"/>
  <c r="AB48" i="24" s="1"/>
  <c r="AC48" i="24" s="1"/>
  <c r="AD48" i="24" s="1"/>
  <c r="G188" i="27" s="1"/>
  <c r="AS37" i="24"/>
  <c r="BA37" i="24"/>
  <c r="BB37" i="24" s="1"/>
  <c r="AJ40" i="21"/>
  <c r="AI40" i="21"/>
  <c r="M40" i="24" s="1"/>
  <c r="BC40" i="24" s="1"/>
  <c r="BD40" i="24" s="1"/>
  <c r="BE40" i="24" s="1"/>
  <c r="BF40" i="24" s="1"/>
  <c r="J142" i="27" s="1"/>
  <c r="AK88" i="1"/>
  <c r="AK122" i="1"/>
  <c r="V137" i="25" s="1"/>
  <c r="Z137" i="25" s="1"/>
  <c r="AA137" i="25" s="1"/>
  <c r="AB137" i="25" s="1"/>
  <c r="AS41" i="18"/>
  <c r="BA41" i="18"/>
  <c r="BB41" i="18" s="1"/>
  <c r="AJ28" i="21"/>
  <c r="AM28" i="24" s="1"/>
  <c r="AN28" i="24" s="1"/>
  <c r="H59" i="27" s="1"/>
  <c r="AH30" i="21"/>
  <c r="AK39" i="24"/>
  <c r="AL39" i="24" s="1"/>
  <c r="AM39" i="24" s="1"/>
  <c r="AN39" i="24" s="1"/>
  <c r="H140" i="27" s="1"/>
  <c r="AK38" i="24"/>
  <c r="Q38" i="24"/>
  <c r="AK47" i="24"/>
  <c r="AL47" i="24" s="1"/>
  <c r="AM47" i="24" s="1"/>
  <c r="AN47" i="24" s="1"/>
  <c r="H184" i="27" s="1"/>
  <c r="AO48" i="1"/>
  <c r="AP48" i="1" s="1"/>
  <c r="AK50" i="1"/>
  <c r="V65" i="25" s="1"/>
  <c r="Z65" i="25" s="1"/>
  <c r="AA65" i="25" s="1"/>
  <c r="AB65" i="25" s="1"/>
  <c r="AR50" i="1"/>
  <c r="X67" i="28"/>
  <c r="W67" i="28"/>
  <c r="V67" i="28"/>
  <c r="X69" i="28"/>
  <c r="W69" i="28"/>
  <c r="V69" i="28"/>
  <c r="X71" i="28"/>
  <c r="W71" i="28"/>
  <c r="V71" i="28"/>
  <c r="X73" i="28"/>
  <c r="W73" i="28"/>
  <c r="V73" i="28"/>
  <c r="X75" i="28"/>
  <c r="W75" i="28"/>
  <c r="V75" i="28"/>
  <c r="AK62" i="1"/>
  <c r="AR62" i="1"/>
  <c r="X79" i="28"/>
  <c r="W79" i="28"/>
  <c r="V79" i="28"/>
  <c r="X81" i="28"/>
  <c r="W81" i="28"/>
  <c r="V81" i="28"/>
  <c r="X83" i="28"/>
  <c r="W83" i="28"/>
  <c r="V83" i="28"/>
  <c r="X85" i="28"/>
  <c r="W85" i="28"/>
  <c r="V85" i="28"/>
  <c r="X87" i="28"/>
  <c r="W87" i="28"/>
  <c r="V87" i="28"/>
  <c r="X89" i="28"/>
  <c r="W89" i="28"/>
  <c r="V89" i="28"/>
  <c r="X91" i="28"/>
  <c r="W91" i="28"/>
  <c r="V91" i="28"/>
  <c r="X93" i="28"/>
  <c r="W93" i="28"/>
  <c r="V93" i="28"/>
  <c r="X95" i="28"/>
  <c r="W95" i="28"/>
  <c r="V95" i="28"/>
  <c r="AO117" i="1"/>
  <c r="AK117" i="1"/>
  <c r="X143" i="28"/>
  <c r="W143" i="28"/>
  <c r="AK48" i="1"/>
  <c r="V63" i="25" s="1"/>
  <c r="Z63" i="25" s="1"/>
  <c r="AA63" i="25" s="1"/>
  <c r="AB63" i="25" s="1"/>
  <c r="AH34" i="1"/>
  <c r="AH18" i="1"/>
  <c r="AO161" i="1"/>
  <c r="W102" i="28"/>
  <c r="V102" i="28"/>
  <c r="AK114" i="1"/>
  <c r="V129" i="25" s="1"/>
  <c r="Z129" i="25" s="1"/>
  <c r="AA129" i="25" s="1"/>
  <c r="AB129" i="25" s="1"/>
  <c r="X136" i="28"/>
  <c r="W136" i="28"/>
  <c r="V136" i="28"/>
  <c r="X148" i="28"/>
  <c r="W148" i="28"/>
  <c r="V148" i="28"/>
  <c r="X161" i="28"/>
  <c r="W161" i="28"/>
  <c r="V161" i="28"/>
  <c r="X194" i="28"/>
  <c r="W194" i="28"/>
  <c r="V194" i="28"/>
  <c r="AK81" i="1"/>
  <c r="V96" i="25" s="1"/>
  <c r="Z96" i="25" s="1"/>
  <c r="AA96" i="25" s="1"/>
  <c r="AB96" i="25" s="1"/>
  <c r="AK94" i="1"/>
  <c r="W180" i="28"/>
  <c r="V180" i="28"/>
  <c r="AK49" i="1"/>
  <c r="V64" i="25" s="1"/>
  <c r="Z64" i="25" s="1"/>
  <c r="AA64" i="25" s="1"/>
  <c r="AB64" i="25" s="1"/>
  <c r="AK51" i="1"/>
  <c r="V66" i="25" s="1"/>
  <c r="Z66" i="25" s="1"/>
  <c r="AA66" i="25" s="1"/>
  <c r="AB66" i="25" s="1"/>
  <c r="AK53" i="1"/>
  <c r="V68" i="25" s="1"/>
  <c r="Z68" i="25" s="1"/>
  <c r="AA68" i="25" s="1"/>
  <c r="AB68" i="25" s="1"/>
  <c r="AK55" i="1"/>
  <c r="V70" i="25" s="1"/>
  <c r="Z70" i="25" s="1"/>
  <c r="AA70" i="25" s="1"/>
  <c r="AB70" i="25" s="1"/>
  <c r="AK57" i="1"/>
  <c r="V72" i="25" s="1"/>
  <c r="Z72" i="25" s="1"/>
  <c r="AA72" i="25" s="1"/>
  <c r="AB72" i="25" s="1"/>
  <c r="AK59" i="1"/>
  <c r="S59" i="18" s="1"/>
  <c r="T59" i="18" s="1"/>
  <c r="F74" i="27" s="1"/>
  <c r="AK61" i="1"/>
  <c r="AK63" i="1"/>
  <c r="V78" i="25" s="1"/>
  <c r="Z78" i="25" s="1"/>
  <c r="AA78" i="25" s="1"/>
  <c r="AB78" i="25" s="1"/>
  <c r="AK65" i="1"/>
  <c r="V80" i="25" s="1"/>
  <c r="Z80" i="25" s="1"/>
  <c r="AA80" i="25" s="1"/>
  <c r="AB80" i="25" s="1"/>
  <c r="AK67" i="1"/>
  <c r="AK69" i="1"/>
  <c r="V84" i="25" s="1"/>
  <c r="Z84" i="25" s="1"/>
  <c r="AA84" i="25" s="1"/>
  <c r="AB84" i="25" s="1"/>
  <c r="AK71" i="1"/>
  <c r="AK73" i="1"/>
  <c r="AK75" i="1"/>
  <c r="AK77" i="1"/>
  <c r="AK79" i="1"/>
  <c r="V94" i="25" s="1"/>
  <c r="Z94" i="25" s="1"/>
  <c r="AA94" i="25" s="1"/>
  <c r="AB94" i="25" s="1"/>
  <c r="AK89" i="1"/>
  <c r="AK106" i="1"/>
  <c r="V121" i="25" s="1"/>
  <c r="Z121" i="25" s="1"/>
  <c r="AA121" i="25" s="1"/>
  <c r="AB121" i="25" s="1"/>
  <c r="AH128" i="1"/>
  <c r="AK153" i="1"/>
  <c r="AO153" i="1"/>
  <c r="X185" i="28"/>
  <c r="W185" i="28"/>
  <c r="V185" i="28"/>
  <c r="AS38" i="24"/>
  <c r="AT38" i="24" s="1"/>
  <c r="AU38" i="24" s="1"/>
  <c r="AV38" i="24" s="1"/>
  <c r="AW38" i="24" s="1"/>
  <c r="I139" i="27" s="1"/>
  <c r="AS43" i="24"/>
  <c r="AT43" i="24" s="1"/>
  <c r="AS47" i="24"/>
  <c r="AT47" i="24" s="1"/>
  <c r="AU47" i="24" s="1"/>
  <c r="AJ35" i="21"/>
  <c r="AC35" i="24" s="1"/>
  <c r="AD35" i="24" s="1"/>
  <c r="G123" i="27" s="1"/>
  <c r="AK118" i="1"/>
  <c r="X147" i="28"/>
  <c r="W147" i="28"/>
  <c r="AO151" i="1"/>
  <c r="AY6" i="1"/>
  <c r="AO159" i="1" s="1"/>
  <c r="AK165" i="1"/>
  <c r="V182" i="25" s="1"/>
  <c r="Z182" i="25" s="1"/>
  <c r="AA182" i="25" s="1"/>
  <c r="AB182" i="25" s="1"/>
  <c r="AO165" i="1"/>
  <c r="X187" i="28"/>
  <c r="W187" i="28"/>
  <c r="AO152" i="1"/>
  <c r="AK4" i="1"/>
  <c r="AV4" i="18" s="1"/>
  <c r="AW4" i="18" s="1"/>
  <c r="AK98" i="1"/>
  <c r="AK145" i="1"/>
  <c r="V162" i="25" s="1"/>
  <c r="Z162" i="25" s="1"/>
  <c r="AA162" i="25" s="1"/>
  <c r="AB162" i="25" s="1"/>
  <c r="AO145" i="1"/>
  <c r="X195" i="28"/>
  <c r="W195" i="28"/>
  <c r="V195" i="28"/>
  <c r="AR48" i="1"/>
  <c r="AK82" i="1"/>
  <c r="V97" i="25" s="1"/>
  <c r="Z97" i="25" s="1"/>
  <c r="AA97" i="25" s="1"/>
  <c r="AB97" i="25" s="1"/>
  <c r="AK110" i="1"/>
  <c r="AK180" i="1"/>
  <c r="AK186" i="1"/>
  <c r="AH36" i="1"/>
  <c r="AH20" i="1"/>
  <c r="AH38" i="1"/>
  <c r="AH22" i="1"/>
  <c r="AH6" i="1"/>
  <c r="X142" i="28"/>
  <c r="W142" i="28"/>
  <c r="X146" i="28"/>
  <c r="W146" i="28"/>
  <c r="W179" i="28"/>
  <c r="V179" i="28"/>
  <c r="W183" i="28"/>
  <c r="V183" i="28"/>
  <c r="V193" i="28"/>
  <c r="AH40" i="1"/>
  <c r="AH24" i="1"/>
  <c r="AH8" i="1"/>
  <c r="V192" i="28"/>
  <c r="W193" i="28"/>
  <c r="AH183" i="1"/>
  <c r="AH42" i="1"/>
  <c r="AH26" i="1"/>
  <c r="AH10" i="1"/>
  <c r="V191" i="28"/>
  <c r="W192" i="28"/>
  <c r="W198" i="28"/>
  <c r="V198" i="28"/>
  <c r="X198" i="28"/>
  <c r="AH191" i="1"/>
  <c r="AH44" i="1"/>
  <c r="AK44" i="1" s="1"/>
  <c r="V56" i="25" s="1"/>
  <c r="Z56" i="25" s="1"/>
  <c r="AA56" i="25" s="1"/>
  <c r="AB56" i="25" s="1"/>
  <c r="AH28" i="1"/>
  <c r="AH12" i="1"/>
  <c r="W206" i="28"/>
  <c r="V206" i="28"/>
  <c r="X206" i="28"/>
  <c r="AK191" i="1"/>
  <c r="V208" i="25" s="1"/>
  <c r="Z208" i="25" s="1"/>
  <c r="AA208" i="25" s="1"/>
  <c r="AB208" i="25" s="1"/>
  <c r="AH46" i="1"/>
  <c r="AH30" i="1"/>
  <c r="AH14" i="1"/>
  <c r="AK42" i="1"/>
  <c r="V54" i="25" s="1"/>
  <c r="Z54" i="25" s="1"/>
  <c r="AA54" i="25" s="1"/>
  <c r="AB54" i="25" s="1"/>
  <c r="AK40" i="1"/>
  <c r="V52" i="25" s="1"/>
  <c r="Z52" i="25" s="1"/>
  <c r="AA52" i="25" s="1"/>
  <c r="AB52" i="25" s="1"/>
  <c r="AK38" i="1"/>
  <c r="V50" i="25" s="1"/>
  <c r="Z50" i="25" s="1"/>
  <c r="AA50" i="25" s="1"/>
  <c r="AB50" i="25" s="1"/>
  <c r="AK34" i="1"/>
  <c r="AK32" i="1"/>
  <c r="V42" i="25" s="1"/>
  <c r="Z42" i="25" s="1"/>
  <c r="AA42" i="25" s="1"/>
  <c r="AB42" i="25" s="1"/>
  <c r="AK30" i="1"/>
  <c r="V39" i="25" s="1"/>
  <c r="Z39" i="25" s="1"/>
  <c r="AA39" i="25" s="1"/>
  <c r="AB39" i="25" s="1"/>
  <c r="AK28" i="1"/>
  <c r="AK26" i="1"/>
  <c r="V34" i="25" s="1"/>
  <c r="Z34" i="25" s="1"/>
  <c r="AA34" i="25" s="1"/>
  <c r="AB34" i="25" s="1"/>
  <c r="AK24" i="1"/>
  <c r="V31" i="25" s="1"/>
  <c r="Z31" i="25" s="1"/>
  <c r="AA31" i="25" s="1"/>
  <c r="AB31" i="25" s="1"/>
  <c r="AK22" i="1"/>
  <c r="AK16" i="1"/>
  <c r="AK14" i="1"/>
  <c r="V18" i="25" s="1"/>
  <c r="Z18" i="25" s="1"/>
  <c r="AA18" i="25" s="1"/>
  <c r="AB18" i="25" s="1"/>
  <c r="AK10" i="1"/>
  <c r="AK8" i="1"/>
  <c r="V10" i="25" s="1"/>
  <c r="Z10" i="25" s="1"/>
  <c r="AA10" i="25" s="1"/>
  <c r="AB10" i="25" s="1"/>
  <c r="AK6" i="1"/>
  <c r="V7" i="25" s="1"/>
  <c r="Z7" i="25" s="1"/>
  <c r="AA7" i="25" s="1"/>
  <c r="AB7" i="25" s="1"/>
  <c r="AK188" i="1"/>
  <c r="AK185" i="1"/>
  <c r="V202" i="25" s="1"/>
  <c r="Z202" i="25" s="1"/>
  <c r="AA202" i="25" s="1"/>
  <c r="AB202" i="25" s="1"/>
  <c r="AK182" i="1"/>
  <c r="AK190" i="1"/>
  <c r="AK179" i="1"/>
  <c r="AK187" i="1"/>
  <c r="V204" i="25" s="1"/>
  <c r="Z204" i="25" s="1"/>
  <c r="AA204" i="25" s="1"/>
  <c r="AB204" i="25" s="1"/>
  <c r="AK47" i="1"/>
  <c r="AK45" i="1"/>
  <c r="V57" i="25" s="1"/>
  <c r="Z57" i="25" s="1"/>
  <c r="AA57" i="25" s="1"/>
  <c r="AB57" i="25" s="1"/>
  <c r="AK43" i="1"/>
  <c r="AK41" i="1"/>
  <c r="V53" i="25" s="1"/>
  <c r="Z53" i="25" s="1"/>
  <c r="AA53" i="25" s="1"/>
  <c r="AB53" i="25" s="1"/>
  <c r="AK39" i="1"/>
  <c r="AK37" i="1"/>
  <c r="AK35" i="1"/>
  <c r="AK33" i="1"/>
  <c r="AK31" i="1"/>
  <c r="S31" i="18" s="1"/>
  <c r="T31" i="18" s="1"/>
  <c r="AK29" i="1"/>
  <c r="V38" i="25" s="1"/>
  <c r="Z38" i="25" s="1"/>
  <c r="AA38" i="25" s="1"/>
  <c r="AB38" i="25" s="1"/>
  <c r="AK27" i="1"/>
  <c r="V35" i="25" s="1"/>
  <c r="Z35" i="25" s="1"/>
  <c r="AA35" i="25" s="1"/>
  <c r="AB35" i="25" s="1"/>
  <c r="AK25" i="1"/>
  <c r="S25" i="18" s="1"/>
  <c r="T25" i="18" s="1"/>
  <c r="AK23" i="1"/>
  <c r="AK21" i="1"/>
  <c r="AK19" i="1"/>
  <c r="AK17" i="1"/>
  <c r="V22" i="25" s="1"/>
  <c r="Z22" i="25" s="1"/>
  <c r="AA22" i="25" s="1"/>
  <c r="AB22" i="25" s="1"/>
  <c r="AK15" i="1"/>
  <c r="V19" i="25" s="1"/>
  <c r="Z19" i="25" s="1"/>
  <c r="AA19" i="25" s="1"/>
  <c r="AB19" i="25" s="1"/>
  <c r="AK13" i="1"/>
  <c r="AK11" i="1"/>
  <c r="AK9" i="1"/>
  <c r="AK7" i="1"/>
  <c r="S7" i="18" s="1"/>
  <c r="T7" i="18" s="1"/>
  <c r="AK5" i="1"/>
  <c r="AK184" i="1"/>
  <c r="AK192" i="1"/>
  <c r="M82" i="9" l="1"/>
  <c r="M81" i="9"/>
  <c r="M79" i="9"/>
  <c r="M87" i="9"/>
  <c r="M86" i="9"/>
  <c r="M85" i="9"/>
  <c r="M88" i="9"/>
  <c r="BG175" i="18"/>
  <c r="BH175" i="18" s="1"/>
  <c r="BI175" i="18" s="1"/>
  <c r="AC13" i="18"/>
  <c r="AD13" i="18" s="1"/>
  <c r="V173" i="25"/>
  <c r="Z173" i="25" s="1"/>
  <c r="AA173" i="25" s="1"/>
  <c r="AB173" i="25" s="1"/>
  <c r="V173" i="28"/>
  <c r="X173" i="28"/>
  <c r="W173" i="28"/>
  <c r="X156" i="11"/>
  <c r="V156" i="11"/>
  <c r="W156" i="11"/>
  <c r="V156" i="25"/>
  <c r="Z156" i="25" s="1"/>
  <c r="AA156" i="25" s="1"/>
  <c r="AB156" i="25" s="1"/>
  <c r="X156" i="28"/>
  <c r="W156" i="28"/>
  <c r="V156" i="28"/>
  <c r="V139" i="11"/>
  <c r="W139" i="11"/>
  <c r="X139" i="11"/>
  <c r="V116" i="25"/>
  <c r="Z116" i="25" s="1"/>
  <c r="AA116" i="25" s="1"/>
  <c r="AB116" i="25" s="1"/>
  <c r="W101" i="11"/>
  <c r="X101" i="11"/>
  <c r="V101" i="11"/>
  <c r="X116" i="28"/>
  <c r="W116" i="28"/>
  <c r="V116" i="28"/>
  <c r="X138" i="28"/>
  <c r="V138" i="28"/>
  <c r="W138" i="28"/>
  <c r="V123" i="11"/>
  <c r="W123" i="11"/>
  <c r="X123" i="11"/>
  <c r="X114" i="28"/>
  <c r="V114" i="25"/>
  <c r="Z114" i="25" s="1"/>
  <c r="AA114" i="25" s="1"/>
  <c r="AB114" i="25" s="1"/>
  <c r="W114" i="28"/>
  <c r="V114" i="28"/>
  <c r="V99" i="11"/>
  <c r="W99" i="11"/>
  <c r="X99" i="11"/>
  <c r="V101" i="28"/>
  <c r="V101" i="25"/>
  <c r="Z101" i="25" s="1"/>
  <c r="AA101" i="25" s="1"/>
  <c r="AB101" i="25" s="1"/>
  <c r="X101" i="28"/>
  <c r="W101" i="28"/>
  <c r="V86" i="11"/>
  <c r="X86" i="11"/>
  <c r="W86" i="11"/>
  <c r="AM33" i="18"/>
  <c r="AN33" i="18" s="1"/>
  <c r="H43" i="27" s="1"/>
  <c r="V43" i="25"/>
  <c r="Z43" i="25" s="1"/>
  <c r="AA43" i="25" s="1"/>
  <c r="AB43" i="25" s="1"/>
  <c r="V125" i="25"/>
  <c r="Z125" i="25" s="1"/>
  <c r="AA125" i="25" s="1"/>
  <c r="AB125" i="25" s="1"/>
  <c r="BE77" i="18"/>
  <c r="BF77" i="18" s="1"/>
  <c r="J92" i="27" s="1"/>
  <c r="V92" i="25"/>
  <c r="Z92" i="25" s="1"/>
  <c r="AA92" i="25" s="1"/>
  <c r="AB92" i="25" s="1"/>
  <c r="BE61" i="18"/>
  <c r="BF61" i="18" s="1"/>
  <c r="J76" i="27" s="1"/>
  <c r="V76" i="25"/>
  <c r="Z76" i="25" s="1"/>
  <c r="AA76" i="25" s="1"/>
  <c r="AB76" i="25" s="1"/>
  <c r="BE63" i="18"/>
  <c r="BF63" i="18" s="1"/>
  <c r="J78" i="27" s="1"/>
  <c r="AC79" i="18"/>
  <c r="AD79" i="18" s="1"/>
  <c r="G94" i="27" s="1"/>
  <c r="S79" i="18"/>
  <c r="T79" i="18" s="1"/>
  <c r="F94" i="27" s="1"/>
  <c r="AM15" i="18"/>
  <c r="AN15" i="18" s="1"/>
  <c r="H19" i="27" s="1"/>
  <c r="AM31" i="18"/>
  <c r="AN31" i="18" s="1"/>
  <c r="V195" i="25"/>
  <c r="Z195" i="25" s="1"/>
  <c r="AA195" i="25" s="1"/>
  <c r="AB195" i="25" s="1"/>
  <c r="S178" i="18"/>
  <c r="T178" i="18" s="1"/>
  <c r="F195" i="27" s="1"/>
  <c r="V178" i="11"/>
  <c r="W178" i="11"/>
  <c r="X178" i="11"/>
  <c r="AO110" i="1"/>
  <c r="AI110" i="1"/>
  <c r="N110" i="18"/>
  <c r="R110" i="12"/>
  <c r="V93" i="25"/>
  <c r="Z93" i="25" s="1"/>
  <c r="AA93" i="25" s="1"/>
  <c r="AB93" i="25" s="1"/>
  <c r="W78" i="11"/>
  <c r="X78" i="11"/>
  <c r="V78" i="11"/>
  <c r="V75" i="25"/>
  <c r="Z75" i="25" s="1"/>
  <c r="AA75" i="25" s="1"/>
  <c r="AB75" i="25" s="1"/>
  <c r="W60" i="11"/>
  <c r="X60" i="11"/>
  <c r="V60" i="11"/>
  <c r="AI165" i="1"/>
  <c r="N165" i="18"/>
  <c r="R165" i="12"/>
  <c r="AO147" i="1"/>
  <c r="AK147" i="1"/>
  <c r="N147" i="18"/>
  <c r="R147" i="12"/>
  <c r="AI147" i="1"/>
  <c r="V189" i="25"/>
  <c r="Z189" i="25" s="1"/>
  <c r="AA189" i="25" s="1"/>
  <c r="AB189" i="25" s="1"/>
  <c r="W189" i="28"/>
  <c r="V189" i="28"/>
  <c r="X189" i="28"/>
  <c r="V172" i="11"/>
  <c r="W172" i="11"/>
  <c r="X172" i="11"/>
  <c r="AI100" i="1"/>
  <c r="N100" i="18"/>
  <c r="R100" i="12"/>
  <c r="AO100" i="1"/>
  <c r="V190" i="28"/>
  <c r="V190" i="25"/>
  <c r="Z190" i="25" s="1"/>
  <c r="AA190" i="25" s="1"/>
  <c r="AB190" i="25" s="1"/>
  <c r="X190" i="28"/>
  <c r="W190" i="28"/>
  <c r="V173" i="11"/>
  <c r="W173" i="11"/>
  <c r="X173" i="11"/>
  <c r="V136" i="25"/>
  <c r="Z136" i="25" s="1"/>
  <c r="AA136" i="25" s="1"/>
  <c r="V121" i="11"/>
  <c r="X121" i="11"/>
  <c r="W121" i="11"/>
  <c r="M76" i="18"/>
  <c r="Q76" i="12"/>
  <c r="AR166" i="1"/>
  <c r="W166" i="18" s="1"/>
  <c r="X166" i="18" s="1"/>
  <c r="AP166" i="1"/>
  <c r="M62" i="18"/>
  <c r="Q62" i="12"/>
  <c r="M80" i="18"/>
  <c r="Q80" i="12"/>
  <c r="V147" i="25"/>
  <c r="Z147" i="25" s="1"/>
  <c r="AA147" i="25" s="1"/>
  <c r="AB147" i="25" s="1"/>
  <c r="V147" i="28"/>
  <c r="V130" i="11"/>
  <c r="W130" i="11"/>
  <c r="X130" i="11"/>
  <c r="V151" i="28"/>
  <c r="V151" i="25"/>
  <c r="Z151" i="25" s="1"/>
  <c r="AA151" i="25" s="1"/>
  <c r="AB151" i="25" s="1"/>
  <c r="X151" i="28"/>
  <c r="W151" i="28"/>
  <c r="V134" i="11"/>
  <c r="W134" i="11"/>
  <c r="X134" i="11"/>
  <c r="M56" i="18"/>
  <c r="Q56" i="12"/>
  <c r="V181" i="25"/>
  <c r="Z181" i="25" s="1"/>
  <c r="AA181" i="25" s="1"/>
  <c r="AB181" i="25" s="1"/>
  <c r="X164" i="11"/>
  <c r="V164" i="11"/>
  <c r="W164" i="11"/>
  <c r="M74" i="18"/>
  <c r="Q74" i="12"/>
  <c r="S170" i="18"/>
  <c r="T170" i="18" s="1"/>
  <c r="F187" i="27" s="1"/>
  <c r="V170" i="18"/>
  <c r="W170" i="18" s="1"/>
  <c r="X170" i="18" s="1"/>
  <c r="AM35" i="18"/>
  <c r="AN35" i="18" s="1"/>
  <c r="H46" i="27" s="1"/>
  <c r="V46" i="25"/>
  <c r="AC179" i="18"/>
  <c r="AD179" i="18" s="1"/>
  <c r="G196" i="27" s="1"/>
  <c r="V196" i="25"/>
  <c r="Z196" i="25" s="1"/>
  <c r="AA196" i="25" s="1"/>
  <c r="AB196" i="25" s="1"/>
  <c r="S75" i="18"/>
  <c r="T75" i="18" s="1"/>
  <c r="F90" i="27" s="1"/>
  <c r="V90" i="25"/>
  <c r="Z90" i="25" s="1"/>
  <c r="AA90" i="25" s="1"/>
  <c r="AB90" i="25" s="1"/>
  <c r="V132" i="25"/>
  <c r="Z132" i="25" s="1"/>
  <c r="AA132" i="25" s="1"/>
  <c r="AB132" i="25" s="1"/>
  <c r="V103" i="25"/>
  <c r="Z103" i="25" s="1"/>
  <c r="AA103" i="25" s="1"/>
  <c r="AB103" i="25" s="1"/>
  <c r="X193" i="28"/>
  <c r="V193" i="25"/>
  <c r="Z193" i="25" s="1"/>
  <c r="AA193" i="25" s="1"/>
  <c r="AB193" i="25" s="1"/>
  <c r="V176" i="11"/>
  <c r="W176" i="11"/>
  <c r="X176" i="11"/>
  <c r="V91" i="25"/>
  <c r="Z91" i="25" s="1"/>
  <c r="AA91" i="25" s="1"/>
  <c r="AB91" i="25" s="1"/>
  <c r="V76" i="11"/>
  <c r="W76" i="11"/>
  <c r="X76" i="11"/>
  <c r="V73" i="25"/>
  <c r="Z73" i="25" s="1"/>
  <c r="AA73" i="25" s="1"/>
  <c r="AB73" i="25" s="1"/>
  <c r="V58" i="11"/>
  <c r="W58" i="11"/>
  <c r="X58" i="11"/>
  <c r="AO122" i="1"/>
  <c r="AI122" i="1"/>
  <c r="N122" i="18"/>
  <c r="R122" i="12"/>
  <c r="AO90" i="1"/>
  <c r="AI90" i="1"/>
  <c r="N90" i="18"/>
  <c r="R90" i="12"/>
  <c r="AK161" i="1"/>
  <c r="N161" i="18"/>
  <c r="R161" i="12"/>
  <c r="AI161" i="1"/>
  <c r="AO138" i="1"/>
  <c r="AK138" i="1"/>
  <c r="R138" i="12"/>
  <c r="AI138" i="1"/>
  <c r="N138" i="18"/>
  <c r="BE131" i="18"/>
  <c r="BF131" i="18" s="1"/>
  <c r="J148" i="27" s="1"/>
  <c r="BG131" i="18"/>
  <c r="AR129" i="1"/>
  <c r="AP129" i="1"/>
  <c r="AR164" i="1"/>
  <c r="AP164" i="1"/>
  <c r="S172" i="18"/>
  <c r="T172" i="18" s="1"/>
  <c r="F189" i="27" s="1"/>
  <c r="S189" i="18"/>
  <c r="T189" i="18" s="1"/>
  <c r="F206" i="27" s="1"/>
  <c r="V189" i="18"/>
  <c r="W189" i="18" s="1"/>
  <c r="X189" i="18" s="1"/>
  <c r="AC170" i="18"/>
  <c r="AD170" i="18" s="1"/>
  <c r="G187" i="27" s="1"/>
  <c r="AF170" i="18"/>
  <c r="AG170" i="18" s="1"/>
  <c r="AH170" i="18" s="1"/>
  <c r="AV184" i="18"/>
  <c r="AW184" i="18" s="1"/>
  <c r="I201" i="27" s="1"/>
  <c r="V201" i="25"/>
  <c r="Z201" i="25" s="1"/>
  <c r="AA201" i="25" s="1"/>
  <c r="AB201" i="25" s="1"/>
  <c r="S37" i="18"/>
  <c r="T37" i="18" s="1"/>
  <c r="F49" i="27" s="1"/>
  <c r="V49" i="25"/>
  <c r="Z49" i="25" s="1"/>
  <c r="AA49" i="25" s="1"/>
  <c r="AB49" i="25" s="1"/>
  <c r="AV190" i="18"/>
  <c r="AW190" i="18" s="1"/>
  <c r="I207" i="27" s="1"/>
  <c r="V207" i="25"/>
  <c r="Z207" i="25" s="1"/>
  <c r="AA207" i="25" s="1"/>
  <c r="AB207" i="25" s="1"/>
  <c r="V113" i="25"/>
  <c r="Z113" i="25" s="1"/>
  <c r="AA113" i="25" s="1"/>
  <c r="AB113" i="25" s="1"/>
  <c r="AC73" i="18"/>
  <c r="AD73" i="18" s="1"/>
  <c r="G88" i="27" s="1"/>
  <c r="V88" i="25"/>
  <c r="Z88" i="25" s="1"/>
  <c r="AA88" i="25" s="1"/>
  <c r="AB88" i="25" s="1"/>
  <c r="BC76" i="18"/>
  <c r="BD76" i="18" s="1"/>
  <c r="S32" i="18"/>
  <c r="T32" i="18" s="1"/>
  <c r="F42" i="27" s="1"/>
  <c r="W191" i="28"/>
  <c r="V191" i="25"/>
  <c r="Z191" i="25" s="1"/>
  <c r="AA191" i="25" s="1"/>
  <c r="AB191" i="25" s="1"/>
  <c r="X191" i="28"/>
  <c r="X174" i="11"/>
  <c r="V174" i="11"/>
  <c r="W174" i="11"/>
  <c r="AI101" i="1"/>
  <c r="N101" i="18"/>
  <c r="AO101" i="1"/>
  <c r="R101" i="12"/>
  <c r="V89" i="25"/>
  <c r="Z89" i="25" s="1"/>
  <c r="AA89" i="25" s="1"/>
  <c r="AB89" i="25" s="1"/>
  <c r="V74" i="11"/>
  <c r="W74" i="11"/>
  <c r="X74" i="11"/>
  <c r="V71" i="25"/>
  <c r="Z71" i="25" s="1"/>
  <c r="AA71" i="25" s="1"/>
  <c r="V56" i="11"/>
  <c r="W56" i="11"/>
  <c r="X56" i="11"/>
  <c r="AY8" i="1"/>
  <c r="AO167" i="1" s="1"/>
  <c r="AY5" i="1"/>
  <c r="AO155" i="1" s="1"/>
  <c r="N151" i="18"/>
  <c r="R151" i="12"/>
  <c r="AX8" i="1"/>
  <c r="AI151" i="1"/>
  <c r="AX6" i="1"/>
  <c r="AX5" i="1"/>
  <c r="AO113" i="1"/>
  <c r="AI113" i="1"/>
  <c r="N113" i="18"/>
  <c r="R113" i="12"/>
  <c r="V194" i="25"/>
  <c r="Z194" i="25" s="1"/>
  <c r="AA194" i="25" s="1"/>
  <c r="AB194" i="25" s="1"/>
  <c r="W177" i="11"/>
  <c r="X177" i="11"/>
  <c r="V177" i="11"/>
  <c r="AY7" i="1"/>
  <c r="AO160" i="1" s="1"/>
  <c r="AO112" i="1"/>
  <c r="AI112" i="1"/>
  <c r="N112" i="18"/>
  <c r="R112" i="12"/>
  <c r="AC97" i="18"/>
  <c r="AD97" i="18" s="1"/>
  <c r="G112" i="27" s="1"/>
  <c r="M60" i="18"/>
  <c r="Q60" i="12"/>
  <c r="AV175" i="18"/>
  <c r="AW175" i="18" s="1"/>
  <c r="I192" i="27" s="1"/>
  <c r="AX175" i="18"/>
  <c r="AY175" i="18" s="1"/>
  <c r="AZ175" i="18" s="1"/>
  <c r="M64" i="18"/>
  <c r="AT64" i="18" s="1"/>
  <c r="AU64" i="18" s="1"/>
  <c r="Q64" i="12"/>
  <c r="M66" i="18"/>
  <c r="AT66" i="18" s="1"/>
  <c r="AU66" i="18" s="1"/>
  <c r="Q66" i="12"/>
  <c r="M68" i="18"/>
  <c r="Q68" i="12"/>
  <c r="V146" i="28"/>
  <c r="V129" i="11"/>
  <c r="W129" i="11"/>
  <c r="X129" i="11"/>
  <c r="M58" i="18"/>
  <c r="Q58" i="12"/>
  <c r="S176" i="18"/>
  <c r="T176" i="18" s="1"/>
  <c r="F193" i="27" s="1"/>
  <c r="AC189" i="18"/>
  <c r="AD189" i="18" s="1"/>
  <c r="G206" i="27" s="1"/>
  <c r="AF189" i="18"/>
  <c r="AG189" i="18" s="1"/>
  <c r="AH189" i="18" s="1"/>
  <c r="AC192" i="18"/>
  <c r="AD192" i="18" s="1"/>
  <c r="G209" i="27" s="1"/>
  <c r="V209" i="25"/>
  <c r="Z209" i="25" s="1"/>
  <c r="AA209" i="25" s="1"/>
  <c r="AB209" i="25" s="1"/>
  <c r="S5" i="18"/>
  <c r="T5" i="18" s="1"/>
  <c r="F6" i="27" s="1"/>
  <c r="V6" i="25"/>
  <c r="Z6" i="25" s="1"/>
  <c r="AA6" i="25" s="1"/>
  <c r="AB6" i="25" s="1"/>
  <c r="S21" i="18"/>
  <c r="T21" i="18" s="1"/>
  <c r="F27" i="27" s="1"/>
  <c r="V27" i="25"/>
  <c r="Z27" i="25" s="1"/>
  <c r="AA27" i="25" s="1"/>
  <c r="AB27" i="25" s="1"/>
  <c r="AC23" i="18"/>
  <c r="AD23" i="18" s="1"/>
  <c r="G30" i="27" s="1"/>
  <c r="V30" i="25"/>
  <c r="Z30" i="25" s="1"/>
  <c r="AA30" i="25" s="1"/>
  <c r="AC39" i="18"/>
  <c r="AD39" i="18" s="1"/>
  <c r="G51" i="27" s="1"/>
  <c r="V51" i="25"/>
  <c r="Z51" i="25" s="1"/>
  <c r="AA51" i="25" s="1"/>
  <c r="AB51" i="25" s="1"/>
  <c r="AC182" i="18"/>
  <c r="AD182" i="18" s="1"/>
  <c r="G199" i="27" s="1"/>
  <c r="V199" i="25"/>
  <c r="Z199" i="25" s="1"/>
  <c r="AA199" i="25" s="1"/>
  <c r="AB199" i="25" s="1"/>
  <c r="S71" i="18"/>
  <c r="T71" i="18" s="1"/>
  <c r="F86" i="27" s="1"/>
  <c r="V86" i="25"/>
  <c r="Z86" i="25" s="1"/>
  <c r="AA86" i="25" s="1"/>
  <c r="AB86" i="25" s="1"/>
  <c r="AT76" i="18"/>
  <c r="AU76" i="18" s="1"/>
  <c r="AV25" i="18"/>
  <c r="AW25" i="18" s="1"/>
  <c r="AO98" i="1"/>
  <c r="N98" i="18"/>
  <c r="AI98" i="1"/>
  <c r="R98" i="12"/>
  <c r="V87" i="25"/>
  <c r="Z87" i="25" s="1"/>
  <c r="AA87" i="25" s="1"/>
  <c r="AB87" i="25" s="1"/>
  <c r="V72" i="11"/>
  <c r="X72" i="11"/>
  <c r="W72" i="11"/>
  <c r="V69" i="25"/>
  <c r="Z69" i="25" s="1"/>
  <c r="AA69" i="25" s="1"/>
  <c r="AB69" i="25" s="1"/>
  <c r="V54" i="11"/>
  <c r="W54" i="11"/>
  <c r="X54" i="11"/>
  <c r="AO146" i="1"/>
  <c r="R146" i="12"/>
  <c r="AI146" i="1"/>
  <c r="N146" i="18"/>
  <c r="AI111" i="1"/>
  <c r="N111" i="18"/>
  <c r="AO111" i="1"/>
  <c r="R111" i="12"/>
  <c r="X192" i="28"/>
  <c r="V192" i="25"/>
  <c r="Z192" i="25" s="1"/>
  <c r="AA192" i="25" s="1"/>
  <c r="AB192" i="25" s="1"/>
  <c r="V175" i="11"/>
  <c r="W175" i="11"/>
  <c r="X175" i="11"/>
  <c r="V124" i="25"/>
  <c r="Z124" i="25" s="1"/>
  <c r="AA124" i="25" s="1"/>
  <c r="AB124" i="25" s="1"/>
  <c r="V109" i="11"/>
  <c r="X109" i="11"/>
  <c r="W109" i="11"/>
  <c r="N105" i="18"/>
  <c r="AI105" i="1"/>
  <c r="R105" i="12"/>
  <c r="AK112" i="1"/>
  <c r="S173" i="18"/>
  <c r="T173" i="18" s="1"/>
  <c r="F190" i="27" s="1"/>
  <c r="AK146" i="1"/>
  <c r="AM131" i="18"/>
  <c r="AN131" i="18" s="1"/>
  <c r="H148" i="27" s="1"/>
  <c r="AG192" i="18"/>
  <c r="AH192" i="18" s="1"/>
  <c r="AR162" i="1"/>
  <c r="AP162" i="1"/>
  <c r="M70" i="18"/>
  <c r="Q70" i="12"/>
  <c r="S175" i="18"/>
  <c r="T175" i="18" s="1"/>
  <c r="F192" i="27" s="1"/>
  <c r="V143" i="25"/>
  <c r="Z143" i="25" s="1"/>
  <c r="AA143" i="25" s="1"/>
  <c r="AB143" i="25" s="1"/>
  <c r="V143" i="28"/>
  <c r="X126" i="11"/>
  <c r="V126" i="11"/>
  <c r="W126" i="11"/>
  <c r="S157" i="18"/>
  <c r="T157" i="18" s="1"/>
  <c r="F174" i="27" s="1"/>
  <c r="V157" i="18"/>
  <c r="W157" i="18" s="1"/>
  <c r="X157" i="18" s="1"/>
  <c r="AC175" i="18"/>
  <c r="AD175" i="18" s="1"/>
  <c r="G192" i="27" s="1"/>
  <c r="BE94" i="18"/>
  <c r="BF94" i="18" s="1"/>
  <c r="J109" i="27" s="1"/>
  <c r="V109" i="25"/>
  <c r="Z109" i="25" s="1"/>
  <c r="AA109" i="25" s="1"/>
  <c r="AB109" i="25" s="1"/>
  <c r="BC70" i="18"/>
  <c r="BD70" i="18" s="1"/>
  <c r="BC74" i="18"/>
  <c r="BD74" i="18" s="1"/>
  <c r="S187" i="18"/>
  <c r="T187" i="18" s="1"/>
  <c r="F204" i="27" s="1"/>
  <c r="S184" i="18"/>
  <c r="T184" i="18" s="1"/>
  <c r="F201" i="27" s="1"/>
  <c r="AM25" i="18"/>
  <c r="AN25" i="18" s="1"/>
  <c r="AI145" i="1"/>
  <c r="R145" i="12"/>
  <c r="N145" i="18"/>
  <c r="V85" i="25"/>
  <c r="Z85" i="25" s="1"/>
  <c r="AA85" i="25" s="1"/>
  <c r="AB85" i="25" s="1"/>
  <c r="W70" i="11"/>
  <c r="X70" i="11"/>
  <c r="V70" i="11"/>
  <c r="V67" i="25"/>
  <c r="Z67" i="25" s="1"/>
  <c r="AA67" i="25" s="1"/>
  <c r="AB67" i="25" s="1"/>
  <c r="V52" i="11"/>
  <c r="W52" i="11"/>
  <c r="X52" i="11"/>
  <c r="AH14" i="25"/>
  <c r="AB134" i="25"/>
  <c r="AH12" i="25"/>
  <c r="AO180" i="1"/>
  <c r="AI180" i="1"/>
  <c r="N180" i="18"/>
  <c r="R180" i="12"/>
  <c r="AO156" i="1"/>
  <c r="N156" i="18"/>
  <c r="AX7" i="1"/>
  <c r="AI156" i="1"/>
  <c r="R156" i="12"/>
  <c r="V97" i="11"/>
  <c r="X97" i="11"/>
  <c r="W97" i="11"/>
  <c r="AI93" i="1"/>
  <c r="N93" i="18"/>
  <c r="AO93" i="1"/>
  <c r="R93" i="12"/>
  <c r="AK100" i="1"/>
  <c r="S177" i="18"/>
  <c r="T177" i="18" s="1"/>
  <c r="F194" i="27" s="1"/>
  <c r="V142" i="28"/>
  <c r="W125" i="11"/>
  <c r="X125" i="11"/>
  <c r="V125" i="11"/>
  <c r="AM174" i="18"/>
  <c r="AN174" i="18" s="1"/>
  <c r="H191" i="27" s="1"/>
  <c r="AO174" i="18"/>
  <c r="AP174" i="18" s="1"/>
  <c r="AQ174" i="18" s="1"/>
  <c r="M50" i="18"/>
  <c r="BC50" i="18" s="1"/>
  <c r="BD50" i="18" s="1"/>
  <c r="Q50" i="12"/>
  <c r="M52" i="18"/>
  <c r="Q52" i="12"/>
  <c r="V179" i="25"/>
  <c r="Z179" i="25" s="1"/>
  <c r="AA179" i="25" s="1"/>
  <c r="AB179" i="25" s="1"/>
  <c r="X179" i="28"/>
  <c r="V162" i="11"/>
  <c r="W162" i="11"/>
  <c r="X162" i="11"/>
  <c r="AV125" i="18"/>
  <c r="AW125" i="18" s="1"/>
  <c r="AC157" i="18"/>
  <c r="AD157" i="18" s="1"/>
  <c r="G174" i="27" s="1"/>
  <c r="AF157" i="18"/>
  <c r="AG157" i="18" s="1"/>
  <c r="AH157" i="18" s="1"/>
  <c r="AC9" i="18"/>
  <c r="AD9" i="18" s="1"/>
  <c r="G11" i="27" s="1"/>
  <c r="V11" i="25"/>
  <c r="Z11" i="25" s="1"/>
  <c r="AA11" i="25" s="1"/>
  <c r="AB11" i="25" s="1"/>
  <c r="S11" i="18"/>
  <c r="T11" i="18" s="1"/>
  <c r="F14" i="27" s="1"/>
  <c r="V14" i="25"/>
  <c r="Z14" i="25" s="1"/>
  <c r="AA14" i="25" s="1"/>
  <c r="AB14" i="25" s="1"/>
  <c r="V55" i="25"/>
  <c r="Z55" i="25" s="1"/>
  <c r="AA55" i="25" s="1"/>
  <c r="AB55" i="25" s="1"/>
  <c r="AV188" i="18"/>
  <c r="AW188" i="18" s="1"/>
  <c r="I205" i="27" s="1"/>
  <c r="V205" i="25"/>
  <c r="Z205" i="25" s="1"/>
  <c r="AA205" i="25" s="1"/>
  <c r="AB205" i="25" s="1"/>
  <c r="V203" i="25"/>
  <c r="Z203" i="25" s="1"/>
  <c r="AA203" i="25" s="1"/>
  <c r="AB203" i="25" s="1"/>
  <c r="S118" i="18"/>
  <c r="T118" i="18" s="1"/>
  <c r="F133" i="27" s="1"/>
  <c r="V133" i="25"/>
  <c r="Z133" i="25" s="1"/>
  <c r="AA133" i="25" s="1"/>
  <c r="AB133" i="25" s="1"/>
  <c r="AC67" i="18"/>
  <c r="AD67" i="18" s="1"/>
  <c r="G82" i="27" s="1"/>
  <c r="V82" i="25"/>
  <c r="Z82" i="25" s="1"/>
  <c r="AA82" i="25" s="1"/>
  <c r="AB82" i="25" s="1"/>
  <c r="AT70" i="18"/>
  <c r="AU70" i="18" s="1"/>
  <c r="AT74" i="18"/>
  <c r="AU74" i="18" s="1"/>
  <c r="BC80" i="18"/>
  <c r="BD80" i="18" s="1"/>
  <c r="AA56" i="18"/>
  <c r="AB56" i="18" s="1"/>
  <c r="AC56" i="18" s="1"/>
  <c r="AD56" i="18" s="1"/>
  <c r="G71" i="27" s="1"/>
  <c r="AV79" i="18"/>
  <c r="AW79" i="18" s="1"/>
  <c r="I94" i="27" s="1"/>
  <c r="AC17" i="18"/>
  <c r="AD17" i="18" s="1"/>
  <c r="G22" i="27" s="1"/>
  <c r="AI16" i="1"/>
  <c r="N16" i="18"/>
  <c r="AO16" i="1"/>
  <c r="R16" i="12"/>
  <c r="AK140" i="1"/>
  <c r="AO140" i="1"/>
  <c r="AI140" i="1"/>
  <c r="R140" i="12"/>
  <c r="N140" i="18"/>
  <c r="V83" i="25"/>
  <c r="V68" i="11"/>
  <c r="W68" i="11"/>
  <c r="X68" i="11"/>
  <c r="V188" i="28"/>
  <c r="X188" i="28"/>
  <c r="W188" i="28"/>
  <c r="V171" i="11"/>
  <c r="W171" i="11"/>
  <c r="X171" i="11"/>
  <c r="AI99" i="1"/>
  <c r="N99" i="18"/>
  <c r="AO99" i="1"/>
  <c r="R99" i="12"/>
  <c r="AK149" i="1"/>
  <c r="AO149" i="1"/>
  <c r="AI149" i="1"/>
  <c r="R149" i="12"/>
  <c r="N149" i="18"/>
  <c r="AK93" i="1"/>
  <c r="AI91" i="1"/>
  <c r="N91" i="18"/>
  <c r="AO91" i="1"/>
  <c r="R91" i="12"/>
  <c r="AO143" i="1"/>
  <c r="AK143" i="1"/>
  <c r="R143" i="12"/>
  <c r="AI143" i="1"/>
  <c r="N143" i="18"/>
  <c r="AR131" i="1"/>
  <c r="AP131" i="1"/>
  <c r="M78" i="18"/>
  <c r="Q78" i="12"/>
  <c r="AR125" i="1"/>
  <c r="W125" i="18" s="1"/>
  <c r="X125" i="18" s="1"/>
  <c r="AP125" i="1"/>
  <c r="AM171" i="18"/>
  <c r="AN171" i="18" s="1"/>
  <c r="AK91" i="1"/>
  <c r="BE170" i="18"/>
  <c r="BF170" i="18" s="1"/>
  <c r="J187" i="27" s="1"/>
  <c r="BG170" i="18"/>
  <c r="BH170" i="18" s="1"/>
  <c r="BI170" i="18" s="1"/>
  <c r="V197" i="25"/>
  <c r="Z197" i="25" s="1"/>
  <c r="AA197" i="25" s="1"/>
  <c r="AB197" i="25" s="1"/>
  <c r="V170" i="25"/>
  <c r="Z170" i="25" s="1"/>
  <c r="AA170" i="25" s="1"/>
  <c r="AB170" i="25" s="1"/>
  <c r="S89" i="18"/>
  <c r="T89" i="18" s="1"/>
  <c r="F104" i="27" s="1"/>
  <c r="V104" i="25"/>
  <c r="Z104" i="25" s="1"/>
  <c r="AA104" i="25" s="1"/>
  <c r="AB104" i="25" s="1"/>
  <c r="AV102" i="18"/>
  <c r="AW102" i="18" s="1"/>
  <c r="I117" i="27" s="1"/>
  <c r="V117" i="25"/>
  <c r="Z117" i="25" s="1"/>
  <c r="AA117" i="25" s="1"/>
  <c r="AB117" i="25" s="1"/>
  <c r="BC78" i="18"/>
  <c r="BD78" i="18" s="1"/>
  <c r="AT80" i="18"/>
  <c r="AU80" i="18" s="1"/>
  <c r="BC56" i="18"/>
  <c r="BD56" i="18" s="1"/>
  <c r="AM182" i="18"/>
  <c r="AN182" i="18" s="1"/>
  <c r="H199" i="27" s="1"/>
  <c r="AK136" i="1"/>
  <c r="AO136" i="1"/>
  <c r="N136" i="18"/>
  <c r="AI136" i="1"/>
  <c r="R136" i="12"/>
  <c r="AI85" i="1"/>
  <c r="N85" i="18"/>
  <c r="R85" i="12"/>
  <c r="AO85" i="1"/>
  <c r="V81" i="25"/>
  <c r="Z81" i="25" s="1"/>
  <c r="AA81" i="25" s="1"/>
  <c r="AB81" i="25" s="1"/>
  <c r="V66" i="11"/>
  <c r="W66" i="11"/>
  <c r="X66" i="11"/>
  <c r="BE84" i="18"/>
  <c r="BF84" i="18" s="1"/>
  <c r="J99" i="27" s="1"/>
  <c r="BG84" i="18"/>
  <c r="BH84" i="18" s="1"/>
  <c r="BI84" i="18" s="1"/>
  <c r="V185" i="25"/>
  <c r="Z185" i="25" s="1"/>
  <c r="AA185" i="25" s="1"/>
  <c r="AB185" i="25" s="1"/>
  <c r="W168" i="11"/>
  <c r="X168" i="11"/>
  <c r="V168" i="11"/>
  <c r="AI88" i="1"/>
  <c r="N88" i="18"/>
  <c r="AO88" i="1"/>
  <c r="R88" i="12"/>
  <c r="AK90" i="1"/>
  <c r="AO142" i="1"/>
  <c r="AK142" i="1"/>
  <c r="AI142" i="1"/>
  <c r="R142" i="12"/>
  <c r="N142" i="18"/>
  <c r="AO186" i="1"/>
  <c r="R186" i="12"/>
  <c r="AI186" i="1"/>
  <c r="N186" i="18"/>
  <c r="X98" i="28"/>
  <c r="V98" i="25"/>
  <c r="W98" i="28"/>
  <c r="V98" i="28"/>
  <c r="V83" i="11"/>
  <c r="W83" i="11"/>
  <c r="X83" i="11"/>
  <c r="AO83" i="1"/>
  <c r="AI83" i="1"/>
  <c r="N83" i="18"/>
  <c r="R83" i="12"/>
  <c r="AO139" i="1"/>
  <c r="AI139" i="1"/>
  <c r="R139" i="12"/>
  <c r="N139" i="18"/>
  <c r="V148" i="25"/>
  <c r="Z148" i="25" s="1"/>
  <c r="AA148" i="25" s="1"/>
  <c r="AB148" i="25" s="1"/>
  <c r="W131" i="11"/>
  <c r="V131" i="11"/>
  <c r="X131" i="11"/>
  <c r="AV170" i="18"/>
  <c r="AW170" i="18" s="1"/>
  <c r="I187" i="27" s="1"/>
  <c r="AX170" i="18"/>
  <c r="AY170" i="18" s="1"/>
  <c r="AZ170" i="18" s="1"/>
  <c r="M41" i="18"/>
  <c r="AT41" i="18" s="1"/>
  <c r="AU41" i="18" s="1"/>
  <c r="Q41" i="12"/>
  <c r="AK85" i="1"/>
  <c r="AK151" i="1"/>
  <c r="AC84" i="18"/>
  <c r="AD84" i="18" s="1"/>
  <c r="G99" i="27" s="1"/>
  <c r="AF84" i="18"/>
  <c r="AG84" i="18" s="1"/>
  <c r="AH84" i="18" s="1"/>
  <c r="V179" i="18"/>
  <c r="W179" i="18" s="1"/>
  <c r="X179" i="18" s="1"/>
  <c r="BN27" i="18"/>
  <c r="M54" i="18"/>
  <c r="Q54" i="12"/>
  <c r="M72" i="18"/>
  <c r="Q72" i="12"/>
  <c r="S97" i="18"/>
  <c r="T97" i="18" s="1"/>
  <c r="F112" i="27" s="1"/>
  <c r="W129" i="18"/>
  <c r="X129" i="18" s="1"/>
  <c r="BC62" i="18"/>
  <c r="BD62" i="18" s="1"/>
  <c r="AT78" i="18"/>
  <c r="AU78" i="18" s="1"/>
  <c r="BC72" i="18"/>
  <c r="BD72" i="18" s="1"/>
  <c r="BC64" i="18"/>
  <c r="BD64" i="18" s="1"/>
  <c r="AC37" i="18"/>
  <c r="AD37" i="18" s="1"/>
  <c r="G49" i="27" s="1"/>
  <c r="V206" i="25"/>
  <c r="Z206" i="25" s="1"/>
  <c r="AA206" i="25" s="1"/>
  <c r="AB206" i="25" s="1"/>
  <c r="V189" i="11"/>
  <c r="W189" i="11"/>
  <c r="X189" i="11"/>
  <c r="AI117" i="1"/>
  <c r="N117" i="18"/>
  <c r="R117" i="12"/>
  <c r="V95" i="25"/>
  <c r="Z95" i="25" s="1"/>
  <c r="AA95" i="25" s="1"/>
  <c r="AB95" i="25" s="1"/>
  <c r="X80" i="11"/>
  <c r="V80" i="11"/>
  <c r="W80" i="11"/>
  <c r="V79" i="25"/>
  <c r="Z79" i="25" s="1"/>
  <c r="AA79" i="25" s="1"/>
  <c r="AB79" i="25" s="1"/>
  <c r="X64" i="11"/>
  <c r="V64" i="11"/>
  <c r="W64" i="11"/>
  <c r="V187" i="25"/>
  <c r="Z187" i="25" s="1"/>
  <c r="AA187" i="25" s="1"/>
  <c r="AB187" i="25" s="1"/>
  <c r="V187" i="28"/>
  <c r="V170" i="11"/>
  <c r="W170" i="11"/>
  <c r="X170" i="11"/>
  <c r="R153" i="12"/>
  <c r="AI153" i="1"/>
  <c r="N153" i="18"/>
  <c r="AI86" i="1"/>
  <c r="N86" i="18"/>
  <c r="R86" i="12"/>
  <c r="AO86" i="1"/>
  <c r="AO123" i="1"/>
  <c r="AO132" i="1"/>
  <c r="AI123" i="1"/>
  <c r="R123" i="12"/>
  <c r="N123" i="18"/>
  <c r="AX4" i="1"/>
  <c r="V198" i="25"/>
  <c r="Z198" i="25" s="1"/>
  <c r="AA198" i="25" s="1"/>
  <c r="AB198" i="25" s="1"/>
  <c r="V181" i="11"/>
  <c r="W181" i="11"/>
  <c r="X181" i="11"/>
  <c r="AI81" i="1"/>
  <c r="N81" i="18"/>
  <c r="R81" i="12"/>
  <c r="AO81" i="1"/>
  <c r="AO134" i="1"/>
  <c r="AI134" i="1"/>
  <c r="N134" i="18"/>
  <c r="R134" i="12"/>
  <c r="V183" i="25"/>
  <c r="Z183" i="25" s="1"/>
  <c r="AA183" i="25" s="1"/>
  <c r="AB183" i="25" s="1"/>
  <c r="X183" i="28"/>
  <c r="V166" i="11"/>
  <c r="W166" i="11"/>
  <c r="X166" i="11"/>
  <c r="AR130" i="1"/>
  <c r="AP130" i="1"/>
  <c r="AK111" i="1"/>
  <c r="M45" i="18"/>
  <c r="AT45" i="18" s="1"/>
  <c r="AU45" i="18" s="1"/>
  <c r="Q45" i="12"/>
  <c r="AK113" i="1"/>
  <c r="M43" i="18"/>
  <c r="AT43" i="18" s="1"/>
  <c r="AU43" i="18" s="1"/>
  <c r="Q43" i="12"/>
  <c r="S104" i="18"/>
  <c r="T104" i="18" s="1"/>
  <c r="F119" i="27" s="1"/>
  <c r="V104" i="18"/>
  <c r="W104" i="18" s="1"/>
  <c r="X104" i="18" s="1"/>
  <c r="AM126" i="18"/>
  <c r="AN126" i="18" s="1"/>
  <c r="H143" i="27" s="1"/>
  <c r="AO126" i="18"/>
  <c r="AP126" i="18" s="1"/>
  <c r="AQ126" i="18" s="1"/>
  <c r="AC141" i="18"/>
  <c r="AD141" i="18" s="1"/>
  <c r="G158" i="27" s="1"/>
  <c r="AF141" i="18"/>
  <c r="AG141" i="18" s="1"/>
  <c r="AH141" i="18" s="1"/>
  <c r="AV126" i="18"/>
  <c r="AW126" i="18" s="1"/>
  <c r="I143" i="27" s="1"/>
  <c r="AX126" i="18"/>
  <c r="AY126" i="18" s="1"/>
  <c r="AZ126" i="18" s="1"/>
  <c r="S103" i="18"/>
  <c r="T103" i="18" s="1"/>
  <c r="F118" i="27" s="1"/>
  <c r="V103" i="18"/>
  <c r="W103" i="18" s="1"/>
  <c r="X103" i="18" s="1"/>
  <c r="AC158" i="18"/>
  <c r="AD158" i="18" s="1"/>
  <c r="G175" i="27" s="1"/>
  <c r="AF158" i="18"/>
  <c r="AG158" i="18" s="1"/>
  <c r="AH158" i="18" s="1"/>
  <c r="AM172" i="18"/>
  <c r="AN172" i="18" s="1"/>
  <c r="H189" i="27" s="1"/>
  <c r="AO172" i="18"/>
  <c r="AP172" i="18" s="1"/>
  <c r="AQ172" i="18" s="1"/>
  <c r="S164" i="18"/>
  <c r="T164" i="18" s="1"/>
  <c r="F181" i="27" s="1"/>
  <c r="V164" i="18"/>
  <c r="W164" i="18" s="1"/>
  <c r="X164" i="18" s="1"/>
  <c r="AM109" i="18"/>
  <c r="AN109" i="18" s="1"/>
  <c r="H124" i="27" s="1"/>
  <c r="AO109" i="18"/>
  <c r="AP109" i="18" s="1"/>
  <c r="AQ109" i="18" s="1"/>
  <c r="AM176" i="18"/>
  <c r="AN176" i="18" s="1"/>
  <c r="H193" i="27" s="1"/>
  <c r="AO176" i="18"/>
  <c r="AP176" i="18" s="1"/>
  <c r="AQ176" i="18" s="1"/>
  <c r="AM158" i="18"/>
  <c r="AN158" i="18" s="1"/>
  <c r="H175" i="27" s="1"/>
  <c r="AO158" i="18"/>
  <c r="AP158" i="18" s="1"/>
  <c r="AQ158" i="18" s="1"/>
  <c r="AC174" i="18"/>
  <c r="AD174" i="18" s="1"/>
  <c r="G191" i="27" s="1"/>
  <c r="AF174" i="18"/>
  <c r="AG174" i="18" s="1"/>
  <c r="AH174" i="18" s="1"/>
  <c r="AC103" i="18"/>
  <c r="AD103" i="18" s="1"/>
  <c r="G118" i="27" s="1"/>
  <c r="AF103" i="18"/>
  <c r="AG103" i="18" s="1"/>
  <c r="AH103" i="18" s="1"/>
  <c r="AC107" i="18"/>
  <c r="AD107" i="18" s="1"/>
  <c r="G122" i="27" s="1"/>
  <c r="AF107" i="18"/>
  <c r="AG107" i="18" s="1"/>
  <c r="AH107" i="18" s="1"/>
  <c r="V126" i="18"/>
  <c r="W126" i="18" s="1"/>
  <c r="X126" i="18" s="1"/>
  <c r="S126" i="18"/>
  <c r="T126" i="18" s="1"/>
  <c r="F143" i="27" s="1"/>
  <c r="AV148" i="18"/>
  <c r="AW148" i="18" s="1"/>
  <c r="I165" i="27" s="1"/>
  <c r="AX148" i="18"/>
  <c r="AY148" i="18" s="1"/>
  <c r="AZ148" i="18" s="1"/>
  <c r="BE126" i="18"/>
  <c r="BF126" i="18" s="1"/>
  <c r="J143" i="27" s="1"/>
  <c r="BG126" i="18"/>
  <c r="BH126" i="18" s="1"/>
  <c r="BI126" i="18" s="1"/>
  <c r="BR16" i="18"/>
  <c r="AX171" i="18" s="1"/>
  <c r="AY171" i="18" s="1"/>
  <c r="AZ171" i="18" s="1"/>
  <c r="AC148" i="18"/>
  <c r="AD148" i="18" s="1"/>
  <c r="G165" i="27" s="1"/>
  <c r="AF148" i="18"/>
  <c r="AG148" i="18" s="1"/>
  <c r="AH148" i="18" s="1"/>
  <c r="AM168" i="18"/>
  <c r="AN168" i="18" s="1"/>
  <c r="H185" i="27" s="1"/>
  <c r="AO168" i="18"/>
  <c r="AP168" i="18" s="1"/>
  <c r="AQ168" i="18" s="1"/>
  <c r="AC126" i="18"/>
  <c r="AD126" i="18" s="1"/>
  <c r="G143" i="27" s="1"/>
  <c r="AF126" i="18"/>
  <c r="AG126" i="18" s="1"/>
  <c r="AH126" i="18" s="1"/>
  <c r="AC144" i="18"/>
  <c r="AD144" i="18" s="1"/>
  <c r="G161" i="27" s="1"/>
  <c r="AF144" i="18"/>
  <c r="AG144" i="18" s="1"/>
  <c r="AH144" i="18" s="1"/>
  <c r="AM150" i="18"/>
  <c r="AN150" i="18" s="1"/>
  <c r="H167" i="27" s="1"/>
  <c r="AO150" i="18"/>
  <c r="AP150" i="18" s="1"/>
  <c r="AQ150" i="18" s="1"/>
  <c r="AC178" i="18"/>
  <c r="AD178" i="18" s="1"/>
  <c r="G195" i="27" s="1"/>
  <c r="AF178" i="18"/>
  <c r="AG178" i="18" s="1"/>
  <c r="AH178" i="18" s="1"/>
  <c r="AM152" i="18"/>
  <c r="AN152" i="18" s="1"/>
  <c r="H169" i="27" s="1"/>
  <c r="AO152" i="18"/>
  <c r="AM181" i="18"/>
  <c r="AN181" i="18" s="1"/>
  <c r="H198" i="27" s="1"/>
  <c r="AO181" i="18"/>
  <c r="AP181" i="18" s="1"/>
  <c r="AQ181" i="18" s="1"/>
  <c r="AC168" i="18"/>
  <c r="AD168" i="18" s="1"/>
  <c r="G185" i="27" s="1"/>
  <c r="AF168" i="18"/>
  <c r="AG168" i="18" s="1"/>
  <c r="AH168" i="18" s="1"/>
  <c r="AM133" i="18"/>
  <c r="AN133" i="18" s="1"/>
  <c r="H150" i="27" s="1"/>
  <c r="AO133" i="18"/>
  <c r="AP133" i="18" s="1"/>
  <c r="AQ133" i="18" s="1"/>
  <c r="AC172" i="18"/>
  <c r="AD172" i="18" s="1"/>
  <c r="G189" i="27" s="1"/>
  <c r="AF172" i="18"/>
  <c r="AG172" i="18" s="1"/>
  <c r="AH172" i="18" s="1"/>
  <c r="BE189" i="18"/>
  <c r="BF189" i="18" s="1"/>
  <c r="J206" i="27" s="1"/>
  <c r="BG189" i="18"/>
  <c r="BH189" i="18" s="1"/>
  <c r="BI189" i="18" s="1"/>
  <c r="AV121" i="18"/>
  <c r="AW121" i="18" s="1"/>
  <c r="I136" i="27" s="1"/>
  <c r="AX121" i="18"/>
  <c r="AY121" i="18" s="1"/>
  <c r="AZ121" i="18" s="1"/>
  <c r="AC163" i="18"/>
  <c r="AD163" i="18" s="1"/>
  <c r="G180" i="27" s="1"/>
  <c r="BP12" i="18"/>
  <c r="BP11" i="18"/>
  <c r="AF151" i="18" s="1"/>
  <c r="BP16" i="18"/>
  <c r="AF171" i="18" s="1"/>
  <c r="AG171" i="18" s="1"/>
  <c r="AH171" i="18" s="1"/>
  <c r="BP15" i="18"/>
  <c r="AF167" i="18" s="1"/>
  <c r="BP13" i="18"/>
  <c r="AF159" i="18" s="1"/>
  <c r="AF163" i="18"/>
  <c r="AG163" i="18" s="1"/>
  <c r="AH163" i="18" s="1"/>
  <c r="AV144" i="18"/>
  <c r="AW144" i="18" s="1"/>
  <c r="I161" i="27" s="1"/>
  <c r="AX144" i="18"/>
  <c r="AY144" i="18" s="1"/>
  <c r="AZ144" i="18" s="1"/>
  <c r="AV154" i="18"/>
  <c r="AW154" i="18" s="1"/>
  <c r="I171" i="27" s="1"/>
  <c r="AX154" i="18"/>
  <c r="AY154" i="18" s="1"/>
  <c r="AZ154" i="18" s="1"/>
  <c r="S121" i="18"/>
  <c r="T121" i="18" s="1"/>
  <c r="F136" i="27" s="1"/>
  <c r="V121" i="18"/>
  <c r="W121" i="18" s="1"/>
  <c r="X121" i="18" s="1"/>
  <c r="AL55" i="18"/>
  <c r="AO55" i="18" s="1"/>
  <c r="AP55" i="18" s="1"/>
  <c r="AQ55" i="18" s="1"/>
  <c r="AC150" i="18"/>
  <c r="AD150" i="18" s="1"/>
  <c r="G167" i="27" s="1"/>
  <c r="AF150" i="18"/>
  <c r="AG150" i="18" s="1"/>
  <c r="AH150" i="18" s="1"/>
  <c r="S141" i="18"/>
  <c r="T141" i="18" s="1"/>
  <c r="F158" i="27" s="1"/>
  <c r="V141" i="18"/>
  <c r="W141" i="18" s="1"/>
  <c r="X141" i="18" s="1"/>
  <c r="AM121" i="18"/>
  <c r="AN121" i="18" s="1"/>
  <c r="H136" i="27" s="1"/>
  <c r="AO121" i="18"/>
  <c r="AP121" i="18" s="1"/>
  <c r="AQ121" i="18" s="1"/>
  <c r="AC121" i="18"/>
  <c r="AD121" i="18" s="1"/>
  <c r="G136" i="27" s="1"/>
  <c r="AF121" i="18"/>
  <c r="AG121" i="18" s="1"/>
  <c r="AH121" i="18" s="1"/>
  <c r="AB55" i="18"/>
  <c r="AM166" i="18"/>
  <c r="AN166" i="18" s="1"/>
  <c r="H183" i="27" s="1"/>
  <c r="AO166" i="18"/>
  <c r="AP166" i="18" s="1"/>
  <c r="AQ166" i="18" s="1"/>
  <c r="AV131" i="18"/>
  <c r="AW131" i="18" s="1"/>
  <c r="I148" i="27" s="1"/>
  <c r="AX131" i="18"/>
  <c r="AY131" i="18" s="1"/>
  <c r="AZ131" i="18" s="1"/>
  <c r="AM163" i="18"/>
  <c r="AN163" i="18" s="1"/>
  <c r="H180" i="27" s="1"/>
  <c r="AO163" i="18"/>
  <c r="AP163" i="18" s="1"/>
  <c r="AQ163" i="18" s="1"/>
  <c r="BQ12" i="18"/>
  <c r="AO155" i="18" s="1"/>
  <c r="BQ13" i="18"/>
  <c r="AO159" i="18" s="1"/>
  <c r="BQ16" i="18"/>
  <c r="AO171" i="18" s="1"/>
  <c r="AP171" i="18" s="1"/>
  <c r="AQ171" i="18" s="1"/>
  <c r="BQ11" i="18"/>
  <c r="AO151" i="18" s="1"/>
  <c r="BQ15" i="18"/>
  <c r="AO167" i="18" s="1"/>
  <c r="AM144" i="18"/>
  <c r="AN144" i="18" s="1"/>
  <c r="H161" i="27" s="1"/>
  <c r="AO144" i="18"/>
  <c r="AP144" i="18" s="1"/>
  <c r="AQ144" i="18" s="1"/>
  <c r="AM157" i="18"/>
  <c r="AN157" i="18" s="1"/>
  <c r="H174" i="27" s="1"/>
  <c r="AO157" i="18"/>
  <c r="AP157" i="18" s="1"/>
  <c r="AQ157" i="18" s="1"/>
  <c r="S133" i="18"/>
  <c r="T133" i="18" s="1"/>
  <c r="F150" i="27" s="1"/>
  <c r="V133" i="18"/>
  <c r="W133" i="18" s="1"/>
  <c r="X133" i="18" s="1"/>
  <c r="BE121" i="18"/>
  <c r="BF121" i="18" s="1"/>
  <c r="J136" i="27" s="1"/>
  <c r="BG121" i="18"/>
  <c r="BH121" i="18" s="1"/>
  <c r="BI121" i="18" s="1"/>
  <c r="AU55" i="18"/>
  <c r="AM116" i="18"/>
  <c r="AN116" i="18" s="1"/>
  <c r="H131" i="27" s="1"/>
  <c r="AO116" i="18"/>
  <c r="AP116" i="18" s="1"/>
  <c r="AQ116" i="18" s="1"/>
  <c r="AV189" i="18"/>
  <c r="AW189" i="18" s="1"/>
  <c r="I206" i="27" s="1"/>
  <c r="AX189" i="18"/>
  <c r="AY189" i="18" s="1"/>
  <c r="AZ189" i="18" s="1"/>
  <c r="AM164" i="18"/>
  <c r="AN164" i="18" s="1"/>
  <c r="H181" i="27" s="1"/>
  <c r="AO164" i="18"/>
  <c r="AP164" i="18" s="1"/>
  <c r="AQ164" i="18" s="1"/>
  <c r="AM103" i="18"/>
  <c r="AN103" i="18" s="1"/>
  <c r="H118" i="27" s="1"/>
  <c r="AO103" i="18"/>
  <c r="AP103" i="18" s="1"/>
  <c r="AQ103" i="18" s="1"/>
  <c r="AC162" i="18"/>
  <c r="AD162" i="18" s="1"/>
  <c r="G179" i="27" s="1"/>
  <c r="AF162" i="18"/>
  <c r="AG162" i="18" s="1"/>
  <c r="AH162" i="18" s="1"/>
  <c r="S115" i="18"/>
  <c r="T115" i="18" s="1"/>
  <c r="F130" i="27" s="1"/>
  <c r="V115" i="18"/>
  <c r="W115" i="18" s="1"/>
  <c r="X115" i="18" s="1"/>
  <c r="AM162" i="18"/>
  <c r="AN162" i="18" s="1"/>
  <c r="H179" i="27" s="1"/>
  <c r="AO162" i="18"/>
  <c r="AP162" i="18" s="1"/>
  <c r="AQ162" i="18" s="1"/>
  <c r="AC130" i="18"/>
  <c r="AD130" i="18" s="1"/>
  <c r="G147" i="27" s="1"/>
  <c r="AF130" i="18"/>
  <c r="AG130" i="18" s="1"/>
  <c r="AH130" i="18" s="1"/>
  <c r="S130" i="18"/>
  <c r="T130" i="18" s="1"/>
  <c r="F147" i="27" s="1"/>
  <c r="V130" i="18"/>
  <c r="W130" i="18" s="1"/>
  <c r="X130" i="18" s="1"/>
  <c r="AM154" i="18"/>
  <c r="AN154" i="18" s="1"/>
  <c r="H171" i="27" s="1"/>
  <c r="AO154" i="18"/>
  <c r="AP154" i="18" s="1"/>
  <c r="AQ154" i="18" s="1"/>
  <c r="AM178" i="18"/>
  <c r="AN178" i="18" s="1"/>
  <c r="H195" i="27" s="1"/>
  <c r="AO178" i="18"/>
  <c r="AP178" i="18" s="1"/>
  <c r="AQ178" i="18" s="1"/>
  <c r="AC154" i="18"/>
  <c r="AD154" i="18" s="1"/>
  <c r="G171" i="27" s="1"/>
  <c r="AF154" i="18"/>
  <c r="AG154" i="18" s="1"/>
  <c r="AH154" i="18" s="1"/>
  <c r="AM170" i="18"/>
  <c r="AN170" i="18" s="1"/>
  <c r="H187" i="27" s="1"/>
  <c r="AO170" i="18"/>
  <c r="AP170" i="18" s="1"/>
  <c r="AQ170" i="18" s="1"/>
  <c r="S144" i="18"/>
  <c r="T144" i="18" s="1"/>
  <c r="F161" i="27" s="1"/>
  <c r="V144" i="18"/>
  <c r="W144" i="18" s="1"/>
  <c r="X144" i="18" s="1"/>
  <c r="AM115" i="18"/>
  <c r="AN115" i="18" s="1"/>
  <c r="H130" i="27" s="1"/>
  <c r="AO115" i="18"/>
  <c r="AP115" i="18" s="1"/>
  <c r="AQ115" i="18" s="1"/>
  <c r="S23" i="18"/>
  <c r="T23" i="18" s="1"/>
  <c r="F30" i="27" s="1"/>
  <c r="AC133" i="18"/>
  <c r="AD133" i="18" s="1"/>
  <c r="G150" i="27" s="1"/>
  <c r="AF133" i="18"/>
  <c r="AG133" i="18" s="1"/>
  <c r="AH133" i="18" s="1"/>
  <c r="AC177" i="18"/>
  <c r="AD177" i="18" s="1"/>
  <c r="G194" i="27" s="1"/>
  <c r="AF177" i="18"/>
  <c r="AG177" i="18" s="1"/>
  <c r="AH177" i="18" s="1"/>
  <c r="AC152" i="18"/>
  <c r="AD152" i="18" s="1"/>
  <c r="G169" i="27" s="1"/>
  <c r="AF152" i="18"/>
  <c r="AC166" i="18"/>
  <c r="AD166" i="18" s="1"/>
  <c r="G183" i="27" s="1"/>
  <c r="AF166" i="18"/>
  <c r="AG166" i="18" s="1"/>
  <c r="AH166" i="18" s="1"/>
  <c r="BE144" i="18"/>
  <c r="BF144" i="18" s="1"/>
  <c r="J161" i="27" s="1"/>
  <c r="BG144" i="18"/>
  <c r="BH144" i="18" s="1"/>
  <c r="BI144" i="18" s="1"/>
  <c r="AV119" i="18"/>
  <c r="AW119" i="18" s="1"/>
  <c r="I134" i="27" s="1"/>
  <c r="I141" i="27" s="1"/>
  <c r="BR9" i="18"/>
  <c r="AX132" i="18" s="1"/>
  <c r="AX119" i="18"/>
  <c r="AY119" i="18" s="1"/>
  <c r="AZ119" i="18" s="1"/>
  <c r="BR10" i="18"/>
  <c r="AX142" i="18" s="1"/>
  <c r="BR8" i="18"/>
  <c r="AX129" i="18" s="1"/>
  <c r="AY129" i="18" s="1"/>
  <c r="AZ129" i="18" s="1"/>
  <c r="BR6" i="18"/>
  <c r="AX123" i="18" s="1"/>
  <c r="BR7" i="18"/>
  <c r="AX125" i="18" s="1"/>
  <c r="AY125" i="18" s="1"/>
  <c r="AZ125" i="18" s="1"/>
  <c r="S162" i="18"/>
  <c r="T162" i="18" s="1"/>
  <c r="F179" i="27" s="1"/>
  <c r="V162" i="18"/>
  <c r="W162" i="18" s="1"/>
  <c r="X162" i="18" s="1"/>
  <c r="AV115" i="18"/>
  <c r="AW115" i="18" s="1"/>
  <c r="I130" i="27" s="1"/>
  <c r="AX115" i="18"/>
  <c r="AY115" i="18" s="1"/>
  <c r="AZ115" i="18" s="1"/>
  <c r="V29" i="28"/>
  <c r="W29" i="28"/>
  <c r="X29" i="28"/>
  <c r="V29" i="11"/>
  <c r="W29" i="11"/>
  <c r="X29" i="11"/>
  <c r="AR159" i="1"/>
  <c r="AP159" i="1"/>
  <c r="X137" i="28"/>
  <c r="W137" i="28"/>
  <c r="V137" i="28"/>
  <c r="V122" i="11"/>
  <c r="W122" i="11"/>
  <c r="X122" i="11"/>
  <c r="S57" i="18"/>
  <c r="T57" i="18" s="1"/>
  <c r="F72" i="27" s="1"/>
  <c r="V57" i="18"/>
  <c r="W57" i="18" s="1"/>
  <c r="X57" i="18" s="1"/>
  <c r="BE82" i="18"/>
  <c r="BF82" i="18" s="1"/>
  <c r="J97" i="27" s="1"/>
  <c r="BG82" i="18"/>
  <c r="BH82" i="18" s="1"/>
  <c r="BI82" i="18" s="1"/>
  <c r="AV120" i="18"/>
  <c r="AW120" i="18" s="1"/>
  <c r="I135" i="27" s="1"/>
  <c r="AX120" i="18"/>
  <c r="AY120" i="18" s="1"/>
  <c r="AZ120" i="18" s="1"/>
  <c r="AC135" i="18"/>
  <c r="AD135" i="18" s="1"/>
  <c r="G152" i="27" s="1"/>
  <c r="AF135" i="18"/>
  <c r="AG135" i="18" s="1"/>
  <c r="AH135" i="18" s="1"/>
  <c r="AC29" i="18"/>
  <c r="AD29" i="18" s="1"/>
  <c r="G38" i="27" s="1"/>
  <c r="S9" i="24"/>
  <c r="T9" i="24" s="1"/>
  <c r="F13" i="27" s="1"/>
  <c r="AA22" i="12"/>
  <c r="T22" i="12"/>
  <c r="U22" i="12" s="1"/>
  <c r="AA17" i="12"/>
  <c r="T17" i="12"/>
  <c r="U17" i="12" s="1"/>
  <c r="V17" i="12" s="1"/>
  <c r="W17" i="12" s="1"/>
  <c r="AO17" i="12"/>
  <c r="AA67" i="12"/>
  <c r="T67" i="12"/>
  <c r="U67" i="12" s="1"/>
  <c r="V67" i="12" s="1"/>
  <c r="W67" i="12" s="1"/>
  <c r="AA27" i="12"/>
  <c r="T27" i="12"/>
  <c r="U27" i="12" s="1"/>
  <c r="V27" i="12" s="1"/>
  <c r="W27" i="12" s="1"/>
  <c r="V47" i="28"/>
  <c r="W47" i="28"/>
  <c r="X47" i="28"/>
  <c r="W59" i="28"/>
  <c r="V59" i="28"/>
  <c r="X59" i="28"/>
  <c r="V47" i="11"/>
  <c r="W47" i="11"/>
  <c r="X47" i="11"/>
  <c r="AR151" i="1"/>
  <c r="AP151" i="1"/>
  <c r="X129" i="28"/>
  <c r="W129" i="28"/>
  <c r="V129" i="28"/>
  <c r="S114" i="18"/>
  <c r="T114" i="18" s="1"/>
  <c r="F129" i="27" s="1"/>
  <c r="V114" i="11"/>
  <c r="W114" i="11"/>
  <c r="X114" i="11"/>
  <c r="AR117" i="1"/>
  <c r="AP117" i="1"/>
  <c r="X77" i="28"/>
  <c r="W77" i="28"/>
  <c r="V77" i="28"/>
  <c r="W62" i="11"/>
  <c r="X62" i="11"/>
  <c r="V62" i="11"/>
  <c r="X120" i="28"/>
  <c r="W120" i="28"/>
  <c r="V120" i="28"/>
  <c r="X105" i="11"/>
  <c r="V105" i="11"/>
  <c r="W105" i="11"/>
  <c r="BE74" i="18"/>
  <c r="BF74" i="18" s="1"/>
  <c r="J89" i="27" s="1"/>
  <c r="BG74" i="18"/>
  <c r="BH74" i="18" s="1"/>
  <c r="BI74" i="18" s="1"/>
  <c r="AV82" i="18"/>
  <c r="AW82" i="18" s="1"/>
  <c r="I97" i="27" s="1"/>
  <c r="AX82" i="18"/>
  <c r="AY82" i="18" s="1"/>
  <c r="AZ82" i="18" s="1"/>
  <c r="AC77" i="18"/>
  <c r="AD77" i="18" s="1"/>
  <c r="G92" i="27" s="1"/>
  <c r="AF77" i="18"/>
  <c r="AG77" i="18" s="1"/>
  <c r="AH77" i="18" s="1"/>
  <c r="AM79" i="18"/>
  <c r="AN79" i="18" s="1"/>
  <c r="H94" i="27" s="1"/>
  <c r="AO79" i="18"/>
  <c r="AP79" i="18" s="1"/>
  <c r="AQ79" i="18" s="1"/>
  <c r="AC55" i="18"/>
  <c r="AD55" i="18" s="1"/>
  <c r="G70" i="27" s="1"/>
  <c r="AF55" i="18"/>
  <c r="AG55" i="18" s="1"/>
  <c r="AH55" i="18" s="1"/>
  <c r="AL65" i="18"/>
  <c r="AC95" i="18"/>
  <c r="AD95" i="18" s="1"/>
  <c r="G110" i="27" s="1"/>
  <c r="AF95" i="18"/>
  <c r="AG95" i="18" s="1"/>
  <c r="AH95" i="18" s="1"/>
  <c r="BE56" i="18"/>
  <c r="BF56" i="18" s="1"/>
  <c r="J71" i="27" s="1"/>
  <c r="BG56" i="18"/>
  <c r="BH56" i="18" s="1"/>
  <c r="BI56" i="18" s="1"/>
  <c r="AM137" i="18"/>
  <c r="AN137" i="18" s="1"/>
  <c r="H154" i="27" s="1"/>
  <c r="AO137" i="18"/>
  <c r="AM102" i="18"/>
  <c r="AN102" i="18" s="1"/>
  <c r="H117" i="27" s="1"/>
  <c r="AO102" i="18"/>
  <c r="AP102" i="18" s="1"/>
  <c r="AQ102" i="18" s="1"/>
  <c r="AC106" i="18"/>
  <c r="AD106" i="18" s="1"/>
  <c r="G121" i="27" s="1"/>
  <c r="AF106" i="18"/>
  <c r="AG106" i="18" s="1"/>
  <c r="AH106" i="18" s="1"/>
  <c r="AM96" i="18"/>
  <c r="AN96" i="18" s="1"/>
  <c r="H111" i="27" s="1"/>
  <c r="AO96" i="18"/>
  <c r="AP96" i="18" s="1"/>
  <c r="AQ96" i="18" s="1"/>
  <c r="AC96" i="18"/>
  <c r="AD96" i="18" s="1"/>
  <c r="G111" i="27" s="1"/>
  <c r="AF96" i="18"/>
  <c r="AG96" i="18" s="1"/>
  <c r="AH96" i="18" s="1"/>
  <c r="AV135" i="18"/>
  <c r="AW135" i="18" s="1"/>
  <c r="I152" i="27" s="1"/>
  <c r="AX135" i="18"/>
  <c r="AY135" i="18" s="1"/>
  <c r="AZ135" i="18" s="1"/>
  <c r="AM189" i="18"/>
  <c r="AN189" i="18" s="1"/>
  <c r="H206" i="27" s="1"/>
  <c r="AO189" i="18"/>
  <c r="AP189" i="18" s="1"/>
  <c r="AQ189" i="18" s="1"/>
  <c r="AC104" i="18"/>
  <c r="AD104" i="18" s="1"/>
  <c r="G119" i="27" s="1"/>
  <c r="AF104" i="18"/>
  <c r="AG104" i="18" s="1"/>
  <c r="AH104" i="18" s="1"/>
  <c r="BE173" i="18"/>
  <c r="BF173" i="18" s="1"/>
  <c r="J190" i="27" s="1"/>
  <c r="BG173" i="18"/>
  <c r="BH173" i="18" s="1"/>
  <c r="BI173" i="18" s="1"/>
  <c r="AV185" i="18"/>
  <c r="AW185" i="18" s="1"/>
  <c r="I202" i="27" s="1"/>
  <c r="AX185" i="18"/>
  <c r="AY185" i="18" s="1"/>
  <c r="AZ185" i="18" s="1"/>
  <c r="BE177" i="18"/>
  <c r="BF177" i="18" s="1"/>
  <c r="J194" i="27" s="1"/>
  <c r="BG177" i="18"/>
  <c r="BH177" i="18" s="1"/>
  <c r="BI177" i="18" s="1"/>
  <c r="BE32" i="18"/>
  <c r="BF32" i="18" s="1"/>
  <c r="J42" i="27" s="1"/>
  <c r="BG32" i="18"/>
  <c r="BH32" i="18" s="1"/>
  <c r="BI32" i="18" s="1"/>
  <c r="BE187" i="18"/>
  <c r="BF187" i="18" s="1"/>
  <c r="J204" i="27" s="1"/>
  <c r="BG187" i="18"/>
  <c r="BH187" i="18" s="1"/>
  <c r="BI187" i="18" s="1"/>
  <c r="AV35" i="18"/>
  <c r="AW35" i="18" s="1"/>
  <c r="I46" i="27" s="1"/>
  <c r="AX35" i="18"/>
  <c r="AY35" i="18" s="1"/>
  <c r="AZ35" i="18" s="1"/>
  <c r="AV37" i="18"/>
  <c r="AW37" i="18" s="1"/>
  <c r="I49" i="27" s="1"/>
  <c r="AX37" i="18"/>
  <c r="AY37" i="18" s="1"/>
  <c r="AZ37" i="18" s="1"/>
  <c r="S29" i="18"/>
  <c r="T29" i="18" s="1"/>
  <c r="F38" i="27" s="1"/>
  <c r="AM9" i="18"/>
  <c r="AN9" i="18" s="1"/>
  <c r="H11" i="27" s="1"/>
  <c r="S192" i="18"/>
  <c r="T192" i="18" s="1"/>
  <c r="F209" i="27" s="1"/>
  <c r="R7" i="24"/>
  <c r="S7" i="24" s="1"/>
  <c r="T7" i="24" s="1"/>
  <c r="F9" i="27" s="1"/>
  <c r="AC35" i="18"/>
  <c r="AD35" i="18" s="1"/>
  <c r="G46" i="27" s="1"/>
  <c r="BD21" i="24"/>
  <c r="BE21" i="24" s="1"/>
  <c r="BF21" i="24" s="1"/>
  <c r="J37" i="27" s="1"/>
  <c r="AB7" i="24"/>
  <c r="AC7" i="24" s="1"/>
  <c r="AD7" i="24" s="1"/>
  <c r="G9" i="27" s="1"/>
  <c r="S179" i="18"/>
  <c r="T179" i="18" s="1"/>
  <c r="F196" i="27" s="1"/>
  <c r="AL13" i="24"/>
  <c r="AM13" i="24" s="1"/>
  <c r="AN13" i="24" s="1"/>
  <c r="H21" i="27" s="1"/>
  <c r="AC11" i="18"/>
  <c r="AD11" i="18" s="1"/>
  <c r="G14" i="27" s="1"/>
  <c r="BE47" i="18"/>
  <c r="BF47" i="18" s="1"/>
  <c r="BE7" i="18"/>
  <c r="BF7" i="18" s="1"/>
  <c r="BG7" i="18"/>
  <c r="BH7" i="18" s="1"/>
  <c r="BI7" i="18" s="1"/>
  <c r="AC6" i="24"/>
  <c r="AD6" i="24" s="1"/>
  <c r="G8" i="27" s="1"/>
  <c r="AA15" i="12"/>
  <c r="T15" i="12"/>
  <c r="U15" i="12" s="1"/>
  <c r="V15" i="12" s="1"/>
  <c r="W15" i="12" s="1"/>
  <c r="AA81" i="12"/>
  <c r="T81" i="12"/>
  <c r="U81" i="12" s="1"/>
  <c r="AO81" i="12"/>
  <c r="T186" i="12"/>
  <c r="U186" i="12" s="1"/>
  <c r="AA186" i="12"/>
  <c r="AA177" i="12"/>
  <c r="T177" i="12"/>
  <c r="U177" i="12" s="1"/>
  <c r="V177" i="12" s="1"/>
  <c r="W177" i="12" s="1"/>
  <c r="AA74" i="12"/>
  <c r="T74" i="12"/>
  <c r="U74" i="12" s="1"/>
  <c r="V74" i="12" s="1"/>
  <c r="W74" i="12" s="1"/>
  <c r="AO74" i="12"/>
  <c r="AA96" i="12"/>
  <c r="T96" i="12"/>
  <c r="U96" i="12" s="1"/>
  <c r="V96" i="12" s="1"/>
  <c r="W96" i="12" s="1"/>
  <c r="AA13" i="12"/>
  <c r="T13" i="12"/>
  <c r="U13" i="12" s="1"/>
  <c r="V13" i="12" s="1"/>
  <c r="W13" i="12" s="1"/>
  <c r="T95" i="12"/>
  <c r="U95" i="12" s="1"/>
  <c r="V95" i="12" s="1"/>
  <c r="W95" i="12" s="1"/>
  <c r="AA95" i="12"/>
  <c r="AO95" i="12"/>
  <c r="T151" i="12"/>
  <c r="U151" i="12" s="1"/>
  <c r="V38" i="28"/>
  <c r="W38" i="28"/>
  <c r="X38" i="28"/>
  <c r="X50" i="28"/>
  <c r="W50" i="28"/>
  <c r="V50" i="28"/>
  <c r="W38" i="11"/>
  <c r="X38" i="11"/>
  <c r="V38" i="11"/>
  <c r="AO183" i="1"/>
  <c r="N183" i="18"/>
  <c r="AI183" i="1"/>
  <c r="R183" i="12"/>
  <c r="AK128" i="1"/>
  <c r="V145" i="25" s="1"/>
  <c r="Z145" i="25" s="1"/>
  <c r="AA145" i="25" s="1"/>
  <c r="AB145" i="25" s="1"/>
  <c r="AO128" i="1"/>
  <c r="AI128" i="1"/>
  <c r="N128" i="18"/>
  <c r="R128" i="12"/>
  <c r="X144" i="28"/>
  <c r="W144" i="28"/>
  <c r="V144" i="28"/>
  <c r="S127" i="18"/>
  <c r="T127" i="18" s="1"/>
  <c r="F144" i="27" s="1"/>
  <c r="V127" i="11"/>
  <c r="W127" i="11"/>
  <c r="X127" i="11"/>
  <c r="AV178" i="18"/>
  <c r="AW178" i="18" s="1"/>
  <c r="I195" i="27" s="1"/>
  <c r="AX178" i="18"/>
  <c r="AY178" i="18" s="1"/>
  <c r="AZ178" i="18" s="1"/>
  <c r="AM173" i="18"/>
  <c r="AN173" i="18" s="1"/>
  <c r="H190" i="27" s="1"/>
  <c r="AO173" i="18"/>
  <c r="AP173" i="18" s="1"/>
  <c r="AQ173" i="18" s="1"/>
  <c r="AV11" i="18"/>
  <c r="AW11" i="18" s="1"/>
  <c r="I14" i="27" s="1"/>
  <c r="AX11" i="18"/>
  <c r="AY11" i="18" s="1"/>
  <c r="AZ11" i="18" s="1"/>
  <c r="AV9" i="18"/>
  <c r="AW9" i="18" s="1"/>
  <c r="I11" i="27" s="1"/>
  <c r="AX9" i="18"/>
  <c r="AY9" i="18" s="1"/>
  <c r="AZ9" i="18" s="1"/>
  <c r="AF7" i="18"/>
  <c r="AG7" i="18" s="1"/>
  <c r="AH7" i="18" s="1"/>
  <c r="AC7" i="18"/>
  <c r="AD7" i="18" s="1"/>
  <c r="V8" i="28"/>
  <c r="W8" i="28"/>
  <c r="X8" i="28"/>
  <c r="V8" i="11"/>
  <c r="W8" i="11"/>
  <c r="X8" i="11"/>
  <c r="AI30" i="21"/>
  <c r="M30" i="24" s="1"/>
  <c r="N30" i="24"/>
  <c r="AJ30" i="21"/>
  <c r="BE76" i="18"/>
  <c r="BF76" i="18" s="1"/>
  <c r="J91" i="27" s="1"/>
  <c r="BG76" i="18"/>
  <c r="BH76" i="18" s="1"/>
  <c r="BI76" i="18" s="1"/>
  <c r="V10" i="28"/>
  <c r="W10" i="28"/>
  <c r="X10" i="28"/>
  <c r="V10" i="11"/>
  <c r="W10" i="11"/>
  <c r="X10" i="11"/>
  <c r="N20" i="18"/>
  <c r="AI20" i="1"/>
  <c r="AO20" i="1"/>
  <c r="R20" i="12"/>
  <c r="AT46" i="24"/>
  <c r="AU46" i="24" s="1"/>
  <c r="AV46" i="24" s="1"/>
  <c r="AW46" i="24" s="1"/>
  <c r="I177" i="27" s="1"/>
  <c r="AA46" i="24"/>
  <c r="AB46" i="24" s="1"/>
  <c r="AC46" i="24" s="1"/>
  <c r="AD46" i="24" s="1"/>
  <c r="G177" i="27" s="1"/>
  <c r="Q46" i="24"/>
  <c r="R46" i="24" s="1"/>
  <c r="S46" i="24" s="1"/>
  <c r="T46" i="24" s="1"/>
  <c r="F177" i="27" s="1"/>
  <c r="AK46" i="24"/>
  <c r="AL46" i="24" s="1"/>
  <c r="AM46" i="24" s="1"/>
  <c r="AN46" i="24" s="1"/>
  <c r="H177" i="27" s="1"/>
  <c r="AV76" i="18"/>
  <c r="AW76" i="18" s="1"/>
  <c r="I91" i="27" s="1"/>
  <c r="AX76" i="18"/>
  <c r="AY76" i="18" s="1"/>
  <c r="AZ76" i="18" s="1"/>
  <c r="BE80" i="18"/>
  <c r="BF80" i="18" s="1"/>
  <c r="J95" i="27" s="1"/>
  <c r="BG80" i="18"/>
  <c r="BH80" i="18" s="1"/>
  <c r="BI80" i="18" s="1"/>
  <c r="M53" i="18"/>
  <c r="BC53" i="18" s="1"/>
  <c r="BD53" i="18" s="1"/>
  <c r="Q53" i="12"/>
  <c r="AV73" i="18"/>
  <c r="AW73" i="18" s="1"/>
  <c r="I88" i="27" s="1"/>
  <c r="AX73" i="18"/>
  <c r="AY73" i="18" s="1"/>
  <c r="AZ73" i="18" s="1"/>
  <c r="BE59" i="18"/>
  <c r="BF59" i="18" s="1"/>
  <c r="J74" i="27" s="1"/>
  <c r="BG59" i="18"/>
  <c r="BH59" i="18" s="1"/>
  <c r="BI59" i="18" s="1"/>
  <c r="BD57" i="18"/>
  <c r="AM67" i="18"/>
  <c r="AN67" i="18" s="1"/>
  <c r="H82" i="27" s="1"/>
  <c r="AO67" i="18"/>
  <c r="AP67" i="18" s="1"/>
  <c r="AQ67" i="18" s="1"/>
  <c r="AM97" i="18"/>
  <c r="AN97" i="18" s="1"/>
  <c r="H112" i="27" s="1"/>
  <c r="AO97" i="18"/>
  <c r="AP97" i="18" s="1"/>
  <c r="AQ97" i="18" s="1"/>
  <c r="AC69" i="18"/>
  <c r="AD69" i="18" s="1"/>
  <c r="G84" i="27" s="1"/>
  <c r="AF69" i="18"/>
  <c r="AG69" i="18" s="1"/>
  <c r="AH69" i="18" s="1"/>
  <c r="BE89" i="18"/>
  <c r="BF89" i="18" s="1"/>
  <c r="J104" i="27" s="1"/>
  <c r="BG89" i="18"/>
  <c r="BH89" i="18" s="1"/>
  <c r="BI89" i="18" s="1"/>
  <c r="BE104" i="18"/>
  <c r="BF104" i="18" s="1"/>
  <c r="J119" i="27" s="1"/>
  <c r="BG104" i="18"/>
  <c r="BH104" i="18" s="1"/>
  <c r="BI104" i="18" s="1"/>
  <c r="BE106" i="18"/>
  <c r="BF106" i="18" s="1"/>
  <c r="J121" i="27" s="1"/>
  <c r="BG106" i="18"/>
  <c r="BH106" i="18" s="1"/>
  <c r="BI106" i="18" s="1"/>
  <c r="BE109" i="18"/>
  <c r="BF109" i="18" s="1"/>
  <c r="J124" i="27" s="1"/>
  <c r="BG109" i="18"/>
  <c r="BH109" i="18" s="1"/>
  <c r="BI109" i="18" s="1"/>
  <c r="BE67" i="18"/>
  <c r="BF67" i="18" s="1"/>
  <c r="J82" i="27" s="1"/>
  <c r="AV150" i="18"/>
  <c r="AW150" i="18" s="1"/>
  <c r="I167" i="27" s="1"/>
  <c r="AX150" i="18"/>
  <c r="AY150" i="18" s="1"/>
  <c r="AZ150" i="18" s="1"/>
  <c r="BE141" i="18"/>
  <c r="BF141" i="18" s="1"/>
  <c r="J158" i="27" s="1"/>
  <c r="BG141" i="18"/>
  <c r="BH141" i="18" s="1"/>
  <c r="BI141" i="18" s="1"/>
  <c r="AM114" i="18"/>
  <c r="AN114" i="18" s="1"/>
  <c r="H129" i="27" s="1"/>
  <c r="BE107" i="18"/>
  <c r="BF107" i="18" s="1"/>
  <c r="J122" i="27" s="1"/>
  <c r="BG107" i="18"/>
  <c r="BH107" i="18" s="1"/>
  <c r="BI107" i="18" s="1"/>
  <c r="BE162" i="18"/>
  <c r="BF162" i="18" s="1"/>
  <c r="J179" i="27" s="1"/>
  <c r="BG162" i="18"/>
  <c r="BH162" i="18" s="1"/>
  <c r="BI162" i="18" s="1"/>
  <c r="AV104" i="18"/>
  <c r="AW104" i="18" s="1"/>
  <c r="I119" i="27" s="1"/>
  <c r="AX104" i="18"/>
  <c r="AY104" i="18" s="1"/>
  <c r="AZ104" i="18" s="1"/>
  <c r="BE152" i="18"/>
  <c r="BF152" i="18" s="1"/>
  <c r="J169" i="27" s="1"/>
  <c r="BG152" i="18"/>
  <c r="AV181" i="18"/>
  <c r="AW181" i="18" s="1"/>
  <c r="I198" i="27" s="1"/>
  <c r="AX181" i="18"/>
  <c r="AY181" i="18" s="1"/>
  <c r="AZ181" i="18" s="1"/>
  <c r="BE185" i="18"/>
  <c r="BF185" i="18" s="1"/>
  <c r="J202" i="27" s="1"/>
  <c r="BG185" i="18"/>
  <c r="BH185" i="18" s="1"/>
  <c r="BI185" i="18" s="1"/>
  <c r="AV177" i="18"/>
  <c r="AW177" i="18" s="1"/>
  <c r="I194" i="27" s="1"/>
  <c r="AX177" i="18"/>
  <c r="AY177" i="18" s="1"/>
  <c r="AZ177" i="18" s="1"/>
  <c r="BE188" i="18"/>
  <c r="BF188" i="18" s="1"/>
  <c r="J205" i="27" s="1"/>
  <c r="BG188" i="18"/>
  <c r="BH188" i="18" s="1"/>
  <c r="BI188" i="18" s="1"/>
  <c r="BE37" i="18"/>
  <c r="BF37" i="18" s="1"/>
  <c r="J49" i="27" s="1"/>
  <c r="BG37" i="18"/>
  <c r="BH37" i="18" s="1"/>
  <c r="BI37" i="18" s="1"/>
  <c r="AM39" i="18"/>
  <c r="AN39" i="18" s="1"/>
  <c r="H51" i="27" s="1"/>
  <c r="S188" i="18"/>
  <c r="T188" i="18" s="1"/>
  <c r="F205" i="27" s="1"/>
  <c r="AJ34" i="21"/>
  <c r="AI34" i="21"/>
  <c r="Q8" i="24"/>
  <c r="R8" i="24" s="1"/>
  <c r="S8" i="24" s="1"/>
  <c r="T8" i="24" s="1"/>
  <c r="F12" i="27" s="1"/>
  <c r="BC13" i="24"/>
  <c r="BD13" i="24" s="1"/>
  <c r="BE13" i="24" s="1"/>
  <c r="BF13" i="24" s="1"/>
  <c r="J21" i="27" s="1"/>
  <c r="AC9" i="24"/>
  <c r="AD9" i="24" s="1"/>
  <c r="G13" i="27" s="1"/>
  <c r="AL21" i="24"/>
  <c r="AM21" i="24" s="1"/>
  <c r="AN21" i="24" s="1"/>
  <c r="H37" i="27" s="1"/>
  <c r="AI4" i="21"/>
  <c r="M4" i="24" s="1"/>
  <c r="N4" i="24"/>
  <c r="Q21" i="24"/>
  <c r="R21" i="24" s="1"/>
  <c r="S21" i="24" s="1"/>
  <c r="T21" i="24" s="1"/>
  <c r="F37" i="27" s="1"/>
  <c r="AM14" i="24"/>
  <c r="AN14" i="24" s="1"/>
  <c r="H24" i="27" s="1"/>
  <c r="AT21" i="24"/>
  <c r="AU21" i="24" s="1"/>
  <c r="AV21" i="24" s="1"/>
  <c r="AW21" i="24" s="1"/>
  <c r="I37" i="27" s="1"/>
  <c r="AC5" i="18"/>
  <c r="AD5" i="18" s="1"/>
  <c r="G6" i="27" s="1"/>
  <c r="BE26" i="24"/>
  <c r="BF26" i="24" s="1"/>
  <c r="J47" i="27" s="1"/>
  <c r="AU7" i="24"/>
  <c r="AV7" i="24" s="1"/>
  <c r="AW7" i="24" s="1"/>
  <c r="I9" i="27" s="1"/>
  <c r="AV13" i="18"/>
  <c r="AW13" i="18" s="1"/>
  <c r="AX13" i="18"/>
  <c r="AY13" i="18" s="1"/>
  <c r="AZ13" i="18" s="1"/>
  <c r="S9" i="18"/>
  <c r="T9" i="18" s="1"/>
  <c r="F11" i="27" s="1"/>
  <c r="S158" i="12"/>
  <c r="S170" i="12"/>
  <c r="S122" i="12"/>
  <c r="S143" i="12"/>
  <c r="S91" i="12"/>
  <c r="S178" i="12"/>
  <c r="S172" i="12"/>
  <c r="S48" i="12"/>
  <c r="S26" i="12"/>
  <c r="S29" i="12"/>
  <c r="S37" i="12"/>
  <c r="S58" i="12"/>
  <c r="S84" i="12"/>
  <c r="S101" i="12"/>
  <c r="S107" i="12"/>
  <c r="S114" i="12"/>
  <c r="S121" i="12"/>
  <c r="S166" i="12"/>
  <c r="S180" i="12"/>
  <c r="S149" i="12"/>
  <c r="S112" i="12"/>
  <c r="S134" i="12"/>
  <c r="S5" i="12"/>
  <c r="S12" i="12"/>
  <c r="S16" i="12"/>
  <c r="S19" i="12"/>
  <c r="S152" i="12"/>
  <c r="S119" i="12"/>
  <c r="S51" i="12"/>
  <c r="S165" i="12"/>
  <c r="S78" i="12"/>
  <c r="S35" i="12"/>
  <c r="S41" i="12"/>
  <c r="S52" i="12"/>
  <c r="S64" i="12"/>
  <c r="S72" i="12"/>
  <c r="S76" i="12"/>
  <c r="S82" i="12"/>
  <c r="S94" i="12"/>
  <c r="S105" i="12"/>
  <c r="S133" i="12"/>
  <c r="S146" i="12"/>
  <c r="S150" i="12"/>
  <c r="S162" i="12"/>
  <c r="S4" i="12"/>
  <c r="S126" i="12"/>
  <c r="S20" i="12"/>
  <c r="S189" i="12"/>
  <c r="S138" i="12"/>
  <c r="S161" i="12"/>
  <c r="S70" i="12"/>
  <c r="S10" i="12"/>
  <c r="S33" i="12"/>
  <c r="S45" i="12"/>
  <c r="S80" i="12"/>
  <c r="S88" i="12"/>
  <c r="S92" i="12"/>
  <c r="S99" i="12"/>
  <c r="S130" i="12"/>
  <c r="S169" i="12"/>
  <c r="S183" i="12"/>
  <c r="S187" i="12"/>
  <c r="S191" i="12"/>
  <c r="S56" i="12"/>
  <c r="S174" i="12"/>
  <c r="S21" i="12"/>
  <c r="S36" i="12"/>
  <c r="S42" i="12"/>
  <c r="S57" i="12"/>
  <c r="S77" i="12"/>
  <c r="S83" i="12"/>
  <c r="S106" i="12"/>
  <c r="S113" i="12"/>
  <c r="S120" i="12"/>
  <c r="S140" i="12"/>
  <c r="S147" i="12"/>
  <c r="S157" i="12"/>
  <c r="S179" i="12"/>
  <c r="S175" i="12"/>
  <c r="S168" i="12"/>
  <c r="S159" i="12"/>
  <c r="S18" i="12"/>
  <c r="S28" i="12"/>
  <c r="S47" i="12"/>
  <c r="S62" i="12"/>
  <c r="S125" i="12"/>
  <c r="S108" i="12"/>
  <c r="S167" i="12"/>
  <c r="K72" i="6"/>
  <c r="AO124" i="12" s="1"/>
  <c r="S59" i="12"/>
  <c r="S116" i="12"/>
  <c r="S144" i="12"/>
  <c r="S182" i="12"/>
  <c r="S132" i="12"/>
  <c r="S123" i="12"/>
  <c r="S97" i="12"/>
  <c r="S155" i="12"/>
  <c r="BE25" i="18"/>
  <c r="BF25" i="18" s="1"/>
  <c r="S139" i="12"/>
  <c r="S89" i="12"/>
  <c r="S55" i="12"/>
  <c r="S192" i="12"/>
  <c r="S117" i="12"/>
  <c r="S118" i="12"/>
  <c r="S49" i="12"/>
  <c r="S30" i="12"/>
  <c r="S31" i="12"/>
  <c r="S142" i="12"/>
  <c r="X117" i="28"/>
  <c r="W117" i="28"/>
  <c r="V117" i="28"/>
  <c r="S102" i="18"/>
  <c r="T102" i="18" s="1"/>
  <c r="F117" i="27" s="1"/>
  <c r="W102" i="11"/>
  <c r="X102" i="11"/>
  <c r="V102" i="11"/>
  <c r="AV103" i="18"/>
  <c r="AW103" i="18" s="1"/>
  <c r="I118" i="27" s="1"/>
  <c r="AX103" i="18"/>
  <c r="AY103" i="18" s="1"/>
  <c r="AZ103" i="18" s="1"/>
  <c r="AV137" i="18"/>
  <c r="AW137" i="18" s="1"/>
  <c r="I154" i="27" s="1"/>
  <c r="AX137" i="18"/>
  <c r="AM104" i="18"/>
  <c r="AN104" i="18" s="1"/>
  <c r="H119" i="27" s="1"/>
  <c r="AO104" i="18"/>
  <c r="AP104" i="18" s="1"/>
  <c r="AQ104" i="18" s="1"/>
  <c r="AM190" i="18"/>
  <c r="AN190" i="18" s="1"/>
  <c r="H207" i="27" s="1"/>
  <c r="AO190" i="18"/>
  <c r="AP190" i="18" s="1"/>
  <c r="AQ190" i="18" s="1"/>
  <c r="AV168" i="18"/>
  <c r="AW168" i="18" s="1"/>
  <c r="I185" i="27" s="1"/>
  <c r="AX168" i="18"/>
  <c r="AY168" i="18" s="1"/>
  <c r="AZ168" i="18" s="1"/>
  <c r="X88" i="28"/>
  <c r="W88" i="28"/>
  <c r="V88" i="28"/>
  <c r="S73" i="18"/>
  <c r="T73" i="18" s="1"/>
  <c r="F88" i="27" s="1"/>
  <c r="X73" i="11"/>
  <c r="W73" i="11"/>
  <c r="V73" i="11"/>
  <c r="V17" i="28"/>
  <c r="W17" i="28"/>
  <c r="X17" i="28"/>
  <c r="X17" i="11"/>
  <c r="V17" i="11"/>
  <c r="W17" i="11"/>
  <c r="V26" i="28"/>
  <c r="W26" i="28"/>
  <c r="X26" i="28"/>
  <c r="V26" i="11"/>
  <c r="W26" i="11"/>
  <c r="X26" i="11"/>
  <c r="AR105" i="1"/>
  <c r="AP105" i="1"/>
  <c r="V19" i="28"/>
  <c r="W19" i="28"/>
  <c r="X19" i="28"/>
  <c r="BE19" i="18"/>
  <c r="BF19" i="18" s="1"/>
  <c r="AC19" i="18"/>
  <c r="AD19" i="18" s="1"/>
  <c r="AV19" i="18"/>
  <c r="AW19" i="18" s="1"/>
  <c r="S19" i="18"/>
  <c r="T19" i="18" s="1"/>
  <c r="V19" i="11"/>
  <c r="W19" i="11"/>
  <c r="X19" i="11"/>
  <c r="V44" i="28"/>
  <c r="W44" i="28"/>
  <c r="X44" i="28"/>
  <c r="X56" i="28"/>
  <c r="W56" i="28"/>
  <c r="V56" i="28"/>
  <c r="W44" i="11"/>
  <c r="X44" i="11"/>
  <c r="V44" i="11"/>
  <c r="N36" i="18"/>
  <c r="AO36" i="1"/>
  <c r="AI36" i="1"/>
  <c r="R36" i="12"/>
  <c r="X154" i="28"/>
  <c r="W154" i="28"/>
  <c r="V154" i="28"/>
  <c r="S137" i="18"/>
  <c r="T137" i="18" s="1"/>
  <c r="F154" i="27" s="1"/>
  <c r="X137" i="11"/>
  <c r="V137" i="11"/>
  <c r="W137" i="11"/>
  <c r="AB43" i="24"/>
  <c r="AC43" i="24" s="1"/>
  <c r="AD43" i="24" s="1"/>
  <c r="G168" i="27" s="1"/>
  <c r="BE78" i="18"/>
  <c r="BF78" i="18" s="1"/>
  <c r="J93" i="27" s="1"/>
  <c r="BG78" i="18"/>
  <c r="BH78" i="18" s="1"/>
  <c r="BI78" i="18" s="1"/>
  <c r="AB41" i="24"/>
  <c r="AC41" i="24" s="1"/>
  <c r="AD41" i="24" s="1"/>
  <c r="G146" i="27" s="1"/>
  <c r="AV80" i="18"/>
  <c r="AW80" i="18" s="1"/>
  <c r="I95" i="27" s="1"/>
  <c r="AX80" i="18"/>
  <c r="AY80" i="18" s="1"/>
  <c r="AZ80" i="18" s="1"/>
  <c r="AL57" i="18"/>
  <c r="AM89" i="18"/>
  <c r="AN89" i="18" s="1"/>
  <c r="H104" i="27" s="1"/>
  <c r="AO89" i="18"/>
  <c r="AP89" i="18" s="1"/>
  <c r="AQ89" i="18" s="1"/>
  <c r="AC89" i="18"/>
  <c r="AD89" i="18" s="1"/>
  <c r="G104" i="27" s="1"/>
  <c r="AF89" i="18"/>
  <c r="AG89" i="18" s="1"/>
  <c r="AH89" i="18" s="1"/>
  <c r="BD65" i="18"/>
  <c r="AM75" i="18"/>
  <c r="AN75" i="18" s="1"/>
  <c r="H90" i="27" s="1"/>
  <c r="AO75" i="18"/>
  <c r="AP75" i="18" s="1"/>
  <c r="AQ75" i="18" s="1"/>
  <c r="AU57" i="18"/>
  <c r="AM73" i="18"/>
  <c r="AN73" i="18" s="1"/>
  <c r="H88" i="27" s="1"/>
  <c r="AV89" i="18"/>
  <c r="AW89" i="18" s="1"/>
  <c r="I104" i="27" s="1"/>
  <c r="AX89" i="18"/>
  <c r="AY89" i="18" s="1"/>
  <c r="AZ89" i="18" s="1"/>
  <c r="AM130" i="18"/>
  <c r="AN130" i="18" s="1"/>
  <c r="H147" i="27" s="1"/>
  <c r="AO130" i="18"/>
  <c r="AP130" i="18" s="1"/>
  <c r="AQ130" i="18" s="1"/>
  <c r="BE118" i="18"/>
  <c r="BF118" i="18" s="1"/>
  <c r="J133" i="27" s="1"/>
  <c r="BG118" i="18"/>
  <c r="BH118" i="18" s="1"/>
  <c r="BI118" i="18" s="1"/>
  <c r="AT53" i="18"/>
  <c r="AU53" i="18" s="1"/>
  <c r="BE190" i="18"/>
  <c r="BF190" i="18" s="1"/>
  <c r="J207" i="27" s="1"/>
  <c r="BG190" i="18"/>
  <c r="BH190" i="18" s="1"/>
  <c r="BI190" i="18" s="1"/>
  <c r="BE150" i="18"/>
  <c r="BF150" i="18" s="1"/>
  <c r="J167" i="27" s="1"/>
  <c r="BG150" i="18"/>
  <c r="BH150" i="18" s="1"/>
  <c r="BI150" i="18" s="1"/>
  <c r="AV141" i="18"/>
  <c r="AW141" i="18" s="1"/>
  <c r="I158" i="27" s="1"/>
  <c r="AX141" i="18"/>
  <c r="AY141" i="18" s="1"/>
  <c r="AZ141" i="18" s="1"/>
  <c r="AM118" i="18"/>
  <c r="AN118" i="18" s="1"/>
  <c r="H133" i="27" s="1"/>
  <c r="AV107" i="18"/>
  <c r="AW107" i="18" s="1"/>
  <c r="I122" i="27" s="1"/>
  <c r="AX107" i="18"/>
  <c r="AY107" i="18" s="1"/>
  <c r="AZ107" i="18" s="1"/>
  <c r="AV162" i="18"/>
  <c r="AW162" i="18" s="1"/>
  <c r="I179" i="27" s="1"/>
  <c r="AX162" i="18"/>
  <c r="AY162" i="18" s="1"/>
  <c r="AZ162" i="18" s="1"/>
  <c r="AV152" i="18"/>
  <c r="AW152" i="18" s="1"/>
  <c r="I169" i="27" s="1"/>
  <c r="AX152" i="18"/>
  <c r="AM185" i="18"/>
  <c r="AN185" i="18" s="1"/>
  <c r="H202" i="27" s="1"/>
  <c r="AO185" i="18"/>
  <c r="AP185" i="18" s="1"/>
  <c r="AQ185" i="18" s="1"/>
  <c r="AM179" i="18"/>
  <c r="AN179" i="18" s="1"/>
  <c r="H196" i="27" s="1"/>
  <c r="AC173" i="18"/>
  <c r="AD173" i="18" s="1"/>
  <c r="G190" i="27" s="1"/>
  <c r="AF173" i="18"/>
  <c r="AG173" i="18" s="1"/>
  <c r="AH173" i="18" s="1"/>
  <c r="AM192" i="18"/>
  <c r="AN192" i="18" s="1"/>
  <c r="H209" i="27" s="1"/>
  <c r="AO192" i="18"/>
  <c r="AP192" i="18" s="1"/>
  <c r="AQ192" i="18" s="1"/>
  <c r="BE20" i="24"/>
  <c r="BF20" i="24" s="1"/>
  <c r="J36" i="27" s="1"/>
  <c r="BE21" i="18"/>
  <c r="BF21" i="18" s="1"/>
  <c r="J27" i="27" s="1"/>
  <c r="BG21" i="18"/>
  <c r="BH21" i="18" s="1"/>
  <c r="BI21" i="18" s="1"/>
  <c r="BE17" i="18"/>
  <c r="BF17" i="18" s="1"/>
  <c r="J22" i="27" s="1"/>
  <c r="BG17" i="18"/>
  <c r="BH17" i="18" s="1"/>
  <c r="BI17" i="18" s="1"/>
  <c r="AV18" i="24"/>
  <c r="AW18" i="24" s="1"/>
  <c r="I32" i="27" s="1"/>
  <c r="AV7" i="18"/>
  <c r="AW7" i="18" s="1"/>
  <c r="AX7" i="18"/>
  <c r="AY7" i="18" s="1"/>
  <c r="AZ7" i="18" s="1"/>
  <c r="AT13" i="24"/>
  <c r="AU13" i="24" s="1"/>
  <c r="AV13" i="24" s="1"/>
  <c r="AW13" i="24" s="1"/>
  <c r="I21" i="27" s="1"/>
  <c r="S27" i="18"/>
  <c r="T27" i="18" s="1"/>
  <c r="F35" i="27" s="1"/>
  <c r="V27" i="18"/>
  <c r="W27" i="18" s="1"/>
  <c r="X27" i="18" s="1"/>
  <c r="AV12" i="24"/>
  <c r="AW12" i="24" s="1"/>
  <c r="I20" i="27" s="1"/>
  <c r="AA21" i="24"/>
  <c r="AB21" i="24" s="1"/>
  <c r="AC21" i="24" s="1"/>
  <c r="AD21" i="24" s="1"/>
  <c r="G37" i="27" s="1"/>
  <c r="AM11" i="18"/>
  <c r="AN11" i="18" s="1"/>
  <c r="H14" i="27" s="1"/>
  <c r="AK18" i="24"/>
  <c r="AL18" i="24" s="1"/>
  <c r="AM18" i="24" s="1"/>
  <c r="AN18" i="24" s="1"/>
  <c r="H32" i="27" s="1"/>
  <c r="Q18" i="24"/>
  <c r="R18" i="24" s="1"/>
  <c r="S18" i="24" s="1"/>
  <c r="T18" i="24" s="1"/>
  <c r="F32" i="27" s="1"/>
  <c r="AA18" i="24"/>
  <c r="AB18" i="24" s="1"/>
  <c r="AC18" i="24" s="1"/>
  <c r="AD18" i="24" s="1"/>
  <c r="G32" i="27" s="1"/>
  <c r="AC20" i="24"/>
  <c r="AD20" i="24" s="1"/>
  <c r="G36" i="27" s="1"/>
  <c r="AV14" i="24"/>
  <c r="AW14" i="24" s="1"/>
  <c r="I24" i="27" s="1"/>
  <c r="AV20" i="24"/>
  <c r="AW20" i="24" s="1"/>
  <c r="I36" i="27" s="1"/>
  <c r="AM29" i="18"/>
  <c r="AN29" i="18" s="1"/>
  <c r="H38" i="27" s="1"/>
  <c r="AC31" i="18"/>
  <c r="AD31" i="18" s="1"/>
  <c r="BG13" i="18"/>
  <c r="BH13" i="18" s="1"/>
  <c r="BI13" i="18" s="1"/>
  <c r="BE13" i="18"/>
  <c r="BF13" i="18" s="1"/>
  <c r="AF25" i="18"/>
  <c r="AG25" i="18" s="1"/>
  <c r="AH25" i="18" s="1"/>
  <c r="AC25" i="18"/>
  <c r="AD25" i="18" s="1"/>
  <c r="S163" i="12"/>
  <c r="S39" i="12"/>
  <c r="S68" i="12"/>
  <c r="S102" i="12"/>
  <c r="S71" i="12"/>
  <c r="S131" i="12"/>
  <c r="S63" i="12"/>
  <c r="S38" i="12"/>
  <c r="S40" i="12"/>
  <c r="V22" i="28"/>
  <c r="W22" i="28"/>
  <c r="X22" i="28"/>
  <c r="V22" i="11"/>
  <c r="W22" i="11"/>
  <c r="X22" i="11"/>
  <c r="AC71" i="18"/>
  <c r="AD71" i="18" s="1"/>
  <c r="G86" i="27" s="1"/>
  <c r="AF71" i="18"/>
  <c r="AG71" i="18" s="1"/>
  <c r="AH71" i="18" s="1"/>
  <c r="AC87" i="18"/>
  <c r="AD87" i="18" s="1"/>
  <c r="G102" i="27" s="1"/>
  <c r="AF87" i="18"/>
  <c r="AG87" i="18" s="1"/>
  <c r="AH87" i="18" s="1"/>
  <c r="AM141" i="18"/>
  <c r="AN141" i="18" s="1"/>
  <c r="H158" i="27" s="1"/>
  <c r="AO141" i="18"/>
  <c r="AP141" i="18" s="1"/>
  <c r="AQ141" i="18" s="1"/>
  <c r="BE135" i="18"/>
  <c r="BF135" i="18" s="1"/>
  <c r="J152" i="27" s="1"/>
  <c r="BG135" i="18"/>
  <c r="BH135" i="18" s="1"/>
  <c r="BI135" i="18" s="1"/>
  <c r="AC185" i="18"/>
  <c r="AD185" i="18" s="1"/>
  <c r="G202" i="27" s="1"/>
  <c r="AF185" i="18"/>
  <c r="AG185" i="18" s="1"/>
  <c r="AH185" i="18" s="1"/>
  <c r="S55" i="18"/>
  <c r="T55" i="18" s="1"/>
  <c r="F70" i="27" s="1"/>
  <c r="V55" i="18"/>
  <c r="W55" i="18" s="1"/>
  <c r="X55" i="18" s="1"/>
  <c r="V24" i="28"/>
  <c r="W24" i="28"/>
  <c r="X24" i="28"/>
  <c r="V24" i="11"/>
  <c r="W24" i="11"/>
  <c r="X24" i="11"/>
  <c r="N38" i="18"/>
  <c r="AI38" i="1"/>
  <c r="AO38" i="1"/>
  <c r="R38" i="12"/>
  <c r="X72" i="28"/>
  <c r="W72" i="28"/>
  <c r="V72" i="28"/>
  <c r="X57" i="11"/>
  <c r="V57" i="11"/>
  <c r="W57" i="11"/>
  <c r="V42" i="28"/>
  <c r="W42" i="28"/>
  <c r="X42" i="28"/>
  <c r="V54" i="28"/>
  <c r="X54" i="28"/>
  <c r="W54" i="28"/>
  <c r="V42" i="11"/>
  <c r="W42" i="11"/>
  <c r="X42" i="11"/>
  <c r="X4" i="28"/>
  <c r="W4" i="28"/>
  <c r="V4" i="28"/>
  <c r="X4" i="11"/>
  <c r="W4" i="11"/>
  <c r="V4" i="11"/>
  <c r="AK31" i="24"/>
  <c r="AL31" i="24" s="1"/>
  <c r="AM31" i="24" s="1"/>
  <c r="AN31" i="24" s="1"/>
  <c r="H62" i="27" s="1"/>
  <c r="AA31" i="24"/>
  <c r="AB31" i="24" s="1"/>
  <c r="AC31" i="24" s="1"/>
  <c r="AD31" i="24" s="1"/>
  <c r="G62" i="27" s="1"/>
  <c r="X186" i="28"/>
  <c r="W186" i="28"/>
  <c r="V186" i="28"/>
  <c r="V169" i="11"/>
  <c r="W169" i="11"/>
  <c r="X169" i="11"/>
  <c r="AV74" i="18"/>
  <c r="AW74" i="18" s="1"/>
  <c r="I89" i="27" s="1"/>
  <c r="AX74" i="18"/>
  <c r="AY74" i="18" s="1"/>
  <c r="AZ74" i="18" s="1"/>
  <c r="N12" i="18"/>
  <c r="AI12" i="1"/>
  <c r="AO12" i="1"/>
  <c r="R12" i="12"/>
  <c r="V21" i="28"/>
  <c r="W21" i="28"/>
  <c r="X21" i="28"/>
  <c r="AC21" i="18"/>
  <c r="AD21" i="18" s="1"/>
  <c r="G27" i="27" s="1"/>
  <c r="V21" i="11"/>
  <c r="W21" i="11"/>
  <c r="X21" i="11"/>
  <c r="N24" i="18"/>
  <c r="AI24" i="1"/>
  <c r="AO24" i="1"/>
  <c r="R24" i="12"/>
  <c r="X82" i="28"/>
  <c r="W82" i="28"/>
  <c r="V82" i="28"/>
  <c r="V67" i="11"/>
  <c r="W67" i="11"/>
  <c r="X67" i="11"/>
  <c r="BD43" i="24"/>
  <c r="BE43" i="24" s="1"/>
  <c r="BF43" i="24" s="1"/>
  <c r="J168" i="27" s="1"/>
  <c r="BE70" i="18"/>
  <c r="BF70" i="18" s="1"/>
  <c r="J85" i="27" s="1"/>
  <c r="BG70" i="18"/>
  <c r="BH70" i="18" s="1"/>
  <c r="BI70" i="18" s="1"/>
  <c r="S28" i="24"/>
  <c r="T28" i="24" s="1"/>
  <c r="F59" i="27" s="1"/>
  <c r="AV78" i="18"/>
  <c r="AW78" i="18" s="1"/>
  <c r="I93" i="27" s="1"/>
  <c r="AX78" i="18"/>
  <c r="AY78" i="18" s="1"/>
  <c r="AZ78" i="18" s="1"/>
  <c r="BD45" i="24"/>
  <c r="BE45" i="24" s="1"/>
  <c r="BF45" i="24" s="1"/>
  <c r="J176" i="27" s="1"/>
  <c r="AT31" i="24"/>
  <c r="AU31" i="24" s="1"/>
  <c r="AV31" i="24" s="1"/>
  <c r="AW31" i="24" s="1"/>
  <c r="I62" i="27" s="1"/>
  <c r="M51" i="18"/>
  <c r="Q51" i="12"/>
  <c r="AB57" i="18"/>
  <c r="AC61" i="18"/>
  <c r="AD61" i="18" s="1"/>
  <c r="G76" i="27" s="1"/>
  <c r="AF61" i="18"/>
  <c r="AG61" i="18" s="1"/>
  <c r="AH61" i="18" s="1"/>
  <c r="BE95" i="18"/>
  <c r="BF95" i="18" s="1"/>
  <c r="J110" i="27" s="1"/>
  <c r="BG95" i="18"/>
  <c r="BH95" i="18" s="1"/>
  <c r="BI95" i="18" s="1"/>
  <c r="BE69" i="18"/>
  <c r="BF69" i="18" s="1"/>
  <c r="J84" i="27" s="1"/>
  <c r="BG69" i="18"/>
  <c r="BH69" i="18" s="1"/>
  <c r="BI69" i="18" s="1"/>
  <c r="AM87" i="18"/>
  <c r="AN87" i="18" s="1"/>
  <c r="H102" i="27" s="1"/>
  <c r="AO87" i="18"/>
  <c r="AP87" i="18" s="1"/>
  <c r="AQ87" i="18" s="1"/>
  <c r="AC59" i="18"/>
  <c r="AD59" i="18" s="1"/>
  <c r="G74" i="27" s="1"/>
  <c r="AF59" i="18"/>
  <c r="AG59" i="18" s="1"/>
  <c r="AH59" i="18" s="1"/>
  <c r="AV69" i="18"/>
  <c r="AW69" i="18" s="1"/>
  <c r="I84" i="27" s="1"/>
  <c r="AX69" i="18"/>
  <c r="AY69" i="18" s="1"/>
  <c r="AZ69" i="18" s="1"/>
  <c r="AU65" i="18"/>
  <c r="BE115" i="18"/>
  <c r="BF115" i="18" s="1"/>
  <c r="J130" i="27" s="1"/>
  <c r="BG115" i="18"/>
  <c r="BH115" i="18" s="1"/>
  <c r="BI115" i="18" s="1"/>
  <c r="AC114" i="18"/>
  <c r="AD114" i="18" s="1"/>
  <c r="G129" i="27" s="1"/>
  <c r="AF114" i="18"/>
  <c r="AG114" i="18" s="1"/>
  <c r="AH114" i="18" s="1"/>
  <c r="BE133" i="18"/>
  <c r="BF133" i="18" s="1"/>
  <c r="J150" i="27" s="1"/>
  <c r="BG133" i="18"/>
  <c r="BH133" i="18" s="1"/>
  <c r="BI133" i="18" s="1"/>
  <c r="AV118" i="18"/>
  <c r="AW118" i="18" s="1"/>
  <c r="I133" i="27" s="1"/>
  <c r="AX118" i="18"/>
  <c r="AY118" i="18" s="1"/>
  <c r="AZ118" i="18" s="1"/>
  <c r="AC102" i="18"/>
  <c r="AD102" i="18" s="1"/>
  <c r="G117" i="27" s="1"/>
  <c r="AV84" i="18"/>
  <c r="AW84" i="18" s="1"/>
  <c r="I99" i="27" s="1"/>
  <c r="AX84" i="18"/>
  <c r="AY84" i="18" s="1"/>
  <c r="AZ84" i="18" s="1"/>
  <c r="BE154" i="18"/>
  <c r="BF154" i="18" s="1"/>
  <c r="J171" i="27" s="1"/>
  <c r="BG154" i="18"/>
  <c r="BH154" i="18" s="1"/>
  <c r="BI154" i="18" s="1"/>
  <c r="BE116" i="18"/>
  <c r="BF116" i="18" s="1"/>
  <c r="J131" i="27" s="1"/>
  <c r="BG116" i="18"/>
  <c r="BH116" i="18" s="1"/>
  <c r="BI116" i="18" s="1"/>
  <c r="AC109" i="18"/>
  <c r="AD109" i="18" s="1"/>
  <c r="G124" i="27" s="1"/>
  <c r="AF109" i="18"/>
  <c r="AG109" i="18" s="1"/>
  <c r="AH109" i="18" s="1"/>
  <c r="BE158" i="18"/>
  <c r="BF158" i="18" s="1"/>
  <c r="J175" i="27" s="1"/>
  <c r="BG158" i="18"/>
  <c r="BH158" i="18" s="1"/>
  <c r="BI158" i="18" s="1"/>
  <c r="BE166" i="18"/>
  <c r="BF166" i="18" s="1"/>
  <c r="J183" i="27" s="1"/>
  <c r="BG166" i="18"/>
  <c r="BH166" i="18" s="1"/>
  <c r="BI166" i="18" s="1"/>
  <c r="AC119" i="18"/>
  <c r="AD119" i="18" s="1"/>
  <c r="G134" i="27" s="1"/>
  <c r="G141" i="27" s="1"/>
  <c r="BP9" i="18"/>
  <c r="AF132" i="18" s="1"/>
  <c r="BP8" i="18"/>
  <c r="AF129" i="18" s="1"/>
  <c r="AG129" i="18" s="1"/>
  <c r="AH129" i="18" s="1"/>
  <c r="BP7" i="18"/>
  <c r="AF125" i="18" s="1"/>
  <c r="AG125" i="18" s="1"/>
  <c r="AH125" i="18" s="1"/>
  <c r="AF119" i="18"/>
  <c r="AG119" i="18" s="1"/>
  <c r="AH119" i="18" s="1"/>
  <c r="BP6" i="18"/>
  <c r="AF123" i="18" s="1"/>
  <c r="BE114" i="18"/>
  <c r="BF114" i="18" s="1"/>
  <c r="J129" i="27" s="1"/>
  <c r="BG114" i="18"/>
  <c r="BH114" i="18" s="1"/>
  <c r="BI114" i="18" s="1"/>
  <c r="AC164" i="18"/>
  <c r="AD164" i="18" s="1"/>
  <c r="G181" i="27" s="1"/>
  <c r="AF164" i="18"/>
  <c r="AG164" i="18" s="1"/>
  <c r="AH164" i="18" s="1"/>
  <c r="AM127" i="18"/>
  <c r="AN127" i="18" s="1"/>
  <c r="H144" i="27" s="1"/>
  <c r="AV187" i="18"/>
  <c r="AW187" i="18" s="1"/>
  <c r="I204" i="27" s="1"/>
  <c r="AX187" i="18"/>
  <c r="AY187" i="18" s="1"/>
  <c r="AZ187" i="18" s="1"/>
  <c r="AM187" i="18"/>
  <c r="AN187" i="18" s="1"/>
  <c r="H204" i="27" s="1"/>
  <c r="AO187" i="18"/>
  <c r="AP187" i="18" s="1"/>
  <c r="AQ187" i="18" s="1"/>
  <c r="BE181" i="18"/>
  <c r="BF181" i="18" s="1"/>
  <c r="J198" i="27" s="1"/>
  <c r="BG181" i="18"/>
  <c r="BH181" i="18" s="1"/>
  <c r="BI181" i="18" s="1"/>
  <c r="BE29" i="18"/>
  <c r="BF29" i="18" s="1"/>
  <c r="J38" i="27" s="1"/>
  <c r="BG29" i="18"/>
  <c r="BH29" i="18" s="1"/>
  <c r="BI29" i="18" s="1"/>
  <c r="BE179" i="18"/>
  <c r="BF179" i="18" s="1"/>
  <c r="J196" i="27" s="1"/>
  <c r="BG179" i="18"/>
  <c r="BH179" i="18" s="1"/>
  <c r="BI179" i="18" s="1"/>
  <c r="BE33" i="18"/>
  <c r="BF33" i="18" s="1"/>
  <c r="J43" i="27" s="1"/>
  <c r="BG33" i="18"/>
  <c r="BH33" i="18" s="1"/>
  <c r="BI33" i="18" s="1"/>
  <c r="BE12" i="24"/>
  <c r="BF12" i="24" s="1"/>
  <c r="J20" i="27" s="1"/>
  <c r="AC181" i="18"/>
  <c r="AD181" i="18" s="1"/>
  <c r="G198" i="27" s="1"/>
  <c r="AF181" i="18"/>
  <c r="AG181" i="18" s="1"/>
  <c r="AH181" i="18" s="1"/>
  <c r="AV21" i="18"/>
  <c r="AW21" i="18" s="1"/>
  <c r="I27" i="27" s="1"/>
  <c r="AX21" i="18"/>
  <c r="AY21" i="18" s="1"/>
  <c r="AZ21" i="18" s="1"/>
  <c r="AM169" i="18"/>
  <c r="AN169" i="18" s="1"/>
  <c r="H186" i="27" s="1"/>
  <c r="AV17" i="18"/>
  <c r="AW17" i="18" s="1"/>
  <c r="I22" i="27" s="1"/>
  <c r="AX17" i="18"/>
  <c r="AY17" i="18" s="1"/>
  <c r="AZ17" i="18" s="1"/>
  <c r="AU10" i="24"/>
  <c r="AV10" i="24" s="1"/>
  <c r="AW10" i="24" s="1"/>
  <c r="I16" i="27" s="1"/>
  <c r="Q10" i="24"/>
  <c r="R10" i="24" s="1"/>
  <c r="S10" i="24" s="1"/>
  <c r="T10" i="24" s="1"/>
  <c r="F16" i="27" s="1"/>
  <c r="AK10" i="24"/>
  <c r="AL10" i="24" s="1"/>
  <c r="AM10" i="24" s="1"/>
  <c r="AN10" i="24" s="1"/>
  <c r="H16" i="27" s="1"/>
  <c r="AV23" i="24"/>
  <c r="AW23" i="24" s="1"/>
  <c r="I41" i="27" s="1"/>
  <c r="BD7" i="24"/>
  <c r="BE7" i="24" s="1"/>
  <c r="BF7" i="24" s="1"/>
  <c r="J9" i="27" s="1"/>
  <c r="AA26" i="24"/>
  <c r="AB26" i="24" s="1"/>
  <c r="AC26" i="24" s="1"/>
  <c r="AD26" i="24" s="1"/>
  <c r="G47" i="27" s="1"/>
  <c r="AT26" i="24"/>
  <c r="AU26" i="24" s="1"/>
  <c r="AV26" i="24" s="1"/>
  <c r="AW26" i="24" s="1"/>
  <c r="I47" i="27" s="1"/>
  <c r="AK26" i="24"/>
  <c r="AL26" i="24" s="1"/>
  <c r="AM26" i="24" s="1"/>
  <c r="AN26" i="24" s="1"/>
  <c r="H47" i="27" s="1"/>
  <c r="AM5" i="18"/>
  <c r="AN5" i="18" s="1"/>
  <c r="H6" i="27" s="1"/>
  <c r="BE9" i="24"/>
  <c r="BF9" i="24" s="1"/>
  <c r="J13" i="27" s="1"/>
  <c r="AM20" i="24"/>
  <c r="AN20" i="24" s="1"/>
  <c r="H36" i="27" s="1"/>
  <c r="AM21" i="18"/>
  <c r="AN21" i="18" s="1"/>
  <c r="H27" i="27" s="1"/>
  <c r="AJ4" i="21"/>
  <c r="S148" i="12"/>
  <c r="AC4" i="18"/>
  <c r="AD4" i="18" s="1"/>
  <c r="AF4" i="18"/>
  <c r="AG4" i="18" s="1"/>
  <c r="AH4" i="18" s="1"/>
  <c r="S69" i="12"/>
  <c r="S181" i="12"/>
  <c r="S164" i="12"/>
  <c r="S65" i="12"/>
  <c r="S8" i="12"/>
  <c r="S127" i="12"/>
  <c r="S103" i="12"/>
  <c r="S34" i="12"/>
  <c r="S154" i="12"/>
  <c r="S86" i="12"/>
  <c r="S50" i="12"/>
  <c r="S66" i="12"/>
  <c r="V6" i="28"/>
  <c r="W6" i="28"/>
  <c r="X6" i="28"/>
  <c r="V6" i="11"/>
  <c r="W6" i="11"/>
  <c r="X6" i="11"/>
  <c r="X90" i="28"/>
  <c r="W90" i="28"/>
  <c r="V90" i="28"/>
  <c r="V75" i="11"/>
  <c r="W75" i="11"/>
  <c r="X75" i="11"/>
  <c r="AV55" i="18"/>
  <c r="AW55" i="18" s="1"/>
  <c r="I70" i="27" s="1"/>
  <c r="AX55" i="18"/>
  <c r="AY55" i="18" s="1"/>
  <c r="AZ55" i="18" s="1"/>
  <c r="AC94" i="18"/>
  <c r="AD94" i="18" s="1"/>
  <c r="G109" i="27" s="1"/>
  <c r="AF94" i="18"/>
  <c r="AG94" i="18" s="1"/>
  <c r="AH94" i="18" s="1"/>
  <c r="AV96" i="18"/>
  <c r="AW96" i="18" s="1"/>
  <c r="I111" i="27" s="1"/>
  <c r="AX96" i="18"/>
  <c r="AY96" i="18" s="1"/>
  <c r="AZ96" i="18" s="1"/>
  <c r="AM177" i="18"/>
  <c r="AN177" i="18" s="1"/>
  <c r="H194" i="27" s="1"/>
  <c r="AO177" i="18"/>
  <c r="AP177" i="18" s="1"/>
  <c r="AQ177" i="18" s="1"/>
  <c r="BE35" i="18"/>
  <c r="BF35" i="18" s="1"/>
  <c r="J46" i="27" s="1"/>
  <c r="BG35" i="18"/>
  <c r="BH35" i="18" s="1"/>
  <c r="BI35" i="18" s="1"/>
  <c r="AA8" i="24"/>
  <c r="AB8" i="24" s="1"/>
  <c r="AC8" i="24" s="1"/>
  <c r="AD8" i="24" s="1"/>
  <c r="G12" i="27" s="1"/>
  <c r="AK8" i="24"/>
  <c r="AL8" i="24" s="1"/>
  <c r="AM8" i="24" s="1"/>
  <c r="AN8" i="24" s="1"/>
  <c r="H12" i="27" s="1"/>
  <c r="BE31" i="18"/>
  <c r="BF31" i="18" s="1"/>
  <c r="BG31" i="18"/>
  <c r="BH31" i="18" s="1"/>
  <c r="BI31" i="18" s="1"/>
  <c r="T61" i="12"/>
  <c r="U61" i="12" s="1"/>
  <c r="V61" i="12" s="1"/>
  <c r="W61" i="12" s="1"/>
  <c r="AA61" i="12"/>
  <c r="AO61" i="12"/>
  <c r="T141" i="12"/>
  <c r="U141" i="12" s="1"/>
  <c r="V141" i="12" s="1"/>
  <c r="W141" i="12" s="1"/>
  <c r="AA141" i="12"/>
  <c r="AO141" i="12"/>
  <c r="AA153" i="12"/>
  <c r="T153" i="12"/>
  <c r="U153" i="12" s="1"/>
  <c r="AO153" i="12"/>
  <c r="AA85" i="12"/>
  <c r="AO85" i="12"/>
  <c r="T85" i="12"/>
  <c r="U85" i="12" s="1"/>
  <c r="AR127" i="1"/>
  <c r="AP127" i="1"/>
  <c r="V33" i="28"/>
  <c r="W33" i="28"/>
  <c r="X33" i="28"/>
  <c r="AC33" i="18"/>
  <c r="AD33" i="18" s="1"/>
  <c r="G43" i="27" s="1"/>
  <c r="X33" i="11"/>
  <c r="V33" i="11"/>
  <c r="W33" i="11"/>
  <c r="X65" i="28"/>
  <c r="W65" i="28"/>
  <c r="V65" i="28"/>
  <c r="V50" i="11"/>
  <c r="W50" i="11"/>
  <c r="X50" i="11"/>
  <c r="W201" i="28"/>
  <c r="V201" i="28"/>
  <c r="X201" i="28"/>
  <c r="V184" i="11"/>
  <c r="W184" i="11"/>
  <c r="X184" i="11"/>
  <c r="AK12" i="1"/>
  <c r="V15" i="25" s="1"/>
  <c r="Z15" i="25" s="1"/>
  <c r="AA15" i="25" s="1"/>
  <c r="AB15" i="25" s="1"/>
  <c r="N8" i="18"/>
  <c r="AI8" i="1"/>
  <c r="AO8" i="1"/>
  <c r="R8" i="12"/>
  <c r="X68" i="28"/>
  <c r="W68" i="28"/>
  <c r="V68" i="28"/>
  <c r="V53" i="11"/>
  <c r="W53" i="11"/>
  <c r="X53" i="11"/>
  <c r="V37" i="28"/>
  <c r="W37" i="28"/>
  <c r="X37" i="28"/>
  <c r="X49" i="28"/>
  <c r="W49" i="28"/>
  <c r="V49" i="28"/>
  <c r="V37" i="11"/>
  <c r="W37" i="11"/>
  <c r="X37" i="11"/>
  <c r="N14" i="18"/>
  <c r="AI14" i="1"/>
  <c r="AO14" i="1"/>
  <c r="R14" i="12"/>
  <c r="X121" i="28"/>
  <c r="W121" i="28"/>
  <c r="V121" i="28"/>
  <c r="S106" i="18"/>
  <c r="T106" i="18" s="1"/>
  <c r="F121" i="27" s="1"/>
  <c r="V106" i="11"/>
  <c r="W106" i="11"/>
  <c r="X106" i="11"/>
  <c r="Q44" i="24"/>
  <c r="R44" i="24" s="1"/>
  <c r="S44" i="24" s="1"/>
  <c r="T44" i="24" s="1"/>
  <c r="F172" i="27" s="1"/>
  <c r="AT44" i="24"/>
  <c r="AU44" i="24" s="1"/>
  <c r="AV44" i="24" s="1"/>
  <c r="AW44" i="24" s="1"/>
  <c r="I172" i="27" s="1"/>
  <c r="AK44" i="24"/>
  <c r="AL44" i="24" s="1"/>
  <c r="AM44" i="24" s="1"/>
  <c r="AN44" i="24" s="1"/>
  <c r="H172" i="27" s="1"/>
  <c r="V7" i="28"/>
  <c r="W7" i="28"/>
  <c r="X7" i="28"/>
  <c r="V7" i="11"/>
  <c r="W7" i="11"/>
  <c r="X7" i="11"/>
  <c r="V32" i="28"/>
  <c r="W32" i="28"/>
  <c r="X32" i="28"/>
  <c r="V32" i="11"/>
  <c r="W32" i="11"/>
  <c r="X32" i="11"/>
  <c r="X170" i="28"/>
  <c r="W170" i="28"/>
  <c r="V170" i="28"/>
  <c r="W153" i="11"/>
  <c r="X153" i="11"/>
  <c r="V153" i="11"/>
  <c r="BE47" i="24"/>
  <c r="BF47" i="24" s="1"/>
  <c r="J184" i="27" s="1"/>
  <c r="BE28" i="24"/>
  <c r="BF28" i="24" s="1"/>
  <c r="J59" i="27" s="1"/>
  <c r="AV70" i="18"/>
  <c r="AW70" i="18" s="1"/>
  <c r="I85" i="27" s="1"/>
  <c r="AX70" i="18"/>
  <c r="AY70" i="18" s="1"/>
  <c r="AZ70" i="18" s="1"/>
  <c r="AC82" i="18"/>
  <c r="AD82" i="18" s="1"/>
  <c r="G97" i="27" s="1"/>
  <c r="AF82" i="18"/>
  <c r="AG82" i="18" s="1"/>
  <c r="AH82" i="18" s="1"/>
  <c r="BC48" i="24"/>
  <c r="BD48" i="24" s="1"/>
  <c r="BE48" i="24" s="1"/>
  <c r="BF48" i="24" s="1"/>
  <c r="J188" i="27" s="1"/>
  <c r="AU45" i="24"/>
  <c r="AV45" i="24" s="1"/>
  <c r="AW45" i="24" s="1"/>
  <c r="I176" i="27" s="1"/>
  <c r="BD41" i="24"/>
  <c r="BE41" i="24" s="1"/>
  <c r="BF41" i="24" s="1"/>
  <c r="J146" i="27" s="1"/>
  <c r="BC31" i="24"/>
  <c r="BD31" i="24" s="1"/>
  <c r="BE31" i="24" s="1"/>
  <c r="BF31" i="24" s="1"/>
  <c r="J62" i="27" s="1"/>
  <c r="AR51" i="1"/>
  <c r="AP51" i="1"/>
  <c r="AM61" i="18"/>
  <c r="AN61" i="18" s="1"/>
  <c r="H76" i="27" s="1"/>
  <c r="AO61" i="18"/>
  <c r="AP61" i="18" s="1"/>
  <c r="AQ61" i="18" s="1"/>
  <c r="AV61" i="18"/>
  <c r="AW61" i="18" s="1"/>
  <c r="I76" i="27" s="1"/>
  <c r="AX61" i="18"/>
  <c r="AY61" i="18" s="1"/>
  <c r="AZ61" i="18" s="1"/>
  <c r="AV95" i="18"/>
  <c r="AW95" i="18" s="1"/>
  <c r="I110" i="27" s="1"/>
  <c r="AX95" i="18"/>
  <c r="AY95" i="18" s="1"/>
  <c r="AZ95" i="18" s="1"/>
  <c r="BE97" i="18"/>
  <c r="BF97" i="18" s="1"/>
  <c r="J112" i="27" s="1"/>
  <c r="BG97" i="18"/>
  <c r="BH97" i="18" s="1"/>
  <c r="BI97" i="18" s="1"/>
  <c r="BE72" i="18"/>
  <c r="BF72" i="18" s="1"/>
  <c r="J87" i="27" s="1"/>
  <c r="BG72" i="18"/>
  <c r="BH72" i="18" s="1"/>
  <c r="BI72" i="18" s="1"/>
  <c r="AV59" i="18"/>
  <c r="AW59" i="18" s="1"/>
  <c r="I74" i="27" s="1"/>
  <c r="AX59" i="18"/>
  <c r="AY59" i="18" s="1"/>
  <c r="AZ59" i="18" s="1"/>
  <c r="AM71" i="18"/>
  <c r="AN71" i="18" s="1"/>
  <c r="H86" i="27" s="1"/>
  <c r="AO71" i="18"/>
  <c r="AP71" i="18" s="1"/>
  <c r="AQ71" i="18" s="1"/>
  <c r="AB65" i="18"/>
  <c r="BE75" i="18"/>
  <c r="BF75" i="18" s="1"/>
  <c r="J90" i="27" s="1"/>
  <c r="AC115" i="18"/>
  <c r="AD115" i="18" s="1"/>
  <c r="G130" i="27" s="1"/>
  <c r="AF115" i="18"/>
  <c r="AG115" i="18" s="1"/>
  <c r="AH115" i="18" s="1"/>
  <c r="AC116" i="18"/>
  <c r="AD116" i="18" s="1"/>
  <c r="G131" i="27" s="1"/>
  <c r="AF116" i="18"/>
  <c r="AG116" i="18" s="1"/>
  <c r="AH116" i="18" s="1"/>
  <c r="BE71" i="18"/>
  <c r="BF71" i="18" s="1"/>
  <c r="J86" i="27" s="1"/>
  <c r="BG71" i="18"/>
  <c r="BH71" i="18" s="1"/>
  <c r="BI71" i="18" s="1"/>
  <c r="AV133" i="18"/>
  <c r="AW133" i="18" s="1"/>
  <c r="I150" i="27" s="1"/>
  <c r="AX133" i="18"/>
  <c r="AY133" i="18" s="1"/>
  <c r="AZ133" i="18" s="1"/>
  <c r="BE87" i="18"/>
  <c r="BF87" i="18" s="1"/>
  <c r="J102" i="27" s="1"/>
  <c r="BG87" i="18"/>
  <c r="BH87" i="18" s="1"/>
  <c r="BI87" i="18" s="1"/>
  <c r="AM84" i="18"/>
  <c r="AN84" i="18" s="1"/>
  <c r="H99" i="27" s="1"/>
  <c r="AO84" i="18"/>
  <c r="AP84" i="18" s="1"/>
  <c r="AQ84" i="18" s="1"/>
  <c r="BE102" i="18"/>
  <c r="BF102" i="18" s="1"/>
  <c r="J117" i="27" s="1"/>
  <c r="BG102" i="18"/>
  <c r="BH102" i="18" s="1"/>
  <c r="BI102" i="18" s="1"/>
  <c r="AM106" i="18"/>
  <c r="AN106" i="18" s="1"/>
  <c r="H121" i="27" s="1"/>
  <c r="BE164" i="18"/>
  <c r="BF164" i="18" s="1"/>
  <c r="J181" i="27" s="1"/>
  <c r="BG164" i="18"/>
  <c r="BH164" i="18" s="1"/>
  <c r="BI164" i="18" s="1"/>
  <c r="AV116" i="18"/>
  <c r="AW116" i="18" s="1"/>
  <c r="I131" i="27" s="1"/>
  <c r="AX116" i="18"/>
  <c r="AY116" i="18" s="1"/>
  <c r="AZ116" i="18" s="1"/>
  <c r="AV109" i="18"/>
  <c r="AW109" i="18" s="1"/>
  <c r="I124" i="27" s="1"/>
  <c r="AX109" i="18"/>
  <c r="AY109" i="18" s="1"/>
  <c r="AZ109" i="18" s="1"/>
  <c r="AV158" i="18"/>
  <c r="AW158" i="18" s="1"/>
  <c r="I175" i="27" s="1"/>
  <c r="AX158" i="18"/>
  <c r="AY158" i="18" s="1"/>
  <c r="AZ158" i="18" s="1"/>
  <c r="AV166" i="18"/>
  <c r="AW166" i="18" s="1"/>
  <c r="I183" i="27" s="1"/>
  <c r="AX166" i="18"/>
  <c r="AY166" i="18" s="1"/>
  <c r="AZ166" i="18" s="1"/>
  <c r="AC120" i="18"/>
  <c r="AD120" i="18" s="1"/>
  <c r="G135" i="27" s="1"/>
  <c r="AF120" i="18"/>
  <c r="AG120" i="18" s="1"/>
  <c r="AH120" i="18" s="1"/>
  <c r="AV114" i="18"/>
  <c r="AW114" i="18" s="1"/>
  <c r="I129" i="27" s="1"/>
  <c r="AX114" i="18"/>
  <c r="AY114" i="18" s="1"/>
  <c r="AZ114" i="18" s="1"/>
  <c r="BE174" i="18"/>
  <c r="BF174" i="18" s="1"/>
  <c r="J191" i="27" s="1"/>
  <c r="BG174" i="18"/>
  <c r="BH174" i="18" s="1"/>
  <c r="BI174" i="18" s="1"/>
  <c r="AV157" i="18"/>
  <c r="AW157" i="18" s="1"/>
  <c r="I174" i="27" s="1"/>
  <c r="AX157" i="18"/>
  <c r="AY157" i="18" s="1"/>
  <c r="AZ157" i="18" s="1"/>
  <c r="AV182" i="18"/>
  <c r="AW182" i="18" s="1"/>
  <c r="I199" i="27" s="1"/>
  <c r="AV29" i="18"/>
  <c r="AW29" i="18" s="1"/>
  <c r="I38" i="27" s="1"/>
  <c r="AX29" i="18"/>
  <c r="AY29" i="18" s="1"/>
  <c r="AZ29" i="18" s="1"/>
  <c r="AV179" i="18"/>
  <c r="AW179" i="18" s="1"/>
  <c r="I196" i="27" s="1"/>
  <c r="AX179" i="18"/>
  <c r="AY179" i="18" s="1"/>
  <c r="AZ179" i="18" s="1"/>
  <c r="AV33" i="18"/>
  <c r="AW33" i="18" s="1"/>
  <c r="I43" i="27" s="1"/>
  <c r="AX33" i="18"/>
  <c r="AY33" i="18" s="1"/>
  <c r="AZ33" i="18" s="1"/>
  <c r="BE157" i="18"/>
  <c r="BF157" i="18" s="1"/>
  <c r="J174" i="27" s="1"/>
  <c r="BG157" i="18"/>
  <c r="BH157" i="18" s="1"/>
  <c r="BI157" i="18" s="1"/>
  <c r="BE23" i="18"/>
  <c r="BF23" i="18" s="1"/>
  <c r="J30" i="27" s="1"/>
  <c r="BG23" i="18"/>
  <c r="BH23" i="18" s="1"/>
  <c r="BI23" i="18" s="1"/>
  <c r="AL23" i="24"/>
  <c r="AM23" i="24" s="1"/>
  <c r="AN23" i="24" s="1"/>
  <c r="H41" i="27" s="1"/>
  <c r="R23" i="24"/>
  <c r="S23" i="24" s="1"/>
  <c r="T23" i="24" s="1"/>
  <c r="F41" i="27" s="1"/>
  <c r="S67" i="18"/>
  <c r="T67" i="18" s="1"/>
  <c r="F82" i="27" s="1"/>
  <c r="AM184" i="18"/>
  <c r="AN184" i="18" s="1"/>
  <c r="H201" i="27" s="1"/>
  <c r="BE5" i="18"/>
  <c r="BF5" i="18" s="1"/>
  <c r="J6" i="27" s="1"/>
  <c r="BG5" i="18"/>
  <c r="BH5" i="18" s="1"/>
  <c r="BI5" i="18" s="1"/>
  <c r="BE15" i="18"/>
  <c r="BF15" i="18" s="1"/>
  <c r="J19" i="27" s="1"/>
  <c r="BG15" i="18"/>
  <c r="BH15" i="18" s="1"/>
  <c r="BI15" i="18" s="1"/>
  <c r="BE39" i="18"/>
  <c r="BF39" i="18" s="1"/>
  <c r="J51" i="27" s="1"/>
  <c r="BG39" i="18"/>
  <c r="BH39" i="18" s="1"/>
  <c r="BI39" i="18" s="1"/>
  <c r="BC18" i="24"/>
  <c r="BD18" i="24" s="1"/>
  <c r="BE18" i="24" s="1"/>
  <c r="BF18" i="24" s="1"/>
  <c r="J32" i="27" s="1"/>
  <c r="Q5" i="24"/>
  <c r="R5" i="24" s="1"/>
  <c r="S5" i="24" s="1"/>
  <c r="T5" i="24" s="1"/>
  <c r="F5" i="27" s="1"/>
  <c r="AT5" i="24"/>
  <c r="AU5" i="24" s="1"/>
  <c r="AV5" i="24" s="1"/>
  <c r="AW5" i="24" s="1"/>
  <c r="I5" i="27" s="1"/>
  <c r="AV6" i="24"/>
  <c r="AW6" i="24" s="1"/>
  <c r="I8" i="27" s="1"/>
  <c r="S14" i="24"/>
  <c r="T14" i="24" s="1"/>
  <c r="F24" i="27" s="1"/>
  <c r="BE6" i="24"/>
  <c r="BF6" i="24" s="1"/>
  <c r="J8" i="27" s="1"/>
  <c r="AC14" i="24"/>
  <c r="AD14" i="24" s="1"/>
  <c r="G24" i="27" s="1"/>
  <c r="AM27" i="18"/>
  <c r="AN27" i="18" s="1"/>
  <c r="H35" i="27" s="1"/>
  <c r="AO27" i="18"/>
  <c r="AP27" i="18" s="1"/>
  <c r="AQ27" i="18" s="1"/>
  <c r="AV9" i="24"/>
  <c r="AW9" i="24" s="1"/>
  <c r="I13" i="27" s="1"/>
  <c r="AT8" i="24"/>
  <c r="AU8" i="24" s="1"/>
  <c r="AV8" i="24" s="1"/>
  <c r="AW8" i="24" s="1"/>
  <c r="I12" i="27" s="1"/>
  <c r="S25" i="24"/>
  <c r="T25" i="24" s="1"/>
  <c r="F45" i="27" s="1"/>
  <c r="S20" i="24"/>
  <c r="T20" i="24" s="1"/>
  <c r="F36" i="27" s="1"/>
  <c r="AK5" i="24"/>
  <c r="AL5" i="24" s="1"/>
  <c r="AM5" i="24" s="1"/>
  <c r="AN5" i="24" s="1"/>
  <c r="H5" i="27" s="1"/>
  <c r="AM4" i="18"/>
  <c r="AN4" i="18" s="1"/>
  <c r="S104" i="12"/>
  <c r="BG4" i="18"/>
  <c r="BH4" i="18" s="1"/>
  <c r="BI4" i="18" s="1"/>
  <c r="BE4" i="18"/>
  <c r="BF4" i="18" s="1"/>
  <c r="S190" i="12"/>
  <c r="S73" i="12"/>
  <c r="S156" i="12"/>
  <c r="AM7" i="18"/>
  <c r="AN7" i="18" s="1"/>
  <c r="S137" i="12"/>
  <c r="S14" i="12"/>
  <c r="S24" i="12"/>
  <c r="S173" i="12"/>
  <c r="S128" i="12"/>
  <c r="S44" i="12"/>
  <c r="S4" i="18"/>
  <c r="T4" i="18" s="1"/>
  <c r="S98" i="12"/>
  <c r="S79" i="12"/>
  <c r="S111" i="12"/>
  <c r="V45" i="28"/>
  <c r="W45" i="28"/>
  <c r="X45" i="28"/>
  <c r="X57" i="28"/>
  <c r="W57" i="28"/>
  <c r="V57" i="28"/>
  <c r="V45" i="11"/>
  <c r="W45" i="11"/>
  <c r="X45" i="11"/>
  <c r="X97" i="28"/>
  <c r="W97" i="28"/>
  <c r="V97" i="28"/>
  <c r="S82" i="18"/>
  <c r="T82" i="18" s="1"/>
  <c r="F97" i="27" s="1"/>
  <c r="V82" i="11"/>
  <c r="W82" i="11"/>
  <c r="X82" i="11"/>
  <c r="S65" i="18"/>
  <c r="T65" i="18" s="1"/>
  <c r="F80" i="27" s="1"/>
  <c r="V65" i="18"/>
  <c r="W65" i="18" s="1"/>
  <c r="X65" i="18" s="1"/>
  <c r="AR49" i="1"/>
  <c r="AP49" i="1"/>
  <c r="AM55" i="18"/>
  <c r="AN55" i="18" s="1"/>
  <c r="H70" i="27" s="1"/>
  <c r="AV176" i="18"/>
  <c r="AW176" i="18" s="1"/>
  <c r="I193" i="27" s="1"/>
  <c r="AX176" i="18"/>
  <c r="AY176" i="18" s="1"/>
  <c r="AZ176" i="18" s="1"/>
  <c r="AV173" i="18"/>
  <c r="AW173" i="18" s="1"/>
  <c r="I190" i="27" s="1"/>
  <c r="AX173" i="18"/>
  <c r="AY173" i="18" s="1"/>
  <c r="AZ173" i="18" s="1"/>
  <c r="AV192" i="18"/>
  <c r="AW192" i="18" s="1"/>
  <c r="I209" i="27" s="1"/>
  <c r="AX192" i="18"/>
  <c r="AY192" i="18" s="1"/>
  <c r="AZ192" i="18" s="1"/>
  <c r="T145" i="12"/>
  <c r="U145" i="12" s="1"/>
  <c r="AO145" i="12"/>
  <c r="V15" i="28"/>
  <c r="W15" i="28"/>
  <c r="X15" i="28"/>
  <c r="AC15" i="18"/>
  <c r="AD15" i="18" s="1"/>
  <c r="G19" i="27" s="1"/>
  <c r="S15" i="18"/>
  <c r="T15" i="18" s="1"/>
  <c r="F19" i="27" s="1"/>
  <c r="V15" i="11"/>
  <c r="W15" i="11"/>
  <c r="X15" i="11"/>
  <c r="V40" i="28"/>
  <c r="W40" i="28"/>
  <c r="X40" i="28"/>
  <c r="X52" i="28"/>
  <c r="W52" i="28"/>
  <c r="V52" i="28"/>
  <c r="V40" i="11"/>
  <c r="W40" i="11"/>
  <c r="X40" i="11"/>
  <c r="X113" i="28"/>
  <c r="W113" i="28"/>
  <c r="V113" i="28"/>
  <c r="V98" i="11"/>
  <c r="W98" i="11"/>
  <c r="X98" i="11"/>
  <c r="X103" i="28"/>
  <c r="W103" i="28"/>
  <c r="V103" i="28"/>
  <c r="V88" i="11"/>
  <c r="W88" i="11"/>
  <c r="X88" i="11"/>
  <c r="AB38" i="24"/>
  <c r="AC38" i="24" s="1"/>
  <c r="AD38" i="24" s="1"/>
  <c r="G139" i="27" s="1"/>
  <c r="AP169" i="18"/>
  <c r="AQ169" i="18" s="1"/>
  <c r="W169" i="18"/>
  <c r="X169" i="18" s="1"/>
  <c r="W209" i="28"/>
  <c r="V209" i="28"/>
  <c r="X209" i="28"/>
  <c r="V192" i="11"/>
  <c r="W192" i="11"/>
  <c r="X192" i="11"/>
  <c r="X86" i="28"/>
  <c r="W86" i="28"/>
  <c r="V86" i="28"/>
  <c r="V71" i="11"/>
  <c r="W71" i="11"/>
  <c r="X71" i="11"/>
  <c r="AR137" i="1"/>
  <c r="AP137" i="1"/>
  <c r="AL43" i="24"/>
  <c r="AM43" i="24" s="1"/>
  <c r="AN43" i="24" s="1"/>
  <c r="H168" i="27" s="1"/>
  <c r="V35" i="28"/>
  <c r="W35" i="28"/>
  <c r="X35" i="28"/>
  <c r="V35" i="11"/>
  <c r="W35" i="11"/>
  <c r="X35" i="11"/>
  <c r="V28" i="28"/>
  <c r="W28" i="28"/>
  <c r="X28" i="28"/>
  <c r="W28" i="11"/>
  <c r="X28" i="11"/>
  <c r="V28" i="11"/>
  <c r="AR152" i="1"/>
  <c r="AP152" i="1"/>
  <c r="X109" i="28"/>
  <c r="W109" i="28"/>
  <c r="V109" i="28"/>
  <c r="S94" i="18"/>
  <c r="T94" i="18" s="1"/>
  <c r="F109" i="27" s="1"/>
  <c r="V94" i="11"/>
  <c r="W94" i="11"/>
  <c r="X94" i="11"/>
  <c r="V5" i="28"/>
  <c r="W5" i="28"/>
  <c r="X5" i="28"/>
  <c r="V5" i="11"/>
  <c r="W5" i="11"/>
  <c r="X5" i="11"/>
  <c r="V14" i="28"/>
  <c r="W14" i="28"/>
  <c r="X14" i="28"/>
  <c r="V14" i="11"/>
  <c r="W14" i="11"/>
  <c r="X14" i="11"/>
  <c r="W203" i="28"/>
  <c r="V203" i="28"/>
  <c r="X203" i="28"/>
  <c r="V186" i="11"/>
  <c r="W186" i="11"/>
  <c r="X186" i="11"/>
  <c r="X133" i="28"/>
  <c r="W133" i="28"/>
  <c r="V133" i="28"/>
  <c r="X118" i="11"/>
  <c r="V118" i="11"/>
  <c r="W118" i="11"/>
  <c r="X96" i="28"/>
  <c r="W96" i="28"/>
  <c r="V96" i="28"/>
  <c r="X81" i="11"/>
  <c r="V81" i="11"/>
  <c r="W81" i="11"/>
  <c r="V23" i="28"/>
  <c r="W23" i="28"/>
  <c r="X23" i="28"/>
  <c r="V23" i="11"/>
  <c r="W23" i="11"/>
  <c r="X23" i="11"/>
  <c r="V16" i="28"/>
  <c r="W16" i="28"/>
  <c r="X16" i="28"/>
  <c r="V16" i="11"/>
  <c r="W16" i="11"/>
  <c r="X16" i="11"/>
  <c r="AI44" i="1"/>
  <c r="N44" i="18"/>
  <c r="AO44" i="1"/>
  <c r="R44" i="12"/>
  <c r="AI40" i="1"/>
  <c r="N40" i="18"/>
  <c r="AO40" i="1"/>
  <c r="R40" i="12"/>
  <c r="AR145" i="1"/>
  <c r="AP145" i="1"/>
  <c r="X80" i="28"/>
  <c r="W80" i="28"/>
  <c r="V80" i="28"/>
  <c r="X65" i="11"/>
  <c r="V65" i="11"/>
  <c r="W65" i="11"/>
  <c r="X64" i="28"/>
  <c r="W64" i="28"/>
  <c r="V64" i="28"/>
  <c r="X49" i="11"/>
  <c r="V49" i="11"/>
  <c r="W49" i="11"/>
  <c r="N18" i="18"/>
  <c r="AI18" i="1"/>
  <c r="AO18" i="1"/>
  <c r="R18" i="12"/>
  <c r="AI37" i="21"/>
  <c r="M37" i="24" s="1"/>
  <c r="AT37" i="24" s="1"/>
  <c r="AU37" i="24" s="1"/>
  <c r="AV37" i="24" s="1"/>
  <c r="AW37" i="24" s="1"/>
  <c r="I138" i="27" s="1"/>
  <c r="N37" i="24"/>
  <c r="AJ37" i="21"/>
  <c r="V9" i="28"/>
  <c r="W9" i="28"/>
  <c r="X9" i="28"/>
  <c r="X9" i="11"/>
  <c r="W9" i="11"/>
  <c r="V9" i="11"/>
  <c r="V25" i="28"/>
  <c r="W25" i="28"/>
  <c r="X25" i="28"/>
  <c r="X25" i="11"/>
  <c r="V25" i="11"/>
  <c r="W25" i="11"/>
  <c r="V41" i="28"/>
  <c r="W41" i="28"/>
  <c r="X41" i="28"/>
  <c r="W53" i="28"/>
  <c r="V53" i="28"/>
  <c r="X53" i="28"/>
  <c r="X41" i="11"/>
  <c r="V41" i="11"/>
  <c r="W41" i="11"/>
  <c r="W202" i="28"/>
  <c r="V202" i="28"/>
  <c r="X202" i="28"/>
  <c r="S185" i="18"/>
  <c r="T185" i="18" s="1"/>
  <c r="F202" i="27" s="1"/>
  <c r="V185" i="11"/>
  <c r="W185" i="11"/>
  <c r="X185" i="11"/>
  <c r="AK18" i="1"/>
  <c r="V23" i="25" s="1"/>
  <c r="Z23" i="25" s="1"/>
  <c r="AA23" i="25" s="1"/>
  <c r="AB23" i="25" s="1"/>
  <c r="V34" i="28"/>
  <c r="W34" i="28"/>
  <c r="X34" i="28"/>
  <c r="V34" i="11"/>
  <c r="W34" i="11"/>
  <c r="X34" i="11"/>
  <c r="AI46" i="1"/>
  <c r="N46" i="18"/>
  <c r="AO46" i="1"/>
  <c r="R46" i="12"/>
  <c r="AO191" i="1"/>
  <c r="AI191" i="1"/>
  <c r="N191" i="18"/>
  <c r="R191" i="12"/>
  <c r="N26" i="18"/>
  <c r="AI26" i="1"/>
  <c r="AO26" i="1"/>
  <c r="R26" i="12"/>
  <c r="X162" i="28"/>
  <c r="W162" i="28"/>
  <c r="V162" i="28"/>
  <c r="W145" i="11"/>
  <c r="X145" i="11"/>
  <c r="V145" i="11"/>
  <c r="AR165" i="1"/>
  <c r="AP165" i="1"/>
  <c r="AV47" i="24"/>
  <c r="AW47" i="24" s="1"/>
  <c r="I184" i="27" s="1"/>
  <c r="X94" i="28"/>
  <c r="W94" i="28"/>
  <c r="V94" i="28"/>
  <c r="V79" i="11"/>
  <c r="W79" i="11"/>
  <c r="X79" i="11"/>
  <c r="X78" i="28"/>
  <c r="W78" i="28"/>
  <c r="V78" i="28"/>
  <c r="V63" i="11"/>
  <c r="W63" i="11"/>
  <c r="X63" i="11"/>
  <c r="N34" i="18"/>
  <c r="AI34" i="1"/>
  <c r="AO34" i="1"/>
  <c r="R34" i="12"/>
  <c r="R38" i="24"/>
  <c r="S38" i="24" s="1"/>
  <c r="T38" i="24" s="1"/>
  <c r="F139" i="27" s="1"/>
  <c r="M48" i="18"/>
  <c r="AT48" i="18" s="1"/>
  <c r="AU48" i="18" s="1"/>
  <c r="Q48" i="12"/>
  <c r="AB47" i="24"/>
  <c r="AC47" i="24" s="1"/>
  <c r="AD47" i="24" s="1"/>
  <c r="G184" i="27" s="1"/>
  <c r="BE62" i="18"/>
  <c r="BF62" i="18" s="1"/>
  <c r="J77" i="27" s="1"/>
  <c r="BG62" i="18"/>
  <c r="BH62" i="18" s="1"/>
  <c r="BI62" i="18" s="1"/>
  <c r="AB45" i="24"/>
  <c r="AC45" i="24" s="1"/>
  <c r="AD45" i="24" s="1"/>
  <c r="G176" i="27" s="1"/>
  <c r="Q31" i="24"/>
  <c r="R31" i="24" s="1"/>
  <c r="S31" i="24" s="1"/>
  <c r="T31" i="24" s="1"/>
  <c r="F62" i="27" s="1"/>
  <c r="BE73" i="18"/>
  <c r="BF73" i="18" s="1"/>
  <c r="J88" i="27" s="1"/>
  <c r="BG73" i="18"/>
  <c r="BH73" i="18" s="1"/>
  <c r="BI73" i="18" s="1"/>
  <c r="AV67" i="18"/>
  <c r="AW67" i="18" s="1"/>
  <c r="I82" i="27" s="1"/>
  <c r="AX67" i="18"/>
  <c r="AY67" i="18" s="1"/>
  <c r="AZ67" i="18" s="1"/>
  <c r="AV97" i="18"/>
  <c r="AW97" i="18" s="1"/>
  <c r="I112" i="27" s="1"/>
  <c r="AX97" i="18"/>
  <c r="AY97" i="18" s="1"/>
  <c r="AZ97" i="18" s="1"/>
  <c r="AM95" i="18"/>
  <c r="AN95" i="18" s="1"/>
  <c r="H110" i="27" s="1"/>
  <c r="AO95" i="18"/>
  <c r="AP95" i="18" s="1"/>
  <c r="AQ95" i="18" s="1"/>
  <c r="AM63" i="18"/>
  <c r="AN63" i="18" s="1"/>
  <c r="H78" i="27" s="1"/>
  <c r="AO63" i="18"/>
  <c r="AP63" i="18" s="1"/>
  <c r="AQ63" i="18" s="1"/>
  <c r="AC75" i="18"/>
  <c r="AD75" i="18" s="1"/>
  <c r="G90" i="27" s="1"/>
  <c r="AV63" i="18"/>
  <c r="AW63" i="18" s="1"/>
  <c r="I78" i="27" s="1"/>
  <c r="AX63" i="18"/>
  <c r="AY63" i="18" s="1"/>
  <c r="AZ63" i="18" s="1"/>
  <c r="BE92" i="18"/>
  <c r="BF92" i="18" s="1"/>
  <c r="J107" i="27" s="1"/>
  <c r="BG92" i="18"/>
  <c r="BH92" i="18" s="1"/>
  <c r="BI92" i="18" s="1"/>
  <c r="AC118" i="18"/>
  <c r="AD118" i="18" s="1"/>
  <c r="G133" i="27" s="1"/>
  <c r="AF118" i="18"/>
  <c r="AG118" i="18" s="1"/>
  <c r="AH118" i="18" s="1"/>
  <c r="AV71" i="18"/>
  <c r="AW71" i="18" s="1"/>
  <c r="I86" i="27" s="1"/>
  <c r="AX71" i="18"/>
  <c r="AY71" i="18" s="1"/>
  <c r="AZ71" i="18" s="1"/>
  <c r="AM135" i="18"/>
  <c r="AN135" i="18" s="1"/>
  <c r="H152" i="27" s="1"/>
  <c r="AO135" i="18"/>
  <c r="AP135" i="18" s="1"/>
  <c r="AQ135" i="18" s="1"/>
  <c r="AV87" i="18"/>
  <c r="AW87" i="18" s="1"/>
  <c r="I102" i="27" s="1"/>
  <c r="AX87" i="18"/>
  <c r="AY87" i="18" s="1"/>
  <c r="AZ87" i="18" s="1"/>
  <c r="BE127" i="18"/>
  <c r="BF127" i="18" s="1"/>
  <c r="J144" i="27" s="1"/>
  <c r="BG127" i="18"/>
  <c r="BH127" i="18" s="1"/>
  <c r="BI127" i="18" s="1"/>
  <c r="AV106" i="18"/>
  <c r="AW106" i="18" s="1"/>
  <c r="I121" i="27" s="1"/>
  <c r="AM120" i="18"/>
  <c r="AN120" i="18" s="1"/>
  <c r="H135" i="27" s="1"/>
  <c r="AO120" i="18"/>
  <c r="AP120" i="18" s="1"/>
  <c r="AQ120" i="18" s="1"/>
  <c r="AV92" i="18"/>
  <c r="AW92" i="18" s="1"/>
  <c r="I107" i="27" s="1"/>
  <c r="AX92" i="18"/>
  <c r="AY92" i="18" s="1"/>
  <c r="AZ92" i="18" s="1"/>
  <c r="AC137" i="18"/>
  <c r="AD137" i="18" s="1"/>
  <c r="G154" i="27" s="1"/>
  <c r="AV164" i="18"/>
  <c r="AW164" i="18" s="1"/>
  <c r="I181" i="27" s="1"/>
  <c r="AX164" i="18"/>
  <c r="AY164" i="18" s="1"/>
  <c r="AZ164" i="18" s="1"/>
  <c r="AM119" i="18"/>
  <c r="AN119" i="18" s="1"/>
  <c r="H134" i="27" s="1"/>
  <c r="H141" i="27" s="1"/>
  <c r="BQ8" i="18"/>
  <c r="AO129" i="18" s="1"/>
  <c r="AP129" i="18" s="1"/>
  <c r="AQ129" i="18" s="1"/>
  <c r="BQ7" i="18"/>
  <c r="AO125" i="18" s="1"/>
  <c r="AP125" i="18" s="1"/>
  <c r="AQ125" i="18" s="1"/>
  <c r="BQ6" i="18"/>
  <c r="AO123" i="18" s="1"/>
  <c r="BQ9" i="18"/>
  <c r="AO132" i="18" s="1"/>
  <c r="BQ10" i="18"/>
  <c r="AO142" i="18" s="1"/>
  <c r="AO119" i="18"/>
  <c r="AP119" i="18" s="1"/>
  <c r="AQ119" i="18" s="1"/>
  <c r="BE172" i="18"/>
  <c r="BF172" i="18" s="1"/>
  <c r="J189" i="27" s="1"/>
  <c r="BG172" i="18"/>
  <c r="BH172" i="18" s="1"/>
  <c r="BI172" i="18" s="1"/>
  <c r="AC169" i="18"/>
  <c r="AD169" i="18" s="1"/>
  <c r="G186" i="27" s="1"/>
  <c r="AF169" i="18"/>
  <c r="AG169" i="18" s="1"/>
  <c r="AH169" i="18" s="1"/>
  <c r="AV174" i="18"/>
  <c r="AW174" i="18" s="1"/>
  <c r="I191" i="27" s="1"/>
  <c r="AX174" i="18"/>
  <c r="AY174" i="18" s="1"/>
  <c r="AZ174" i="18" s="1"/>
  <c r="BE130" i="18"/>
  <c r="BF130" i="18" s="1"/>
  <c r="J147" i="27" s="1"/>
  <c r="BG130" i="18"/>
  <c r="BH130" i="18" s="1"/>
  <c r="BI130" i="18" s="1"/>
  <c r="BE169" i="18"/>
  <c r="BF169" i="18" s="1"/>
  <c r="J186" i="27" s="1"/>
  <c r="BG169" i="18"/>
  <c r="BH169" i="18" s="1"/>
  <c r="BI169" i="18" s="1"/>
  <c r="AV32" i="18"/>
  <c r="AW32" i="18" s="1"/>
  <c r="I42" i="27" s="1"/>
  <c r="AX32" i="18"/>
  <c r="AY32" i="18" s="1"/>
  <c r="AZ32" i="18" s="1"/>
  <c r="AM188" i="18"/>
  <c r="AN188" i="18" s="1"/>
  <c r="H205" i="27" s="1"/>
  <c r="BE184" i="18"/>
  <c r="BF184" i="18" s="1"/>
  <c r="J201" i="27" s="1"/>
  <c r="BG184" i="18"/>
  <c r="BH184" i="18" s="1"/>
  <c r="BI184" i="18" s="1"/>
  <c r="BE27" i="18"/>
  <c r="BF27" i="18" s="1"/>
  <c r="J35" i="27" s="1"/>
  <c r="BG27" i="18"/>
  <c r="BH27" i="18" s="1"/>
  <c r="BI27" i="18" s="1"/>
  <c r="AV23" i="18"/>
  <c r="AW23" i="18" s="1"/>
  <c r="I30" i="27" s="1"/>
  <c r="AX23" i="18"/>
  <c r="AY23" i="18" s="1"/>
  <c r="AZ23" i="18" s="1"/>
  <c r="AC187" i="18"/>
  <c r="AD187" i="18" s="1"/>
  <c r="G204" i="27" s="1"/>
  <c r="AF187" i="18"/>
  <c r="AG187" i="18" s="1"/>
  <c r="AH187" i="18" s="1"/>
  <c r="AV5" i="18"/>
  <c r="AW5" i="18" s="1"/>
  <c r="I6" i="27" s="1"/>
  <c r="AX5" i="18"/>
  <c r="AY5" i="18" s="1"/>
  <c r="AZ5" i="18" s="1"/>
  <c r="AV15" i="18"/>
  <c r="AW15" i="18" s="1"/>
  <c r="I19" i="27" s="1"/>
  <c r="AX15" i="18"/>
  <c r="AY15" i="18" s="1"/>
  <c r="AZ15" i="18" s="1"/>
  <c r="AV39" i="18"/>
  <c r="AW39" i="18" s="1"/>
  <c r="I51" i="27" s="1"/>
  <c r="AX39" i="18"/>
  <c r="AY39" i="18" s="1"/>
  <c r="AZ39" i="18" s="1"/>
  <c r="R15" i="24"/>
  <c r="S15" i="24" s="1"/>
  <c r="T15" i="24" s="1"/>
  <c r="F25" i="27" s="1"/>
  <c r="AC32" i="18"/>
  <c r="AD32" i="18" s="1"/>
  <c r="G42" i="27" s="1"/>
  <c r="AM23" i="18"/>
  <c r="AN23" i="18" s="1"/>
  <c r="H30" i="27" s="1"/>
  <c r="AM6" i="24"/>
  <c r="AN6" i="24" s="1"/>
  <c r="H8" i="27" s="1"/>
  <c r="AM37" i="18"/>
  <c r="AN37" i="18" s="1"/>
  <c r="H49" i="27" s="1"/>
  <c r="AA13" i="24"/>
  <c r="AB13" i="24" s="1"/>
  <c r="AC13" i="24" s="1"/>
  <c r="AD13" i="24" s="1"/>
  <c r="G21" i="27" s="1"/>
  <c r="AT16" i="24"/>
  <c r="AU16" i="24" s="1"/>
  <c r="AV16" i="24" s="1"/>
  <c r="AW16" i="24" s="1"/>
  <c r="I28" i="27" s="1"/>
  <c r="Q16" i="24"/>
  <c r="R16" i="24" s="1"/>
  <c r="S16" i="24" s="1"/>
  <c r="T16" i="24" s="1"/>
  <c r="F28" i="27" s="1"/>
  <c r="AK16" i="24"/>
  <c r="AL16" i="24" s="1"/>
  <c r="AM16" i="24" s="1"/>
  <c r="AN16" i="24" s="1"/>
  <c r="H28" i="27" s="1"/>
  <c r="AA16" i="24"/>
  <c r="AB16" i="24" s="1"/>
  <c r="AC16" i="24" s="1"/>
  <c r="AD16" i="24" s="1"/>
  <c r="G28" i="27" s="1"/>
  <c r="AC27" i="18"/>
  <c r="AD27" i="18" s="1"/>
  <c r="G35" i="27" s="1"/>
  <c r="AF27" i="18"/>
  <c r="AG27" i="18" s="1"/>
  <c r="AH27" i="18" s="1"/>
  <c r="AM32" i="18"/>
  <c r="AN32" i="18" s="1"/>
  <c r="H42" i="27" s="1"/>
  <c r="BD15" i="24"/>
  <c r="BE15" i="24" s="1"/>
  <c r="BF15" i="24" s="1"/>
  <c r="J25" i="27" s="1"/>
  <c r="BC4" i="24"/>
  <c r="BD4" i="24" s="1"/>
  <c r="BE4" i="24" s="1"/>
  <c r="BF4" i="24" s="1"/>
  <c r="J4" i="27" s="1"/>
  <c r="S17" i="18"/>
  <c r="T17" i="18" s="1"/>
  <c r="F22" i="27" s="1"/>
  <c r="AM19" i="18"/>
  <c r="AN19" i="18" s="1"/>
  <c r="AV47" i="18"/>
  <c r="AW47" i="18" s="1"/>
  <c r="S171" i="12"/>
  <c r="S160" i="12"/>
  <c r="S75" i="12"/>
  <c r="S185" i="12"/>
  <c r="S53" i="12"/>
  <c r="S7" i="12"/>
  <c r="S25" i="12"/>
  <c r="S100" i="12"/>
  <c r="S32" i="12"/>
  <c r="S188" i="12"/>
  <c r="S176" i="12"/>
  <c r="S93" i="12"/>
  <c r="S46" i="12"/>
  <c r="S109" i="12"/>
  <c r="S87" i="12"/>
  <c r="V13" i="28"/>
  <c r="W13" i="28"/>
  <c r="X13" i="28"/>
  <c r="S13" i="18"/>
  <c r="T13" i="18" s="1"/>
  <c r="V13" i="11"/>
  <c r="W13" i="11"/>
  <c r="X13" i="11"/>
  <c r="AI22" i="1"/>
  <c r="N22" i="18"/>
  <c r="AO22" i="1"/>
  <c r="R22" i="12"/>
  <c r="X74" i="28"/>
  <c r="W74" i="28"/>
  <c r="V74" i="28"/>
  <c r="V59" i="11"/>
  <c r="W59" i="11"/>
  <c r="X59" i="11"/>
  <c r="X132" i="28"/>
  <c r="W132" i="28"/>
  <c r="V132" i="28"/>
  <c r="V117" i="11"/>
  <c r="W117" i="11"/>
  <c r="X117" i="11"/>
  <c r="Q48" i="24"/>
  <c r="R48" i="24" s="1"/>
  <c r="S48" i="24" s="1"/>
  <c r="T48" i="24" s="1"/>
  <c r="F188" i="27" s="1"/>
  <c r="AK48" i="24"/>
  <c r="AL48" i="24" s="1"/>
  <c r="AM48" i="24" s="1"/>
  <c r="AN48" i="24" s="1"/>
  <c r="H188" i="27" s="1"/>
  <c r="AT48" i="24"/>
  <c r="AU48" i="24" s="1"/>
  <c r="AV48" i="24" s="1"/>
  <c r="AW48" i="24" s="1"/>
  <c r="I188" i="27" s="1"/>
  <c r="AV77" i="18"/>
  <c r="AW77" i="18" s="1"/>
  <c r="I92" i="27" s="1"/>
  <c r="AX77" i="18"/>
  <c r="AY77" i="18" s="1"/>
  <c r="AZ77" i="18" s="1"/>
  <c r="BE119" i="18"/>
  <c r="BF119" i="18" s="1"/>
  <c r="J134" i="27" s="1"/>
  <c r="J141" i="27" s="1"/>
  <c r="BS10" i="18"/>
  <c r="BG142" i="18" s="1"/>
  <c r="BS7" i="18"/>
  <c r="BG125" i="18" s="1"/>
  <c r="BH125" i="18" s="1"/>
  <c r="BI125" i="18" s="1"/>
  <c r="BS9" i="18"/>
  <c r="BG132" i="18" s="1"/>
  <c r="BG119" i="18"/>
  <c r="BH119" i="18" s="1"/>
  <c r="BI119" i="18" s="1"/>
  <c r="BS8" i="18"/>
  <c r="BG129" i="18" s="1"/>
  <c r="BH129" i="18" s="1"/>
  <c r="BI129" i="18" s="1"/>
  <c r="BS6" i="18"/>
  <c r="BG123" i="18" s="1"/>
  <c r="BE182" i="18"/>
  <c r="BF182" i="18" s="1"/>
  <c r="J199" i="27" s="1"/>
  <c r="BG182" i="18"/>
  <c r="BH182" i="18" s="1"/>
  <c r="BI182" i="18" s="1"/>
  <c r="R13" i="24"/>
  <c r="S13" i="24" s="1"/>
  <c r="T13" i="24" s="1"/>
  <c r="F21" i="27" s="1"/>
  <c r="AM13" i="18"/>
  <c r="AN13" i="18" s="1"/>
  <c r="AA184" i="12"/>
  <c r="T184" i="12"/>
  <c r="U184" i="12" s="1"/>
  <c r="V184" i="12" s="1"/>
  <c r="W184" i="12" s="1"/>
  <c r="AO184" i="12"/>
  <c r="V31" i="28"/>
  <c r="W31" i="28"/>
  <c r="X31" i="28"/>
  <c r="V31" i="11"/>
  <c r="W31" i="11"/>
  <c r="X31" i="11"/>
  <c r="W204" i="28"/>
  <c r="V204" i="28"/>
  <c r="X204" i="28"/>
  <c r="V187" i="11"/>
  <c r="W187" i="11"/>
  <c r="X187" i="11"/>
  <c r="X70" i="28"/>
  <c r="W70" i="28"/>
  <c r="V70" i="28"/>
  <c r="V55" i="11"/>
  <c r="W55" i="11"/>
  <c r="X55" i="11"/>
  <c r="Q40" i="24"/>
  <c r="R40" i="24" s="1"/>
  <c r="S40" i="24" s="1"/>
  <c r="T40" i="24" s="1"/>
  <c r="F142" i="27" s="1"/>
  <c r="AK40" i="24"/>
  <c r="AL40" i="24" s="1"/>
  <c r="AM40" i="24" s="1"/>
  <c r="AN40" i="24" s="1"/>
  <c r="H142" i="27" s="1"/>
  <c r="AT40" i="24"/>
  <c r="AU40" i="24" s="1"/>
  <c r="AV40" i="24" s="1"/>
  <c r="AW40" i="24" s="1"/>
  <c r="I142" i="27" s="1"/>
  <c r="V196" i="28"/>
  <c r="X196" i="28"/>
  <c r="W196" i="28"/>
  <c r="V179" i="11"/>
  <c r="W179" i="11"/>
  <c r="X179" i="11"/>
  <c r="X84" i="28"/>
  <c r="W84" i="28"/>
  <c r="V84" i="28"/>
  <c r="S69" i="18"/>
  <c r="T69" i="18" s="1"/>
  <c r="F84" i="27" s="1"/>
  <c r="V69" i="11"/>
  <c r="W69" i="11"/>
  <c r="X69" i="11"/>
  <c r="AV28" i="24"/>
  <c r="AW28" i="24" s="1"/>
  <c r="I59" i="27" s="1"/>
  <c r="W207" i="28"/>
  <c r="V207" i="28"/>
  <c r="X207" i="28"/>
  <c r="S190" i="18"/>
  <c r="T190" i="18" s="1"/>
  <c r="F207" i="27" s="1"/>
  <c r="V190" i="11"/>
  <c r="W190" i="11"/>
  <c r="X190" i="11"/>
  <c r="V30" i="28"/>
  <c r="W30" i="28"/>
  <c r="X30" i="28"/>
  <c r="X30" i="11"/>
  <c r="V30" i="11"/>
  <c r="W30" i="11"/>
  <c r="AO28" i="1"/>
  <c r="AI28" i="1"/>
  <c r="N28" i="18"/>
  <c r="R28" i="12"/>
  <c r="AR153" i="1"/>
  <c r="AP153" i="1"/>
  <c r="X66" i="28"/>
  <c r="W66" i="28"/>
  <c r="V66" i="28"/>
  <c r="X51" i="11"/>
  <c r="V51" i="11"/>
  <c r="W51" i="11"/>
  <c r="AR161" i="1"/>
  <c r="AP161" i="1"/>
  <c r="BE42" i="24"/>
  <c r="BF42" i="24" s="1"/>
  <c r="J149" i="27" s="1"/>
  <c r="V39" i="28"/>
  <c r="W39" i="28"/>
  <c r="X39" i="28"/>
  <c r="X51" i="28"/>
  <c r="W51" i="28"/>
  <c r="V51" i="28"/>
  <c r="S39" i="18"/>
  <c r="T39" i="18" s="1"/>
  <c r="F51" i="27" s="1"/>
  <c r="V39" i="11"/>
  <c r="W39" i="11"/>
  <c r="X39" i="11"/>
  <c r="W199" i="28"/>
  <c r="V199" i="28"/>
  <c r="X199" i="28"/>
  <c r="S182" i="18"/>
  <c r="T182" i="18" s="1"/>
  <c r="F199" i="27" s="1"/>
  <c r="V182" i="11"/>
  <c r="W182" i="11"/>
  <c r="X182" i="11"/>
  <c r="N30" i="18"/>
  <c r="AI30" i="1"/>
  <c r="AO30" i="1"/>
  <c r="R30" i="12"/>
  <c r="N10" i="18"/>
  <c r="AI10" i="1"/>
  <c r="AO10" i="1"/>
  <c r="R10" i="12"/>
  <c r="W197" i="28"/>
  <c r="V197" i="28"/>
  <c r="X197" i="28"/>
  <c r="X180" i="11"/>
  <c r="V180" i="11"/>
  <c r="W180" i="11"/>
  <c r="X104" i="28"/>
  <c r="W104" i="28"/>
  <c r="V104" i="28"/>
  <c r="X89" i="11"/>
  <c r="V89" i="11"/>
  <c r="W89" i="11"/>
  <c r="V11" i="28"/>
  <c r="W11" i="28"/>
  <c r="X11" i="28"/>
  <c r="V11" i="11"/>
  <c r="W11" i="11"/>
  <c r="X11" i="11"/>
  <c r="V27" i="28"/>
  <c r="W27" i="28"/>
  <c r="X27" i="28"/>
  <c r="V27" i="11"/>
  <c r="W27" i="11"/>
  <c r="X27" i="11"/>
  <c r="V43" i="28"/>
  <c r="W43" i="28"/>
  <c r="X43" i="28"/>
  <c r="X55" i="28"/>
  <c r="W55" i="28"/>
  <c r="V55" i="28"/>
  <c r="V43" i="11"/>
  <c r="W43" i="11"/>
  <c r="X43" i="11"/>
  <c r="W205" i="28"/>
  <c r="V205" i="28"/>
  <c r="X205" i="28"/>
  <c r="X188" i="11"/>
  <c r="V188" i="11"/>
  <c r="W188" i="11"/>
  <c r="AK20" i="1"/>
  <c r="V26" i="25" s="1"/>
  <c r="Z26" i="25" s="1"/>
  <c r="AA26" i="25" s="1"/>
  <c r="AB26" i="25" s="1"/>
  <c r="AK36" i="1"/>
  <c r="W208" i="28"/>
  <c r="V208" i="28"/>
  <c r="X208" i="28"/>
  <c r="W191" i="11"/>
  <c r="X191" i="11"/>
  <c r="V191" i="11"/>
  <c r="AK183" i="1"/>
  <c r="V200" i="25" s="1"/>
  <c r="Z200" i="25" s="1"/>
  <c r="AA200" i="25" s="1"/>
  <c r="AB200" i="25" s="1"/>
  <c r="AI42" i="1"/>
  <c r="N42" i="18"/>
  <c r="AO42" i="1"/>
  <c r="R42" i="12"/>
  <c r="N6" i="18"/>
  <c r="AI6" i="1"/>
  <c r="AO6" i="1"/>
  <c r="R6" i="12"/>
  <c r="X125" i="28"/>
  <c r="W125" i="28"/>
  <c r="V125" i="28"/>
  <c r="V110" i="11"/>
  <c r="W110" i="11"/>
  <c r="X110" i="11"/>
  <c r="W182" i="28"/>
  <c r="V182" i="28"/>
  <c r="X182" i="28"/>
  <c r="V165" i="11"/>
  <c r="W165" i="11"/>
  <c r="X165" i="11"/>
  <c r="AU43" i="24"/>
  <c r="AV43" i="24" s="1"/>
  <c r="AW43" i="24" s="1"/>
  <c r="I168" i="27" s="1"/>
  <c r="X92" i="28"/>
  <c r="W92" i="28"/>
  <c r="V92" i="28"/>
  <c r="V77" i="11"/>
  <c r="W77" i="11"/>
  <c r="X77" i="11"/>
  <c r="X76" i="28"/>
  <c r="W76" i="28"/>
  <c r="V76" i="28"/>
  <c r="S61" i="18"/>
  <c r="T61" i="18" s="1"/>
  <c r="F76" i="27" s="1"/>
  <c r="V61" i="11"/>
  <c r="W61" i="11"/>
  <c r="X61" i="11"/>
  <c r="V48" i="28"/>
  <c r="W48" i="28"/>
  <c r="X48" i="28"/>
  <c r="W63" i="28"/>
  <c r="V63" i="28"/>
  <c r="X63" i="28"/>
  <c r="V48" i="11"/>
  <c r="W48" i="11"/>
  <c r="X48" i="11"/>
  <c r="AL38" i="24"/>
  <c r="AM38" i="24" s="1"/>
  <c r="AN38" i="24" s="1"/>
  <c r="H139" i="27" s="1"/>
  <c r="AK42" i="24"/>
  <c r="AL42" i="24" s="1"/>
  <c r="AM42" i="24" s="1"/>
  <c r="AN42" i="24" s="1"/>
  <c r="H149" i="27" s="1"/>
  <c r="AA42" i="24"/>
  <c r="AB42" i="24" s="1"/>
  <c r="AC42" i="24" s="1"/>
  <c r="AD42" i="24" s="1"/>
  <c r="G149" i="27" s="1"/>
  <c r="Q42" i="24"/>
  <c r="R42" i="24" s="1"/>
  <c r="S42" i="24" s="1"/>
  <c r="T42" i="24" s="1"/>
  <c r="F149" i="27" s="1"/>
  <c r="AK46" i="1"/>
  <c r="V58" i="25" s="1"/>
  <c r="Z58" i="25" s="1"/>
  <c r="AA58" i="25" s="1"/>
  <c r="AB58" i="25" s="1"/>
  <c r="AA44" i="24"/>
  <c r="AB44" i="24" s="1"/>
  <c r="AC44" i="24" s="1"/>
  <c r="AD44" i="24" s="1"/>
  <c r="G172" i="27" s="1"/>
  <c r="AL45" i="24"/>
  <c r="AM45" i="24" s="1"/>
  <c r="AN45" i="24" s="1"/>
  <c r="H176" i="27" s="1"/>
  <c r="M49" i="18"/>
  <c r="Q49" i="12"/>
  <c r="AM82" i="18"/>
  <c r="AN82" i="18" s="1"/>
  <c r="H97" i="27" s="1"/>
  <c r="AM69" i="18"/>
  <c r="AN69" i="18" s="1"/>
  <c r="H84" i="27" s="1"/>
  <c r="AO69" i="18"/>
  <c r="AP69" i="18" s="1"/>
  <c r="AQ69" i="18" s="1"/>
  <c r="BD55" i="18"/>
  <c r="AV75" i="18"/>
  <c r="AW75" i="18" s="1"/>
  <c r="I90" i="27" s="1"/>
  <c r="AX75" i="18"/>
  <c r="AY75" i="18" s="1"/>
  <c r="AZ75" i="18" s="1"/>
  <c r="AM59" i="18"/>
  <c r="AN59" i="18" s="1"/>
  <c r="H74" i="27" s="1"/>
  <c r="AO59" i="18"/>
  <c r="AP59" i="18" s="1"/>
  <c r="AQ59" i="18" s="1"/>
  <c r="BE64" i="18"/>
  <c r="BF64" i="18" s="1"/>
  <c r="J79" i="27" s="1"/>
  <c r="BG64" i="18"/>
  <c r="BH64" i="18" s="1"/>
  <c r="BI64" i="18" s="1"/>
  <c r="BE79" i="18"/>
  <c r="BF79" i="18" s="1"/>
  <c r="J94" i="27" s="1"/>
  <c r="BG79" i="18"/>
  <c r="BH79" i="18" s="1"/>
  <c r="BI79" i="18" s="1"/>
  <c r="BE103" i="18"/>
  <c r="BF103" i="18" s="1"/>
  <c r="J118" i="27" s="1"/>
  <c r="BG103" i="18"/>
  <c r="BH103" i="18" s="1"/>
  <c r="BI103" i="18" s="1"/>
  <c r="AC63" i="18"/>
  <c r="AD63" i="18" s="1"/>
  <c r="G78" i="27" s="1"/>
  <c r="AF63" i="18"/>
  <c r="AG63" i="18" s="1"/>
  <c r="AH63" i="18" s="1"/>
  <c r="AC92" i="18"/>
  <c r="AD92" i="18" s="1"/>
  <c r="G107" i="27" s="1"/>
  <c r="AF92" i="18"/>
  <c r="AG92" i="18" s="1"/>
  <c r="AH92" i="18" s="1"/>
  <c r="AM94" i="18"/>
  <c r="AN94" i="18" s="1"/>
  <c r="H109" i="27" s="1"/>
  <c r="AO94" i="18"/>
  <c r="AP94" i="18" s="1"/>
  <c r="AQ94" i="18" s="1"/>
  <c r="BE120" i="18"/>
  <c r="BF120" i="18" s="1"/>
  <c r="J135" i="27" s="1"/>
  <c r="BG120" i="18"/>
  <c r="BH120" i="18" s="1"/>
  <c r="BI120" i="18" s="1"/>
  <c r="AM77" i="18"/>
  <c r="AN77" i="18" s="1"/>
  <c r="H92" i="27" s="1"/>
  <c r="AV127" i="18"/>
  <c r="AW127" i="18" s="1"/>
  <c r="I144" i="27" s="1"/>
  <c r="AX127" i="18"/>
  <c r="AY127" i="18" s="1"/>
  <c r="AZ127" i="18" s="1"/>
  <c r="AV94" i="18"/>
  <c r="AW94" i="18" s="1"/>
  <c r="I109" i="27" s="1"/>
  <c r="AX94" i="18"/>
  <c r="AY94" i="18" s="1"/>
  <c r="AZ94" i="18" s="1"/>
  <c r="BE137" i="18"/>
  <c r="BF137" i="18" s="1"/>
  <c r="J154" i="27" s="1"/>
  <c r="BG137" i="18"/>
  <c r="BH137" i="18" s="1"/>
  <c r="BI137" i="18" s="1"/>
  <c r="BE96" i="18"/>
  <c r="BF96" i="18" s="1"/>
  <c r="J111" i="27" s="1"/>
  <c r="BG96" i="18"/>
  <c r="BH96" i="18" s="1"/>
  <c r="BI96" i="18" s="1"/>
  <c r="BE176" i="18"/>
  <c r="BF176" i="18" s="1"/>
  <c r="J193" i="27" s="1"/>
  <c r="BG176" i="18"/>
  <c r="BH176" i="18" s="1"/>
  <c r="BI176" i="18" s="1"/>
  <c r="AC127" i="18"/>
  <c r="AD127" i="18" s="1"/>
  <c r="G144" i="27" s="1"/>
  <c r="AV172" i="18"/>
  <c r="AW172" i="18" s="1"/>
  <c r="I189" i="27" s="1"/>
  <c r="AX172" i="18"/>
  <c r="AY172" i="18" s="1"/>
  <c r="AZ172" i="18" s="1"/>
  <c r="BE178" i="18"/>
  <c r="BF178" i="18" s="1"/>
  <c r="J195" i="27" s="1"/>
  <c r="BG178" i="18"/>
  <c r="BH178" i="18" s="1"/>
  <c r="BI178" i="18" s="1"/>
  <c r="AC176" i="18"/>
  <c r="AD176" i="18" s="1"/>
  <c r="G193" i="27" s="1"/>
  <c r="AF176" i="18"/>
  <c r="AG176" i="18" s="1"/>
  <c r="AH176" i="18" s="1"/>
  <c r="AV130" i="18"/>
  <c r="AW130" i="18" s="1"/>
  <c r="I147" i="27" s="1"/>
  <c r="AX130" i="18"/>
  <c r="AY130" i="18" s="1"/>
  <c r="AZ130" i="18" s="1"/>
  <c r="AV169" i="18"/>
  <c r="AW169" i="18" s="1"/>
  <c r="I186" i="27" s="1"/>
  <c r="AX169" i="18"/>
  <c r="AY169" i="18" s="1"/>
  <c r="AZ169" i="18" s="1"/>
  <c r="BE163" i="18"/>
  <c r="BF163" i="18" s="1"/>
  <c r="J180" i="27" s="1"/>
  <c r="BS16" i="18"/>
  <c r="BG171" i="18" s="1"/>
  <c r="BH171" i="18" s="1"/>
  <c r="BI171" i="18" s="1"/>
  <c r="BS11" i="18"/>
  <c r="BG151" i="18" s="1"/>
  <c r="BS12" i="18"/>
  <c r="BG155" i="18" s="1"/>
  <c r="BG163" i="18"/>
  <c r="BH163" i="18" s="1"/>
  <c r="BI163" i="18" s="1"/>
  <c r="BS13" i="18"/>
  <c r="BG159" i="18" s="1"/>
  <c r="BH159" i="18" s="1"/>
  <c r="BI159" i="18" s="1"/>
  <c r="BS15" i="18"/>
  <c r="BG167" i="18" s="1"/>
  <c r="AC190" i="18"/>
  <c r="AD190" i="18" s="1"/>
  <c r="G207" i="27" s="1"/>
  <c r="AF190" i="18"/>
  <c r="AG190" i="18" s="1"/>
  <c r="AH190" i="18" s="1"/>
  <c r="AC184" i="18"/>
  <c r="AD184" i="18" s="1"/>
  <c r="G201" i="27" s="1"/>
  <c r="AF184" i="18"/>
  <c r="AG184" i="18" s="1"/>
  <c r="AH184" i="18" s="1"/>
  <c r="AV27" i="18"/>
  <c r="AW27" i="18" s="1"/>
  <c r="I35" i="27" s="1"/>
  <c r="AX27" i="18"/>
  <c r="AY27" i="18" s="1"/>
  <c r="AZ27" i="18" s="1"/>
  <c r="BE11" i="18"/>
  <c r="BF11" i="18" s="1"/>
  <c r="J14" i="27" s="1"/>
  <c r="BG11" i="18"/>
  <c r="BH11" i="18" s="1"/>
  <c r="BI11" i="18" s="1"/>
  <c r="AM15" i="24"/>
  <c r="AN15" i="24" s="1"/>
  <c r="H25" i="27" s="1"/>
  <c r="BE192" i="18"/>
  <c r="BF192" i="18" s="1"/>
  <c r="J209" i="27" s="1"/>
  <c r="BG192" i="18"/>
  <c r="BH192" i="18" s="1"/>
  <c r="BI192" i="18" s="1"/>
  <c r="AC188" i="18"/>
  <c r="AD188" i="18" s="1"/>
  <c r="G205" i="27" s="1"/>
  <c r="S63" i="18"/>
  <c r="T63" i="18" s="1"/>
  <c r="F78" i="27" s="1"/>
  <c r="BE168" i="18"/>
  <c r="BF168" i="18" s="1"/>
  <c r="J185" i="27" s="1"/>
  <c r="BG168" i="18"/>
  <c r="BH168" i="18" s="1"/>
  <c r="BI168" i="18" s="1"/>
  <c r="BE9" i="18"/>
  <c r="BF9" i="18" s="1"/>
  <c r="J11" i="27" s="1"/>
  <c r="BG9" i="18"/>
  <c r="BH9" i="18" s="1"/>
  <c r="BI9" i="18" s="1"/>
  <c r="AB15" i="24"/>
  <c r="AC15" i="24" s="1"/>
  <c r="AD15" i="24" s="1"/>
  <c r="G25" i="27" s="1"/>
  <c r="BE17" i="24"/>
  <c r="BF17" i="24" s="1"/>
  <c r="J29" i="27" s="1"/>
  <c r="BD23" i="24"/>
  <c r="BE23" i="24" s="1"/>
  <c r="BF23" i="24" s="1"/>
  <c r="J41" i="27" s="1"/>
  <c r="S77" i="18"/>
  <c r="T77" i="18" s="1"/>
  <c r="F92" i="27" s="1"/>
  <c r="S35" i="18"/>
  <c r="T35" i="18" s="1"/>
  <c r="F46" i="27" s="1"/>
  <c r="S169" i="18"/>
  <c r="T169" i="18" s="1"/>
  <c r="F186" i="27" s="1"/>
  <c r="AM17" i="18"/>
  <c r="AN17" i="18" s="1"/>
  <c r="H22" i="27" s="1"/>
  <c r="AT4" i="24"/>
  <c r="AU4" i="24" s="1"/>
  <c r="AV4" i="24" s="1"/>
  <c r="AW4" i="24" s="1"/>
  <c r="I4" i="27" s="1"/>
  <c r="Q26" i="24"/>
  <c r="R26" i="24" s="1"/>
  <c r="S26" i="24" s="1"/>
  <c r="T26" i="24" s="1"/>
  <c r="F47" i="27" s="1"/>
  <c r="AA10" i="24"/>
  <c r="AB10" i="24" s="1"/>
  <c r="AC10" i="24" s="1"/>
  <c r="AD10" i="24" s="1"/>
  <c r="G16" i="27" s="1"/>
  <c r="S33" i="18"/>
  <c r="T33" i="18" s="1"/>
  <c r="F43" i="27" s="1"/>
  <c r="AV31" i="18"/>
  <c r="AW31" i="18" s="1"/>
  <c r="AX31" i="18"/>
  <c r="AY31" i="18" s="1"/>
  <c r="AZ31" i="18" s="1"/>
  <c r="S90" i="12"/>
  <c r="AM47" i="18"/>
  <c r="AN47" i="18" s="1"/>
  <c r="S23" i="12"/>
  <c r="S9" i="12"/>
  <c r="S136" i="12"/>
  <c r="S6" i="12"/>
  <c r="S43" i="12"/>
  <c r="S54" i="12"/>
  <c r="S115" i="12"/>
  <c r="S11" i="12"/>
  <c r="S60" i="12"/>
  <c r="S135" i="12"/>
  <c r="S110" i="12"/>
  <c r="S129" i="12"/>
  <c r="AV66" i="18" l="1"/>
  <c r="AW66" i="18" s="1"/>
  <c r="I81" i="27" s="1"/>
  <c r="AX66" i="18"/>
  <c r="AY66" i="18" s="1"/>
  <c r="AZ66" i="18" s="1"/>
  <c r="BE50" i="18"/>
  <c r="BF50" i="18" s="1"/>
  <c r="J65" i="27" s="1"/>
  <c r="BG50" i="18"/>
  <c r="BH50" i="18" s="1"/>
  <c r="BI50" i="18" s="1"/>
  <c r="BC48" i="18"/>
  <c r="BD48" i="18" s="1"/>
  <c r="AF56" i="18"/>
  <c r="AG56" i="18" s="1"/>
  <c r="AH56" i="18" s="1"/>
  <c r="AV43" i="18"/>
  <c r="AW43" i="18" s="1"/>
  <c r="I55" i="27" s="1"/>
  <c r="AX43" i="18"/>
  <c r="AY43" i="18" s="1"/>
  <c r="AZ43" i="18" s="1"/>
  <c r="AV64" i="18"/>
  <c r="AW64" i="18" s="1"/>
  <c r="I79" i="27" s="1"/>
  <c r="AX64" i="18"/>
  <c r="AY64" i="18" s="1"/>
  <c r="AZ64" i="18" s="1"/>
  <c r="AV45" i="18"/>
  <c r="AW45" i="18" s="1"/>
  <c r="I57" i="27" s="1"/>
  <c r="AX45" i="18"/>
  <c r="AY45" i="18" s="1"/>
  <c r="AZ45" i="18" s="1"/>
  <c r="AV41" i="18"/>
  <c r="AW41" i="18" s="1"/>
  <c r="I53" i="27" s="1"/>
  <c r="AX41" i="18"/>
  <c r="AY41" i="18" s="1"/>
  <c r="AZ41" i="18" s="1"/>
  <c r="M134" i="18"/>
  <c r="Q134" i="12"/>
  <c r="AR86" i="1"/>
  <c r="AP86" i="1"/>
  <c r="M88" i="18"/>
  <c r="Q88" i="12"/>
  <c r="Q136" i="12"/>
  <c r="M136" i="18"/>
  <c r="AP91" i="1"/>
  <c r="AR91" i="1"/>
  <c r="V166" i="25"/>
  <c r="Z166" i="25" s="1"/>
  <c r="AA166" i="25" s="1"/>
  <c r="AB166" i="25" s="1"/>
  <c r="V166" i="28"/>
  <c r="X166" i="28"/>
  <c r="W166" i="28"/>
  <c r="V149" i="11"/>
  <c r="W149" i="11"/>
  <c r="X149" i="11"/>
  <c r="M105" i="18"/>
  <c r="Q105" i="12"/>
  <c r="Q146" i="12"/>
  <c r="M146" i="18"/>
  <c r="AR112" i="1"/>
  <c r="AP112" i="1"/>
  <c r="M113" i="18"/>
  <c r="Q113" i="12"/>
  <c r="AR155" i="1"/>
  <c r="AP155" i="1"/>
  <c r="V178" i="25"/>
  <c r="Z178" i="25" s="1"/>
  <c r="AA178" i="25" s="1"/>
  <c r="AB178" i="25" s="1"/>
  <c r="V161" i="11"/>
  <c r="W161" i="11"/>
  <c r="X161" i="11"/>
  <c r="W178" i="28"/>
  <c r="V178" i="28"/>
  <c r="X178" i="28"/>
  <c r="AP122" i="1"/>
  <c r="AR122" i="1"/>
  <c r="BC45" i="18"/>
  <c r="BD45" i="18" s="1"/>
  <c r="M100" i="18"/>
  <c r="Q100" i="12"/>
  <c r="Q147" i="12"/>
  <c r="M147" i="18"/>
  <c r="AR134" i="1"/>
  <c r="AP134" i="1"/>
  <c r="Q142" i="12"/>
  <c r="M142" i="18"/>
  <c r="AG131" i="18"/>
  <c r="AH131" i="18" s="1"/>
  <c r="W131" i="18"/>
  <c r="X131" i="18" s="1"/>
  <c r="Q140" i="12"/>
  <c r="M140" i="18"/>
  <c r="M93" i="18"/>
  <c r="Q93" i="12"/>
  <c r="AR156" i="1"/>
  <c r="AP156" i="1"/>
  <c r="BC41" i="18"/>
  <c r="BD41" i="18" s="1"/>
  <c r="AH4" i="25"/>
  <c r="AB46" i="25" s="1"/>
  <c r="AB30" i="25"/>
  <c r="AR160" i="1"/>
  <c r="AP160" i="1"/>
  <c r="AR113" i="1"/>
  <c r="AP113" i="1"/>
  <c r="AP167" i="1"/>
  <c r="AR167" i="1"/>
  <c r="Q138" i="12"/>
  <c r="M138" i="18"/>
  <c r="AK76" i="18"/>
  <c r="AL76" i="18" s="1"/>
  <c r="Q76" i="18"/>
  <c r="R76" i="18" s="1"/>
  <c r="AA76" i="18"/>
  <c r="AB76" i="18" s="1"/>
  <c r="Q43" i="18"/>
  <c r="R43" i="18" s="1"/>
  <c r="AK43" i="18"/>
  <c r="AL43" i="18" s="1"/>
  <c r="AA43" i="18"/>
  <c r="AB43" i="18" s="1"/>
  <c r="AR81" i="1"/>
  <c r="AP81" i="1"/>
  <c r="X168" i="28"/>
  <c r="V151" i="11"/>
  <c r="W151" i="11"/>
  <c r="X151" i="11"/>
  <c r="V168" i="28"/>
  <c r="W168" i="28"/>
  <c r="M83" i="18"/>
  <c r="Q83" i="12"/>
  <c r="V159" i="28"/>
  <c r="V159" i="25"/>
  <c r="X159" i="28"/>
  <c r="V142" i="11"/>
  <c r="W142" i="11"/>
  <c r="X142" i="11"/>
  <c r="W159" i="28"/>
  <c r="AR136" i="1"/>
  <c r="AP136" i="1"/>
  <c r="X106" i="28"/>
  <c r="V106" i="25"/>
  <c r="Z106" i="25" s="1"/>
  <c r="AA106" i="25" s="1"/>
  <c r="AB106" i="25" s="1"/>
  <c r="W106" i="28"/>
  <c r="V106" i="28"/>
  <c r="W91" i="11"/>
  <c r="X91" i="11"/>
  <c r="V91" i="11"/>
  <c r="M91" i="18"/>
  <c r="Q91" i="12"/>
  <c r="AP99" i="1"/>
  <c r="AR99" i="1"/>
  <c r="AR140" i="1"/>
  <c r="AP140" i="1"/>
  <c r="AR146" i="1"/>
  <c r="AP146" i="1"/>
  <c r="BC43" i="18"/>
  <c r="BD43" i="18" s="1"/>
  <c r="M110" i="18"/>
  <c r="Q110" i="12"/>
  <c r="V128" i="25"/>
  <c r="Z128" i="25" s="1"/>
  <c r="AA128" i="25" s="1"/>
  <c r="AB128" i="25" s="1"/>
  <c r="AH9" i="25" s="1"/>
  <c r="AB120" i="25" s="1"/>
  <c r="W113" i="11"/>
  <c r="X113" i="11"/>
  <c r="V113" i="11"/>
  <c r="X128" i="28"/>
  <c r="W128" i="28"/>
  <c r="V128" i="28"/>
  <c r="M86" i="18"/>
  <c r="Q86" i="12"/>
  <c r="Q72" i="18"/>
  <c r="R72" i="18" s="1"/>
  <c r="AA72" i="18"/>
  <c r="AB72" i="18" s="1"/>
  <c r="AK72" i="18"/>
  <c r="AL72" i="18" s="1"/>
  <c r="V100" i="25"/>
  <c r="Z100" i="25" s="1"/>
  <c r="AA100" i="25" s="1"/>
  <c r="AB100" i="25" s="1"/>
  <c r="X100" i="28"/>
  <c r="W100" i="28"/>
  <c r="V100" i="28"/>
  <c r="W85" i="11"/>
  <c r="X85" i="11"/>
  <c r="V85" i="11"/>
  <c r="AR83" i="1"/>
  <c r="AP83" i="1"/>
  <c r="AR142" i="1"/>
  <c r="AP142" i="18" s="1"/>
  <c r="AQ142" i="18" s="1"/>
  <c r="AP142" i="1"/>
  <c r="AP85" i="1"/>
  <c r="AR85" i="1"/>
  <c r="V153" i="25"/>
  <c r="V136" i="11"/>
  <c r="W136" i="11"/>
  <c r="X136" i="11"/>
  <c r="X153" i="28"/>
  <c r="W153" i="28"/>
  <c r="V153" i="28"/>
  <c r="Q143" i="12"/>
  <c r="M143" i="18"/>
  <c r="V108" i="25"/>
  <c r="Z108" i="25" s="1"/>
  <c r="AA108" i="25" s="1"/>
  <c r="AB108" i="25" s="1"/>
  <c r="V93" i="11"/>
  <c r="W93" i="11"/>
  <c r="X93" i="11"/>
  <c r="V108" i="28"/>
  <c r="X108" i="28"/>
  <c r="W108" i="28"/>
  <c r="V157" i="25"/>
  <c r="Z157" i="25" s="1"/>
  <c r="AA157" i="25" s="1"/>
  <c r="AB157" i="25" s="1"/>
  <c r="X157" i="28"/>
  <c r="W157" i="28"/>
  <c r="V157" i="28"/>
  <c r="V140" i="11"/>
  <c r="W140" i="11"/>
  <c r="X140" i="11"/>
  <c r="Q52" i="18"/>
  <c r="R52" i="18" s="1"/>
  <c r="AA52" i="18"/>
  <c r="AB52" i="18" s="1"/>
  <c r="AK52" i="18"/>
  <c r="AL52" i="18" s="1"/>
  <c r="M145" i="18"/>
  <c r="Q145" i="12"/>
  <c r="AT68" i="18"/>
  <c r="AU68" i="18" s="1"/>
  <c r="Q68" i="18"/>
  <c r="R68" i="18" s="1"/>
  <c r="AA68" i="18"/>
  <c r="AB68" i="18" s="1"/>
  <c r="BC68" i="18"/>
  <c r="BD68" i="18" s="1"/>
  <c r="AK68" i="18"/>
  <c r="AL68" i="18" s="1"/>
  <c r="Q60" i="18"/>
  <c r="R60" i="18" s="1"/>
  <c r="AK60" i="18"/>
  <c r="AL60" i="18" s="1"/>
  <c r="AA60" i="18"/>
  <c r="AB60" i="18" s="1"/>
  <c r="AR101" i="1"/>
  <c r="AP101" i="1"/>
  <c r="V155" i="25"/>
  <c r="Z155" i="25" s="1"/>
  <c r="AA155" i="25" s="1"/>
  <c r="AB155" i="25" s="1"/>
  <c r="X155" i="28"/>
  <c r="W155" i="28"/>
  <c r="V155" i="28"/>
  <c r="X138" i="11"/>
  <c r="V138" i="11"/>
  <c r="W138" i="11"/>
  <c r="M90" i="18"/>
  <c r="Q90" i="12"/>
  <c r="AK80" i="18"/>
  <c r="AL80" i="18" s="1"/>
  <c r="Q80" i="18"/>
  <c r="R80" i="18" s="1"/>
  <c r="AA80" i="18"/>
  <c r="AB80" i="18" s="1"/>
  <c r="V164" i="25"/>
  <c r="Z164" i="25" s="1"/>
  <c r="AA164" i="25" s="1"/>
  <c r="AB164" i="25" s="1"/>
  <c r="X164" i="28"/>
  <c r="W164" i="28"/>
  <c r="V164" i="28"/>
  <c r="X147" i="11"/>
  <c r="V147" i="11"/>
  <c r="W147" i="11"/>
  <c r="AR110" i="1"/>
  <c r="AP110" i="1"/>
  <c r="BH142" i="18"/>
  <c r="BI142" i="18" s="1"/>
  <c r="V153" i="12"/>
  <c r="W153" i="12" s="1"/>
  <c r="M186" i="18"/>
  <c r="Q186" i="12"/>
  <c r="V186" i="12" s="1"/>
  <c r="W186" i="12" s="1"/>
  <c r="V105" i="25"/>
  <c r="Z105" i="25" s="1"/>
  <c r="AA105" i="25" s="1"/>
  <c r="AB105" i="25" s="1"/>
  <c r="V90" i="11"/>
  <c r="W90" i="11"/>
  <c r="X90" i="11"/>
  <c r="X105" i="28"/>
  <c r="W105" i="28"/>
  <c r="V105" i="28"/>
  <c r="M99" i="18"/>
  <c r="Q99" i="12"/>
  <c r="M180" i="18"/>
  <c r="Q180" i="12"/>
  <c r="AP131" i="18"/>
  <c r="AQ131" i="18" s="1"/>
  <c r="V163" i="25"/>
  <c r="Z163" i="25" s="1"/>
  <c r="AA163" i="25" s="1"/>
  <c r="AB163" i="25" s="1"/>
  <c r="X163" i="28"/>
  <c r="W163" i="28"/>
  <c r="V163" i="28"/>
  <c r="V146" i="11"/>
  <c r="W146" i="11"/>
  <c r="X146" i="11"/>
  <c r="AR111" i="1"/>
  <c r="AP111" i="1"/>
  <c r="M98" i="18"/>
  <c r="Q98" i="12"/>
  <c r="M151" i="18"/>
  <c r="Q151" i="12"/>
  <c r="V151" i="12" s="1"/>
  <c r="W151" i="12" s="1"/>
  <c r="AR138" i="1"/>
  <c r="AP138" i="1"/>
  <c r="AP90" i="1"/>
  <c r="AR90" i="1"/>
  <c r="AR147" i="1"/>
  <c r="AP147" i="1"/>
  <c r="AT72" i="18"/>
  <c r="AU72" i="18" s="1"/>
  <c r="BH167" i="18"/>
  <c r="BI167" i="18" s="1"/>
  <c r="V145" i="12"/>
  <c r="W145" i="12" s="1"/>
  <c r="Q45" i="18"/>
  <c r="R45" i="18" s="1"/>
  <c r="AK45" i="18"/>
  <c r="AL45" i="18" s="1"/>
  <c r="AA45" i="18"/>
  <c r="AB45" i="18" s="1"/>
  <c r="M81" i="18"/>
  <c r="Q81" i="12"/>
  <c r="V81" i="12" s="1"/>
  <c r="W81" i="12" s="1"/>
  <c r="Q123" i="12"/>
  <c r="M123" i="18"/>
  <c r="Q153" i="12"/>
  <c r="M153" i="18"/>
  <c r="AK54" i="18"/>
  <c r="AL54" i="18" s="1"/>
  <c r="Q54" i="18"/>
  <c r="R54" i="18" s="1"/>
  <c r="AT54" i="18"/>
  <c r="AU54" i="18" s="1"/>
  <c r="Q41" i="18"/>
  <c r="R41" i="18" s="1"/>
  <c r="AA41" i="18"/>
  <c r="AB41" i="18" s="1"/>
  <c r="AK41" i="18"/>
  <c r="AL41" i="18" s="1"/>
  <c r="V160" i="25"/>
  <c r="Z160" i="25" s="1"/>
  <c r="AA160" i="25" s="1"/>
  <c r="AB160" i="25" s="1"/>
  <c r="X160" i="28"/>
  <c r="V143" i="11"/>
  <c r="W143" i="11"/>
  <c r="X143" i="11"/>
  <c r="W160" i="28"/>
  <c r="V160" i="28"/>
  <c r="AR16" i="1"/>
  <c r="AP16" i="1"/>
  <c r="Q50" i="18"/>
  <c r="R50" i="18" s="1"/>
  <c r="AK50" i="18"/>
  <c r="AL50" i="18" s="1"/>
  <c r="AA50" i="18"/>
  <c r="AB50" i="18" s="1"/>
  <c r="X115" i="28"/>
  <c r="V115" i="25"/>
  <c r="Z115" i="25" s="1"/>
  <c r="AA115" i="25" s="1"/>
  <c r="AB115" i="25" s="1"/>
  <c r="V115" i="28"/>
  <c r="W115" i="28"/>
  <c r="V100" i="11"/>
  <c r="W100" i="11"/>
  <c r="X100" i="11"/>
  <c r="AR180" i="1"/>
  <c r="AP180" i="1"/>
  <c r="Q58" i="18"/>
  <c r="R58" i="18" s="1"/>
  <c r="AK58" i="18"/>
  <c r="AL58" i="18" s="1"/>
  <c r="AA58" i="18"/>
  <c r="AB58" i="18" s="1"/>
  <c r="Q66" i="18"/>
  <c r="R66" i="18" s="1"/>
  <c r="AA66" i="18"/>
  <c r="AB66" i="18" s="1"/>
  <c r="AK66" i="18"/>
  <c r="AL66" i="18" s="1"/>
  <c r="AB71" i="25"/>
  <c r="AH6" i="25"/>
  <c r="AH5" i="25"/>
  <c r="M101" i="18"/>
  <c r="Q101" i="12"/>
  <c r="AA54" i="18"/>
  <c r="AB54" i="18" s="1"/>
  <c r="M161" i="18"/>
  <c r="Q161" i="12"/>
  <c r="BC66" i="18"/>
  <c r="BD66" i="18" s="1"/>
  <c r="AK56" i="18"/>
  <c r="AL56" i="18" s="1"/>
  <c r="Q56" i="18"/>
  <c r="R56" i="18" s="1"/>
  <c r="AT56" i="18"/>
  <c r="AU56" i="18" s="1"/>
  <c r="Q62" i="18"/>
  <c r="R62" i="18" s="1"/>
  <c r="AA62" i="18"/>
  <c r="AB62" i="18" s="1"/>
  <c r="AK62" i="18"/>
  <c r="AL62" i="18" s="1"/>
  <c r="AB136" i="25"/>
  <c r="AH13" i="25"/>
  <c r="AP100" i="1"/>
  <c r="AR100" i="1"/>
  <c r="BC52" i="18"/>
  <c r="BD52" i="18" s="1"/>
  <c r="X126" i="28"/>
  <c r="V126" i="25"/>
  <c r="Z126" i="25" s="1"/>
  <c r="AA126" i="25" s="1"/>
  <c r="AB126" i="25" s="1"/>
  <c r="W126" i="28"/>
  <c r="V126" i="28"/>
  <c r="V111" i="11"/>
  <c r="W111" i="11"/>
  <c r="X111" i="11"/>
  <c r="AP132" i="1"/>
  <c r="AR132" i="1"/>
  <c r="W132" i="18" s="1"/>
  <c r="X132" i="18" s="1"/>
  <c r="M117" i="18"/>
  <c r="Q117" i="12"/>
  <c r="M139" i="18"/>
  <c r="Q139" i="12"/>
  <c r="AR186" i="1"/>
  <c r="AP186" i="1"/>
  <c r="AR88" i="1"/>
  <c r="AP88" i="1"/>
  <c r="M85" i="18"/>
  <c r="Q85" i="12"/>
  <c r="V85" i="12" s="1"/>
  <c r="W85" i="12" s="1"/>
  <c r="AR143" i="1"/>
  <c r="AP143" i="1"/>
  <c r="Q149" i="12"/>
  <c r="M149" i="18"/>
  <c r="M156" i="18"/>
  <c r="Q156" i="12"/>
  <c r="V127" i="25"/>
  <c r="V112" i="11"/>
  <c r="W112" i="11"/>
  <c r="X112" i="11"/>
  <c r="X127" i="28"/>
  <c r="W127" i="28"/>
  <c r="V127" i="28"/>
  <c r="M111" i="18"/>
  <c r="Q111" i="12"/>
  <c r="AR98" i="1"/>
  <c r="AP98" i="1"/>
  <c r="BC54" i="18"/>
  <c r="BD54" i="18" s="1"/>
  <c r="BC58" i="18"/>
  <c r="BD58" i="18" s="1"/>
  <c r="BH131" i="18"/>
  <c r="BI131" i="18" s="1"/>
  <c r="AT52" i="18"/>
  <c r="AU52" i="18" s="1"/>
  <c r="AT62" i="18"/>
  <c r="AU62" i="18" s="1"/>
  <c r="AR123" i="1"/>
  <c r="W123" i="18" s="1"/>
  <c r="X123" i="18" s="1"/>
  <c r="AP123" i="1"/>
  <c r="AR139" i="1"/>
  <c r="AP139" i="1"/>
  <c r="AK78" i="18"/>
  <c r="AL78" i="18" s="1"/>
  <c r="Q78" i="18"/>
  <c r="R78" i="18" s="1"/>
  <c r="AA78" i="18"/>
  <c r="AB78" i="18" s="1"/>
  <c r="AR149" i="1"/>
  <c r="AP149" i="1"/>
  <c r="M16" i="18"/>
  <c r="Q16" i="12"/>
  <c r="AR93" i="1"/>
  <c r="AP93" i="1"/>
  <c r="AT50" i="18"/>
  <c r="AU50" i="18" s="1"/>
  <c r="Q70" i="18"/>
  <c r="R70" i="18" s="1"/>
  <c r="AA70" i="18"/>
  <c r="AB70" i="18" s="1"/>
  <c r="AK70" i="18"/>
  <c r="AL70" i="18" s="1"/>
  <c r="AT58" i="18"/>
  <c r="AU58" i="18" s="1"/>
  <c r="Q64" i="18"/>
  <c r="R64" i="18" s="1"/>
  <c r="AA64" i="18"/>
  <c r="AB64" i="18" s="1"/>
  <c r="AK64" i="18"/>
  <c r="AL64" i="18" s="1"/>
  <c r="M112" i="18"/>
  <c r="Q112" i="12"/>
  <c r="AT60" i="18"/>
  <c r="AU60" i="18" s="1"/>
  <c r="M122" i="18"/>
  <c r="Q122" i="12"/>
  <c r="BC60" i="18"/>
  <c r="BD60" i="18" s="1"/>
  <c r="Q74" i="18"/>
  <c r="R74" i="18" s="1"/>
  <c r="AA74" i="18"/>
  <c r="AB74" i="18" s="1"/>
  <c r="AK74" i="18"/>
  <c r="AL74" i="18" s="1"/>
  <c r="M165" i="18"/>
  <c r="Q165" i="12"/>
  <c r="AA25" i="12"/>
  <c r="T25" i="12"/>
  <c r="U25" i="12" s="1"/>
  <c r="V25" i="12" s="1"/>
  <c r="W25" i="12" s="1"/>
  <c r="AO25" i="12"/>
  <c r="M26" i="18"/>
  <c r="Q26" i="12"/>
  <c r="T181" i="12"/>
  <c r="U181" i="12" s="1"/>
  <c r="V181" i="12" s="1"/>
  <c r="W181" i="12" s="1"/>
  <c r="AA181" i="12"/>
  <c r="AO181" i="12"/>
  <c r="M24" i="18"/>
  <c r="Q24" i="12"/>
  <c r="AA131" i="12"/>
  <c r="AO131" i="12"/>
  <c r="T131" i="12"/>
  <c r="U131" i="12" s="1"/>
  <c r="V131" i="12" s="1"/>
  <c r="W131" i="12" s="1"/>
  <c r="AO142" i="12"/>
  <c r="T142" i="12"/>
  <c r="U142" i="12" s="1"/>
  <c r="V142" i="12" s="1"/>
  <c r="W142" i="12" s="1"/>
  <c r="AA76" i="12"/>
  <c r="T76" i="12"/>
  <c r="U76" i="12" s="1"/>
  <c r="V76" i="12" s="1"/>
  <c r="W76" i="12" s="1"/>
  <c r="AO76" i="12"/>
  <c r="W151" i="18"/>
  <c r="X151" i="18" s="1"/>
  <c r="AY151" i="18"/>
  <c r="AZ151" i="18" s="1"/>
  <c r="AP151" i="18"/>
  <c r="AQ151" i="18" s="1"/>
  <c r="AG151" i="18"/>
  <c r="AH151" i="18" s="1"/>
  <c r="AA109" i="12"/>
  <c r="T109" i="12"/>
  <c r="U109" i="12" s="1"/>
  <c r="V109" i="12" s="1"/>
  <c r="W109" i="12" s="1"/>
  <c r="AO109" i="12"/>
  <c r="T7" i="12"/>
  <c r="U7" i="12" s="1"/>
  <c r="V7" i="12" s="1"/>
  <c r="W7" i="12" s="1"/>
  <c r="AA7" i="12"/>
  <c r="AO7" i="12"/>
  <c r="M46" i="18"/>
  <c r="Q46" i="12"/>
  <c r="M40" i="18"/>
  <c r="Q40" i="12"/>
  <c r="AA128" i="12"/>
  <c r="T128" i="12"/>
  <c r="U128" i="12" s="1"/>
  <c r="AO128" i="12"/>
  <c r="T73" i="12"/>
  <c r="U73" i="12" s="1"/>
  <c r="V73" i="12" s="1"/>
  <c r="W73" i="12" s="1"/>
  <c r="AA73" i="12"/>
  <c r="AO73" i="12"/>
  <c r="AA34" i="12"/>
  <c r="T34" i="12"/>
  <c r="U34" i="12" s="1"/>
  <c r="AO34" i="12"/>
  <c r="T69" i="12"/>
  <c r="U69" i="12" s="1"/>
  <c r="V69" i="12" s="1"/>
  <c r="W69" i="12" s="1"/>
  <c r="AA69" i="12"/>
  <c r="AO69" i="12"/>
  <c r="AT51" i="18"/>
  <c r="AU51" i="18" s="1"/>
  <c r="AK51" i="18"/>
  <c r="AL51" i="18" s="1"/>
  <c r="Q51" i="18"/>
  <c r="R51" i="18" s="1"/>
  <c r="AA71" i="12"/>
  <c r="T71" i="12"/>
  <c r="U71" i="12" s="1"/>
  <c r="V71" i="12" s="1"/>
  <c r="W71" i="12" s="1"/>
  <c r="AO71" i="12"/>
  <c r="AA31" i="12"/>
  <c r="AO31" i="12"/>
  <c r="T31" i="12"/>
  <c r="U31" i="12" s="1"/>
  <c r="V31" i="12" s="1"/>
  <c r="W31" i="12" s="1"/>
  <c r="T139" i="12"/>
  <c r="U139" i="12" s="1"/>
  <c r="AA139" i="12"/>
  <c r="AO139" i="12"/>
  <c r="T144" i="12"/>
  <c r="U144" i="12" s="1"/>
  <c r="V144" i="12" s="1"/>
  <c r="W144" i="12" s="1"/>
  <c r="AO144" i="12"/>
  <c r="AO47" i="12"/>
  <c r="T47" i="12"/>
  <c r="U47" i="12" s="1"/>
  <c r="V47" i="12" s="1"/>
  <c r="W47" i="12" s="1"/>
  <c r="AA147" i="12"/>
  <c r="T147" i="12"/>
  <c r="U147" i="12" s="1"/>
  <c r="V147" i="12" s="1"/>
  <c r="W147" i="12" s="1"/>
  <c r="AO147" i="12"/>
  <c r="AA42" i="12"/>
  <c r="AO42" i="12"/>
  <c r="T42" i="12"/>
  <c r="U42" i="12" s="1"/>
  <c r="AA169" i="12"/>
  <c r="AO169" i="12"/>
  <c r="T169" i="12"/>
  <c r="U169" i="12" s="1"/>
  <c r="V169" i="12" s="1"/>
  <c r="W169" i="12" s="1"/>
  <c r="AA10" i="12"/>
  <c r="AO10" i="12"/>
  <c r="T10" i="12"/>
  <c r="U10" i="12" s="1"/>
  <c r="AA162" i="12"/>
  <c r="T162" i="12"/>
  <c r="U162" i="12" s="1"/>
  <c r="V162" i="12" s="1"/>
  <c r="W162" i="12" s="1"/>
  <c r="AO162" i="12"/>
  <c r="AA72" i="12"/>
  <c r="AO72" i="12"/>
  <c r="T72" i="12"/>
  <c r="U72" i="12" s="1"/>
  <c r="V72" i="12" s="1"/>
  <c r="W72" i="12" s="1"/>
  <c r="AM36" i="12"/>
  <c r="AA132" i="12" s="1"/>
  <c r="AM35" i="12"/>
  <c r="AA129" i="12" s="1"/>
  <c r="AM34" i="12"/>
  <c r="AA125" i="12" s="1"/>
  <c r="AM33" i="12"/>
  <c r="T119" i="12"/>
  <c r="U119" i="12" s="1"/>
  <c r="V119" i="12" s="1"/>
  <c r="W119" i="12" s="1"/>
  <c r="AA119" i="12"/>
  <c r="AM32" i="12"/>
  <c r="AA123" i="12" s="1"/>
  <c r="AO119" i="12"/>
  <c r="AA149" i="12"/>
  <c r="T149" i="12"/>
  <c r="U149" i="12" s="1"/>
  <c r="V149" i="12" s="1"/>
  <c r="W149" i="12" s="1"/>
  <c r="AO149" i="12"/>
  <c r="AA58" i="12"/>
  <c r="T58" i="12"/>
  <c r="U58" i="12" s="1"/>
  <c r="V58" i="12" s="1"/>
  <c r="W58" i="12" s="1"/>
  <c r="AO58" i="12"/>
  <c r="AA143" i="12"/>
  <c r="T143" i="12"/>
  <c r="U143" i="12" s="1"/>
  <c r="V143" i="12" s="1"/>
  <c r="W143" i="12" s="1"/>
  <c r="AO143" i="12"/>
  <c r="BE53" i="18"/>
  <c r="BF53" i="18" s="1"/>
  <c r="J68" i="27" s="1"/>
  <c r="BG53" i="18"/>
  <c r="BH53" i="18" s="1"/>
  <c r="BI53" i="18" s="1"/>
  <c r="AA51" i="18"/>
  <c r="AB51" i="18" s="1"/>
  <c r="X17" i="12"/>
  <c r="AB17" i="12" s="1"/>
  <c r="AC17" i="12" s="1"/>
  <c r="AD17" i="12" s="1"/>
  <c r="Y17" i="12"/>
  <c r="Z17" i="12" s="1"/>
  <c r="W159" i="18"/>
  <c r="X159" i="18" s="1"/>
  <c r="AY159" i="18"/>
  <c r="AZ159" i="18" s="1"/>
  <c r="AP159" i="18"/>
  <c r="AQ159" i="18" s="1"/>
  <c r="AG159" i="18"/>
  <c r="AH159" i="18" s="1"/>
  <c r="AA183" i="12"/>
  <c r="AO183" i="12"/>
  <c r="T183" i="12"/>
  <c r="U183" i="12" s="1"/>
  <c r="T51" i="12"/>
  <c r="U51" i="12" s="1"/>
  <c r="V51" i="12" s="1"/>
  <c r="W51" i="12" s="1"/>
  <c r="AA51" i="12"/>
  <c r="AO51" i="12"/>
  <c r="M42" i="18"/>
  <c r="Q42" i="12"/>
  <c r="AA46" i="12"/>
  <c r="AO46" i="12"/>
  <c r="T46" i="12"/>
  <c r="U46" i="12" s="1"/>
  <c r="T53" i="12"/>
  <c r="U53" i="12" s="1"/>
  <c r="V53" i="12" s="1"/>
  <c r="W53" i="12" s="1"/>
  <c r="AA53" i="12"/>
  <c r="AO53" i="12"/>
  <c r="AA173" i="12"/>
  <c r="AO173" i="12"/>
  <c r="T173" i="12"/>
  <c r="U173" i="12" s="1"/>
  <c r="V173" i="12" s="1"/>
  <c r="W173" i="12" s="1"/>
  <c r="T190" i="12"/>
  <c r="U190" i="12" s="1"/>
  <c r="V190" i="12" s="1"/>
  <c r="W190" i="12" s="1"/>
  <c r="AA190" i="12"/>
  <c r="AO190" i="12"/>
  <c r="AR8" i="1"/>
  <c r="AP8" i="1"/>
  <c r="AA103" i="12"/>
  <c r="T103" i="12"/>
  <c r="U103" i="12" s="1"/>
  <c r="V103" i="12" s="1"/>
  <c r="W103" i="12" s="1"/>
  <c r="AO103" i="12"/>
  <c r="AR12" i="1"/>
  <c r="AP12" i="1"/>
  <c r="AA102" i="12"/>
  <c r="T102" i="12"/>
  <c r="U102" i="12" s="1"/>
  <c r="V102" i="12" s="1"/>
  <c r="W102" i="12" s="1"/>
  <c r="AO102" i="12"/>
  <c r="AA30" i="12"/>
  <c r="AO30" i="12"/>
  <c r="T30" i="12"/>
  <c r="U30" i="12" s="1"/>
  <c r="T116" i="12"/>
  <c r="U116" i="12" s="1"/>
  <c r="V116" i="12" s="1"/>
  <c r="W116" i="12" s="1"/>
  <c r="AO116" i="12"/>
  <c r="AA28" i="12"/>
  <c r="T28" i="12"/>
  <c r="U28" i="12" s="1"/>
  <c r="AO28" i="12"/>
  <c r="AA140" i="12"/>
  <c r="T140" i="12"/>
  <c r="U140" i="12" s="1"/>
  <c r="V140" i="12" s="1"/>
  <c r="W140" i="12" s="1"/>
  <c r="AO140" i="12"/>
  <c r="AA36" i="12"/>
  <c r="T36" i="12"/>
  <c r="U36" i="12" s="1"/>
  <c r="AO36" i="12"/>
  <c r="AA130" i="12"/>
  <c r="T130" i="12"/>
  <c r="U130" i="12" s="1"/>
  <c r="V130" i="12" s="1"/>
  <c r="W130" i="12" s="1"/>
  <c r="AO130" i="12"/>
  <c r="T70" i="12"/>
  <c r="U70" i="12" s="1"/>
  <c r="V70" i="12" s="1"/>
  <c r="W70" i="12" s="1"/>
  <c r="AA70" i="12"/>
  <c r="AO70" i="12"/>
  <c r="AA150" i="12"/>
  <c r="T150" i="12"/>
  <c r="U150" i="12" s="1"/>
  <c r="V150" i="12" s="1"/>
  <c r="W150" i="12" s="1"/>
  <c r="AO150" i="12"/>
  <c r="AA64" i="12"/>
  <c r="T64" i="12"/>
  <c r="U64" i="12" s="1"/>
  <c r="V64" i="12" s="1"/>
  <c r="W64" i="12" s="1"/>
  <c r="AO64" i="12"/>
  <c r="AM43" i="12"/>
  <c r="AA160" i="12" s="1"/>
  <c r="T152" i="12"/>
  <c r="U152" i="12" s="1"/>
  <c r="V152" i="12" s="1"/>
  <c r="W152" i="12" s="1"/>
  <c r="AA152" i="12"/>
  <c r="AO152" i="12"/>
  <c r="AA180" i="12"/>
  <c r="AO180" i="12"/>
  <c r="T180" i="12"/>
  <c r="U180" i="12" s="1"/>
  <c r="V180" i="12" s="1"/>
  <c r="W180" i="12" s="1"/>
  <c r="AA37" i="12"/>
  <c r="T37" i="12"/>
  <c r="U37" i="12" s="1"/>
  <c r="V37" i="12" s="1"/>
  <c r="W37" i="12" s="1"/>
  <c r="AO37" i="12"/>
  <c r="AA122" i="12"/>
  <c r="T122" i="12"/>
  <c r="U122" i="12" s="1"/>
  <c r="V122" i="12" s="1"/>
  <c r="W122" i="12" s="1"/>
  <c r="AO122" i="12"/>
  <c r="AK4" i="24"/>
  <c r="AL4" i="24" s="1"/>
  <c r="AM4" i="24" s="1"/>
  <c r="AN4" i="24" s="1"/>
  <c r="H4" i="27" s="1"/>
  <c r="Q4" i="24"/>
  <c r="R4" i="24" s="1"/>
  <c r="S4" i="24" s="1"/>
  <c r="T4" i="24" s="1"/>
  <c r="F4" i="27" s="1"/>
  <c r="AA4" i="24"/>
  <c r="AB4" i="24" s="1"/>
  <c r="AC4" i="24" s="1"/>
  <c r="AD4" i="24" s="1"/>
  <c r="G4" i="27" s="1"/>
  <c r="M183" i="18"/>
  <c r="Q183" i="12"/>
  <c r="X95" i="12"/>
  <c r="AB95" i="12" s="1"/>
  <c r="AC95" i="12" s="1"/>
  <c r="AD95" i="12" s="1"/>
  <c r="Y95" i="12"/>
  <c r="Z95" i="12" s="1"/>
  <c r="X74" i="12"/>
  <c r="AB74" i="12" s="1"/>
  <c r="AC74" i="12" s="1"/>
  <c r="AD74" i="12" s="1"/>
  <c r="Y74" i="12"/>
  <c r="Z74" i="12" s="1"/>
  <c r="AO27" i="12"/>
  <c r="AR42" i="1"/>
  <c r="AP42" i="1"/>
  <c r="AA57" i="12"/>
  <c r="T57" i="12"/>
  <c r="U57" i="12" s="1"/>
  <c r="V57" i="12" s="1"/>
  <c r="W57" i="12" s="1"/>
  <c r="AO57" i="12"/>
  <c r="AA84" i="12"/>
  <c r="T84" i="12"/>
  <c r="U84" i="12" s="1"/>
  <c r="V84" i="12" s="1"/>
  <c r="W84" i="12" s="1"/>
  <c r="AO84" i="12"/>
  <c r="AM38" i="12"/>
  <c r="AA144" i="12" s="1"/>
  <c r="AM37" i="12"/>
  <c r="AA142" i="12" s="1"/>
  <c r="AA136" i="12"/>
  <c r="T136" i="12"/>
  <c r="U136" i="12" s="1"/>
  <c r="V136" i="12" s="1"/>
  <c r="W136" i="12" s="1"/>
  <c r="AO136" i="12"/>
  <c r="Y184" i="12"/>
  <c r="Z184" i="12" s="1"/>
  <c r="X184" i="12"/>
  <c r="AB184" i="12" s="1"/>
  <c r="AC184" i="12" s="1"/>
  <c r="AD184" i="12" s="1"/>
  <c r="AA93" i="12"/>
  <c r="AO93" i="12"/>
  <c r="T93" i="12"/>
  <c r="U93" i="12" s="1"/>
  <c r="V93" i="12" s="1"/>
  <c r="W93" i="12" s="1"/>
  <c r="T185" i="12"/>
  <c r="U185" i="12" s="1"/>
  <c r="V185" i="12" s="1"/>
  <c r="W185" i="12" s="1"/>
  <c r="AA185" i="12"/>
  <c r="AO185" i="12"/>
  <c r="AR44" i="1"/>
  <c r="AP44" i="1"/>
  <c r="AA24" i="12"/>
  <c r="AO24" i="12"/>
  <c r="T24" i="12"/>
  <c r="U24" i="12" s="1"/>
  <c r="V24" i="12" s="1"/>
  <c r="W24" i="12" s="1"/>
  <c r="AC65" i="18"/>
  <c r="AD65" i="18" s="1"/>
  <c r="G80" i="27" s="1"/>
  <c r="AF65" i="18"/>
  <c r="AG65" i="18" s="1"/>
  <c r="AH65" i="18" s="1"/>
  <c r="M8" i="18"/>
  <c r="Q8" i="12"/>
  <c r="AG127" i="18"/>
  <c r="AH127" i="18" s="1"/>
  <c r="W127" i="18"/>
  <c r="X127" i="18" s="1"/>
  <c r="AP127" i="18"/>
  <c r="AQ127" i="18" s="1"/>
  <c r="AA127" i="12"/>
  <c r="T127" i="12"/>
  <c r="U127" i="12" s="1"/>
  <c r="V127" i="12" s="1"/>
  <c r="W127" i="12" s="1"/>
  <c r="AO127" i="12"/>
  <c r="M12" i="18"/>
  <c r="Q12" i="12"/>
  <c r="AA68" i="12"/>
  <c r="T68" i="12"/>
  <c r="U68" i="12" s="1"/>
  <c r="V68" i="12" s="1"/>
  <c r="W68" i="12" s="1"/>
  <c r="AO68" i="12"/>
  <c r="AY152" i="18"/>
  <c r="AZ152" i="18" s="1"/>
  <c r="AM57" i="18"/>
  <c r="AN57" i="18" s="1"/>
  <c r="H72" i="27" s="1"/>
  <c r="AO57" i="18"/>
  <c r="AP57" i="18" s="1"/>
  <c r="AQ57" i="18" s="1"/>
  <c r="AA49" i="12"/>
  <c r="AO49" i="12"/>
  <c r="T49" i="12"/>
  <c r="U49" i="12" s="1"/>
  <c r="V49" i="12" s="1"/>
  <c r="W49" i="12" s="1"/>
  <c r="T59" i="12"/>
  <c r="U59" i="12" s="1"/>
  <c r="V59" i="12" s="1"/>
  <c r="W59" i="12" s="1"/>
  <c r="AO59" i="12"/>
  <c r="AA18" i="12"/>
  <c r="T18" i="12"/>
  <c r="U18" i="12" s="1"/>
  <c r="AO18" i="12"/>
  <c r="AA120" i="12"/>
  <c r="T120" i="12"/>
  <c r="U120" i="12" s="1"/>
  <c r="V120" i="12" s="1"/>
  <c r="W120" i="12" s="1"/>
  <c r="AO120" i="12"/>
  <c r="AA21" i="12"/>
  <c r="T21" i="12"/>
  <c r="U21" i="12" s="1"/>
  <c r="V21" i="12" s="1"/>
  <c r="W21" i="12" s="1"/>
  <c r="AO21" i="12"/>
  <c r="AA99" i="12"/>
  <c r="AO99" i="12"/>
  <c r="T99" i="12"/>
  <c r="U99" i="12" s="1"/>
  <c r="V99" i="12" s="1"/>
  <c r="W99" i="12" s="1"/>
  <c r="AA161" i="12"/>
  <c r="T161" i="12"/>
  <c r="U161" i="12" s="1"/>
  <c r="V161" i="12" s="1"/>
  <c r="W161" i="12" s="1"/>
  <c r="AO161" i="12"/>
  <c r="AA146" i="12"/>
  <c r="AO146" i="12"/>
  <c r="T146" i="12"/>
  <c r="U146" i="12" s="1"/>
  <c r="V146" i="12" s="1"/>
  <c r="W146" i="12" s="1"/>
  <c r="AA52" i="12"/>
  <c r="T52" i="12"/>
  <c r="U52" i="12" s="1"/>
  <c r="V52" i="12" s="1"/>
  <c r="W52" i="12" s="1"/>
  <c r="AO52" i="12"/>
  <c r="AA19" i="12"/>
  <c r="T19" i="12"/>
  <c r="U19" i="12" s="1"/>
  <c r="V19" i="12" s="1"/>
  <c r="W19" i="12" s="1"/>
  <c r="AO19" i="12"/>
  <c r="AA166" i="12"/>
  <c r="T166" i="12"/>
  <c r="U166" i="12" s="1"/>
  <c r="V166" i="12" s="1"/>
  <c r="W166" i="12" s="1"/>
  <c r="AO166" i="12"/>
  <c r="AA29" i="12"/>
  <c r="T29" i="12"/>
  <c r="U29" i="12" s="1"/>
  <c r="V29" i="12" s="1"/>
  <c r="W29" i="12" s="1"/>
  <c r="AO29" i="12"/>
  <c r="T170" i="12"/>
  <c r="U170" i="12" s="1"/>
  <c r="V170" i="12" s="1"/>
  <c r="W170" i="12" s="1"/>
  <c r="AA170" i="12"/>
  <c r="AO170" i="12"/>
  <c r="AK53" i="18"/>
  <c r="AL53" i="18" s="1"/>
  <c r="Q53" i="18"/>
  <c r="R53" i="18" s="1"/>
  <c r="AA53" i="18"/>
  <c r="AB53" i="18" s="1"/>
  <c r="AO13" i="12"/>
  <c r="BC51" i="18"/>
  <c r="BD51" i="18" s="1"/>
  <c r="Y27" i="12"/>
  <c r="Z27" i="12" s="1"/>
  <c r="X27" i="12"/>
  <c r="AB27" i="12" s="1"/>
  <c r="AC27" i="12" s="1"/>
  <c r="AD27" i="12" s="1"/>
  <c r="M22" i="18"/>
  <c r="Q22" i="12"/>
  <c r="V22" i="12" s="1"/>
  <c r="W22" i="12" s="1"/>
  <c r="AA44" i="12"/>
  <c r="T44" i="12"/>
  <c r="U44" i="12" s="1"/>
  <c r="AO44" i="12"/>
  <c r="X153" i="12"/>
  <c r="AB153" i="12" s="1"/>
  <c r="AC153" i="12" s="1"/>
  <c r="AD153" i="12" s="1"/>
  <c r="Y153" i="12"/>
  <c r="Z153" i="12" s="1"/>
  <c r="AA157" i="12"/>
  <c r="T157" i="12"/>
  <c r="U157" i="12" s="1"/>
  <c r="V157" i="12" s="1"/>
  <c r="W157" i="12" s="1"/>
  <c r="AO157" i="12"/>
  <c r="T112" i="12"/>
  <c r="U112" i="12" s="1"/>
  <c r="V112" i="12" s="1"/>
  <c r="W112" i="12" s="1"/>
  <c r="AA112" i="12"/>
  <c r="AO112" i="12"/>
  <c r="AC34" i="24"/>
  <c r="AD34" i="24" s="1"/>
  <c r="S34" i="24"/>
  <c r="T34" i="24" s="1"/>
  <c r="AM34" i="24"/>
  <c r="AN34" i="24" s="1"/>
  <c r="AR28" i="1"/>
  <c r="AP28" i="1"/>
  <c r="AA23" i="12"/>
  <c r="AO23" i="12"/>
  <c r="T23" i="12"/>
  <c r="U23" i="12" s="1"/>
  <c r="V23" i="12" s="1"/>
  <c r="W23" i="12" s="1"/>
  <c r="W200" i="28"/>
  <c r="V200" i="28"/>
  <c r="X200" i="28"/>
  <c r="W183" i="11"/>
  <c r="X183" i="11"/>
  <c r="V183" i="11"/>
  <c r="AR6" i="1"/>
  <c r="AP6" i="1"/>
  <c r="M30" i="18"/>
  <c r="Q30" i="12"/>
  <c r="AA176" i="12"/>
  <c r="T176" i="12"/>
  <c r="U176" i="12" s="1"/>
  <c r="V176" i="12" s="1"/>
  <c r="W176" i="12" s="1"/>
  <c r="AO176" i="12"/>
  <c r="AA75" i="12"/>
  <c r="T75" i="12"/>
  <c r="U75" i="12" s="1"/>
  <c r="V75" i="12" s="1"/>
  <c r="W75" i="12" s="1"/>
  <c r="AO75" i="12"/>
  <c r="M191" i="18"/>
  <c r="Q191" i="12"/>
  <c r="AA111" i="12"/>
  <c r="AO111" i="12"/>
  <c r="T111" i="12"/>
  <c r="U111" i="12" s="1"/>
  <c r="V111" i="12" s="1"/>
  <c r="W111" i="12" s="1"/>
  <c r="AA14" i="12"/>
  <c r="AO14" i="12"/>
  <c r="T14" i="12"/>
  <c r="U14" i="12" s="1"/>
  <c r="X141" i="12"/>
  <c r="Y141" i="12"/>
  <c r="Z141" i="12" s="1"/>
  <c r="AA8" i="12"/>
  <c r="T8" i="12"/>
  <c r="U8" i="12" s="1"/>
  <c r="AO8" i="12"/>
  <c r="T148" i="12"/>
  <c r="U148" i="12" s="1"/>
  <c r="V148" i="12" s="1"/>
  <c r="W148" i="12" s="1"/>
  <c r="AA148" i="12"/>
  <c r="AO148" i="12"/>
  <c r="AV65" i="18"/>
  <c r="AW65" i="18" s="1"/>
  <c r="I80" i="27" s="1"/>
  <c r="AX65" i="18"/>
  <c r="AY65" i="18" s="1"/>
  <c r="AZ65" i="18" s="1"/>
  <c r="AM26" i="12"/>
  <c r="AA47" i="12" s="1"/>
  <c r="T39" i="12"/>
  <c r="U39" i="12" s="1"/>
  <c r="V39" i="12" s="1"/>
  <c r="W39" i="12" s="1"/>
  <c r="AA39" i="12"/>
  <c r="AO39" i="12"/>
  <c r="AV53" i="18"/>
  <c r="AW53" i="18" s="1"/>
  <c r="I68" i="27" s="1"/>
  <c r="AX53" i="18"/>
  <c r="AY53" i="18" s="1"/>
  <c r="AZ53" i="18" s="1"/>
  <c r="BE65" i="18"/>
  <c r="BF65" i="18" s="1"/>
  <c r="J80" i="27" s="1"/>
  <c r="BG65" i="18"/>
  <c r="BH65" i="18" s="1"/>
  <c r="BI65" i="18" s="1"/>
  <c r="M36" i="18"/>
  <c r="Q36" i="12"/>
  <c r="AA118" i="12"/>
  <c r="AO118" i="12"/>
  <c r="T118" i="12"/>
  <c r="U118" i="12" s="1"/>
  <c r="V118" i="12" s="1"/>
  <c r="W118" i="12" s="1"/>
  <c r="AO155" i="12"/>
  <c r="T155" i="12"/>
  <c r="U155" i="12" s="1"/>
  <c r="V155" i="12" s="1"/>
  <c r="W155" i="12" s="1"/>
  <c r="T159" i="12"/>
  <c r="U159" i="12" s="1"/>
  <c r="V159" i="12" s="1"/>
  <c r="W159" i="12" s="1"/>
  <c r="AO159" i="12"/>
  <c r="AA113" i="12"/>
  <c r="AO113" i="12"/>
  <c r="T113" i="12"/>
  <c r="U113" i="12" s="1"/>
  <c r="V113" i="12" s="1"/>
  <c r="W113" i="12" s="1"/>
  <c r="AA174" i="12"/>
  <c r="T174" i="12"/>
  <c r="U174" i="12" s="1"/>
  <c r="V174" i="12" s="1"/>
  <c r="W174" i="12" s="1"/>
  <c r="AO174" i="12"/>
  <c r="AA92" i="12"/>
  <c r="AO92" i="12"/>
  <c r="T92" i="12"/>
  <c r="U92" i="12" s="1"/>
  <c r="V92" i="12" s="1"/>
  <c r="W92" i="12" s="1"/>
  <c r="T138" i="12"/>
  <c r="U138" i="12" s="1"/>
  <c r="V138" i="12" s="1"/>
  <c r="W138" i="12" s="1"/>
  <c r="AA138" i="12"/>
  <c r="AO138" i="12"/>
  <c r="AA133" i="12"/>
  <c r="AO133" i="12"/>
  <c r="T133" i="12"/>
  <c r="U133" i="12" s="1"/>
  <c r="V133" i="12" s="1"/>
  <c r="W133" i="12" s="1"/>
  <c r="AA41" i="12"/>
  <c r="T41" i="12"/>
  <c r="U41" i="12" s="1"/>
  <c r="V41" i="12" s="1"/>
  <c r="W41" i="12" s="1"/>
  <c r="AO41" i="12"/>
  <c r="AA16" i="12"/>
  <c r="AO16" i="12"/>
  <c r="T16" i="12"/>
  <c r="U16" i="12" s="1"/>
  <c r="V16" i="12" s="1"/>
  <c r="W16" i="12" s="1"/>
  <c r="AA121" i="12"/>
  <c r="AO121" i="12"/>
  <c r="T121" i="12"/>
  <c r="U121" i="12" s="1"/>
  <c r="V121" i="12" s="1"/>
  <c r="W121" i="12" s="1"/>
  <c r="AA26" i="12"/>
  <c r="T26" i="12"/>
  <c r="U26" i="12" s="1"/>
  <c r="V26" i="12" s="1"/>
  <c r="W26" i="12" s="1"/>
  <c r="AO26" i="12"/>
  <c r="T158" i="12"/>
  <c r="U158" i="12" s="1"/>
  <c r="V158" i="12" s="1"/>
  <c r="W158" i="12" s="1"/>
  <c r="AA158" i="12"/>
  <c r="AO158" i="12"/>
  <c r="BE57" i="18"/>
  <c r="BF57" i="18" s="1"/>
  <c r="J72" i="27" s="1"/>
  <c r="BG57" i="18"/>
  <c r="BH57" i="18" s="1"/>
  <c r="BI57" i="18" s="1"/>
  <c r="AR183" i="1"/>
  <c r="AP183" i="1"/>
  <c r="X13" i="12"/>
  <c r="AB13" i="12" s="1"/>
  <c r="AC13" i="12" s="1"/>
  <c r="AD13" i="12" s="1"/>
  <c r="Y13" i="12"/>
  <c r="Z13" i="12" s="1"/>
  <c r="AO177" i="12"/>
  <c r="AP137" i="18"/>
  <c r="AQ137" i="18" s="1"/>
  <c r="AM65" i="18"/>
  <c r="AN65" i="18" s="1"/>
  <c r="H80" i="27" s="1"/>
  <c r="AO65" i="18"/>
  <c r="AP65" i="18" s="1"/>
  <c r="AQ65" i="18" s="1"/>
  <c r="AO22" i="12"/>
  <c r="AO129" i="12"/>
  <c r="T129" i="12"/>
  <c r="U129" i="12" s="1"/>
  <c r="V129" i="12" s="1"/>
  <c r="W129" i="12" s="1"/>
  <c r="AV48" i="18"/>
  <c r="AW48" i="18" s="1"/>
  <c r="I63" i="27" s="1"/>
  <c r="AX48" i="18"/>
  <c r="AY48" i="18" s="1"/>
  <c r="AZ48" i="18" s="1"/>
  <c r="AO62" i="12"/>
  <c r="T62" i="12"/>
  <c r="U62" i="12" s="1"/>
  <c r="V62" i="12" s="1"/>
  <c r="W62" i="12" s="1"/>
  <c r="AA110" i="12"/>
  <c r="T110" i="12"/>
  <c r="U110" i="12" s="1"/>
  <c r="V110" i="12" s="1"/>
  <c r="W110" i="12" s="1"/>
  <c r="AO110" i="12"/>
  <c r="AA9" i="12"/>
  <c r="AO9" i="12"/>
  <c r="T9" i="12"/>
  <c r="U9" i="12" s="1"/>
  <c r="V9" i="12" s="1"/>
  <c r="W9" i="12" s="1"/>
  <c r="AA60" i="12"/>
  <c r="T60" i="12"/>
  <c r="U60" i="12" s="1"/>
  <c r="V60" i="12" s="1"/>
  <c r="W60" i="12" s="1"/>
  <c r="AO60" i="12"/>
  <c r="V20" i="28"/>
  <c r="W20" i="28"/>
  <c r="X20" i="28"/>
  <c r="W20" i="11"/>
  <c r="X20" i="11"/>
  <c r="V20" i="11"/>
  <c r="AR30" i="1"/>
  <c r="AP30" i="1"/>
  <c r="BH151" i="18"/>
  <c r="BI151" i="18" s="1"/>
  <c r="M6" i="18"/>
  <c r="Q6" i="12"/>
  <c r="AA188" i="12"/>
  <c r="T188" i="12"/>
  <c r="U188" i="12" s="1"/>
  <c r="V188" i="12" s="1"/>
  <c r="W188" i="12" s="1"/>
  <c r="AO188" i="12"/>
  <c r="T160" i="12"/>
  <c r="U160" i="12" s="1"/>
  <c r="V160" i="12" s="1"/>
  <c r="W160" i="12" s="1"/>
  <c r="AO160" i="12"/>
  <c r="AR34" i="1"/>
  <c r="AP34" i="1"/>
  <c r="AR191" i="1"/>
  <c r="AP191" i="1"/>
  <c r="AR18" i="1"/>
  <c r="AP18" i="1"/>
  <c r="M44" i="18"/>
  <c r="Q44" i="12"/>
  <c r="AA79" i="12"/>
  <c r="AO79" i="12"/>
  <c r="T79" i="12"/>
  <c r="U79" i="12" s="1"/>
  <c r="V79" i="12" s="1"/>
  <c r="W79" i="12" s="1"/>
  <c r="AM39" i="12"/>
  <c r="AA145" i="12" s="1"/>
  <c r="T137" i="12"/>
  <c r="U137" i="12" s="1"/>
  <c r="V137" i="12" s="1"/>
  <c r="W137" i="12" s="1"/>
  <c r="AA137" i="12"/>
  <c r="AO137" i="12"/>
  <c r="AA104" i="12"/>
  <c r="T104" i="12"/>
  <c r="U104" i="12" s="1"/>
  <c r="V104" i="12" s="1"/>
  <c r="W104" i="12" s="1"/>
  <c r="AO104" i="12"/>
  <c r="V12" i="28"/>
  <c r="W12" i="28"/>
  <c r="X12" i="28"/>
  <c r="W12" i="11"/>
  <c r="X12" i="11"/>
  <c r="V12" i="11"/>
  <c r="AA66" i="12"/>
  <c r="AO66" i="12"/>
  <c r="T66" i="12"/>
  <c r="U66" i="12" s="1"/>
  <c r="V66" i="12" s="1"/>
  <c r="W66" i="12" s="1"/>
  <c r="AA65" i="12"/>
  <c r="T65" i="12"/>
  <c r="U65" i="12" s="1"/>
  <c r="V65" i="12" s="1"/>
  <c r="W65" i="12" s="1"/>
  <c r="AO65" i="12"/>
  <c r="AR38" i="1"/>
  <c r="AP38" i="1"/>
  <c r="AA40" i="12"/>
  <c r="T40" i="12"/>
  <c r="U40" i="12" s="1"/>
  <c r="V40" i="12" s="1"/>
  <c r="W40" i="12" s="1"/>
  <c r="AO40" i="12"/>
  <c r="BE34" i="24"/>
  <c r="BF34" i="24" s="1"/>
  <c r="AR36" i="1"/>
  <c r="AP36" i="1"/>
  <c r="AA117" i="12"/>
  <c r="AO117" i="12"/>
  <c r="T117" i="12"/>
  <c r="U117" i="12" s="1"/>
  <c r="V117" i="12" s="1"/>
  <c r="W117" i="12" s="1"/>
  <c r="AO97" i="12"/>
  <c r="T97" i="12"/>
  <c r="U97" i="12" s="1"/>
  <c r="V97" i="12" s="1"/>
  <c r="W97" i="12" s="1"/>
  <c r="T167" i="12"/>
  <c r="U167" i="12" s="1"/>
  <c r="V167" i="12" s="1"/>
  <c r="W167" i="12" s="1"/>
  <c r="AO167" i="12"/>
  <c r="T168" i="12"/>
  <c r="U168" i="12" s="1"/>
  <c r="V168" i="12" s="1"/>
  <c r="W168" i="12" s="1"/>
  <c r="AA168" i="12"/>
  <c r="AO168" i="12"/>
  <c r="AA106" i="12"/>
  <c r="AO106" i="12"/>
  <c r="T106" i="12"/>
  <c r="U106" i="12" s="1"/>
  <c r="V106" i="12" s="1"/>
  <c r="W106" i="12" s="1"/>
  <c r="T56" i="12"/>
  <c r="U56" i="12" s="1"/>
  <c r="V56" i="12" s="1"/>
  <c r="W56" i="12" s="1"/>
  <c r="AM28" i="12"/>
  <c r="AA62" i="12" s="1"/>
  <c r="AM27" i="12"/>
  <c r="AA59" i="12" s="1"/>
  <c r="AA56" i="12"/>
  <c r="AO56" i="12"/>
  <c r="AA88" i="12"/>
  <c r="T88" i="12"/>
  <c r="U88" i="12" s="1"/>
  <c r="V88" i="12" s="1"/>
  <c r="W88" i="12" s="1"/>
  <c r="AO88" i="12"/>
  <c r="T189" i="12"/>
  <c r="U189" i="12" s="1"/>
  <c r="V189" i="12" s="1"/>
  <c r="W189" i="12" s="1"/>
  <c r="AA189" i="12"/>
  <c r="AO189" i="12"/>
  <c r="AA105" i="12"/>
  <c r="AO105" i="12"/>
  <c r="T105" i="12"/>
  <c r="U105" i="12" s="1"/>
  <c r="V105" i="12" s="1"/>
  <c r="W105" i="12" s="1"/>
  <c r="AA35" i="12"/>
  <c r="AO35" i="12"/>
  <c r="T35" i="12"/>
  <c r="U35" i="12" s="1"/>
  <c r="V35" i="12" s="1"/>
  <c r="W35" i="12" s="1"/>
  <c r="AA12" i="12"/>
  <c r="AO12" i="12"/>
  <c r="T12" i="12"/>
  <c r="U12" i="12" s="1"/>
  <c r="V12" i="12" s="1"/>
  <c r="W12" i="12" s="1"/>
  <c r="AA114" i="12"/>
  <c r="AO114" i="12"/>
  <c r="T114" i="12"/>
  <c r="U114" i="12" s="1"/>
  <c r="V114" i="12" s="1"/>
  <c r="W114" i="12" s="1"/>
  <c r="T48" i="12"/>
  <c r="U48" i="12" s="1"/>
  <c r="V48" i="12" s="1"/>
  <c r="W48" i="12" s="1"/>
  <c r="AA48" i="12"/>
  <c r="AO48" i="12"/>
  <c r="BH152" i="18"/>
  <c r="BI152" i="18" s="1"/>
  <c r="X177" i="12"/>
  <c r="AB177" i="12" s="1"/>
  <c r="AC177" i="12" s="1"/>
  <c r="AD177" i="12" s="1"/>
  <c r="Y177" i="12"/>
  <c r="Z177" i="12" s="1"/>
  <c r="AO15" i="12"/>
  <c r="Y67" i="12"/>
  <c r="Z67" i="12" s="1"/>
  <c r="X67" i="12"/>
  <c r="AB67" i="12" s="1"/>
  <c r="AC67" i="12" s="1"/>
  <c r="AD67" i="12" s="1"/>
  <c r="AA6" i="12"/>
  <c r="AO6" i="12"/>
  <c r="T6" i="12"/>
  <c r="U6" i="12" s="1"/>
  <c r="M28" i="18"/>
  <c r="Q28" i="12"/>
  <c r="AA87" i="12"/>
  <c r="AO87" i="12"/>
  <c r="T87" i="12"/>
  <c r="U87" i="12" s="1"/>
  <c r="V87" i="12" s="1"/>
  <c r="W87" i="12" s="1"/>
  <c r="Q37" i="24"/>
  <c r="R37" i="24" s="1"/>
  <c r="S37" i="24" s="1"/>
  <c r="T37" i="24" s="1"/>
  <c r="F138" i="27" s="1"/>
  <c r="AK37" i="24"/>
  <c r="AL37" i="24" s="1"/>
  <c r="AM37" i="24" s="1"/>
  <c r="AN37" i="24" s="1"/>
  <c r="H138" i="27" s="1"/>
  <c r="AA37" i="24"/>
  <c r="AB37" i="24" s="1"/>
  <c r="AC37" i="24" s="1"/>
  <c r="AD37" i="24" s="1"/>
  <c r="G138" i="27" s="1"/>
  <c r="M14" i="18"/>
  <c r="Q14" i="12"/>
  <c r="AA154" i="12"/>
  <c r="T154" i="12"/>
  <c r="U154" i="12" s="1"/>
  <c r="V154" i="12" s="1"/>
  <c r="W154" i="12" s="1"/>
  <c r="AO154" i="12"/>
  <c r="AA89" i="12"/>
  <c r="T89" i="12"/>
  <c r="U89" i="12" s="1"/>
  <c r="V89" i="12" s="1"/>
  <c r="W89" i="12" s="1"/>
  <c r="AO89" i="12"/>
  <c r="AA4" i="12"/>
  <c r="AO4" i="12"/>
  <c r="T4" i="12"/>
  <c r="U4" i="12" s="1"/>
  <c r="V4" i="12" s="1"/>
  <c r="W4" i="12" s="1"/>
  <c r="M20" i="18"/>
  <c r="Q20" i="12"/>
  <c r="BE48" i="18"/>
  <c r="BF48" i="18" s="1"/>
  <c r="J63" i="27" s="1"/>
  <c r="BG48" i="18"/>
  <c r="BH48" i="18" s="1"/>
  <c r="BI48" i="18" s="1"/>
  <c r="AA135" i="12"/>
  <c r="AO135" i="12"/>
  <c r="T135" i="12"/>
  <c r="U135" i="12" s="1"/>
  <c r="V135" i="12" s="1"/>
  <c r="W135" i="12" s="1"/>
  <c r="AA11" i="12"/>
  <c r="T11" i="12"/>
  <c r="U11" i="12" s="1"/>
  <c r="V11" i="12" s="1"/>
  <c r="W11" i="12" s="1"/>
  <c r="AO11" i="12"/>
  <c r="AA115" i="12"/>
  <c r="AO115" i="12"/>
  <c r="T115" i="12"/>
  <c r="U115" i="12" s="1"/>
  <c r="V115" i="12" s="1"/>
  <c r="W115" i="12" s="1"/>
  <c r="V46" i="28"/>
  <c r="W46" i="28"/>
  <c r="X46" i="28"/>
  <c r="X58" i="28"/>
  <c r="W58" i="28"/>
  <c r="V58" i="28"/>
  <c r="V46" i="11"/>
  <c r="W46" i="11"/>
  <c r="X46" i="11"/>
  <c r="AR22" i="1"/>
  <c r="AP22" i="1"/>
  <c r="AA32" i="12"/>
  <c r="T32" i="12"/>
  <c r="U32" i="12" s="1"/>
  <c r="V32" i="12" s="1"/>
  <c r="W32" i="12" s="1"/>
  <c r="AO32" i="12"/>
  <c r="T171" i="12"/>
  <c r="U171" i="12" s="1"/>
  <c r="V171" i="12" s="1"/>
  <c r="W171" i="12" s="1"/>
  <c r="AO171" i="12"/>
  <c r="Q48" i="18"/>
  <c r="R48" i="18" s="1"/>
  <c r="AK48" i="18"/>
  <c r="AL48" i="18" s="1"/>
  <c r="AA48" i="18"/>
  <c r="AB48" i="18" s="1"/>
  <c r="M34" i="18"/>
  <c r="Q34" i="12"/>
  <c r="M18" i="18"/>
  <c r="Q18" i="12"/>
  <c r="AG137" i="18"/>
  <c r="AH137" i="18" s="1"/>
  <c r="W137" i="18"/>
  <c r="X137" i="18" s="1"/>
  <c r="Y145" i="12"/>
  <c r="Z145" i="12" s="1"/>
  <c r="X145" i="12"/>
  <c r="AA98" i="12"/>
  <c r="T98" i="12"/>
  <c r="U98" i="12" s="1"/>
  <c r="AO98" i="12"/>
  <c r="AA50" i="12"/>
  <c r="T50" i="12"/>
  <c r="U50" i="12" s="1"/>
  <c r="V50" i="12" s="1"/>
  <c r="W50" i="12" s="1"/>
  <c r="AO50" i="12"/>
  <c r="T164" i="12"/>
  <c r="U164" i="12" s="1"/>
  <c r="V164" i="12" s="1"/>
  <c r="W164" i="12" s="1"/>
  <c r="AA164" i="12"/>
  <c r="AO164" i="12"/>
  <c r="M38" i="18"/>
  <c r="Q38" i="12"/>
  <c r="AA38" i="12"/>
  <c r="AO38" i="12"/>
  <c r="T38" i="12"/>
  <c r="U38" i="12" s="1"/>
  <c r="V38" i="12" s="1"/>
  <c r="W38" i="12" s="1"/>
  <c r="T163" i="12"/>
  <c r="U163" i="12" s="1"/>
  <c r="V163" i="12" s="1"/>
  <c r="W163" i="12" s="1"/>
  <c r="AM45" i="12"/>
  <c r="AA171" i="12" s="1"/>
  <c r="AM42" i="12"/>
  <c r="AA159" i="12" s="1"/>
  <c r="AM44" i="12"/>
  <c r="AA167" i="12" s="1"/>
  <c r="AM41" i="12"/>
  <c r="AA155" i="12" s="1"/>
  <c r="AM40" i="12"/>
  <c r="AA151" i="12" s="1"/>
  <c r="AA163" i="12"/>
  <c r="AO163" i="12"/>
  <c r="AA192" i="12"/>
  <c r="AO192" i="12"/>
  <c r="T192" i="12"/>
  <c r="U192" i="12" s="1"/>
  <c r="V192" i="12" s="1"/>
  <c r="W192" i="12" s="1"/>
  <c r="AO123" i="12"/>
  <c r="T123" i="12"/>
  <c r="U123" i="12" s="1"/>
  <c r="V123" i="12" s="1"/>
  <c r="W123" i="12" s="1"/>
  <c r="T108" i="12"/>
  <c r="U108" i="12" s="1"/>
  <c r="V108" i="12" s="1"/>
  <c r="W108" i="12" s="1"/>
  <c r="AO108" i="12"/>
  <c r="T175" i="12"/>
  <c r="U175" i="12" s="1"/>
  <c r="V175" i="12" s="1"/>
  <c r="W175" i="12" s="1"/>
  <c r="AA175" i="12"/>
  <c r="AM46" i="12"/>
  <c r="AA182" i="12" s="1"/>
  <c r="AO175" i="12"/>
  <c r="AA83" i="12"/>
  <c r="AO83" i="12"/>
  <c r="T83" i="12"/>
  <c r="U83" i="12" s="1"/>
  <c r="V83" i="12" s="1"/>
  <c r="W83" i="12" s="1"/>
  <c r="AA191" i="12"/>
  <c r="AO191" i="12"/>
  <c r="T191" i="12"/>
  <c r="U191" i="12" s="1"/>
  <c r="V191" i="12" s="1"/>
  <c r="W191" i="12" s="1"/>
  <c r="AA80" i="12"/>
  <c r="T80" i="12"/>
  <c r="U80" i="12" s="1"/>
  <c r="V80" i="12" s="1"/>
  <c r="W80" i="12" s="1"/>
  <c r="AO80" i="12"/>
  <c r="AA20" i="12"/>
  <c r="T20" i="12"/>
  <c r="U20" i="12" s="1"/>
  <c r="AO20" i="12"/>
  <c r="AA94" i="12"/>
  <c r="AO94" i="12"/>
  <c r="T94" i="12"/>
  <c r="U94" i="12" s="1"/>
  <c r="V94" i="12" s="1"/>
  <c r="W94" i="12" s="1"/>
  <c r="T78" i="12"/>
  <c r="U78" i="12" s="1"/>
  <c r="V78" i="12" s="1"/>
  <c r="W78" i="12" s="1"/>
  <c r="AA78" i="12"/>
  <c r="AO78" i="12"/>
  <c r="AA5" i="12"/>
  <c r="T5" i="12"/>
  <c r="U5" i="12" s="1"/>
  <c r="V5" i="12" s="1"/>
  <c r="W5" i="12" s="1"/>
  <c r="AO5" i="12"/>
  <c r="AA107" i="12"/>
  <c r="AO107" i="12"/>
  <c r="T107" i="12"/>
  <c r="U107" i="12" s="1"/>
  <c r="V107" i="12" s="1"/>
  <c r="W107" i="12" s="1"/>
  <c r="AA172" i="12"/>
  <c r="T172" i="12"/>
  <c r="U172" i="12" s="1"/>
  <c r="V172" i="12" s="1"/>
  <c r="W172" i="12" s="1"/>
  <c r="AO172" i="12"/>
  <c r="AV34" i="24"/>
  <c r="AW34" i="24" s="1"/>
  <c r="AT30" i="24"/>
  <c r="AU30" i="24" s="1"/>
  <c r="AV30" i="24" s="1"/>
  <c r="AW30" i="24" s="1"/>
  <c r="I61" i="27" s="1"/>
  <c r="BC30" i="24"/>
  <c r="BD30" i="24" s="1"/>
  <c r="BE30" i="24" s="1"/>
  <c r="BF30" i="24" s="1"/>
  <c r="J61" i="27" s="1"/>
  <c r="AK30" i="24"/>
  <c r="AL30" i="24" s="1"/>
  <c r="AM30" i="24" s="1"/>
  <c r="AN30" i="24" s="1"/>
  <c r="H61" i="27" s="1"/>
  <c r="AA30" i="24"/>
  <c r="AB30" i="24" s="1"/>
  <c r="AC30" i="24" s="1"/>
  <c r="AD30" i="24" s="1"/>
  <c r="G61" i="27" s="1"/>
  <c r="Q30" i="24"/>
  <c r="R30" i="24" s="1"/>
  <c r="S30" i="24" s="1"/>
  <c r="T30" i="24" s="1"/>
  <c r="F61" i="27" s="1"/>
  <c r="M128" i="18"/>
  <c r="Q128" i="12"/>
  <c r="AO96" i="12"/>
  <c r="X15" i="12"/>
  <c r="AB15" i="12" s="1"/>
  <c r="AC15" i="12" s="1"/>
  <c r="AD15" i="12" s="1"/>
  <c r="Y15" i="12"/>
  <c r="Z15" i="12" s="1"/>
  <c r="AO67" i="12"/>
  <c r="M10" i="18"/>
  <c r="Q10" i="12"/>
  <c r="V18" i="28"/>
  <c r="W18" i="28"/>
  <c r="X18" i="28"/>
  <c r="V18" i="11"/>
  <c r="W18" i="11"/>
  <c r="X18" i="11"/>
  <c r="AO182" i="12"/>
  <c r="T182" i="12"/>
  <c r="U182" i="12" s="1"/>
  <c r="V182" i="12" s="1"/>
  <c r="W182" i="12" s="1"/>
  <c r="AA33" i="12"/>
  <c r="T33" i="12"/>
  <c r="U33" i="12" s="1"/>
  <c r="V33" i="12" s="1"/>
  <c r="W33" i="12" s="1"/>
  <c r="AO33" i="12"/>
  <c r="T91" i="12"/>
  <c r="U91" i="12" s="1"/>
  <c r="AA91" i="12"/>
  <c r="AO91" i="12"/>
  <c r="X145" i="28"/>
  <c r="W145" i="28"/>
  <c r="V145" i="28"/>
  <c r="V128" i="11"/>
  <c r="W128" i="11"/>
  <c r="X128" i="11"/>
  <c r="V36" i="28"/>
  <c r="W36" i="28"/>
  <c r="X36" i="28"/>
  <c r="W36" i="11"/>
  <c r="X36" i="11"/>
  <c r="V36" i="11"/>
  <c r="AT49" i="18"/>
  <c r="AU49" i="18" s="1"/>
  <c r="AK49" i="18"/>
  <c r="AL49" i="18" s="1"/>
  <c r="AA49" i="18"/>
  <c r="AB49" i="18" s="1"/>
  <c r="Q49" i="18"/>
  <c r="R49" i="18" s="1"/>
  <c r="BC49" i="18"/>
  <c r="BD49" i="18" s="1"/>
  <c r="T90" i="12"/>
  <c r="U90" i="12" s="1"/>
  <c r="V90" i="12" s="1"/>
  <c r="W90" i="12" s="1"/>
  <c r="AA90" i="12"/>
  <c r="AO90" i="12"/>
  <c r="AA54" i="12"/>
  <c r="AO54" i="12"/>
  <c r="T54" i="12"/>
  <c r="U54" i="12" s="1"/>
  <c r="V54" i="12" s="1"/>
  <c r="W54" i="12" s="1"/>
  <c r="BE55" i="18"/>
  <c r="BF55" i="18" s="1"/>
  <c r="J70" i="27" s="1"/>
  <c r="BG55" i="18"/>
  <c r="BH55" i="18" s="1"/>
  <c r="BI55" i="18" s="1"/>
  <c r="AA43" i="12"/>
  <c r="T43" i="12"/>
  <c r="U43" i="12" s="1"/>
  <c r="V43" i="12" s="1"/>
  <c r="W43" i="12" s="1"/>
  <c r="AO43" i="12"/>
  <c r="AR10" i="1"/>
  <c r="AP10" i="1"/>
  <c r="AM30" i="12"/>
  <c r="AA108" i="12" s="1"/>
  <c r="T100" i="12"/>
  <c r="U100" i="12" s="1"/>
  <c r="V100" i="12" s="1"/>
  <c r="W100" i="12" s="1"/>
  <c r="AM29" i="12"/>
  <c r="AA97" i="12" s="1"/>
  <c r="AM31" i="12"/>
  <c r="AA116" i="12" s="1"/>
  <c r="AA100" i="12"/>
  <c r="AO100" i="12"/>
  <c r="AR26" i="1"/>
  <c r="AP26" i="1"/>
  <c r="AR46" i="1"/>
  <c r="AP46" i="1"/>
  <c r="AR40" i="1"/>
  <c r="AP40" i="1"/>
  <c r="AG152" i="18"/>
  <c r="AH152" i="18" s="1"/>
  <c r="W152" i="18"/>
  <c r="X152" i="18" s="1"/>
  <c r="AP152" i="18"/>
  <c r="AQ152" i="18" s="1"/>
  <c r="T156" i="12"/>
  <c r="U156" i="12" s="1"/>
  <c r="V156" i="12" s="1"/>
  <c r="W156" i="12" s="1"/>
  <c r="AA156" i="12"/>
  <c r="AO156" i="12"/>
  <c r="AR14" i="1"/>
  <c r="AP14" i="1"/>
  <c r="X61" i="12"/>
  <c r="Y61" i="12"/>
  <c r="Z61" i="12" s="1"/>
  <c r="AA86" i="12"/>
  <c r="AO86" i="12"/>
  <c r="T86" i="12"/>
  <c r="U86" i="12" s="1"/>
  <c r="V86" i="12" s="1"/>
  <c r="W86" i="12" s="1"/>
  <c r="AC57" i="18"/>
  <c r="AD57" i="18" s="1"/>
  <c r="G72" i="27" s="1"/>
  <c r="AF57" i="18"/>
  <c r="AG57" i="18" s="1"/>
  <c r="AH57" i="18" s="1"/>
  <c r="BC37" i="24"/>
  <c r="BD37" i="24" s="1"/>
  <c r="BE37" i="24" s="1"/>
  <c r="BF37" i="24" s="1"/>
  <c r="J138" i="27" s="1"/>
  <c r="AR24" i="1"/>
  <c r="AP24" i="1"/>
  <c r="AA63" i="12"/>
  <c r="T63" i="12"/>
  <c r="U63" i="12" s="1"/>
  <c r="V63" i="12" s="1"/>
  <c r="W63" i="12" s="1"/>
  <c r="AO63" i="12"/>
  <c r="AV57" i="18"/>
  <c r="AW57" i="18" s="1"/>
  <c r="I72" i="27" s="1"/>
  <c r="AX57" i="18"/>
  <c r="AY57" i="18" s="1"/>
  <c r="AZ57" i="18" s="1"/>
  <c r="AY137" i="18"/>
  <c r="AZ137" i="18" s="1"/>
  <c r="AA55" i="12"/>
  <c r="AO55" i="12"/>
  <c r="T55" i="12"/>
  <c r="U55" i="12" s="1"/>
  <c r="V55" i="12" s="1"/>
  <c r="W55" i="12" s="1"/>
  <c r="T132" i="12"/>
  <c r="U132" i="12" s="1"/>
  <c r="V132" i="12" s="1"/>
  <c r="W132" i="12" s="1"/>
  <c r="AO132" i="12"/>
  <c r="AO125" i="12"/>
  <c r="T125" i="12"/>
  <c r="U125" i="12" s="1"/>
  <c r="V125" i="12" s="1"/>
  <c r="W125" i="12" s="1"/>
  <c r="AA179" i="12"/>
  <c r="AO179" i="12"/>
  <c r="T179" i="12"/>
  <c r="U179" i="12" s="1"/>
  <c r="V179" i="12" s="1"/>
  <c r="W179" i="12" s="1"/>
  <c r="AA77" i="12"/>
  <c r="T77" i="12"/>
  <c r="U77" i="12" s="1"/>
  <c r="V77" i="12" s="1"/>
  <c r="W77" i="12" s="1"/>
  <c r="AO77" i="12"/>
  <c r="AA187" i="12"/>
  <c r="T187" i="12"/>
  <c r="U187" i="12" s="1"/>
  <c r="V187" i="12" s="1"/>
  <c r="W187" i="12" s="1"/>
  <c r="AO187" i="12"/>
  <c r="AA45" i="12"/>
  <c r="T45" i="12"/>
  <c r="U45" i="12" s="1"/>
  <c r="V45" i="12" s="1"/>
  <c r="W45" i="12" s="1"/>
  <c r="AO45" i="12"/>
  <c r="T126" i="12"/>
  <c r="U126" i="12" s="1"/>
  <c r="V126" i="12" s="1"/>
  <c r="W126" i="12" s="1"/>
  <c r="AA126" i="12"/>
  <c r="AO126" i="12"/>
  <c r="AA82" i="12"/>
  <c r="T82" i="12"/>
  <c r="U82" i="12" s="1"/>
  <c r="V82" i="12" s="1"/>
  <c r="W82" i="12" s="1"/>
  <c r="AO82" i="12"/>
  <c r="T165" i="12"/>
  <c r="U165" i="12" s="1"/>
  <c r="V165" i="12" s="1"/>
  <c r="W165" i="12" s="1"/>
  <c r="AA165" i="12"/>
  <c r="AO165" i="12"/>
  <c r="T134" i="12"/>
  <c r="U134" i="12" s="1"/>
  <c r="AA134" i="12"/>
  <c r="AO134" i="12"/>
  <c r="AA101" i="12"/>
  <c r="T101" i="12"/>
  <c r="U101" i="12" s="1"/>
  <c r="V101" i="12" s="1"/>
  <c r="W101" i="12" s="1"/>
  <c r="AO101" i="12"/>
  <c r="T178" i="12"/>
  <c r="U178" i="12" s="1"/>
  <c r="V178" i="12" s="1"/>
  <c r="W178" i="12" s="1"/>
  <c r="AA178" i="12"/>
  <c r="AO178" i="12"/>
  <c r="AR20" i="1"/>
  <c r="AP20" i="1"/>
  <c r="AR128" i="1"/>
  <c r="AP128" i="1"/>
  <c r="AO151" i="12"/>
  <c r="X96" i="12"/>
  <c r="AB96" i="12" s="1"/>
  <c r="AC96" i="12" s="1"/>
  <c r="AD96" i="12" s="1"/>
  <c r="Y96" i="12"/>
  <c r="Z96" i="12" s="1"/>
  <c r="AO186" i="12"/>
  <c r="V98" i="12" l="1"/>
  <c r="W98" i="12" s="1"/>
  <c r="V134" i="12"/>
  <c r="W134" i="12" s="1"/>
  <c r="AH7" i="25"/>
  <c r="AB98" i="25" s="1"/>
  <c r="V91" i="12"/>
  <c r="W91" i="12" s="1"/>
  <c r="X85" i="12"/>
  <c r="AB85" i="12" s="1"/>
  <c r="AC85" i="12" s="1"/>
  <c r="AD85" i="12" s="1"/>
  <c r="Y85" i="12"/>
  <c r="Z85" i="12" s="1"/>
  <c r="X151" i="12"/>
  <c r="Y151" i="12"/>
  <c r="Z151" i="12" s="1"/>
  <c r="X186" i="12"/>
  <c r="AB186" i="12" s="1"/>
  <c r="AC186" i="12" s="1"/>
  <c r="AD186" i="12" s="1"/>
  <c r="Y186" i="12"/>
  <c r="Z186" i="12" s="1"/>
  <c r="X81" i="12"/>
  <c r="AB81" i="12" s="1"/>
  <c r="AC81" i="12" s="1"/>
  <c r="AD81" i="12" s="1"/>
  <c r="Y81" i="12"/>
  <c r="Z81" i="12" s="1"/>
  <c r="AV58" i="18"/>
  <c r="AW58" i="18" s="1"/>
  <c r="I73" i="27" s="1"/>
  <c r="AX58" i="18"/>
  <c r="AY58" i="18" s="1"/>
  <c r="AZ58" i="18" s="1"/>
  <c r="AA16" i="18"/>
  <c r="AB16" i="18" s="1"/>
  <c r="Q16" i="18"/>
  <c r="R16" i="18" s="1"/>
  <c r="AT16" i="18"/>
  <c r="AU16" i="18" s="1"/>
  <c r="AK16" i="18"/>
  <c r="AL16" i="18" s="1"/>
  <c r="BC16" i="18"/>
  <c r="BD16" i="18" s="1"/>
  <c r="BE54" i="18"/>
  <c r="BF54" i="18" s="1"/>
  <c r="J69" i="27" s="1"/>
  <c r="BG54" i="18"/>
  <c r="BH54" i="18" s="1"/>
  <c r="BI54" i="18" s="1"/>
  <c r="BE52" i="18"/>
  <c r="BF52" i="18" s="1"/>
  <c r="J67" i="27" s="1"/>
  <c r="BG52" i="18"/>
  <c r="BH52" i="18" s="1"/>
  <c r="BI52" i="18" s="1"/>
  <c r="AX56" i="18"/>
  <c r="AY56" i="18" s="1"/>
  <c r="AZ56" i="18" s="1"/>
  <c r="AV56" i="18"/>
  <c r="AW56" i="18" s="1"/>
  <c r="I71" i="27" s="1"/>
  <c r="Q101" i="18"/>
  <c r="R101" i="18" s="1"/>
  <c r="AA101" i="18"/>
  <c r="AB101" i="18" s="1"/>
  <c r="AK101" i="18"/>
  <c r="AL101" i="18" s="1"/>
  <c r="AT101" i="18"/>
  <c r="AU101" i="18" s="1"/>
  <c r="BC101" i="18"/>
  <c r="BD101" i="18" s="1"/>
  <c r="AM58" i="18"/>
  <c r="AN58" i="18" s="1"/>
  <c r="H73" i="27" s="1"/>
  <c r="AO58" i="18"/>
  <c r="AP58" i="18" s="1"/>
  <c r="AQ58" i="18" s="1"/>
  <c r="AC41" i="18"/>
  <c r="AD41" i="18" s="1"/>
  <c r="G53" i="27" s="1"/>
  <c r="AF41" i="18"/>
  <c r="AG41" i="18" s="1"/>
  <c r="AH41" i="18" s="1"/>
  <c r="AV72" i="18"/>
  <c r="AW72" i="18" s="1"/>
  <c r="I87" i="27" s="1"/>
  <c r="AX72" i="18"/>
  <c r="AY72" i="18" s="1"/>
  <c r="AZ72" i="18" s="1"/>
  <c r="AC80" i="18"/>
  <c r="AD80" i="18" s="1"/>
  <c r="G95" i="27" s="1"/>
  <c r="AF80" i="18"/>
  <c r="AG80" i="18" s="1"/>
  <c r="AH80" i="18" s="1"/>
  <c r="S60" i="18"/>
  <c r="T60" i="18" s="1"/>
  <c r="F75" i="27" s="1"/>
  <c r="V60" i="18"/>
  <c r="W60" i="18" s="1"/>
  <c r="X60" i="18" s="1"/>
  <c r="AM52" i="18"/>
  <c r="AN52" i="18" s="1"/>
  <c r="H67" i="27" s="1"/>
  <c r="AO52" i="18"/>
  <c r="AP52" i="18" s="1"/>
  <c r="AQ52" i="18" s="1"/>
  <c r="AC72" i="18"/>
  <c r="AD72" i="18" s="1"/>
  <c r="G87" i="27" s="1"/>
  <c r="AF72" i="18"/>
  <c r="AG72" i="18" s="1"/>
  <c r="AH72" i="18" s="1"/>
  <c r="BE45" i="18"/>
  <c r="BF45" i="18" s="1"/>
  <c r="J57" i="27" s="1"/>
  <c r="BG45" i="18"/>
  <c r="BH45" i="18" s="1"/>
  <c r="BI45" i="18" s="1"/>
  <c r="AA146" i="18"/>
  <c r="AB146" i="18" s="1"/>
  <c r="Q146" i="18"/>
  <c r="R146" i="18" s="1"/>
  <c r="BC146" i="18"/>
  <c r="BD146" i="18" s="1"/>
  <c r="AT146" i="18"/>
  <c r="AU146" i="18" s="1"/>
  <c r="AK146" i="18"/>
  <c r="AL146" i="18" s="1"/>
  <c r="AK88" i="18"/>
  <c r="AL88" i="18" s="1"/>
  <c r="BC88" i="18"/>
  <c r="BD88" i="18" s="1"/>
  <c r="Q88" i="18"/>
  <c r="R88" i="18" s="1"/>
  <c r="AT88" i="18"/>
  <c r="AU88" i="18" s="1"/>
  <c r="AA88" i="18"/>
  <c r="AB88" i="18" s="1"/>
  <c r="Q122" i="18"/>
  <c r="R122" i="18" s="1"/>
  <c r="AK122" i="18"/>
  <c r="AL122" i="18" s="1"/>
  <c r="AA122" i="18"/>
  <c r="AB122" i="18" s="1"/>
  <c r="BC122" i="18"/>
  <c r="BD122" i="18" s="1"/>
  <c r="AT122" i="18"/>
  <c r="AU122" i="18" s="1"/>
  <c r="AM70" i="18"/>
  <c r="AN70" i="18" s="1"/>
  <c r="H85" i="27" s="1"/>
  <c r="AO70" i="18"/>
  <c r="AP70" i="18" s="1"/>
  <c r="AQ70" i="18" s="1"/>
  <c r="Q139" i="18"/>
  <c r="R139" i="18" s="1"/>
  <c r="AK139" i="18"/>
  <c r="AL139" i="18" s="1"/>
  <c r="AA139" i="18"/>
  <c r="AB139" i="18" s="1"/>
  <c r="AT139" i="18"/>
  <c r="AU139" i="18" s="1"/>
  <c r="BC139" i="18"/>
  <c r="BD139" i="18" s="1"/>
  <c r="S56" i="18"/>
  <c r="T56" i="18" s="1"/>
  <c r="F71" i="27" s="1"/>
  <c r="V56" i="18"/>
  <c r="W56" i="18" s="1"/>
  <c r="X56" i="18" s="1"/>
  <c r="S58" i="18"/>
  <c r="T58" i="18" s="1"/>
  <c r="F73" i="27" s="1"/>
  <c r="V58" i="18"/>
  <c r="W58" i="18" s="1"/>
  <c r="X58" i="18" s="1"/>
  <c r="AH8" i="25"/>
  <c r="AH11" i="25"/>
  <c r="AH10" i="25"/>
  <c r="V41" i="18"/>
  <c r="W41" i="18" s="1"/>
  <c r="X41" i="18" s="1"/>
  <c r="S41" i="18"/>
  <c r="T41" i="18" s="1"/>
  <c r="F53" i="27" s="1"/>
  <c r="AA151" i="18"/>
  <c r="AK151" i="18"/>
  <c r="AL151" i="18" s="1"/>
  <c r="AM151" i="18" s="1"/>
  <c r="AN151" i="18" s="1"/>
  <c r="BC151" i="18"/>
  <c r="BD151" i="18" s="1"/>
  <c r="BE151" i="18" s="1"/>
  <c r="BF151" i="18" s="1"/>
  <c r="AT151" i="18"/>
  <c r="AU151" i="18" s="1"/>
  <c r="AV151" i="18" s="1"/>
  <c r="AW151" i="18" s="1"/>
  <c r="Q99" i="18"/>
  <c r="R99" i="18" s="1"/>
  <c r="AK99" i="18"/>
  <c r="AL99" i="18" s="1"/>
  <c r="AA99" i="18"/>
  <c r="AB99" i="18" s="1"/>
  <c r="AT99" i="18"/>
  <c r="AU99" i="18" s="1"/>
  <c r="BC99" i="18"/>
  <c r="BD99" i="18" s="1"/>
  <c r="V80" i="18"/>
  <c r="W80" i="18" s="1"/>
  <c r="X80" i="18" s="1"/>
  <c r="S80" i="18"/>
  <c r="T80" i="18" s="1"/>
  <c r="F95" i="27" s="1"/>
  <c r="AM68" i="18"/>
  <c r="AN68" i="18" s="1"/>
  <c r="H83" i="27" s="1"/>
  <c r="AO68" i="18"/>
  <c r="AP68" i="18" s="1"/>
  <c r="AQ68" i="18" s="1"/>
  <c r="AC52" i="18"/>
  <c r="AD52" i="18" s="1"/>
  <c r="G67" i="27" s="1"/>
  <c r="AF52" i="18"/>
  <c r="AG52" i="18" s="1"/>
  <c r="AH52" i="18" s="1"/>
  <c r="Q143" i="18"/>
  <c r="R143" i="18" s="1"/>
  <c r="AK143" i="18"/>
  <c r="AL143" i="18" s="1"/>
  <c r="AA143" i="18"/>
  <c r="AB143" i="18" s="1"/>
  <c r="AT143" i="18"/>
  <c r="AU143" i="18" s="1"/>
  <c r="BC143" i="18"/>
  <c r="BD143" i="18" s="1"/>
  <c r="S72" i="18"/>
  <c r="T72" i="18" s="1"/>
  <c r="F87" i="27" s="1"/>
  <c r="V72" i="18"/>
  <c r="W72" i="18" s="1"/>
  <c r="X72" i="18" s="1"/>
  <c r="Q83" i="18"/>
  <c r="R83" i="18" s="1"/>
  <c r="AA83" i="18"/>
  <c r="AB83" i="18" s="1"/>
  <c r="AK83" i="18"/>
  <c r="AL83" i="18" s="1"/>
  <c r="BC83" i="18"/>
  <c r="BD83" i="18" s="1"/>
  <c r="AT83" i="18"/>
  <c r="AU83" i="18" s="1"/>
  <c r="AC76" i="18"/>
  <c r="AD76" i="18" s="1"/>
  <c r="G91" i="27" s="1"/>
  <c r="AF76" i="18"/>
  <c r="AG76" i="18" s="1"/>
  <c r="AH76" i="18" s="1"/>
  <c r="AV60" i="18"/>
  <c r="AW60" i="18" s="1"/>
  <c r="I75" i="27" s="1"/>
  <c r="AX60" i="18"/>
  <c r="AY60" i="18" s="1"/>
  <c r="AZ60" i="18" s="1"/>
  <c r="AC70" i="18"/>
  <c r="AD70" i="18" s="1"/>
  <c r="G85" i="27" s="1"/>
  <c r="AF70" i="18"/>
  <c r="AG70" i="18" s="1"/>
  <c r="AH70" i="18" s="1"/>
  <c r="AY123" i="18"/>
  <c r="AZ123" i="18" s="1"/>
  <c r="AO56" i="18"/>
  <c r="AP56" i="18" s="1"/>
  <c r="AQ56" i="18" s="1"/>
  <c r="AM56" i="18"/>
  <c r="AN56" i="18" s="1"/>
  <c r="H71" i="27" s="1"/>
  <c r="AX54" i="18"/>
  <c r="AY54" i="18" s="1"/>
  <c r="AZ54" i="18" s="1"/>
  <c r="AV54" i="18"/>
  <c r="AW54" i="18" s="1"/>
  <c r="I69" i="27" s="1"/>
  <c r="AK81" i="18"/>
  <c r="AL81" i="18" s="1"/>
  <c r="Q81" i="18"/>
  <c r="R81" i="18" s="1"/>
  <c r="BC81" i="18"/>
  <c r="BD81" i="18" s="1"/>
  <c r="AA81" i="18"/>
  <c r="AB81" i="18" s="1"/>
  <c r="AT81" i="18"/>
  <c r="AU81" i="18" s="1"/>
  <c r="AT186" i="18"/>
  <c r="AU186" i="18" s="1"/>
  <c r="Q186" i="18"/>
  <c r="R186" i="18" s="1"/>
  <c r="AK186" i="18"/>
  <c r="AL186" i="18" s="1"/>
  <c r="AA186" i="18"/>
  <c r="AB186" i="18" s="1"/>
  <c r="BC186" i="18"/>
  <c r="BD186" i="18" s="1"/>
  <c r="AM80" i="18"/>
  <c r="AN80" i="18" s="1"/>
  <c r="H95" i="27" s="1"/>
  <c r="AO80" i="18"/>
  <c r="AP80" i="18" s="1"/>
  <c r="AQ80" i="18" s="1"/>
  <c r="BE68" i="18"/>
  <c r="BF68" i="18" s="1"/>
  <c r="J83" i="27" s="1"/>
  <c r="BG68" i="18"/>
  <c r="BH68" i="18" s="1"/>
  <c r="BI68" i="18" s="1"/>
  <c r="S52" i="18"/>
  <c r="T52" i="18" s="1"/>
  <c r="F67" i="27" s="1"/>
  <c r="V52" i="18"/>
  <c r="W52" i="18" s="1"/>
  <c r="X52" i="18" s="1"/>
  <c r="AF43" i="18"/>
  <c r="AG43" i="18" s="1"/>
  <c r="AH43" i="18" s="1"/>
  <c r="AC43" i="18"/>
  <c r="AD43" i="18" s="1"/>
  <c r="G55" i="27" s="1"/>
  <c r="S76" i="18"/>
  <c r="T76" i="18" s="1"/>
  <c r="F91" i="27" s="1"/>
  <c r="V76" i="18"/>
  <c r="W76" i="18" s="1"/>
  <c r="X76" i="18" s="1"/>
  <c r="Q93" i="18"/>
  <c r="R93" i="18" s="1"/>
  <c r="AK93" i="18"/>
  <c r="AL93" i="18" s="1"/>
  <c r="AA93" i="18"/>
  <c r="AB93" i="18" s="1"/>
  <c r="AT93" i="18"/>
  <c r="AU93" i="18" s="1"/>
  <c r="BC93" i="18"/>
  <c r="BD93" i="18" s="1"/>
  <c r="AA165" i="18"/>
  <c r="AB165" i="18" s="1"/>
  <c r="Q165" i="18"/>
  <c r="R165" i="18" s="1"/>
  <c r="AK165" i="18"/>
  <c r="AL165" i="18" s="1"/>
  <c r="AT165" i="18"/>
  <c r="AU165" i="18" s="1"/>
  <c r="BC165" i="18"/>
  <c r="BD165" i="18" s="1"/>
  <c r="S70" i="18"/>
  <c r="T70" i="18" s="1"/>
  <c r="F85" i="27" s="1"/>
  <c r="V70" i="18"/>
  <c r="W70" i="18" s="1"/>
  <c r="X70" i="18" s="1"/>
  <c r="AC78" i="18"/>
  <c r="AD78" i="18" s="1"/>
  <c r="G93" i="27" s="1"/>
  <c r="AF78" i="18"/>
  <c r="AG78" i="18" s="1"/>
  <c r="AH78" i="18" s="1"/>
  <c r="BH123" i="18"/>
  <c r="BI123" i="18" s="1"/>
  <c r="Q85" i="18"/>
  <c r="R85" i="18" s="1"/>
  <c r="AA85" i="18"/>
  <c r="AB85" i="18" s="1"/>
  <c r="AK85" i="18"/>
  <c r="AL85" i="18" s="1"/>
  <c r="BC85" i="18"/>
  <c r="BD85" i="18" s="1"/>
  <c r="AT85" i="18"/>
  <c r="AU85" i="18" s="1"/>
  <c r="AT117" i="18"/>
  <c r="AU117" i="18" s="1"/>
  <c r="AK117" i="18"/>
  <c r="AL117" i="18" s="1"/>
  <c r="Q117" i="18"/>
  <c r="R117" i="18" s="1"/>
  <c r="AA117" i="18"/>
  <c r="AB117" i="18" s="1"/>
  <c r="BC117" i="18"/>
  <c r="BD117" i="18" s="1"/>
  <c r="BE66" i="18"/>
  <c r="BF66" i="18" s="1"/>
  <c r="J81" i="27" s="1"/>
  <c r="BG66" i="18"/>
  <c r="BH66" i="18" s="1"/>
  <c r="BI66" i="18" s="1"/>
  <c r="AC50" i="18"/>
  <c r="AD50" i="18" s="1"/>
  <c r="G65" i="27" s="1"/>
  <c r="AF50" i="18"/>
  <c r="AG50" i="18" s="1"/>
  <c r="AH50" i="18" s="1"/>
  <c r="S54" i="18"/>
  <c r="T54" i="18" s="1"/>
  <c r="F69" i="27" s="1"/>
  <c r="V54" i="18"/>
  <c r="W54" i="18" s="1"/>
  <c r="X54" i="18" s="1"/>
  <c r="AC45" i="18"/>
  <c r="AD45" i="18" s="1"/>
  <c r="G57" i="27" s="1"/>
  <c r="AF45" i="18"/>
  <c r="AG45" i="18" s="1"/>
  <c r="AH45" i="18" s="1"/>
  <c r="AT98" i="18"/>
  <c r="AU98" i="18" s="1"/>
  <c r="AA98" i="18"/>
  <c r="AB98" i="18" s="1"/>
  <c r="Q98" i="18"/>
  <c r="R98" i="18" s="1"/>
  <c r="AK98" i="18"/>
  <c r="AL98" i="18" s="1"/>
  <c r="BC98" i="18"/>
  <c r="BD98" i="18" s="1"/>
  <c r="AH17" i="25"/>
  <c r="AH15" i="25"/>
  <c r="AH16" i="25"/>
  <c r="AC68" i="18"/>
  <c r="AD68" i="18" s="1"/>
  <c r="G83" i="27" s="1"/>
  <c r="AF68" i="18"/>
  <c r="AG68" i="18" s="1"/>
  <c r="AH68" i="18" s="1"/>
  <c r="AA86" i="18"/>
  <c r="AB86" i="18" s="1"/>
  <c r="AK86" i="18"/>
  <c r="AL86" i="18" s="1"/>
  <c r="Q86" i="18"/>
  <c r="R86" i="18" s="1"/>
  <c r="AT86" i="18"/>
  <c r="AU86" i="18" s="1"/>
  <c r="BC86" i="18"/>
  <c r="BD86" i="18" s="1"/>
  <c r="AY132" i="18"/>
  <c r="AZ132" i="18" s="1"/>
  <c r="AO43" i="18"/>
  <c r="AP43" i="18" s="1"/>
  <c r="AQ43" i="18" s="1"/>
  <c r="AM43" i="18"/>
  <c r="AN43" i="18" s="1"/>
  <c r="H55" i="27" s="1"/>
  <c r="AM76" i="18"/>
  <c r="AN76" i="18" s="1"/>
  <c r="H91" i="27" s="1"/>
  <c r="AO76" i="18"/>
  <c r="AP76" i="18" s="1"/>
  <c r="AQ76" i="18" s="1"/>
  <c r="AK140" i="18"/>
  <c r="AL140" i="18" s="1"/>
  <c r="AA140" i="18"/>
  <c r="AB140" i="18" s="1"/>
  <c r="Q140" i="18"/>
  <c r="R140" i="18" s="1"/>
  <c r="AT140" i="18"/>
  <c r="AU140" i="18" s="1"/>
  <c r="BC140" i="18"/>
  <c r="BD140" i="18" s="1"/>
  <c r="AY142" i="18"/>
  <c r="AZ142" i="18" s="1"/>
  <c r="AG155" i="18"/>
  <c r="AH155" i="18" s="1"/>
  <c r="AY155" i="18"/>
  <c r="AZ155" i="18" s="1"/>
  <c r="W155" i="18"/>
  <c r="X155" i="18" s="1"/>
  <c r="Q105" i="18"/>
  <c r="R105" i="18" s="1"/>
  <c r="AA105" i="18"/>
  <c r="AB105" i="18" s="1"/>
  <c r="AK105" i="18"/>
  <c r="AL105" i="18" s="1"/>
  <c r="AT105" i="18"/>
  <c r="AU105" i="18" s="1"/>
  <c r="BC105" i="18"/>
  <c r="BD105" i="18" s="1"/>
  <c r="AM74" i="18"/>
  <c r="AN74" i="18" s="1"/>
  <c r="H89" i="27" s="1"/>
  <c r="AO74" i="18"/>
  <c r="AP74" i="18" s="1"/>
  <c r="AQ74" i="18" s="1"/>
  <c r="Q112" i="18"/>
  <c r="R112" i="18" s="1"/>
  <c r="AA112" i="18"/>
  <c r="AB112" i="18" s="1"/>
  <c r="AK112" i="18"/>
  <c r="AL112" i="18" s="1"/>
  <c r="AT112" i="18"/>
  <c r="AU112" i="18" s="1"/>
  <c r="BC112" i="18"/>
  <c r="BD112" i="18" s="1"/>
  <c r="AV50" i="18"/>
  <c r="AW50" i="18" s="1"/>
  <c r="I65" i="27" s="1"/>
  <c r="AX50" i="18"/>
  <c r="AY50" i="18" s="1"/>
  <c r="AZ50" i="18" s="1"/>
  <c r="S78" i="18"/>
  <c r="T78" i="18" s="1"/>
  <c r="F93" i="27" s="1"/>
  <c r="V78" i="18"/>
  <c r="W78" i="18" s="1"/>
  <c r="X78" i="18" s="1"/>
  <c r="AV62" i="18"/>
  <c r="AW62" i="18" s="1"/>
  <c r="I77" i="27" s="1"/>
  <c r="AX62" i="18"/>
  <c r="AY62" i="18" s="1"/>
  <c r="AZ62" i="18" s="1"/>
  <c r="AK111" i="18"/>
  <c r="AL111" i="18" s="1"/>
  <c r="AT111" i="18"/>
  <c r="AU111" i="18" s="1"/>
  <c r="Q111" i="18"/>
  <c r="R111" i="18" s="1"/>
  <c r="AA111" i="18"/>
  <c r="AB111" i="18" s="1"/>
  <c r="BC111" i="18"/>
  <c r="BD111" i="18" s="1"/>
  <c r="AM66" i="18"/>
  <c r="AN66" i="18" s="1"/>
  <c r="H81" i="27" s="1"/>
  <c r="AO66" i="18"/>
  <c r="AP66" i="18" s="1"/>
  <c r="AQ66" i="18" s="1"/>
  <c r="AM50" i="18"/>
  <c r="AN50" i="18" s="1"/>
  <c r="H65" i="27" s="1"/>
  <c r="AO50" i="18"/>
  <c r="AP50" i="18" s="1"/>
  <c r="AQ50" i="18" s="1"/>
  <c r="AM54" i="18"/>
  <c r="AN54" i="18" s="1"/>
  <c r="H69" i="27" s="1"/>
  <c r="AO54" i="18"/>
  <c r="AP54" i="18" s="1"/>
  <c r="AQ54" i="18" s="1"/>
  <c r="AM45" i="18"/>
  <c r="AN45" i="18" s="1"/>
  <c r="H57" i="27" s="1"/>
  <c r="AO45" i="18"/>
  <c r="AP45" i="18" s="1"/>
  <c r="AQ45" i="18" s="1"/>
  <c r="AK90" i="18"/>
  <c r="AL90" i="18" s="1"/>
  <c r="Q90" i="18"/>
  <c r="R90" i="18" s="1"/>
  <c r="AA90" i="18"/>
  <c r="AB90" i="18" s="1"/>
  <c r="BC90" i="18"/>
  <c r="BD90" i="18" s="1"/>
  <c r="AT90" i="18"/>
  <c r="AU90" i="18" s="1"/>
  <c r="S68" i="18"/>
  <c r="T68" i="18" s="1"/>
  <c r="F83" i="27" s="1"/>
  <c r="V68" i="18"/>
  <c r="W68" i="18" s="1"/>
  <c r="X68" i="18" s="1"/>
  <c r="AP132" i="18"/>
  <c r="AQ132" i="18" s="1"/>
  <c r="V43" i="18"/>
  <c r="W43" i="18" s="1"/>
  <c r="X43" i="18" s="1"/>
  <c r="S43" i="18"/>
  <c r="T43" i="18" s="1"/>
  <c r="F55" i="27" s="1"/>
  <c r="AK138" i="18"/>
  <c r="AL138" i="18" s="1"/>
  <c r="Q138" i="18"/>
  <c r="R138" i="18" s="1"/>
  <c r="BC138" i="18"/>
  <c r="BD138" i="18" s="1"/>
  <c r="AT138" i="18"/>
  <c r="AU138" i="18" s="1"/>
  <c r="AA138" i="18"/>
  <c r="AB138" i="18" s="1"/>
  <c r="AK147" i="18"/>
  <c r="AL147" i="18" s="1"/>
  <c r="Q147" i="18"/>
  <c r="R147" i="18" s="1"/>
  <c r="AA147" i="18"/>
  <c r="AB147" i="18" s="1"/>
  <c r="BC147" i="18"/>
  <c r="BD147" i="18" s="1"/>
  <c r="AT147" i="18"/>
  <c r="AU147" i="18" s="1"/>
  <c r="Q134" i="18"/>
  <c r="R134" i="18" s="1"/>
  <c r="AT134" i="18"/>
  <c r="AU134" i="18" s="1"/>
  <c r="AA134" i="18"/>
  <c r="AB134" i="18" s="1"/>
  <c r="AK134" i="18"/>
  <c r="AL134" i="18" s="1"/>
  <c r="BC134" i="18"/>
  <c r="BD134" i="18" s="1"/>
  <c r="V139" i="12"/>
  <c r="W139" i="12" s="1"/>
  <c r="AC74" i="18"/>
  <c r="AD74" i="18" s="1"/>
  <c r="G89" i="27" s="1"/>
  <c r="AF74" i="18"/>
  <c r="AG74" i="18" s="1"/>
  <c r="AH74" i="18" s="1"/>
  <c r="AO64" i="18"/>
  <c r="AP64" i="18" s="1"/>
  <c r="AQ64" i="18" s="1"/>
  <c r="AM64" i="18"/>
  <c r="AN64" i="18" s="1"/>
  <c r="H79" i="27" s="1"/>
  <c r="AM78" i="18"/>
  <c r="AN78" i="18" s="1"/>
  <c r="H93" i="27" s="1"/>
  <c r="AO78" i="18"/>
  <c r="AP78" i="18" s="1"/>
  <c r="AQ78" i="18" s="1"/>
  <c r="AV52" i="18"/>
  <c r="AW52" i="18" s="1"/>
  <c r="I67" i="27" s="1"/>
  <c r="AX52" i="18"/>
  <c r="AY52" i="18" s="1"/>
  <c r="AZ52" i="18" s="1"/>
  <c r="AK156" i="18"/>
  <c r="AL156" i="18" s="1"/>
  <c r="Q156" i="18"/>
  <c r="R156" i="18" s="1"/>
  <c r="AA156" i="18"/>
  <c r="AB156" i="18" s="1"/>
  <c r="AT156" i="18"/>
  <c r="AU156" i="18" s="1"/>
  <c r="BC156" i="18"/>
  <c r="BD156" i="18" s="1"/>
  <c r="AM62" i="18"/>
  <c r="AN62" i="18" s="1"/>
  <c r="H77" i="27" s="1"/>
  <c r="AO62" i="18"/>
  <c r="AP62" i="18" s="1"/>
  <c r="AQ62" i="18" s="1"/>
  <c r="Q161" i="18"/>
  <c r="R161" i="18" s="1"/>
  <c r="AT161" i="18"/>
  <c r="AU161" i="18" s="1"/>
  <c r="AA161" i="18"/>
  <c r="AB161" i="18" s="1"/>
  <c r="BC161" i="18"/>
  <c r="BD161" i="18" s="1"/>
  <c r="AK161" i="18"/>
  <c r="AL161" i="18" s="1"/>
  <c r="AC66" i="18"/>
  <c r="AD66" i="18" s="1"/>
  <c r="G81" i="27" s="1"/>
  <c r="AF66" i="18"/>
  <c r="AG66" i="18" s="1"/>
  <c r="AH66" i="18" s="1"/>
  <c r="V50" i="18"/>
  <c r="W50" i="18" s="1"/>
  <c r="X50" i="18" s="1"/>
  <c r="S50" i="18"/>
  <c r="T50" i="18" s="1"/>
  <c r="F65" i="27" s="1"/>
  <c r="Q153" i="18"/>
  <c r="R153" i="18" s="1"/>
  <c r="AK153" i="18"/>
  <c r="AL153" i="18" s="1"/>
  <c r="AT153" i="18"/>
  <c r="AU153" i="18" s="1"/>
  <c r="BC153" i="18"/>
  <c r="BD153" i="18" s="1"/>
  <c r="AA153" i="18"/>
  <c r="AB153" i="18" s="1"/>
  <c r="V45" i="18"/>
  <c r="W45" i="18" s="1"/>
  <c r="X45" i="18" s="1"/>
  <c r="S45" i="18"/>
  <c r="T45" i="18" s="1"/>
  <c r="F57" i="27" s="1"/>
  <c r="AP123" i="18"/>
  <c r="AQ123" i="18" s="1"/>
  <c r="AV68" i="18"/>
  <c r="AW68" i="18" s="1"/>
  <c r="I83" i="27" s="1"/>
  <c r="AX68" i="18"/>
  <c r="AY68" i="18" s="1"/>
  <c r="AZ68" i="18" s="1"/>
  <c r="AG123" i="18"/>
  <c r="AH123" i="18" s="1"/>
  <c r="AK113" i="18"/>
  <c r="AL113" i="18" s="1"/>
  <c r="AT113" i="18"/>
  <c r="AU113" i="18" s="1"/>
  <c r="Q113" i="18"/>
  <c r="R113" i="18" s="1"/>
  <c r="AA113" i="18"/>
  <c r="AB113" i="18" s="1"/>
  <c r="BC113" i="18"/>
  <c r="BD113" i="18" s="1"/>
  <c r="AK136" i="18"/>
  <c r="AL136" i="18" s="1"/>
  <c r="Q136" i="18"/>
  <c r="R136" i="18" s="1"/>
  <c r="AT136" i="18"/>
  <c r="AU136" i="18" s="1"/>
  <c r="BC136" i="18"/>
  <c r="BD136" i="18" s="1"/>
  <c r="AA136" i="18"/>
  <c r="AB136" i="18" s="1"/>
  <c r="AP155" i="18"/>
  <c r="AQ155" i="18" s="1"/>
  <c r="S74" i="18"/>
  <c r="T74" i="18" s="1"/>
  <c r="F89" i="27" s="1"/>
  <c r="V74" i="18"/>
  <c r="W74" i="18" s="1"/>
  <c r="X74" i="18" s="1"/>
  <c r="AC64" i="18"/>
  <c r="AD64" i="18" s="1"/>
  <c r="G79" i="27" s="1"/>
  <c r="AF64" i="18"/>
  <c r="AG64" i="18" s="1"/>
  <c r="AH64" i="18" s="1"/>
  <c r="AK149" i="18"/>
  <c r="AL149" i="18" s="1"/>
  <c r="Q149" i="18"/>
  <c r="R149" i="18" s="1"/>
  <c r="AA149" i="18"/>
  <c r="AB149" i="18" s="1"/>
  <c r="BC149" i="18"/>
  <c r="BD149" i="18" s="1"/>
  <c r="AT149" i="18"/>
  <c r="AU149" i="18" s="1"/>
  <c r="AC62" i="18"/>
  <c r="AD62" i="18" s="1"/>
  <c r="G77" i="27" s="1"/>
  <c r="AF62" i="18"/>
  <c r="AG62" i="18" s="1"/>
  <c r="AH62" i="18" s="1"/>
  <c r="AC54" i="18"/>
  <c r="AD54" i="18" s="1"/>
  <c r="G69" i="27" s="1"/>
  <c r="AF54" i="18"/>
  <c r="AG54" i="18" s="1"/>
  <c r="AH54" i="18" s="1"/>
  <c r="V66" i="18"/>
  <c r="W66" i="18" s="1"/>
  <c r="X66" i="18" s="1"/>
  <c r="S66" i="18"/>
  <c r="T66" i="18" s="1"/>
  <c r="F81" i="27" s="1"/>
  <c r="AC60" i="18"/>
  <c r="AD60" i="18" s="1"/>
  <c r="G75" i="27" s="1"/>
  <c r="AF60" i="18"/>
  <c r="AG60" i="18" s="1"/>
  <c r="AH60" i="18" s="1"/>
  <c r="Q110" i="18"/>
  <c r="R110" i="18" s="1"/>
  <c r="AK110" i="18"/>
  <c r="AL110" i="18" s="1"/>
  <c r="AA110" i="18"/>
  <c r="AB110" i="18" s="1"/>
  <c r="BC110" i="18"/>
  <c r="BD110" i="18" s="1"/>
  <c r="AT110" i="18"/>
  <c r="AU110" i="18" s="1"/>
  <c r="AY167" i="18"/>
  <c r="AZ167" i="18" s="1"/>
  <c r="AG167" i="18"/>
  <c r="AH167" i="18" s="1"/>
  <c r="W167" i="18"/>
  <c r="X167" i="18" s="1"/>
  <c r="AP167" i="18"/>
  <c r="AQ167" i="18" s="1"/>
  <c r="BE41" i="18"/>
  <c r="BF41" i="18" s="1"/>
  <c r="J53" i="27" s="1"/>
  <c r="BG41" i="18"/>
  <c r="BH41" i="18" s="1"/>
  <c r="BI41" i="18" s="1"/>
  <c r="BE60" i="18"/>
  <c r="BF60" i="18" s="1"/>
  <c r="J75" i="27" s="1"/>
  <c r="BG60" i="18"/>
  <c r="BH60" i="18" s="1"/>
  <c r="BI60" i="18" s="1"/>
  <c r="S64" i="18"/>
  <c r="T64" i="18" s="1"/>
  <c r="F79" i="27" s="1"/>
  <c r="BN31" i="18"/>
  <c r="BN29" i="18"/>
  <c r="BN28" i="18"/>
  <c r="V64" i="18"/>
  <c r="W64" i="18" s="1"/>
  <c r="X64" i="18" s="1"/>
  <c r="BN32" i="18"/>
  <c r="BN20" i="18"/>
  <c r="BE58" i="18"/>
  <c r="BF58" i="18" s="1"/>
  <c r="J73" i="27" s="1"/>
  <c r="BG58" i="18"/>
  <c r="BH58" i="18" s="1"/>
  <c r="BI58" i="18" s="1"/>
  <c r="AG132" i="18"/>
  <c r="AH132" i="18" s="1"/>
  <c r="V62" i="18"/>
  <c r="W62" i="18" s="1"/>
  <c r="X62" i="18" s="1"/>
  <c r="S62" i="18"/>
  <c r="T62" i="18" s="1"/>
  <c r="F77" i="27" s="1"/>
  <c r="AC58" i="18"/>
  <c r="AD58" i="18" s="1"/>
  <c r="G73" i="27" s="1"/>
  <c r="AF58" i="18"/>
  <c r="AG58" i="18" s="1"/>
  <c r="AH58" i="18" s="1"/>
  <c r="AM41" i="18"/>
  <c r="AN41" i="18" s="1"/>
  <c r="H53" i="27" s="1"/>
  <c r="AO41" i="18"/>
  <c r="AP41" i="18" s="1"/>
  <c r="AQ41" i="18" s="1"/>
  <c r="BC123" i="18"/>
  <c r="BD123" i="18" s="1"/>
  <c r="BE123" i="18" s="1"/>
  <c r="BF123" i="18" s="1"/>
  <c r="AA123" i="18"/>
  <c r="AT123" i="18"/>
  <c r="AU123" i="18" s="1"/>
  <c r="AV123" i="18" s="1"/>
  <c r="AW123" i="18" s="1"/>
  <c r="AK123" i="18"/>
  <c r="AL123" i="18" s="1"/>
  <c r="AM123" i="18" s="1"/>
  <c r="AN123" i="18" s="1"/>
  <c r="AT180" i="18"/>
  <c r="AU180" i="18" s="1"/>
  <c r="AK180" i="18"/>
  <c r="AL180" i="18" s="1"/>
  <c r="Q180" i="18"/>
  <c r="R180" i="18" s="1"/>
  <c r="AA180" i="18"/>
  <c r="AB180" i="18" s="1"/>
  <c r="BC180" i="18"/>
  <c r="BD180" i="18" s="1"/>
  <c r="AM60" i="18"/>
  <c r="AN60" i="18" s="1"/>
  <c r="H75" i="27" s="1"/>
  <c r="AO60" i="18"/>
  <c r="AP60" i="18" s="1"/>
  <c r="AQ60" i="18" s="1"/>
  <c r="Q145" i="18"/>
  <c r="R145" i="18" s="1"/>
  <c r="AA145" i="18"/>
  <c r="AB145" i="18" s="1"/>
  <c r="AK145" i="18"/>
  <c r="AL145" i="18" s="1"/>
  <c r="AT145" i="18"/>
  <c r="AU145" i="18" s="1"/>
  <c r="BC145" i="18"/>
  <c r="BD145" i="18" s="1"/>
  <c r="AO72" i="18"/>
  <c r="AP72" i="18" s="1"/>
  <c r="AQ72" i="18" s="1"/>
  <c r="AM72" i="18"/>
  <c r="AN72" i="18" s="1"/>
  <c r="H87" i="27" s="1"/>
  <c r="BE43" i="18"/>
  <c r="BF43" i="18" s="1"/>
  <c r="J55" i="27" s="1"/>
  <c r="BG43" i="18"/>
  <c r="BH43" i="18" s="1"/>
  <c r="BI43" i="18" s="1"/>
  <c r="Q91" i="18"/>
  <c r="R91" i="18" s="1"/>
  <c r="AK91" i="18"/>
  <c r="AL91" i="18" s="1"/>
  <c r="AA91" i="18"/>
  <c r="AB91" i="18" s="1"/>
  <c r="BC91" i="18"/>
  <c r="BD91" i="18" s="1"/>
  <c r="AT91" i="18"/>
  <c r="AU91" i="18" s="1"/>
  <c r="BH132" i="18"/>
  <c r="BI132" i="18" s="1"/>
  <c r="AT142" i="18"/>
  <c r="AU142" i="18" s="1"/>
  <c r="AV142" i="18" s="1"/>
  <c r="AW142" i="18" s="1"/>
  <c r="AA142" i="18"/>
  <c r="BC142" i="18"/>
  <c r="BD142" i="18" s="1"/>
  <c r="BE142" i="18" s="1"/>
  <c r="BF142" i="18" s="1"/>
  <c r="AK142" i="18"/>
  <c r="AL142" i="18" s="1"/>
  <c r="AM142" i="18" s="1"/>
  <c r="AN142" i="18" s="1"/>
  <c r="AT100" i="18"/>
  <c r="AU100" i="18" s="1"/>
  <c r="AA100" i="18"/>
  <c r="AB100" i="18" s="1"/>
  <c r="Q100" i="18"/>
  <c r="R100" i="18" s="1"/>
  <c r="BC100" i="18"/>
  <c r="BD100" i="18" s="1"/>
  <c r="AK100" i="18"/>
  <c r="AL100" i="18" s="1"/>
  <c r="BH155" i="18"/>
  <c r="BI155" i="18" s="1"/>
  <c r="V28" i="12"/>
  <c r="W28" i="12" s="1"/>
  <c r="Y28" i="12" s="1"/>
  <c r="Z28" i="12" s="1"/>
  <c r="V14" i="12"/>
  <c r="W14" i="12" s="1"/>
  <c r="Y14" i="12" s="1"/>
  <c r="Z14" i="12" s="1"/>
  <c r="V42" i="12"/>
  <c r="W42" i="12" s="1"/>
  <c r="X22" i="12"/>
  <c r="AB22" i="12" s="1"/>
  <c r="AC22" i="12" s="1"/>
  <c r="AD22" i="12" s="1"/>
  <c r="Y22" i="12"/>
  <c r="Z22" i="12" s="1"/>
  <c r="X178" i="12"/>
  <c r="AB178" i="12" s="1"/>
  <c r="AC178" i="12" s="1"/>
  <c r="AD178" i="12" s="1"/>
  <c r="Y178" i="12"/>
  <c r="Z178" i="12" s="1"/>
  <c r="BE51" i="18"/>
  <c r="BF51" i="18" s="1"/>
  <c r="J66" i="27" s="1"/>
  <c r="BG51" i="18"/>
  <c r="BH51" i="18" s="1"/>
  <c r="BI51" i="18" s="1"/>
  <c r="BS4" i="18"/>
  <c r="BG47" i="18" s="1"/>
  <c r="BH47" i="18" s="1"/>
  <c r="BI47" i="18" s="1"/>
  <c r="X75" i="12"/>
  <c r="AB75" i="12" s="1"/>
  <c r="AC75" i="12" s="1"/>
  <c r="AD75" i="12" s="1"/>
  <c r="Y75" i="12"/>
  <c r="Z75" i="12" s="1"/>
  <c r="Q8" i="18"/>
  <c r="R8" i="18" s="1"/>
  <c r="AT8" i="18"/>
  <c r="AU8" i="18" s="1"/>
  <c r="AK8" i="18"/>
  <c r="AL8" i="18" s="1"/>
  <c r="AA8" i="18"/>
  <c r="AB8" i="18" s="1"/>
  <c r="BC8" i="18"/>
  <c r="BD8" i="18" s="1"/>
  <c r="X130" i="12"/>
  <c r="AB130" i="12" s="1"/>
  <c r="AC130" i="12" s="1"/>
  <c r="AD130" i="12" s="1"/>
  <c r="Y130" i="12"/>
  <c r="Z130" i="12" s="1"/>
  <c r="AC51" i="18"/>
  <c r="AD51" i="18" s="1"/>
  <c r="G66" i="27" s="1"/>
  <c r="AF51" i="18"/>
  <c r="AG51" i="18" s="1"/>
  <c r="AH51" i="18" s="1"/>
  <c r="Y58" i="12"/>
  <c r="Z58" i="12" s="1"/>
  <c r="X58" i="12"/>
  <c r="AB58" i="12" s="1"/>
  <c r="AC58" i="12" s="1"/>
  <c r="AD58" i="12" s="1"/>
  <c r="X119" i="12"/>
  <c r="Y119" i="12"/>
  <c r="Z119" i="12" s="1"/>
  <c r="AT46" i="18"/>
  <c r="AU46" i="18" s="1"/>
  <c r="AK46" i="18"/>
  <c r="AL46" i="18" s="1"/>
  <c r="AA46" i="18"/>
  <c r="AB46" i="18" s="1"/>
  <c r="Q46" i="18"/>
  <c r="R46" i="18" s="1"/>
  <c r="BC46" i="18"/>
  <c r="BD46" i="18" s="1"/>
  <c r="X181" i="12"/>
  <c r="AB181" i="12" s="1"/>
  <c r="AC181" i="12" s="1"/>
  <c r="AD181" i="12" s="1"/>
  <c r="Y181" i="12"/>
  <c r="Z181" i="12" s="1"/>
  <c r="X107" i="12"/>
  <c r="AB107" i="12" s="1"/>
  <c r="AC107" i="12" s="1"/>
  <c r="AD107" i="12" s="1"/>
  <c r="Y107" i="12"/>
  <c r="Z107" i="12" s="1"/>
  <c r="AA28" i="18"/>
  <c r="AB28" i="18" s="1"/>
  <c r="AK28" i="18"/>
  <c r="AL28" i="18" s="1"/>
  <c r="BC28" i="18"/>
  <c r="BD28" i="18" s="1"/>
  <c r="Q28" i="18"/>
  <c r="R28" i="18" s="1"/>
  <c r="AT28" i="18"/>
  <c r="AU28" i="18" s="1"/>
  <c r="X104" i="12"/>
  <c r="AB104" i="12" s="1"/>
  <c r="AC104" i="12" s="1"/>
  <c r="AD104" i="12" s="1"/>
  <c r="Y104" i="12"/>
  <c r="Z104" i="12" s="1"/>
  <c r="X148" i="12"/>
  <c r="AB148" i="12" s="1"/>
  <c r="AC148" i="12" s="1"/>
  <c r="AD148" i="12" s="1"/>
  <c r="Y148" i="12"/>
  <c r="Z148" i="12" s="1"/>
  <c r="X21" i="12"/>
  <c r="AB21" i="12" s="1"/>
  <c r="AC21" i="12" s="1"/>
  <c r="AD21" i="12" s="1"/>
  <c r="Y21" i="12"/>
  <c r="Z21" i="12" s="1"/>
  <c r="Y84" i="12"/>
  <c r="Z84" i="12" s="1"/>
  <c r="X84" i="12"/>
  <c r="AB84" i="12" s="1"/>
  <c r="AC84" i="12" s="1"/>
  <c r="AD84" i="12" s="1"/>
  <c r="X142" i="12"/>
  <c r="Y142" i="12"/>
  <c r="Z142" i="12" s="1"/>
  <c r="X115" i="12"/>
  <c r="AB115" i="12" s="1"/>
  <c r="AC115" i="12" s="1"/>
  <c r="AD115" i="12" s="1"/>
  <c r="Y115" i="12"/>
  <c r="Z115" i="12" s="1"/>
  <c r="X138" i="12"/>
  <c r="AB138" i="12" s="1"/>
  <c r="AC138" i="12" s="1"/>
  <c r="AD138" i="12" s="1"/>
  <c r="Y138" i="12"/>
  <c r="Z138" i="12" s="1"/>
  <c r="X170" i="12"/>
  <c r="AB170" i="12" s="1"/>
  <c r="AC170" i="12" s="1"/>
  <c r="AD170" i="12" s="1"/>
  <c r="Y170" i="12"/>
  <c r="Z170" i="12" s="1"/>
  <c r="X164" i="12"/>
  <c r="AB164" i="12" s="1"/>
  <c r="AC164" i="12" s="1"/>
  <c r="AD164" i="12" s="1"/>
  <c r="Y164" i="12"/>
  <c r="Z164" i="12" s="1"/>
  <c r="X12" i="12"/>
  <c r="AB12" i="12" s="1"/>
  <c r="AC12" i="12" s="1"/>
  <c r="AD12" i="12" s="1"/>
  <c r="Y12" i="12"/>
  <c r="Z12" i="12" s="1"/>
  <c r="X110" i="12"/>
  <c r="AB110" i="12" s="1"/>
  <c r="AC110" i="12" s="1"/>
  <c r="AD110" i="12" s="1"/>
  <c r="Y110" i="12"/>
  <c r="Z110" i="12" s="1"/>
  <c r="X92" i="12"/>
  <c r="AB92" i="12" s="1"/>
  <c r="AC92" i="12" s="1"/>
  <c r="AD92" i="12" s="1"/>
  <c r="Y92" i="12"/>
  <c r="Z92" i="12" s="1"/>
  <c r="X39" i="12"/>
  <c r="Y39" i="12"/>
  <c r="Z39" i="12" s="1"/>
  <c r="V8" i="12"/>
  <c r="W8" i="12" s="1"/>
  <c r="X112" i="12"/>
  <c r="AB112" i="12" s="1"/>
  <c r="AC112" i="12" s="1"/>
  <c r="AD112" i="12" s="1"/>
  <c r="Y112" i="12"/>
  <c r="Z112" i="12" s="1"/>
  <c r="X161" i="12"/>
  <c r="AB161" i="12" s="1"/>
  <c r="AC161" i="12" s="1"/>
  <c r="AD161" i="12" s="1"/>
  <c r="Y161" i="12"/>
  <c r="Z161" i="12" s="1"/>
  <c r="X49" i="12"/>
  <c r="AB49" i="12" s="1"/>
  <c r="AC49" i="12" s="1"/>
  <c r="AD49" i="12" s="1"/>
  <c r="Y49" i="12"/>
  <c r="Z49" i="12" s="1"/>
  <c r="Y127" i="12"/>
  <c r="Z127" i="12" s="1"/>
  <c r="X127" i="12"/>
  <c r="AB127" i="12" s="1"/>
  <c r="AC127" i="12" s="1"/>
  <c r="AD127" i="12" s="1"/>
  <c r="X102" i="12"/>
  <c r="AB102" i="12" s="1"/>
  <c r="AC102" i="12" s="1"/>
  <c r="AD102" i="12" s="1"/>
  <c r="Y102" i="12"/>
  <c r="Z102" i="12" s="1"/>
  <c r="Y162" i="12"/>
  <c r="Z162" i="12" s="1"/>
  <c r="X162" i="12"/>
  <c r="AB162" i="12" s="1"/>
  <c r="AC162" i="12" s="1"/>
  <c r="AD162" i="12" s="1"/>
  <c r="Y42" i="12"/>
  <c r="Z42" i="12" s="1"/>
  <c r="X42" i="12"/>
  <c r="AB42" i="12" s="1"/>
  <c r="AC42" i="12" s="1"/>
  <c r="AD42" i="12" s="1"/>
  <c r="X73" i="12"/>
  <c r="AB73" i="12" s="1"/>
  <c r="AC73" i="12" s="1"/>
  <c r="AD73" i="12" s="1"/>
  <c r="Y73" i="12"/>
  <c r="Z73" i="12" s="1"/>
  <c r="Y131" i="12"/>
  <c r="Z131" i="12" s="1"/>
  <c r="X131" i="12"/>
  <c r="AB131" i="12" s="1"/>
  <c r="AC131" i="12" s="1"/>
  <c r="AD131" i="12" s="1"/>
  <c r="AC49" i="18"/>
  <c r="AD49" i="18" s="1"/>
  <c r="G64" i="27" s="1"/>
  <c r="AF49" i="18"/>
  <c r="AG49" i="18" s="1"/>
  <c r="AH49" i="18" s="1"/>
  <c r="X113" i="12"/>
  <c r="AB113" i="12" s="1"/>
  <c r="AC113" i="12" s="1"/>
  <c r="AD113" i="12" s="1"/>
  <c r="Y113" i="12"/>
  <c r="Z113" i="12" s="1"/>
  <c r="Y101" i="12"/>
  <c r="Z101" i="12" s="1"/>
  <c r="X101" i="12"/>
  <c r="AB101" i="12" s="1"/>
  <c r="AC101" i="12" s="1"/>
  <c r="AD101" i="12" s="1"/>
  <c r="X33" i="12"/>
  <c r="AB33" i="12" s="1"/>
  <c r="AC33" i="12" s="1"/>
  <c r="AD33" i="12" s="1"/>
  <c r="Y33" i="12"/>
  <c r="Z33" i="12" s="1"/>
  <c r="X175" i="12"/>
  <c r="Y175" i="12"/>
  <c r="Z175" i="12" s="1"/>
  <c r="Y38" i="12"/>
  <c r="Z38" i="12" s="1"/>
  <c r="X38" i="12"/>
  <c r="AB38" i="12" s="1"/>
  <c r="AC38" i="12" s="1"/>
  <c r="AD38" i="12" s="1"/>
  <c r="X168" i="12"/>
  <c r="AB168" i="12" s="1"/>
  <c r="AC168" i="12" s="1"/>
  <c r="AD168" i="12" s="1"/>
  <c r="Y168" i="12"/>
  <c r="Z168" i="12" s="1"/>
  <c r="Y121" i="12"/>
  <c r="Z121" i="12" s="1"/>
  <c r="X121" i="12"/>
  <c r="AB121" i="12" s="1"/>
  <c r="AC121" i="12" s="1"/>
  <c r="AD121" i="12" s="1"/>
  <c r="Q36" i="18"/>
  <c r="R36" i="18" s="1"/>
  <c r="AK36" i="18"/>
  <c r="AL36" i="18" s="1"/>
  <c r="AA36" i="18"/>
  <c r="AB36" i="18" s="1"/>
  <c r="AT36" i="18"/>
  <c r="AU36" i="18" s="1"/>
  <c r="BC36" i="18"/>
  <c r="BD36" i="18" s="1"/>
  <c r="X111" i="12"/>
  <c r="AB111" i="12" s="1"/>
  <c r="AC111" i="12" s="1"/>
  <c r="AD111" i="12" s="1"/>
  <c r="Y111" i="12"/>
  <c r="Z111" i="12" s="1"/>
  <c r="X29" i="12"/>
  <c r="AB29" i="12" s="1"/>
  <c r="AC29" i="12" s="1"/>
  <c r="AD29" i="12" s="1"/>
  <c r="Y29" i="12"/>
  <c r="Z29" i="12" s="1"/>
  <c r="X120" i="12"/>
  <c r="AB120" i="12" s="1"/>
  <c r="AC120" i="12" s="1"/>
  <c r="AD120" i="12" s="1"/>
  <c r="Y120" i="12"/>
  <c r="Z120" i="12" s="1"/>
  <c r="X136" i="12"/>
  <c r="Y136" i="12"/>
  <c r="Z136" i="12" s="1"/>
  <c r="X57" i="12"/>
  <c r="AB57" i="12" s="1"/>
  <c r="AC57" i="12" s="1"/>
  <c r="AD57" i="12" s="1"/>
  <c r="Y57" i="12"/>
  <c r="Z57" i="12" s="1"/>
  <c r="X122" i="12"/>
  <c r="Y122" i="12"/>
  <c r="Z122" i="12" s="1"/>
  <c r="Y150" i="12"/>
  <c r="Z150" i="12" s="1"/>
  <c r="X150" i="12"/>
  <c r="AB150" i="12" s="1"/>
  <c r="AC150" i="12" s="1"/>
  <c r="AD150" i="12" s="1"/>
  <c r="X53" i="12"/>
  <c r="AB53" i="12" s="1"/>
  <c r="AC53" i="12" s="1"/>
  <c r="AD53" i="12" s="1"/>
  <c r="Y53" i="12"/>
  <c r="Z53" i="12" s="1"/>
  <c r="X51" i="12"/>
  <c r="AB51" i="12" s="1"/>
  <c r="AC51" i="12" s="1"/>
  <c r="AD51" i="12" s="1"/>
  <c r="Y51" i="12"/>
  <c r="Z51" i="12" s="1"/>
  <c r="X144" i="12"/>
  <c r="Y144" i="12"/>
  <c r="Z144" i="12" s="1"/>
  <c r="Q26" i="18"/>
  <c r="R26" i="18" s="1"/>
  <c r="AK26" i="18"/>
  <c r="AL26" i="18" s="1"/>
  <c r="BC26" i="18"/>
  <c r="BD26" i="18" s="1"/>
  <c r="AA26" i="18"/>
  <c r="AB26" i="18" s="1"/>
  <c r="AT26" i="18"/>
  <c r="AU26" i="18" s="1"/>
  <c r="X78" i="12"/>
  <c r="Y78" i="12"/>
  <c r="Z78" i="12" s="1"/>
  <c r="Y105" i="12"/>
  <c r="Z105" i="12" s="1"/>
  <c r="X105" i="12"/>
  <c r="AB105" i="12" s="1"/>
  <c r="AC105" i="12" s="1"/>
  <c r="AD105" i="12" s="1"/>
  <c r="X14" i="12"/>
  <c r="AB14" i="12" s="1"/>
  <c r="AC14" i="12" s="1"/>
  <c r="AD14" i="12" s="1"/>
  <c r="Y180" i="12"/>
  <c r="Z180" i="12" s="1"/>
  <c r="X180" i="12"/>
  <c r="AB180" i="12" s="1"/>
  <c r="AC180" i="12" s="1"/>
  <c r="AD180" i="12" s="1"/>
  <c r="AK42" i="18"/>
  <c r="AL42" i="18" s="1"/>
  <c r="AA42" i="18"/>
  <c r="AB42" i="18" s="1"/>
  <c r="Q42" i="18"/>
  <c r="R42" i="18" s="1"/>
  <c r="AT42" i="18"/>
  <c r="AU42" i="18" s="1"/>
  <c r="BC42" i="18"/>
  <c r="BD42" i="18" s="1"/>
  <c r="AV51" i="18"/>
  <c r="AW51" i="18" s="1"/>
  <c r="I66" i="27" s="1"/>
  <c r="AX51" i="18"/>
  <c r="AY51" i="18" s="1"/>
  <c r="AZ51" i="18" s="1"/>
  <c r="X165" i="12"/>
  <c r="AB165" i="12" s="1"/>
  <c r="AC165" i="12" s="1"/>
  <c r="AD165" i="12" s="1"/>
  <c r="Y165" i="12"/>
  <c r="Z165" i="12" s="1"/>
  <c r="V6" i="12"/>
  <c r="W6" i="12" s="1"/>
  <c r="X59" i="12"/>
  <c r="Y59" i="12"/>
  <c r="Z59" i="12" s="1"/>
  <c r="AB61" i="12"/>
  <c r="AC61" i="12" s="1"/>
  <c r="AD61" i="12" s="1"/>
  <c r="X89" i="12"/>
  <c r="AB89" i="12" s="1"/>
  <c r="AC89" i="12" s="1"/>
  <c r="AD89" i="12" s="1"/>
  <c r="Y89" i="12"/>
  <c r="Z89" i="12" s="1"/>
  <c r="AK44" i="18"/>
  <c r="AL44" i="18" s="1"/>
  <c r="AA44" i="18"/>
  <c r="AB44" i="18" s="1"/>
  <c r="Q44" i="18"/>
  <c r="R44" i="18" s="1"/>
  <c r="BC44" i="18"/>
  <c r="BD44" i="18" s="1"/>
  <c r="AT44" i="18"/>
  <c r="AU44" i="18" s="1"/>
  <c r="Y187" i="12"/>
  <c r="Z187" i="12" s="1"/>
  <c r="X187" i="12"/>
  <c r="AB187" i="12" s="1"/>
  <c r="AC187" i="12" s="1"/>
  <c r="AD187" i="12" s="1"/>
  <c r="Y50" i="12"/>
  <c r="Z50" i="12" s="1"/>
  <c r="X50" i="12"/>
  <c r="AB50" i="12" s="1"/>
  <c r="AC50" i="12" s="1"/>
  <c r="AD50" i="12" s="1"/>
  <c r="AT34" i="18"/>
  <c r="AU34" i="18" s="1"/>
  <c r="BC34" i="18"/>
  <c r="BD34" i="18" s="1"/>
  <c r="AK34" i="18"/>
  <c r="AL34" i="18" s="1"/>
  <c r="AA34" i="18"/>
  <c r="AB34" i="18" s="1"/>
  <c r="Q34" i="18"/>
  <c r="R34" i="18" s="1"/>
  <c r="Y32" i="12"/>
  <c r="Z32" i="12" s="1"/>
  <c r="X32" i="12"/>
  <c r="AB32" i="12" s="1"/>
  <c r="AC32" i="12" s="1"/>
  <c r="AD32" i="12" s="1"/>
  <c r="Y87" i="12"/>
  <c r="Z87" i="12" s="1"/>
  <c r="X87" i="12"/>
  <c r="AB87" i="12" s="1"/>
  <c r="AC87" i="12" s="1"/>
  <c r="AD87" i="12" s="1"/>
  <c r="X65" i="12"/>
  <c r="AB65" i="12" s="1"/>
  <c r="AC65" i="12" s="1"/>
  <c r="AD65" i="12" s="1"/>
  <c r="Y65" i="12"/>
  <c r="Z65" i="12" s="1"/>
  <c r="X137" i="12"/>
  <c r="Y137" i="12"/>
  <c r="Z137" i="12" s="1"/>
  <c r="X160" i="12"/>
  <c r="Y160" i="12"/>
  <c r="Z160" i="12" s="1"/>
  <c r="Y60" i="12"/>
  <c r="Z60" i="12" s="1"/>
  <c r="X60" i="12"/>
  <c r="AB60" i="12" s="1"/>
  <c r="AC60" i="12" s="1"/>
  <c r="AD60" i="12" s="1"/>
  <c r="X62" i="12"/>
  <c r="Y62" i="12"/>
  <c r="Z62" i="12" s="1"/>
  <c r="X133" i="12"/>
  <c r="AB133" i="12" s="1"/>
  <c r="AC133" i="12" s="1"/>
  <c r="AD133" i="12" s="1"/>
  <c r="Y133" i="12"/>
  <c r="Z133" i="12" s="1"/>
  <c r="X159" i="12"/>
  <c r="Y159" i="12"/>
  <c r="Z159" i="12" s="1"/>
  <c r="Y176" i="12"/>
  <c r="Z176" i="12" s="1"/>
  <c r="X176" i="12"/>
  <c r="AB176" i="12" s="1"/>
  <c r="AC176" i="12" s="1"/>
  <c r="AD176" i="12" s="1"/>
  <c r="X157" i="12"/>
  <c r="AB157" i="12" s="1"/>
  <c r="AC157" i="12" s="1"/>
  <c r="AD157" i="12" s="1"/>
  <c r="Y157" i="12"/>
  <c r="Z157" i="12" s="1"/>
  <c r="AK22" i="18"/>
  <c r="AL22" i="18" s="1"/>
  <c r="BC22" i="18"/>
  <c r="BD22" i="18" s="1"/>
  <c r="Q22" i="18"/>
  <c r="R22" i="18" s="1"/>
  <c r="AA22" i="18"/>
  <c r="AB22" i="18" s="1"/>
  <c r="AT22" i="18"/>
  <c r="AU22" i="18" s="1"/>
  <c r="AC53" i="18"/>
  <c r="AD53" i="18" s="1"/>
  <c r="G68" i="27" s="1"/>
  <c r="AF53" i="18"/>
  <c r="AG53" i="18" s="1"/>
  <c r="AH53" i="18" s="1"/>
  <c r="X52" i="12"/>
  <c r="AB52" i="12" s="1"/>
  <c r="AC52" i="12" s="1"/>
  <c r="AD52" i="12" s="1"/>
  <c r="Y52" i="12"/>
  <c r="Z52" i="12" s="1"/>
  <c r="X99" i="12"/>
  <c r="AB99" i="12" s="1"/>
  <c r="AC99" i="12" s="1"/>
  <c r="AD99" i="12" s="1"/>
  <c r="Y99" i="12"/>
  <c r="Z99" i="12" s="1"/>
  <c r="X185" i="12"/>
  <c r="Y185" i="12"/>
  <c r="Z185" i="12" s="1"/>
  <c r="V36" i="12"/>
  <c r="W36" i="12" s="1"/>
  <c r="V46" i="12"/>
  <c r="W46" i="12" s="1"/>
  <c r="V183" i="12"/>
  <c r="W183" i="12" s="1"/>
  <c r="X149" i="12"/>
  <c r="AB149" i="12" s="1"/>
  <c r="AC149" i="12" s="1"/>
  <c r="AD149" i="12" s="1"/>
  <c r="Y149" i="12"/>
  <c r="Z149" i="12" s="1"/>
  <c r="V10" i="12"/>
  <c r="W10" i="12" s="1"/>
  <c r="Y71" i="12"/>
  <c r="Z71" i="12" s="1"/>
  <c r="X71" i="12"/>
  <c r="AB71" i="12" s="1"/>
  <c r="AC71" i="12" s="1"/>
  <c r="AD71" i="12" s="1"/>
  <c r="X69" i="12"/>
  <c r="AB69" i="12" s="1"/>
  <c r="AC69" i="12" s="1"/>
  <c r="AD69" i="12" s="1"/>
  <c r="Y69" i="12"/>
  <c r="Z69" i="12" s="1"/>
  <c r="V128" i="12"/>
  <c r="W128" i="12" s="1"/>
  <c r="X7" i="12"/>
  <c r="AB7" i="12" s="1"/>
  <c r="AC7" i="12" s="1"/>
  <c r="AD7" i="12" s="1"/>
  <c r="Y7" i="12"/>
  <c r="Z7" i="12" s="1"/>
  <c r="X55" i="12"/>
  <c r="AB55" i="12" s="1"/>
  <c r="AC55" i="12" s="1"/>
  <c r="AD55" i="12" s="1"/>
  <c r="Y55" i="12"/>
  <c r="Z55" i="12" s="1"/>
  <c r="AK14" i="18"/>
  <c r="AL14" i="18" s="1"/>
  <c r="AA14" i="18"/>
  <c r="AB14" i="18" s="1"/>
  <c r="BC14" i="18"/>
  <c r="BD14" i="18" s="1"/>
  <c r="Q14" i="18"/>
  <c r="R14" i="18" s="1"/>
  <c r="AT14" i="18"/>
  <c r="AU14" i="18" s="1"/>
  <c r="X129" i="12"/>
  <c r="Y129" i="12"/>
  <c r="Z129" i="12" s="1"/>
  <c r="X45" i="12"/>
  <c r="AB45" i="12" s="1"/>
  <c r="AC45" i="12" s="1"/>
  <c r="AD45" i="12" s="1"/>
  <c r="Y45" i="12"/>
  <c r="Z45" i="12" s="1"/>
  <c r="AA6" i="18"/>
  <c r="AB6" i="18" s="1"/>
  <c r="AK6" i="18"/>
  <c r="AL6" i="18" s="1"/>
  <c r="Q6" i="18"/>
  <c r="R6" i="18" s="1"/>
  <c r="AT6" i="18"/>
  <c r="AU6" i="18" s="1"/>
  <c r="BC6" i="18"/>
  <c r="BD6" i="18" s="1"/>
  <c r="X19" i="12"/>
  <c r="AB19" i="12" s="1"/>
  <c r="AC19" i="12" s="1"/>
  <c r="AD19" i="12" s="1"/>
  <c r="Y19" i="12"/>
  <c r="Z19" i="12" s="1"/>
  <c r="X171" i="12"/>
  <c r="Y171" i="12"/>
  <c r="Z171" i="12" s="1"/>
  <c r="X41" i="12"/>
  <c r="AB41" i="12" s="1"/>
  <c r="AC41" i="12" s="1"/>
  <c r="AD41" i="12" s="1"/>
  <c r="Y41" i="12"/>
  <c r="Z41" i="12" s="1"/>
  <c r="X125" i="12"/>
  <c r="Y125" i="12"/>
  <c r="Z125" i="12" s="1"/>
  <c r="X5" i="12"/>
  <c r="AB5" i="12" s="1"/>
  <c r="AC5" i="12" s="1"/>
  <c r="AD5" i="12" s="1"/>
  <c r="Y5" i="12"/>
  <c r="Z5" i="12" s="1"/>
  <c r="Y83" i="12"/>
  <c r="Z83" i="12" s="1"/>
  <c r="X83" i="12"/>
  <c r="AB83" i="12" s="1"/>
  <c r="AC83" i="12" s="1"/>
  <c r="AD83" i="12" s="1"/>
  <c r="AC48" i="18"/>
  <c r="AD48" i="18" s="1"/>
  <c r="G63" i="27" s="1"/>
  <c r="AF48" i="18"/>
  <c r="AG48" i="18" s="1"/>
  <c r="AH48" i="18" s="1"/>
  <c r="BP4" i="18"/>
  <c r="AF47" i="18" s="1"/>
  <c r="AG47" i="18" s="1"/>
  <c r="AH47" i="18" s="1"/>
  <c r="Y11" i="12"/>
  <c r="Z11" i="12" s="1"/>
  <c r="X11" i="12"/>
  <c r="AB11" i="12" s="1"/>
  <c r="AC11" i="12" s="1"/>
  <c r="AD11" i="12" s="1"/>
  <c r="AA20" i="18"/>
  <c r="AB20" i="18" s="1"/>
  <c r="AK20" i="18"/>
  <c r="AL20" i="18" s="1"/>
  <c r="Q20" i="18"/>
  <c r="R20" i="18" s="1"/>
  <c r="BC20" i="18"/>
  <c r="BD20" i="18" s="1"/>
  <c r="AT20" i="18"/>
  <c r="AU20" i="18" s="1"/>
  <c r="X154" i="12"/>
  <c r="AB154" i="12" s="1"/>
  <c r="AC154" i="12" s="1"/>
  <c r="AD154" i="12" s="1"/>
  <c r="Y154" i="12"/>
  <c r="Z154" i="12" s="1"/>
  <c r="Y35" i="12"/>
  <c r="Z35" i="12" s="1"/>
  <c r="X35" i="12"/>
  <c r="AB35" i="12" s="1"/>
  <c r="AC35" i="12" s="1"/>
  <c r="AD35" i="12" s="1"/>
  <c r="X189" i="12"/>
  <c r="AB189" i="12" s="1"/>
  <c r="AC189" i="12" s="1"/>
  <c r="AD189" i="12" s="1"/>
  <c r="Y189" i="12"/>
  <c r="Z189" i="12" s="1"/>
  <c r="X56" i="12"/>
  <c r="Y56" i="12"/>
  <c r="Z56" i="12" s="1"/>
  <c r="X167" i="12"/>
  <c r="Y167" i="12"/>
  <c r="Z167" i="12" s="1"/>
  <c r="X155" i="12"/>
  <c r="Y155" i="12"/>
  <c r="Z155" i="12" s="1"/>
  <c r="AL34" i="12"/>
  <c r="AL33" i="12"/>
  <c r="AL32" i="12"/>
  <c r="AL36" i="12"/>
  <c r="AL35" i="12"/>
  <c r="AB141" i="12"/>
  <c r="AC141" i="12" s="1"/>
  <c r="AD141" i="12" s="1"/>
  <c r="S53" i="18"/>
  <c r="T53" i="18" s="1"/>
  <c r="F68" i="27" s="1"/>
  <c r="V53" i="18"/>
  <c r="W53" i="18" s="1"/>
  <c r="X53" i="18" s="1"/>
  <c r="X68" i="12"/>
  <c r="AB68" i="12" s="1"/>
  <c r="AC68" i="12" s="1"/>
  <c r="AD68" i="12" s="1"/>
  <c r="Y68" i="12"/>
  <c r="Z68" i="12" s="1"/>
  <c r="X24" i="12"/>
  <c r="AB24" i="12" s="1"/>
  <c r="AC24" i="12" s="1"/>
  <c r="AD24" i="12" s="1"/>
  <c r="Y24" i="12"/>
  <c r="Z24" i="12" s="1"/>
  <c r="X93" i="12"/>
  <c r="AB93" i="12" s="1"/>
  <c r="AC93" i="12" s="1"/>
  <c r="AD93" i="12" s="1"/>
  <c r="Y93" i="12"/>
  <c r="Z93" i="12" s="1"/>
  <c r="X152" i="12"/>
  <c r="Y152" i="12"/>
  <c r="Z152" i="12" s="1"/>
  <c r="X116" i="12"/>
  <c r="Y116" i="12"/>
  <c r="Z116" i="12" s="1"/>
  <c r="X190" i="12"/>
  <c r="AB190" i="12" s="1"/>
  <c r="AC190" i="12" s="1"/>
  <c r="AD190" i="12" s="1"/>
  <c r="Y190" i="12"/>
  <c r="Z190" i="12" s="1"/>
  <c r="X25" i="12"/>
  <c r="AB25" i="12" s="1"/>
  <c r="AC25" i="12" s="1"/>
  <c r="AD25" i="12" s="1"/>
  <c r="Y25" i="12"/>
  <c r="Z25" i="12" s="1"/>
  <c r="X54" i="12"/>
  <c r="AB54" i="12" s="1"/>
  <c r="AC54" i="12" s="1"/>
  <c r="AD54" i="12" s="1"/>
  <c r="Y54" i="12"/>
  <c r="Z54" i="12" s="1"/>
  <c r="Y80" i="12"/>
  <c r="Z80" i="12" s="1"/>
  <c r="X80" i="12"/>
  <c r="AB80" i="12" s="1"/>
  <c r="AC80" i="12" s="1"/>
  <c r="AD80" i="12" s="1"/>
  <c r="Y117" i="12"/>
  <c r="Z117" i="12" s="1"/>
  <c r="X117" i="12"/>
  <c r="AB117" i="12" s="1"/>
  <c r="AC117" i="12" s="1"/>
  <c r="AD117" i="12" s="1"/>
  <c r="X23" i="12"/>
  <c r="AB23" i="12" s="1"/>
  <c r="AC23" i="12" s="1"/>
  <c r="AD23" i="12" s="1"/>
  <c r="Y23" i="12"/>
  <c r="Z23" i="12" s="1"/>
  <c r="AA12" i="18"/>
  <c r="AB12" i="18" s="1"/>
  <c r="AK12" i="18"/>
  <c r="AL12" i="18" s="1"/>
  <c r="Q12" i="18"/>
  <c r="R12" i="18" s="1"/>
  <c r="BC12" i="18"/>
  <c r="BD12" i="18" s="1"/>
  <c r="AT12" i="18"/>
  <c r="AU12" i="18" s="1"/>
  <c r="X64" i="12"/>
  <c r="AB64" i="12" s="1"/>
  <c r="AC64" i="12" s="1"/>
  <c r="AD64" i="12" s="1"/>
  <c r="Y64" i="12"/>
  <c r="Z64" i="12" s="1"/>
  <c r="Y179" i="12"/>
  <c r="Z179" i="12" s="1"/>
  <c r="X179" i="12"/>
  <c r="AB179" i="12" s="1"/>
  <c r="AC179" i="12" s="1"/>
  <c r="AD179" i="12" s="1"/>
  <c r="AM49" i="18"/>
  <c r="AN49" i="18" s="1"/>
  <c r="H64" i="27" s="1"/>
  <c r="AO49" i="18"/>
  <c r="AP49" i="18" s="1"/>
  <c r="AQ49" i="18" s="1"/>
  <c r="X94" i="12"/>
  <c r="AB94" i="12" s="1"/>
  <c r="AC94" i="12" s="1"/>
  <c r="AD94" i="12" s="1"/>
  <c r="Y94" i="12"/>
  <c r="Z94" i="12" s="1"/>
  <c r="V44" i="12"/>
  <c r="W44" i="12" s="1"/>
  <c r="Y191" i="12"/>
  <c r="Z191" i="12" s="1"/>
  <c r="X191" i="12"/>
  <c r="AB191" i="12" s="1"/>
  <c r="AC191" i="12" s="1"/>
  <c r="AD191" i="12" s="1"/>
  <c r="X43" i="12"/>
  <c r="AB43" i="12" s="1"/>
  <c r="AC43" i="12" s="1"/>
  <c r="AD43" i="12" s="1"/>
  <c r="Y43" i="12"/>
  <c r="Z43" i="12" s="1"/>
  <c r="X90" i="12"/>
  <c r="AB90" i="12" s="1"/>
  <c r="AC90" i="12" s="1"/>
  <c r="AD90" i="12" s="1"/>
  <c r="Y90" i="12"/>
  <c r="Z90" i="12" s="1"/>
  <c r="V20" i="12"/>
  <c r="W20" i="12" s="1"/>
  <c r="X134" i="12"/>
  <c r="AB134" i="12" s="1"/>
  <c r="AC134" i="12" s="1"/>
  <c r="AD134" i="12" s="1"/>
  <c r="Y134" i="12"/>
  <c r="Z134" i="12" s="1"/>
  <c r="X86" i="12"/>
  <c r="AB86" i="12" s="1"/>
  <c r="AC86" i="12" s="1"/>
  <c r="AD86" i="12" s="1"/>
  <c r="Y86" i="12"/>
  <c r="Z86" i="12" s="1"/>
  <c r="AA128" i="18"/>
  <c r="AB128" i="18" s="1"/>
  <c r="BC128" i="18"/>
  <c r="BD128" i="18" s="1"/>
  <c r="Q128" i="18"/>
  <c r="R128" i="18" s="1"/>
  <c r="AK128" i="18"/>
  <c r="AL128" i="18" s="1"/>
  <c r="AT128" i="18"/>
  <c r="AU128" i="18" s="1"/>
  <c r="X123" i="12"/>
  <c r="Y123" i="12"/>
  <c r="Z123" i="12" s="1"/>
  <c r="AM48" i="18"/>
  <c r="AN48" i="18" s="1"/>
  <c r="H63" i="27" s="1"/>
  <c r="BQ4" i="18"/>
  <c r="AO47" i="18" s="1"/>
  <c r="AP47" i="18" s="1"/>
  <c r="AQ47" i="18" s="1"/>
  <c r="AO48" i="18"/>
  <c r="AP48" i="18" s="1"/>
  <c r="AQ48" i="18" s="1"/>
  <c r="X97" i="12"/>
  <c r="Y97" i="12"/>
  <c r="Z97" i="12" s="1"/>
  <c r="Y79" i="12"/>
  <c r="Z79" i="12" s="1"/>
  <c r="X79" i="12"/>
  <c r="AB79" i="12" s="1"/>
  <c r="AC79" i="12" s="1"/>
  <c r="AD79" i="12" s="1"/>
  <c r="X188" i="12"/>
  <c r="AB188" i="12" s="1"/>
  <c r="AC188" i="12" s="1"/>
  <c r="AD188" i="12" s="1"/>
  <c r="Y188" i="12"/>
  <c r="Z188" i="12" s="1"/>
  <c r="X16" i="12"/>
  <c r="AB16" i="12" s="1"/>
  <c r="AC16" i="12" s="1"/>
  <c r="AD16" i="12" s="1"/>
  <c r="Y16" i="12"/>
  <c r="Z16" i="12" s="1"/>
  <c r="X174" i="12"/>
  <c r="Y174" i="12"/>
  <c r="Z174" i="12" s="1"/>
  <c r="AM53" i="18"/>
  <c r="AN53" i="18" s="1"/>
  <c r="H68" i="27" s="1"/>
  <c r="AO53" i="18"/>
  <c r="AP53" i="18" s="1"/>
  <c r="AQ53" i="18" s="1"/>
  <c r="Y166" i="12"/>
  <c r="Z166" i="12" s="1"/>
  <c r="X166" i="12"/>
  <c r="AB166" i="12" s="1"/>
  <c r="AC166" i="12" s="1"/>
  <c r="AD166" i="12" s="1"/>
  <c r="Y146" i="12"/>
  <c r="Z146" i="12" s="1"/>
  <c r="X146" i="12"/>
  <c r="AB146" i="12" s="1"/>
  <c r="AC146" i="12" s="1"/>
  <c r="AD146" i="12" s="1"/>
  <c r="V18" i="12"/>
  <c r="W18" i="12" s="1"/>
  <c r="AA183" i="18"/>
  <c r="AB183" i="18" s="1"/>
  <c r="Q183" i="18"/>
  <c r="R183" i="18" s="1"/>
  <c r="AK183" i="18"/>
  <c r="AL183" i="18" s="1"/>
  <c r="BC183" i="18"/>
  <c r="BD183" i="18" s="1"/>
  <c r="AT183" i="18"/>
  <c r="AU183" i="18" s="1"/>
  <c r="X37" i="12"/>
  <c r="AB37" i="12" s="1"/>
  <c r="AC37" i="12" s="1"/>
  <c r="AD37" i="12" s="1"/>
  <c r="Y37" i="12"/>
  <c r="Z37" i="12" s="1"/>
  <c r="V30" i="12"/>
  <c r="W30" i="12" s="1"/>
  <c r="X173" i="12"/>
  <c r="AB173" i="12" s="1"/>
  <c r="AC173" i="12" s="1"/>
  <c r="AD173" i="12" s="1"/>
  <c r="Y173" i="12"/>
  <c r="Z173" i="12" s="1"/>
  <c r="X143" i="12"/>
  <c r="AB143" i="12" s="1"/>
  <c r="AC143" i="12" s="1"/>
  <c r="AD143" i="12" s="1"/>
  <c r="Y143" i="12"/>
  <c r="Z143" i="12" s="1"/>
  <c r="Y72" i="12"/>
  <c r="Z72" i="12" s="1"/>
  <c r="X72" i="12"/>
  <c r="AB72" i="12" s="1"/>
  <c r="AC72" i="12" s="1"/>
  <c r="AD72" i="12" s="1"/>
  <c r="Y147" i="12"/>
  <c r="Z147" i="12" s="1"/>
  <c r="X147" i="12"/>
  <c r="AB147" i="12" s="1"/>
  <c r="AC147" i="12" s="1"/>
  <c r="AD147" i="12" s="1"/>
  <c r="X139" i="12"/>
  <c r="AB139" i="12" s="1"/>
  <c r="AC139" i="12" s="1"/>
  <c r="AD139" i="12" s="1"/>
  <c r="Y139" i="12"/>
  <c r="Z139" i="12" s="1"/>
  <c r="S51" i="18"/>
  <c r="T51" i="18" s="1"/>
  <c r="F66" i="27" s="1"/>
  <c r="V51" i="18"/>
  <c r="W51" i="18" s="1"/>
  <c r="X51" i="18" s="1"/>
  <c r="V34" i="12"/>
  <c r="W34" i="12" s="1"/>
  <c r="X109" i="12"/>
  <c r="AB109" i="12" s="1"/>
  <c r="AC109" i="12" s="1"/>
  <c r="AD109" i="12" s="1"/>
  <c r="Y109" i="12"/>
  <c r="Z109" i="12" s="1"/>
  <c r="Y76" i="12"/>
  <c r="Z76" i="12" s="1"/>
  <c r="X76" i="12"/>
  <c r="AB76" i="12" s="1"/>
  <c r="AC76" i="12" s="1"/>
  <c r="AD76" i="12" s="1"/>
  <c r="Q24" i="18"/>
  <c r="R24" i="18" s="1"/>
  <c r="AA24" i="18"/>
  <c r="AB24" i="18" s="1"/>
  <c r="AK24" i="18"/>
  <c r="AL24" i="18" s="1"/>
  <c r="AT24" i="18"/>
  <c r="AU24" i="18" s="1"/>
  <c r="BC24" i="18"/>
  <c r="BD24" i="18" s="1"/>
  <c r="Y192" i="12"/>
  <c r="Z192" i="12" s="1"/>
  <c r="X192" i="12"/>
  <c r="AB192" i="12" s="1"/>
  <c r="AC192" i="12" s="1"/>
  <c r="AD192" i="12" s="1"/>
  <c r="X47" i="12"/>
  <c r="Y47" i="12"/>
  <c r="Z47" i="12" s="1"/>
  <c r="X91" i="12"/>
  <c r="AB91" i="12" s="1"/>
  <c r="AC91" i="12" s="1"/>
  <c r="AD91" i="12" s="1"/>
  <c r="Y91" i="12"/>
  <c r="Z91" i="12" s="1"/>
  <c r="Y26" i="12"/>
  <c r="Z26" i="12" s="1"/>
  <c r="X26" i="12"/>
  <c r="AB26" i="12" s="1"/>
  <c r="AC26" i="12" s="1"/>
  <c r="AD26" i="12" s="1"/>
  <c r="AV49" i="18"/>
  <c r="AW49" i="18" s="1"/>
  <c r="I64" i="27" s="1"/>
  <c r="AX49" i="18"/>
  <c r="AY49" i="18" s="1"/>
  <c r="AZ49" i="18" s="1"/>
  <c r="X163" i="12"/>
  <c r="Y163" i="12"/>
  <c r="Z163" i="12" s="1"/>
  <c r="X82" i="12"/>
  <c r="AB82" i="12" s="1"/>
  <c r="AC82" i="12" s="1"/>
  <c r="AD82" i="12" s="1"/>
  <c r="Y82" i="12"/>
  <c r="Z82" i="12" s="1"/>
  <c r="X182" i="12"/>
  <c r="Y182" i="12"/>
  <c r="Z182" i="12" s="1"/>
  <c r="Y108" i="12"/>
  <c r="Z108" i="12" s="1"/>
  <c r="X108" i="12"/>
  <c r="BE49" i="18"/>
  <c r="BF49" i="18" s="1"/>
  <c r="J64" i="27" s="1"/>
  <c r="BG49" i="18"/>
  <c r="BH49" i="18" s="1"/>
  <c r="BI49" i="18" s="1"/>
  <c r="AT10" i="18"/>
  <c r="AU10" i="18" s="1"/>
  <c r="AA10" i="18"/>
  <c r="AB10" i="18" s="1"/>
  <c r="BC10" i="18"/>
  <c r="BD10" i="18" s="1"/>
  <c r="Q10" i="18"/>
  <c r="R10" i="18" s="1"/>
  <c r="AK10" i="18"/>
  <c r="AL10" i="18" s="1"/>
  <c r="X172" i="12"/>
  <c r="AB172" i="12" s="1"/>
  <c r="AC172" i="12" s="1"/>
  <c r="AD172" i="12" s="1"/>
  <c r="Y172" i="12"/>
  <c r="Z172" i="12" s="1"/>
  <c r="Y4" i="12"/>
  <c r="Z4" i="12" s="1"/>
  <c r="X4" i="12"/>
  <c r="AB4" i="12" s="1"/>
  <c r="AC4" i="12" s="1"/>
  <c r="AD4" i="12" s="1"/>
  <c r="X48" i="12"/>
  <c r="AB48" i="12" s="1"/>
  <c r="AC48" i="12" s="1"/>
  <c r="AD48" i="12" s="1"/>
  <c r="Y48" i="12"/>
  <c r="Z48" i="12" s="1"/>
  <c r="X106" i="12"/>
  <c r="AB106" i="12" s="1"/>
  <c r="AC106" i="12" s="1"/>
  <c r="AD106" i="12" s="1"/>
  <c r="Y106" i="12"/>
  <c r="Z106" i="12" s="1"/>
  <c r="X66" i="12"/>
  <c r="AB66" i="12" s="1"/>
  <c r="AC66" i="12" s="1"/>
  <c r="AD66" i="12" s="1"/>
  <c r="Y66" i="12"/>
  <c r="Z66" i="12" s="1"/>
  <c r="X9" i="12"/>
  <c r="AB9" i="12" s="1"/>
  <c r="AC9" i="12" s="1"/>
  <c r="AD9" i="12" s="1"/>
  <c r="Y9" i="12"/>
  <c r="Z9" i="12" s="1"/>
  <c r="X126" i="12"/>
  <c r="AB126" i="12" s="1"/>
  <c r="AC126" i="12" s="1"/>
  <c r="AD126" i="12" s="1"/>
  <c r="Y126" i="12"/>
  <c r="Z126" i="12" s="1"/>
  <c r="X77" i="12"/>
  <c r="AB77" i="12" s="1"/>
  <c r="AC77" i="12" s="1"/>
  <c r="AD77" i="12" s="1"/>
  <c r="Y77" i="12"/>
  <c r="Z77" i="12" s="1"/>
  <c r="X132" i="12"/>
  <c r="Y132" i="12"/>
  <c r="Z132" i="12" s="1"/>
  <c r="Y63" i="12"/>
  <c r="Z63" i="12" s="1"/>
  <c r="X63" i="12"/>
  <c r="AB63" i="12" s="1"/>
  <c r="AC63" i="12" s="1"/>
  <c r="AD63" i="12" s="1"/>
  <c r="X156" i="12"/>
  <c r="AB156" i="12" s="1"/>
  <c r="AC156" i="12" s="1"/>
  <c r="AD156" i="12" s="1"/>
  <c r="Y156" i="12"/>
  <c r="Z156" i="12" s="1"/>
  <c r="X100" i="12"/>
  <c r="Y100" i="12"/>
  <c r="Z100" i="12" s="1"/>
  <c r="S49" i="18"/>
  <c r="T49" i="18" s="1"/>
  <c r="F64" i="27" s="1"/>
  <c r="V49" i="18"/>
  <c r="W49" i="18" s="1"/>
  <c r="X49" i="18" s="1"/>
  <c r="Q38" i="18"/>
  <c r="R38" i="18" s="1"/>
  <c r="AK38" i="18"/>
  <c r="AL38" i="18" s="1"/>
  <c r="AT38" i="18"/>
  <c r="AU38" i="18" s="1"/>
  <c r="AA38" i="18"/>
  <c r="AB38" i="18" s="1"/>
  <c r="BC38" i="18"/>
  <c r="BD38" i="18" s="1"/>
  <c r="Y98" i="12"/>
  <c r="Z98" i="12" s="1"/>
  <c r="X98" i="12"/>
  <c r="AB98" i="12" s="1"/>
  <c r="AC98" i="12" s="1"/>
  <c r="AD98" i="12" s="1"/>
  <c r="AA18" i="18"/>
  <c r="AB18" i="18" s="1"/>
  <c r="AK18" i="18"/>
  <c r="AL18" i="18" s="1"/>
  <c r="Q18" i="18"/>
  <c r="R18" i="18" s="1"/>
  <c r="BC18" i="18"/>
  <c r="BD18" i="18" s="1"/>
  <c r="AT18" i="18"/>
  <c r="AU18" i="18" s="1"/>
  <c r="S48" i="18"/>
  <c r="T48" i="18" s="1"/>
  <c r="F63" i="27" s="1"/>
  <c r="BO4" i="18"/>
  <c r="V47" i="18" s="1"/>
  <c r="W47" i="18" s="1"/>
  <c r="X47" i="18" s="1"/>
  <c r="V48" i="18"/>
  <c r="W48" i="18" s="1"/>
  <c r="X48" i="18" s="1"/>
  <c r="BN12" i="18"/>
  <c r="BN4" i="18"/>
  <c r="BN16" i="18"/>
  <c r="BN13" i="18"/>
  <c r="BN15" i="18"/>
  <c r="X135" i="12"/>
  <c r="AB135" i="12" s="1"/>
  <c r="AC135" i="12" s="1"/>
  <c r="AD135" i="12" s="1"/>
  <c r="Y135" i="12"/>
  <c r="Z135" i="12" s="1"/>
  <c r="X114" i="12"/>
  <c r="AB114" i="12" s="1"/>
  <c r="AC114" i="12" s="1"/>
  <c r="AD114" i="12" s="1"/>
  <c r="Y114" i="12"/>
  <c r="Z114" i="12" s="1"/>
  <c r="Y88" i="12"/>
  <c r="Z88" i="12" s="1"/>
  <c r="X88" i="12"/>
  <c r="AB88" i="12" s="1"/>
  <c r="AC88" i="12" s="1"/>
  <c r="AD88" i="12" s="1"/>
  <c r="Y40" i="12"/>
  <c r="Z40" i="12" s="1"/>
  <c r="X40" i="12"/>
  <c r="AB40" i="12" s="1"/>
  <c r="AC40" i="12" s="1"/>
  <c r="AD40" i="12" s="1"/>
  <c r="X158" i="12"/>
  <c r="Y158" i="12"/>
  <c r="Z158" i="12" s="1"/>
  <c r="Y118" i="12"/>
  <c r="Z118" i="12" s="1"/>
  <c r="X118" i="12"/>
  <c r="AB118" i="12" s="1"/>
  <c r="AC118" i="12" s="1"/>
  <c r="AD118" i="12" s="1"/>
  <c r="AA191" i="18"/>
  <c r="AB191" i="18" s="1"/>
  <c r="BC191" i="18"/>
  <c r="BD191" i="18" s="1"/>
  <c r="Q191" i="18"/>
  <c r="R191" i="18" s="1"/>
  <c r="AT191" i="18"/>
  <c r="AU191" i="18" s="1"/>
  <c r="AK191" i="18"/>
  <c r="AL191" i="18" s="1"/>
  <c r="AA30" i="18"/>
  <c r="AB30" i="18" s="1"/>
  <c r="AK30" i="18"/>
  <c r="AL30" i="18" s="1"/>
  <c r="Q30" i="18"/>
  <c r="R30" i="18" s="1"/>
  <c r="AT30" i="18"/>
  <c r="AU30" i="18" s="1"/>
  <c r="BC30" i="18"/>
  <c r="BD30" i="18" s="1"/>
  <c r="X70" i="12"/>
  <c r="AB70" i="12" s="1"/>
  <c r="AC70" i="12" s="1"/>
  <c r="AD70" i="12" s="1"/>
  <c r="Y70" i="12"/>
  <c r="Z70" i="12" s="1"/>
  <c r="Y140" i="12"/>
  <c r="Z140" i="12" s="1"/>
  <c r="X140" i="12"/>
  <c r="AB140" i="12" s="1"/>
  <c r="AC140" i="12" s="1"/>
  <c r="AD140" i="12" s="1"/>
  <c r="X103" i="12"/>
  <c r="AB103" i="12" s="1"/>
  <c r="AC103" i="12" s="1"/>
  <c r="AD103" i="12" s="1"/>
  <c r="Y103" i="12"/>
  <c r="Z103" i="12" s="1"/>
  <c r="X169" i="12"/>
  <c r="AB169" i="12" s="1"/>
  <c r="AC169" i="12" s="1"/>
  <c r="AD169" i="12" s="1"/>
  <c r="Y169" i="12"/>
  <c r="Z169" i="12" s="1"/>
  <c r="Y31" i="12"/>
  <c r="Z31" i="12" s="1"/>
  <c r="X31" i="12"/>
  <c r="AB31" i="12" s="1"/>
  <c r="AC31" i="12" s="1"/>
  <c r="AD31" i="12" s="1"/>
  <c r="AM51" i="18"/>
  <c r="AN51" i="18" s="1"/>
  <c r="H66" i="27" s="1"/>
  <c r="AO51" i="18"/>
  <c r="AP51" i="18" s="1"/>
  <c r="AQ51" i="18" s="1"/>
  <c r="AA40" i="18"/>
  <c r="AB40" i="18" s="1"/>
  <c r="AT40" i="18"/>
  <c r="AU40" i="18" s="1"/>
  <c r="Q40" i="18"/>
  <c r="R40" i="18" s="1"/>
  <c r="BC40" i="18"/>
  <c r="BD40" i="18" s="1"/>
  <c r="AK40" i="18"/>
  <c r="AL40" i="18" s="1"/>
  <c r="BR4" i="18"/>
  <c r="AX47" i="18" s="1"/>
  <c r="AY47" i="18" s="1"/>
  <c r="AZ47" i="18" s="1"/>
  <c r="X28" i="12" l="1"/>
  <c r="AB28" i="12" s="1"/>
  <c r="AC28" i="12" s="1"/>
  <c r="AD28" i="12" s="1"/>
  <c r="BE100" i="18"/>
  <c r="BF100" i="18" s="1"/>
  <c r="J115" i="27" s="1"/>
  <c r="BG100" i="18"/>
  <c r="BH100" i="18" s="1"/>
  <c r="BI100" i="18" s="1"/>
  <c r="BS5" i="18"/>
  <c r="BG108" i="18" s="1"/>
  <c r="BH108" i="18" s="1"/>
  <c r="BI108" i="18" s="1"/>
  <c r="BE149" i="18"/>
  <c r="BF149" i="18" s="1"/>
  <c r="J166" i="27" s="1"/>
  <c r="BG149" i="18"/>
  <c r="BH149" i="18" s="1"/>
  <c r="BI149" i="18" s="1"/>
  <c r="S113" i="18"/>
  <c r="T113" i="18" s="1"/>
  <c r="F128" i="27" s="1"/>
  <c r="V113" i="18"/>
  <c r="W113" i="18" s="1"/>
  <c r="X113" i="18" s="1"/>
  <c r="AM134" i="18"/>
  <c r="AN134" i="18" s="1"/>
  <c r="H151" i="27" s="1"/>
  <c r="AO134" i="18"/>
  <c r="AP134" i="18" s="1"/>
  <c r="AQ134" i="18" s="1"/>
  <c r="AM147" i="18"/>
  <c r="AN147" i="18" s="1"/>
  <c r="H164" i="27" s="1"/>
  <c r="AO147" i="18"/>
  <c r="AP147" i="18" s="1"/>
  <c r="AQ147" i="18" s="1"/>
  <c r="BE111" i="18"/>
  <c r="BF111" i="18" s="1"/>
  <c r="J126" i="27" s="1"/>
  <c r="BG111" i="18"/>
  <c r="BH111" i="18" s="1"/>
  <c r="BI111" i="18" s="1"/>
  <c r="AO86" i="18"/>
  <c r="AP86" i="18" s="1"/>
  <c r="AQ86" i="18" s="1"/>
  <c r="AM86" i="18"/>
  <c r="AN86" i="18" s="1"/>
  <c r="H101" i="27" s="1"/>
  <c r="AO98" i="18"/>
  <c r="AP98" i="18" s="1"/>
  <c r="AQ98" i="18" s="1"/>
  <c r="AM98" i="18"/>
  <c r="AN98" i="18" s="1"/>
  <c r="H113" i="27" s="1"/>
  <c r="AX117" i="18"/>
  <c r="AY117" i="18" s="1"/>
  <c r="AZ117" i="18" s="1"/>
  <c r="AV117" i="18"/>
  <c r="AW117" i="18" s="1"/>
  <c r="I132" i="27" s="1"/>
  <c r="BE93" i="18"/>
  <c r="BF93" i="18" s="1"/>
  <c r="J108" i="27" s="1"/>
  <c r="BG93" i="18"/>
  <c r="BH93" i="18" s="1"/>
  <c r="BI93" i="18" s="1"/>
  <c r="AC186" i="18"/>
  <c r="AD186" i="18" s="1"/>
  <c r="G203" i="27" s="1"/>
  <c r="AF186" i="18"/>
  <c r="AG186" i="18" s="1"/>
  <c r="AH186" i="18" s="1"/>
  <c r="AO81" i="18"/>
  <c r="AP81" i="18" s="1"/>
  <c r="AQ81" i="18" s="1"/>
  <c r="AM81" i="18"/>
  <c r="AN81" i="18" s="1"/>
  <c r="H96" i="27" s="1"/>
  <c r="S83" i="18"/>
  <c r="T83" i="18" s="1"/>
  <c r="F98" i="27" s="1"/>
  <c r="V83" i="18"/>
  <c r="W83" i="18" s="1"/>
  <c r="X83" i="18" s="1"/>
  <c r="AC99" i="18"/>
  <c r="AD99" i="18" s="1"/>
  <c r="G114" i="27" s="1"/>
  <c r="AF99" i="18"/>
  <c r="AG99" i="18" s="1"/>
  <c r="AH99" i="18" s="1"/>
  <c r="BE139" i="18"/>
  <c r="BF139" i="18" s="1"/>
  <c r="J156" i="27" s="1"/>
  <c r="BG139" i="18"/>
  <c r="BH139" i="18" s="1"/>
  <c r="BI139" i="18" s="1"/>
  <c r="BE122" i="18"/>
  <c r="BF122" i="18" s="1"/>
  <c r="J137" i="27" s="1"/>
  <c r="BG122" i="18"/>
  <c r="BH122" i="18" s="1"/>
  <c r="BI122" i="18" s="1"/>
  <c r="AM88" i="18"/>
  <c r="AN88" i="18" s="1"/>
  <c r="H103" i="27" s="1"/>
  <c r="AO88" i="18"/>
  <c r="AP88" i="18" s="1"/>
  <c r="AQ88" i="18" s="1"/>
  <c r="AM101" i="18"/>
  <c r="AN101" i="18" s="1"/>
  <c r="H116" i="27" s="1"/>
  <c r="AO101" i="18"/>
  <c r="AP101" i="18" s="1"/>
  <c r="AQ101" i="18" s="1"/>
  <c r="S100" i="18"/>
  <c r="T100" i="18" s="1"/>
  <c r="F115" i="27" s="1"/>
  <c r="V100" i="18"/>
  <c r="W100" i="18" s="1"/>
  <c r="X100" i="18" s="1"/>
  <c r="BN5" i="18"/>
  <c r="BO5" i="18"/>
  <c r="V108" i="18" s="1"/>
  <c r="W108" i="18" s="1"/>
  <c r="X108" i="18" s="1"/>
  <c r="AV91" i="18"/>
  <c r="AW91" i="18" s="1"/>
  <c r="I106" i="27" s="1"/>
  <c r="AX91" i="18"/>
  <c r="AY91" i="18" s="1"/>
  <c r="AZ91" i="18" s="1"/>
  <c r="BE180" i="18"/>
  <c r="BF180" i="18" s="1"/>
  <c r="J197" i="27" s="1"/>
  <c r="BG180" i="18"/>
  <c r="BH180" i="18" s="1"/>
  <c r="BI180" i="18" s="1"/>
  <c r="AC149" i="18"/>
  <c r="AD149" i="18" s="1"/>
  <c r="G166" i="27" s="1"/>
  <c r="AF149" i="18"/>
  <c r="AG149" i="18" s="1"/>
  <c r="AH149" i="18" s="1"/>
  <c r="AC136" i="18"/>
  <c r="AD136" i="18" s="1"/>
  <c r="G153" i="27" s="1"/>
  <c r="BP10" i="18"/>
  <c r="AF142" i="18" s="1"/>
  <c r="AG142" i="18" s="1"/>
  <c r="AH142" i="18" s="1"/>
  <c r="AF136" i="18"/>
  <c r="AG136" i="18" s="1"/>
  <c r="AH136" i="18" s="1"/>
  <c r="AV113" i="18"/>
  <c r="AW113" i="18" s="1"/>
  <c r="I128" i="27" s="1"/>
  <c r="AX113" i="18"/>
  <c r="AY113" i="18" s="1"/>
  <c r="AZ113" i="18" s="1"/>
  <c r="AF153" i="18"/>
  <c r="AG153" i="18" s="1"/>
  <c r="AH153" i="18" s="1"/>
  <c r="AC153" i="18"/>
  <c r="AD153" i="18" s="1"/>
  <c r="G170" i="27" s="1"/>
  <c r="BE156" i="18"/>
  <c r="BF156" i="18" s="1"/>
  <c r="J173" i="27" s="1"/>
  <c r="BG156" i="18"/>
  <c r="BH156" i="18" s="1"/>
  <c r="BI156" i="18" s="1"/>
  <c r="BS14" i="18"/>
  <c r="BG160" i="18" s="1"/>
  <c r="BH160" i="18" s="1"/>
  <c r="BI160" i="18" s="1"/>
  <c r="AC134" i="18"/>
  <c r="AD134" i="18" s="1"/>
  <c r="G151" i="27" s="1"/>
  <c r="AF134" i="18"/>
  <c r="AG134" i="18" s="1"/>
  <c r="AH134" i="18" s="1"/>
  <c r="AC138" i="18"/>
  <c r="AD138" i="18" s="1"/>
  <c r="G155" i="27" s="1"/>
  <c r="AF138" i="18"/>
  <c r="AG138" i="18" s="1"/>
  <c r="AH138" i="18" s="1"/>
  <c r="AC111" i="18"/>
  <c r="AD111" i="18" s="1"/>
  <c r="G126" i="27" s="1"/>
  <c r="AF111" i="18"/>
  <c r="AG111" i="18" s="1"/>
  <c r="AH111" i="18" s="1"/>
  <c r="AF86" i="18"/>
  <c r="AG86" i="18" s="1"/>
  <c r="AH86" i="18" s="1"/>
  <c r="AC86" i="18"/>
  <c r="AD86" i="18" s="1"/>
  <c r="G101" i="27" s="1"/>
  <c r="V98" i="18"/>
  <c r="W98" i="18" s="1"/>
  <c r="X98" i="18" s="1"/>
  <c r="S98" i="18"/>
  <c r="T98" i="18" s="1"/>
  <c r="F113" i="27" s="1"/>
  <c r="AV85" i="18"/>
  <c r="AW85" i="18" s="1"/>
  <c r="I100" i="27" s="1"/>
  <c r="AX85" i="18"/>
  <c r="AY85" i="18" s="1"/>
  <c r="AZ85" i="18" s="1"/>
  <c r="AV93" i="18"/>
  <c r="AW93" i="18" s="1"/>
  <c r="I108" i="27" s="1"/>
  <c r="AX93" i="18"/>
  <c r="AY93" i="18" s="1"/>
  <c r="AZ93" i="18" s="1"/>
  <c r="AO186" i="18"/>
  <c r="AP186" i="18" s="1"/>
  <c r="AQ186" i="18" s="1"/>
  <c r="AM186" i="18"/>
  <c r="AN186" i="18" s="1"/>
  <c r="H203" i="27" s="1"/>
  <c r="AM99" i="18"/>
  <c r="AN99" i="18" s="1"/>
  <c r="H114" i="27" s="1"/>
  <c r="AO99" i="18"/>
  <c r="AP99" i="18" s="1"/>
  <c r="AQ99" i="18" s="1"/>
  <c r="AV139" i="18"/>
  <c r="AW139" i="18" s="1"/>
  <c r="I156" i="27" s="1"/>
  <c r="AX139" i="18"/>
  <c r="AY139" i="18" s="1"/>
  <c r="AZ139" i="18" s="1"/>
  <c r="AC122" i="18"/>
  <c r="AD122" i="18" s="1"/>
  <c r="G137" i="27" s="1"/>
  <c r="AF122" i="18"/>
  <c r="AG122" i="18" s="1"/>
  <c r="AH122" i="18" s="1"/>
  <c r="AO146" i="18"/>
  <c r="AP146" i="18" s="1"/>
  <c r="AQ146" i="18" s="1"/>
  <c r="AM146" i="18"/>
  <c r="AN146" i="18" s="1"/>
  <c r="H163" i="27" s="1"/>
  <c r="AC101" i="18"/>
  <c r="AD101" i="18" s="1"/>
  <c r="G116" i="27" s="1"/>
  <c r="AF101" i="18"/>
  <c r="AG101" i="18" s="1"/>
  <c r="AH101" i="18" s="1"/>
  <c r="BG16" i="18"/>
  <c r="BH16" i="18" s="1"/>
  <c r="BI16" i="18" s="1"/>
  <c r="BE16" i="18"/>
  <c r="BF16" i="18" s="1"/>
  <c r="AC100" i="18"/>
  <c r="AD100" i="18" s="1"/>
  <c r="G115" i="27" s="1"/>
  <c r="AF100" i="18"/>
  <c r="AG100" i="18" s="1"/>
  <c r="AH100" i="18" s="1"/>
  <c r="BP5" i="18"/>
  <c r="AF108" i="18" s="1"/>
  <c r="AG108" i="18" s="1"/>
  <c r="AH108" i="18" s="1"/>
  <c r="BE91" i="18"/>
  <c r="BF91" i="18" s="1"/>
  <c r="J106" i="27" s="1"/>
  <c r="BG91" i="18"/>
  <c r="BH91" i="18" s="1"/>
  <c r="BI91" i="18" s="1"/>
  <c r="BG145" i="18"/>
  <c r="BH145" i="18" s="1"/>
  <c r="BI145" i="18" s="1"/>
  <c r="BE145" i="18"/>
  <c r="BF145" i="18" s="1"/>
  <c r="J162" i="27" s="1"/>
  <c r="AC180" i="18"/>
  <c r="AD180" i="18" s="1"/>
  <c r="G197" i="27" s="1"/>
  <c r="AF180" i="18"/>
  <c r="AG180" i="18" s="1"/>
  <c r="AH180" i="18" s="1"/>
  <c r="AV110" i="18"/>
  <c r="AW110" i="18" s="1"/>
  <c r="I125" i="27" s="1"/>
  <c r="AX110" i="18"/>
  <c r="AY110" i="18" s="1"/>
  <c r="AZ110" i="18" s="1"/>
  <c r="S149" i="18"/>
  <c r="T149" i="18" s="1"/>
  <c r="F166" i="27" s="1"/>
  <c r="V149" i="18"/>
  <c r="W149" i="18" s="1"/>
  <c r="X149" i="18" s="1"/>
  <c r="BE136" i="18"/>
  <c r="BF136" i="18" s="1"/>
  <c r="J153" i="27" s="1"/>
  <c r="BG136" i="18"/>
  <c r="BH136" i="18" s="1"/>
  <c r="BI136" i="18" s="1"/>
  <c r="AM113" i="18"/>
  <c r="AN113" i="18" s="1"/>
  <c r="H128" i="27" s="1"/>
  <c r="AO113" i="18"/>
  <c r="AP113" i="18" s="1"/>
  <c r="AQ113" i="18" s="1"/>
  <c r="BG153" i="18"/>
  <c r="BH153" i="18" s="1"/>
  <c r="BI153" i="18" s="1"/>
  <c r="BE153" i="18"/>
  <c r="BF153" i="18" s="1"/>
  <c r="J170" i="27" s="1"/>
  <c r="AM161" i="18"/>
  <c r="AN161" i="18" s="1"/>
  <c r="H178" i="27" s="1"/>
  <c r="AO161" i="18"/>
  <c r="AP161" i="18" s="1"/>
  <c r="AQ161" i="18" s="1"/>
  <c r="AX156" i="18"/>
  <c r="AY156" i="18" s="1"/>
  <c r="AZ156" i="18" s="1"/>
  <c r="BR14" i="18"/>
  <c r="AX160" i="18" s="1"/>
  <c r="AY160" i="18" s="1"/>
  <c r="AZ160" i="18" s="1"/>
  <c r="AV156" i="18"/>
  <c r="AW156" i="18" s="1"/>
  <c r="I173" i="27" s="1"/>
  <c r="AX134" i="18"/>
  <c r="AY134" i="18" s="1"/>
  <c r="AZ134" i="18" s="1"/>
  <c r="AV134" i="18"/>
  <c r="AW134" i="18" s="1"/>
  <c r="I151" i="27" s="1"/>
  <c r="AV138" i="18"/>
  <c r="AW138" i="18" s="1"/>
  <c r="I155" i="27" s="1"/>
  <c r="AX138" i="18"/>
  <c r="AY138" i="18" s="1"/>
  <c r="AZ138" i="18" s="1"/>
  <c r="V111" i="18"/>
  <c r="W111" i="18" s="1"/>
  <c r="X111" i="18" s="1"/>
  <c r="S111" i="18"/>
  <c r="T111" i="18" s="1"/>
  <c r="F126" i="27" s="1"/>
  <c r="BG105" i="18"/>
  <c r="BH105" i="18" s="1"/>
  <c r="BI105" i="18" s="1"/>
  <c r="BE105" i="18"/>
  <c r="BF105" i="18" s="1"/>
  <c r="J120" i="27" s="1"/>
  <c r="AF98" i="18"/>
  <c r="AG98" i="18" s="1"/>
  <c r="AH98" i="18" s="1"/>
  <c r="AC98" i="18"/>
  <c r="AD98" i="18" s="1"/>
  <c r="G113" i="27" s="1"/>
  <c r="BE85" i="18"/>
  <c r="BF85" i="18" s="1"/>
  <c r="J100" i="27" s="1"/>
  <c r="BG85" i="18"/>
  <c r="BH85" i="18" s="1"/>
  <c r="BI85" i="18" s="1"/>
  <c r="AC93" i="18"/>
  <c r="AD93" i="18" s="1"/>
  <c r="G108" i="27" s="1"/>
  <c r="AF93" i="18"/>
  <c r="AG93" i="18" s="1"/>
  <c r="AH93" i="18" s="1"/>
  <c r="V186" i="18"/>
  <c r="W186" i="18" s="1"/>
  <c r="X186" i="18" s="1"/>
  <c r="S186" i="18"/>
  <c r="T186" i="18" s="1"/>
  <c r="F203" i="27" s="1"/>
  <c r="S99" i="18"/>
  <c r="T99" i="18" s="1"/>
  <c r="F114" i="27" s="1"/>
  <c r="V99" i="18"/>
  <c r="W99" i="18" s="1"/>
  <c r="X99" i="18" s="1"/>
  <c r="AC139" i="18"/>
  <c r="AD139" i="18" s="1"/>
  <c r="G156" i="27" s="1"/>
  <c r="AF139" i="18"/>
  <c r="AG139" i="18" s="1"/>
  <c r="AH139" i="18" s="1"/>
  <c r="AM122" i="18"/>
  <c r="AN122" i="18" s="1"/>
  <c r="H137" i="27" s="1"/>
  <c r="AO122" i="18"/>
  <c r="AP122" i="18" s="1"/>
  <c r="AQ122" i="18" s="1"/>
  <c r="AV146" i="18"/>
  <c r="AW146" i="18" s="1"/>
  <c r="I163" i="27" s="1"/>
  <c r="AX146" i="18"/>
  <c r="AY146" i="18" s="1"/>
  <c r="AZ146" i="18" s="1"/>
  <c r="S101" i="18"/>
  <c r="T101" i="18" s="1"/>
  <c r="F116" i="27" s="1"/>
  <c r="V101" i="18"/>
  <c r="W101" i="18" s="1"/>
  <c r="X101" i="18" s="1"/>
  <c r="AO16" i="18"/>
  <c r="AP16" i="18" s="1"/>
  <c r="AQ16" i="18" s="1"/>
  <c r="AM16" i="18"/>
  <c r="AN16" i="18" s="1"/>
  <c r="AV100" i="18"/>
  <c r="AW100" i="18" s="1"/>
  <c r="I115" i="27" s="1"/>
  <c r="AX100" i="18"/>
  <c r="AY100" i="18" s="1"/>
  <c r="AZ100" i="18" s="1"/>
  <c r="BR5" i="18"/>
  <c r="AX108" i="18" s="1"/>
  <c r="AY108" i="18" s="1"/>
  <c r="AZ108" i="18" s="1"/>
  <c r="AC91" i="18"/>
  <c r="AD91" i="18" s="1"/>
  <c r="G106" i="27" s="1"/>
  <c r="AF91" i="18"/>
  <c r="AG91" i="18" s="1"/>
  <c r="AH91" i="18" s="1"/>
  <c r="AV145" i="18"/>
  <c r="AW145" i="18" s="1"/>
  <c r="I162" i="27" s="1"/>
  <c r="AX145" i="18"/>
  <c r="AY145" i="18" s="1"/>
  <c r="AZ145" i="18" s="1"/>
  <c r="BN30" i="18"/>
  <c r="V180" i="18"/>
  <c r="W180" i="18" s="1"/>
  <c r="X180" i="18" s="1"/>
  <c r="S180" i="18"/>
  <c r="T180" i="18" s="1"/>
  <c r="F197" i="27" s="1"/>
  <c r="BE110" i="18"/>
  <c r="BF110" i="18" s="1"/>
  <c r="J125" i="27" s="1"/>
  <c r="BG110" i="18"/>
  <c r="BH110" i="18" s="1"/>
  <c r="BI110" i="18" s="1"/>
  <c r="AM149" i="18"/>
  <c r="AN149" i="18" s="1"/>
  <c r="H166" i="27" s="1"/>
  <c r="AO149" i="18"/>
  <c r="AP149" i="18" s="1"/>
  <c r="AQ149" i="18" s="1"/>
  <c r="AV136" i="18"/>
  <c r="AW136" i="18" s="1"/>
  <c r="I153" i="27" s="1"/>
  <c r="I159" i="27" s="1"/>
  <c r="AX136" i="18"/>
  <c r="AY136" i="18" s="1"/>
  <c r="AZ136" i="18" s="1"/>
  <c r="AX153" i="18"/>
  <c r="AY153" i="18" s="1"/>
  <c r="AZ153" i="18" s="1"/>
  <c r="AV153" i="18"/>
  <c r="AW153" i="18" s="1"/>
  <c r="I170" i="27" s="1"/>
  <c r="BG161" i="18"/>
  <c r="BH161" i="18" s="1"/>
  <c r="BI161" i="18" s="1"/>
  <c r="BE161" i="18"/>
  <c r="BF161" i="18" s="1"/>
  <c r="J178" i="27" s="1"/>
  <c r="AC156" i="18"/>
  <c r="AD156" i="18" s="1"/>
  <c r="G173" i="27" s="1"/>
  <c r="BP14" i="18"/>
  <c r="AF160" i="18" s="1"/>
  <c r="AG160" i="18" s="1"/>
  <c r="AH160" i="18" s="1"/>
  <c r="AF156" i="18"/>
  <c r="AG156" i="18" s="1"/>
  <c r="AH156" i="18" s="1"/>
  <c r="S134" i="18"/>
  <c r="T134" i="18" s="1"/>
  <c r="F151" i="27" s="1"/>
  <c r="V134" i="18"/>
  <c r="W134" i="18" s="1"/>
  <c r="X134" i="18" s="1"/>
  <c r="BE138" i="18"/>
  <c r="BF138" i="18" s="1"/>
  <c r="J155" i="27" s="1"/>
  <c r="BG138" i="18"/>
  <c r="BH138" i="18" s="1"/>
  <c r="BI138" i="18" s="1"/>
  <c r="AV90" i="18"/>
  <c r="AW90" i="18" s="1"/>
  <c r="I105" i="27" s="1"/>
  <c r="AX90" i="18"/>
  <c r="AY90" i="18" s="1"/>
  <c r="AZ90" i="18" s="1"/>
  <c r="AV111" i="18"/>
  <c r="AW111" i="18" s="1"/>
  <c r="I126" i="27" s="1"/>
  <c r="AX111" i="18"/>
  <c r="AY111" i="18" s="1"/>
  <c r="AZ111" i="18" s="1"/>
  <c r="BG112" i="18"/>
  <c r="BH112" i="18" s="1"/>
  <c r="BI112" i="18" s="1"/>
  <c r="BE112" i="18"/>
  <c r="BF112" i="18" s="1"/>
  <c r="J127" i="27" s="1"/>
  <c r="AV105" i="18"/>
  <c r="AW105" i="18" s="1"/>
  <c r="I120" i="27" s="1"/>
  <c r="AX105" i="18"/>
  <c r="AY105" i="18" s="1"/>
  <c r="AZ105" i="18" s="1"/>
  <c r="BE140" i="18"/>
  <c r="BF140" i="18" s="1"/>
  <c r="J157" i="27" s="1"/>
  <c r="BG140" i="18"/>
  <c r="BH140" i="18" s="1"/>
  <c r="BI140" i="18" s="1"/>
  <c r="AX98" i="18"/>
  <c r="AY98" i="18" s="1"/>
  <c r="AZ98" i="18" s="1"/>
  <c r="AV98" i="18"/>
  <c r="AW98" i="18" s="1"/>
  <c r="I113" i="27" s="1"/>
  <c r="AM85" i="18"/>
  <c r="AN85" i="18" s="1"/>
  <c r="H100" i="27" s="1"/>
  <c r="AO85" i="18"/>
  <c r="AP85" i="18" s="1"/>
  <c r="AQ85" i="18" s="1"/>
  <c r="BE165" i="18"/>
  <c r="BF165" i="18" s="1"/>
  <c r="J182" i="27" s="1"/>
  <c r="BG165" i="18"/>
  <c r="BH165" i="18" s="1"/>
  <c r="BI165" i="18" s="1"/>
  <c r="AM93" i="18"/>
  <c r="AN93" i="18" s="1"/>
  <c r="H108" i="27" s="1"/>
  <c r="AO93" i="18"/>
  <c r="AP93" i="18" s="1"/>
  <c r="AQ93" i="18" s="1"/>
  <c r="AX186" i="18"/>
  <c r="AY186" i="18" s="1"/>
  <c r="AZ186" i="18" s="1"/>
  <c r="AV186" i="18"/>
  <c r="AW186" i="18" s="1"/>
  <c r="I203" i="27" s="1"/>
  <c r="BE143" i="18"/>
  <c r="BF143" i="18" s="1"/>
  <c r="J160" i="27" s="1"/>
  <c r="BG143" i="18"/>
  <c r="BH143" i="18" s="1"/>
  <c r="BI143" i="18" s="1"/>
  <c r="AO139" i="18"/>
  <c r="AP139" i="18" s="1"/>
  <c r="AQ139" i="18" s="1"/>
  <c r="AM139" i="18"/>
  <c r="AN139" i="18" s="1"/>
  <c r="H156" i="27" s="1"/>
  <c r="V122" i="18"/>
  <c r="W122" i="18" s="1"/>
  <c r="X122" i="18" s="1"/>
  <c r="S122" i="18"/>
  <c r="T122" i="18" s="1"/>
  <c r="F137" i="27" s="1"/>
  <c r="BE146" i="18"/>
  <c r="BF146" i="18" s="1"/>
  <c r="J163" i="27" s="1"/>
  <c r="BG146" i="18"/>
  <c r="BH146" i="18" s="1"/>
  <c r="BI146" i="18" s="1"/>
  <c r="AX16" i="18"/>
  <c r="AY16" i="18" s="1"/>
  <c r="AZ16" i="18" s="1"/>
  <c r="AV16" i="18"/>
  <c r="AW16" i="18" s="1"/>
  <c r="AM91" i="18"/>
  <c r="AN91" i="18" s="1"/>
  <c r="H106" i="27" s="1"/>
  <c r="AO91" i="18"/>
  <c r="AP91" i="18" s="1"/>
  <c r="AQ91" i="18" s="1"/>
  <c r="AM145" i="18"/>
  <c r="AN145" i="18" s="1"/>
  <c r="H162" i="27" s="1"/>
  <c r="AO145" i="18"/>
  <c r="AP145" i="18" s="1"/>
  <c r="AQ145" i="18" s="1"/>
  <c r="AO180" i="18"/>
  <c r="AP180" i="18" s="1"/>
  <c r="AQ180" i="18" s="1"/>
  <c r="AM180" i="18"/>
  <c r="AN180" i="18" s="1"/>
  <c r="H197" i="27" s="1"/>
  <c r="AF110" i="18"/>
  <c r="AG110" i="18" s="1"/>
  <c r="AH110" i="18" s="1"/>
  <c r="AC110" i="18"/>
  <c r="AD110" i="18" s="1"/>
  <c r="G125" i="27" s="1"/>
  <c r="S136" i="18"/>
  <c r="T136" i="18" s="1"/>
  <c r="F153" i="27" s="1"/>
  <c r="F159" i="27" s="1"/>
  <c r="V136" i="18"/>
  <c r="W136" i="18" s="1"/>
  <c r="X136" i="18" s="1"/>
  <c r="BO10" i="18"/>
  <c r="V142" i="18" s="1"/>
  <c r="W142" i="18" s="1"/>
  <c r="X142" i="18" s="1"/>
  <c r="BN10" i="18"/>
  <c r="AO153" i="18"/>
  <c r="AP153" i="18" s="1"/>
  <c r="AQ153" i="18" s="1"/>
  <c r="AM153" i="18"/>
  <c r="AN153" i="18" s="1"/>
  <c r="H170" i="27" s="1"/>
  <c r="AC161" i="18"/>
  <c r="AD161" i="18" s="1"/>
  <c r="G178" i="27" s="1"/>
  <c r="AF161" i="18"/>
  <c r="AG161" i="18" s="1"/>
  <c r="AH161" i="18" s="1"/>
  <c r="BN14" i="18"/>
  <c r="BO14" i="18"/>
  <c r="V160" i="18" s="1"/>
  <c r="W160" i="18" s="1"/>
  <c r="X160" i="18" s="1"/>
  <c r="S156" i="18"/>
  <c r="T156" i="18" s="1"/>
  <c r="F173" i="27" s="1"/>
  <c r="V156" i="18"/>
  <c r="W156" i="18" s="1"/>
  <c r="X156" i="18" s="1"/>
  <c r="AV147" i="18"/>
  <c r="AW147" i="18" s="1"/>
  <c r="I164" i="27" s="1"/>
  <c r="AX147" i="18"/>
  <c r="AY147" i="18" s="1"/>
  <c r="AZ147" i="18" s="1"/>
  <c r="S138" i="18"/>
  <c r="T138" i="18" s="1"/>
  <c r="F155" i="27" s="1"/>
  <c r="V138" i="18"/>
  <c r="W138" i="18" s="1"/>
  <c r="X138" i="18" s="1"/>
  <c r="BE90" i="18"/>
  <c r="BF90" i="18" s="1"/>
  <c r="J105" i="27" s="1"/>
  <c r="BG90" i="18"/>
  <c r="BH90" i="18" s="1"/>
  <c r="BI90" i="18" s="1"/>
  <c r="AM111" i="18"/>
  <c r="AN111" i="18" s="1"/>
  <c r="H126" i="27" s="1"/>
  <c r="AO111" i="18"/>
  <c r="AP111" i="18" s="1"/>
  <c r="AQ111" i="18" s="1"/>
  <c r="AV112" i="18"/>
  <c r="AW112" i="18" s="1"/>
  <c r="I127" i="27" s="1"/>
  <c r="AX112" i="18"/>
  <c r="AY112" i="18" s="1"/>
  <c r="AZ112" i="18" s="1"/>
  <c r="AO105" i="18"/>
  <c r="AP105" i="18" s="1"/>
  <c r="AQ105" i="18" s="1"/>
  <c r="AM105" i="18"/>
  <c r="AN105" i="18" s="1"/>
  <c r="H120" i="27" s="1"/>
  <c r="AV140" i="18"/>
  <c r="AW140" i="18" s="1"/>
  <c r="I157" i="27" s="1"/>
  <c r="AX140" i="18"/>
  <c r="AY140" i="18" s="1"/>
  <c r="AZ140" i="18" s="1"/>
  <c r="BE117" i="18"/>
  <c r="BF117" i="18" s="1"/>
  <c r="J132" i="27" s="1"/>
  <c r="BG117" i="18"/>
  <c r="BH117" i="18" s="1"/>
  <c r="BI117" i="18" s="1"/>
  <c r="AF85" i="18"/>
  <c r="AG85" i="18" s="1"/>
  <c r="AH85" i="18" s="1"/>
  <c r="AC85" i="18"/>
  <c r="AD85" i="18" s="1"/>
  <c r="G100" i="27" s="1"/>
  <c r="AX165" i="18"/>
  <c r="AY165" i="18" s="1"/>
  <c r="AZ165" i="18" s="1"/>
  <c r="AV165" i="18"/>
  <c r="AW165" i="18" s="1"/>
  <c r="I182" i="27" s="1"/>
  <c r="S93" i="18"/>
  <c r="T93" i="18" s="1"/>
  <c r="F108" i="27" s="1"/>
  <c r="V93" i="18"/>
  <c r="W93" i="18" s="1"/>
  <c r="X93" i="18" s="1"/>
  <c r="AX81" i="18"/>
  <c r="AY81" i="18" s="1"/>
  <c r="AZ81" i="18" s="1"/>
  <c r="AV81" i="18"/>
  <c r="AW81" i="18" s="1"/>
  <c r="I96" i="27" s="1"/>
  <c r="AV83" i="18"/>
  <c r="AW83" i="18" s="1"/>
  <c r="I98" i="27" s="1"/>
  <c r="AX83" i="18"/>
  <c r="AY83" i="18" s="1"/>
  <c r="AZ83" i="18" s="1"/>
  <c r="AV143" i="18"/>
  <c r="AW143" i="18" s="1"/>
  <c r="I160" i="27" s="1"/>
  <c r="AX143" i="18"/>
  <c r="AY143" i="18" s="1"/>
  <c r="AZ143" i="18" s="1"/>
  <c r="S139" i="18"/>
  <c r="T139" i="18" s="1"/>
  <c r="F156" i="27" s="1"/>
  <c r="V139" i="18"/>
  <c r="W139" i="18" s="1"/>
  <c r="X139" i="18" s="1"/>
  <c r="AF88" i="18"/>
  <c r="AG88" i="18" s="1"/>
  <c r="AH88" i="18" s="1"/>
  <c r="AC88" i="18"/>
  <c r="AD88" i="18" s="1"/>
  <c r="G103" i="27" s="1"/>
  <c r="S146" i="18"/>
  <c r="T146" i="18" s="1"/>
  <c r="F163" i="27" s="1"/>
  <c r="V146" i="18"/>
  <c r="W146" i="18" s="1"/>
  <c r="X146" i="18" s="1"/>
  <c r="V16" i="18"/>
  <c r="W16" i="18" s="1"/>
  <c r="X16" i="18" s="1"/>
  <c r="S16" i="18"/>
  <c r="T16" i="18" s="1"/>
  <c r="S91" i="18"/>
  <c r="T91" i="18" s="1"/>
  <c r="F106" i="27" s="1"/>
  <c r="V91" i="18"/>
  <c r="W91" i="18" s="1"/>
  <c r="X91" i="18" s="1"/>
  <c r="AC145" i="18"/>
  <c r="AD145" i="18" s="1"/>
  <c r="G162" i="27" s="1"/>
  <c r="AF145" i="18"/>
  <c r="AG145" i="18" s="1"/>
  <c r="AH145" i="18" s="1"/>
  <c r="AX180" i="18"/>
  <c r="AY180" i="18" s="1"/>
  <c r="AZ180" i="18" s="1"/>
  <c r="AV180" i="18"/>
  <c r="AW180" i="18" s="1"/>
  <c r="I197" i="27" s="1"/>
  <c r="AO110" i="18"/>
  <c r="AP110" i="18" s="1"/>
  <c r="AQ110" i="18" s="1"/>
  <c r="AM110" i="18"/>
  <c r="AN110" i="18" s="1"/>
  <c r="H125" i="27" s="1"/>
  <c r="AM136" i="18"/>
  <c r="AN136" i="18" s="1"/>
  <c r="H153" i="27" s="1"/>
  <c r="AO136" i="18"/>
  <c r="AP136" i="18" s="1"/>
  <c r="AQ136" i="18" s="1"/>
  <c r="V153" i="18"/>
  <c r="W153" i="18" s="1"/>
  <c r="X153" i="18" s="1"/>
  <c r="S153" i="18"/>
  <c r="T153" i="18" s="1"/>
  <c r="F170" i="27" s="1"/>
  <c r="AV161" i="18"/>
  <c r="AW161" i="18" s="1"/>
  <c r="I178" i="27" s="1"/>
  <c r="AX161" i="18"/>
  <c r="AY161" i="18" s="1"/>
  <c r="AZ161" i="18" s="1"/>
  <c r="AM156" i="18"/>
  <c r="AN156" i="18" s="1"/>
  <c r="H173" i="27" s="1"/>
  <c r="AO156" i="18"/>
  <c r="AP156" i="18" s="1"/>
  <c r="AQ156" i="18" s="1"/>
  <c r="BQ14" i="18"/>
  <c r="AO160" i="18" s="1"/>
  <c r="AP160" i="18" s="1"/>
  <c r="AQ160" i="18" s="1"/>
  <c r="BE147" i="18"/>
  <c r="BF147" i="18" s="1"/>
  <c r="J164" i="27" s="1"/>
  <c r="BG147" i="18"/>
  <c r="BH147" i="18" s="1"/>
  <c r="BI147" i="18" s="1"/>
  <c r="AM138" i="18"/>
  <c r="AN138" i="18" s="1"/>
  <c r="H155" i="27" s="1"/>
  <c r="AO138" i="18"/>
  <c r="AP138" i="18" s="1"/>
  <c r="AQ138" i="18" s="1"/>
  <c r="AC90" i="18"/>
  <c r="AD90" i="18" s="1"/>
  <c r="G105" i="27" s="1"/>
  <c r="AF90" i="18"/>
  <c r="AG90" i="18" s="1"/>
  <c r="AH90" i="18" s="1"/>
  <c r="AM112" i="18"/>
  <c r="AN112" i="18" s="1"/>
  <c r="H127" i="27" s="1"/>
  <c r="AO112" i="18"/>
  <c r="AP112" i="18" s="1"/>
  <c r="AQ112" i="18" s="1"/>
  <c r="AF105" i="18"/>
  <c r="AG105" i="18" s="1"/>
  <c r="AH105" i="18" s="1"/>
  <c r="AC105" i="18"/>
  <c r="AD105" i="18" s="1"/>
  <c r="G120" i="27" s="1"/>
  <c r="S140" i="18"/>
  <c r="T140" i="18" s="1"/>
  <c r="F157" i="27" s="1"/>
  <c r="V140" i="18"/>
  <c r="W140" i="18" s="1"/>
  <c r="X140" i="18" s="1"/>
  <c r="BG86" i="18"/>
  <c r="BH86" i="18" s="1"/>
  <c r="BI86" i="18" s="1"/>
  <c r="BE86" i="18"/>
  <c r="BF86" i="18" s="1"/>
  <c r="J101" i="27" s="1"/>
  <c r="AC117" i="18"/>
  <c r="AD117" i="18" s="1"/>
  <c r="G132" i="27" s="1"/>
  <c r="AF117" i="18"/>
  <c r="AG117" i="18" s="1"/>
  <c r="AH117" i="18" s="1"/>
  <c r="S85" i="18"/>
  <c r="T85" i="18" s="1"/>
  <c r="F100" i="27" s="1"/>
  <c r="V85" i="18"/>
  <c r="W85" i="18" s="1"/>
  <c r="X85" i="18" s="1"/>
  <c r="AO165" i="18"/>
  <c r="AP165" i="18" s="1"/>
  <c r="AQ165" i="18" s="1"/>
  <c r="AM165" i="18"/>
  <c r="AN165" i="18" s="1"/>
  <c r="H182" i="27" s="1"/>
  <c r="AF81" i="18"/>
  <c r="AG81" i="18" s="1"/>
  <c r="AH81" i="18" s="1"/>
  <c r="AC81" i="18"/>
  <c r="AD81" i="18" s="1"/>
  <c r="G96" i="27" s="1"/>
  <c r="BE83" i="18"/>
  <c r="BF83" i="18" s="1"/>
  <c r="J98" i="27" s="1"/>
  <c r="BG83" i="18"/>
  <c r="BH83" i="18" s="1"/>
  <c r="BI83" i="18" s="1"/>
  <c r="AC143" i="18"/>
  <c r="AD143" i="18" s="1"/>
  <c r="G160" i="27" s="1"/>
  <c r="AF143" i="18"/>
  <c r="AG143" i="18" s="1"/>
  <c r="AH143" i="18" s="1"/>
  <c r="AV88" i="18"/>
  <c r="AW88" i="18" s="1"/>
  <c r="I103" i="27" s="1"/>
  <c r="AX88" i="18"/>
  <c r="AY88" i="18" s="1"/>
  <c r="AZ88" i="18" s="1"/>
  <c r="AC146" i="18"/>
  <c r="AD146" i="18" s="1"/>
  <c r="G163" i="27" s="1"/>
  <c r="AF146" i="18"/>
  <c r="AG146" i="18" s="1"/>
  <c r="AH146" i="18" s="1"/>
  <c r="AF16" i="18"/>
  <c r="AG16" i="18" s="1"/>
  <c r="AH16" i="18" s="1"/>
  <c r="AC16" i="18"/>
  <c r="AD16" i="18" s="1"/>
  <c r="V145" i="18"/>
  <c r="W145" i="18" s="1"/>
  <c r="X145" i="18" s="1"/>
  <c r="S145" i="18"/>
  <c r="T145" i="18" s="1"/>
  <c r="F162" i="27" s="1"/>
  <c r="V110" i="18"/>
  <c r="W110" i="18" s="1"/>
  <c r="X110" i="18" s="1"/>
  <c r="S110" i="18"/>
  <c r="T110" i="18" s="1"/>
  <c r="F125" i="27" s="1"/>
  <c r="BE113" i="18"/>
  <c r="BF113" i="18" s="1"/>
  <c r="J128" i="27" s="1"/>
  <c r="BG113" i="18"/>
  <c r="BH113" i="18" s="1"/>
  <c r="BI113" i="18" s="1"/>
  <c r="S161" i="18"/>
  <c r="T161" i="18" s="1"/>
  <c r="F178" i="27" s="1"/>
  <c r="V161" i="18"/>
  <c r="W161" i="18" s="1"/>
  <c r="X161" i="18" s="1"/>
  <c r="AC147" i="18"/>
  <c r="AD147" i="18" s="1"/>
  <c r="G164" i="27" s="1"/>
  <c r="AF147" i="18"/>
  <c r="AG147" i="18" s="1"/>
  <c r="AH147" i="18" s="1"/>
  <c r="S90" i="18"/>
  <c r="T90" i="18" s="1"/>
  <c r="F105" i="27" s="1"/>
  <c r="V90" i="18"/>
  <c r="W90" i="18" s="1"/>
  <c r="X90" i="18" s="1"/>
  <c r="AF112" i="18"/>
  <c r="AG112" i="18" s="1"/>
  <c r="AH112" i="18" s="1"/>
  <c r="AC112" i="18"/>
  <c r="AD112" i="18" s="1"/>
  <c r="G127" i="27" s="1"/>
  <c r="V105" i="18"/>
  <c r="W105" i="18" s="1"/>
  <c r="X105" i="18" s="1"/>
  <c r="S105" i="18"/>
  <c r="T105" i="18" s="1"/>
  <c r="F120" i="27" s="1"/>
  <c r="AC140" i="18"/>
  <c r="AD140" i="18" s="1"/>
  <c r="G157" i="27" s="1"/>
  <c r="AF140" i="18"/>
  <c r="AG140" i="18" s="1"/>
  <c r="AH140" i="18" s="1"/>
  <c r="AV86" i="18"/>
  <c r="AW86" i="18" s="1"/>
  <c r="I101" i="27" s="1"/>
  <c r="AX86" i="18"/>
  <c r="AY86" i="18" s="1"/>
  <c r="AZ86" i="18" s="1"/>
  <c r="V117" i="18"/>
  <c r="W117" i="18" s="1"/>
  <c r="X117" i="18" s="1"/>
  <c r="S117" i="18"/>
  <c r="T117" i="18" s="1"/>
  <c r="F132" i="27" s="1"/>
  <c r="V165" i="18"/>
  <c r="W165" i="18" s="1"/>
  <c r="X165" i="18" s="1"/>
  <c r="S165" i="18"/>
  <c r="T165" i="18" s="1"/>
  <c r="F182" i="27" s="1"/>
  <c r="BG81" i="18"/>
  <c r="BH81" i="18" s="1"/>
  <c r="BI81" i="18" s="1"/>
  <c r="BE81" i="18"/>
  <c r="BF81" i="18" s="1"/>
  <c r="J96" i="27" s="1"/>
  <c r="AM83" i="18"/>
  <c r="AN83" i="18" s="1"/>
  <c r="H98" i="27" s="1"/>
  <c r="AO83" i="18"/>
  <c r="AP83" i="18" s="1"/>
  <c r="AQ83" i="18" s="1"/>
  <c r="AM143" i="18"/>
  <c r="AN143" i="18" s="1"/>
  <c r="H160" i="27" s="1"/>
  <c r="AO143" i="18"/>
  <c r="AP143" i="18" s="1"/>
  <c r="AQ143" i="18" s="1"/>
  <c r="BE99" i="18"/>
  <c r="BF99" i="18" s="1"/>
  <c r="J114" i="27" s="1"/>
  <c r="BG99" i="18"/>
  <c r="BH99" i="18" s="1"/>
  <c r="BI99" i="18" s="1"/>
  <c r="V88" i="18"/>
  <c r="W88" i="18" s="1"/>
  <c r="X88" i="18" s="1"/>
  <c r="S88" i="18"/>
  <c r="T88" i="18" s="1"/>
  <c r="F103" i="27" s="1"/>
  <c r="BE101" i="18"/>
  <c r="BF101" i="18" s="1"/>
  <c r="J116" i="27" s="1"/>
  <c r="BG101" i="18"/>
  <c r="BH101" i="18" s="1"/>
  <c r="BI101" i="18" s="1"/>
  <c r="AM100" i="18"/>
  <c r="AN100" i="18" s="1"/>
  <c r="H115" i="27" s="1"/>
  <c r="AO100" i="18"/>
  <c r="AP100" i="18" s="1"/>
  <c r="AQ100" i="18" s="1"/>
  <c r="BQ5" i="18"/>
  <c r="AO108" i="18" s="1"/>
  <c r="AP108" i="18" s="1"/>
  <c r="AQ108" i="18" s="1"/>
  <c r="AV149" i="18"/>
  <c r="AW149" i="18" s="1"/>
  <c r="I166" i="27" s="1"/>
  <c r="AX149" i="18"/>
  <c r="AY149" i="18" s="1"/>
  <c r="AZ149" i="18" s="1"/>
  <c r="AC113" i="18"/>
  <c r="AD113" i="18" s="1"/>
  <c r="G128" i="27" s="1"/>
  <c r="AF113" i="18"/>
  <c r="AG113" i="18" s="1"/>
  <c r="AH113" i="18" s="1"/>
  <c r="BE134" i="18"/>
  <c r="BF134" i="18" s="1"/>
  <c r="J151" i="27" s="1"/>
  <c r="BG134" i="18"/>
  <c r="BH134" i="18" s="1"/>
  <c r="BI134" i="18" s="1"/>
  <c r="S147" i="18"/>
  <c r="T147" i="18" s="1"/>
  <c r="F164" i="27" s="1"/>
  <c r="V147" i="18"/>
  <c r="W147" i="18" s="1"/>
  <c r="X147" i="18" s="1"/>
  <c r="AM90" i="18"/>
  <c r="AN90" i="18" s="1"/>
  <c r="H105" i="27" s="1"/>
  <c r="AO90" i="18"/>
  <c r="AP90" i="18" s="1"/>
  <c r="AQ90" i="18" s="1"/>
  <c r="S112" i="18"/>
  <c r="T112" i="18" s="1"/>
  <c r="F127" i="27" s="1"/>
  <c r="V112" i="18"/>
  <c r="W112" i="18" s="1"/>
  <c r="X112" i="18" s="1"/>
  <c r="AO140" i="18"/>
  <c r="AP140" i="18" s="1"/>
  <c r="AQ140" i="18" s="1"/>
  <c r="AM140" i="18"/>
  <c r="AN140" i="18" s="1"/>
  <c r="H157" i="27" s="1"/>
  <c r="S86" i="18"/>
  <c r="T86" i="18" s="1"/>
  <c r="F101" i="27" s="1"/>
  <c r="V86" i="18"/>
  <c r="W86" i="18" s="1"/>
  <c r="X86" i="18" s="1"/>
  <c r="BE98" i="18"/>
  <c r="BF98" i="18" s="1"/>
  <c r="J113" i="27" s="1"/>
  <c r="BG98" i="18"/>
  <c r="BH98" i="18" s="1"/>
  <c r="BI98" i="18" s="1"/>
  <c r="AO117" i="18"/>
  <c r="AP117" i="18" s="1"/>
  <c r="AQ117" i="18" s="1"/>
  <c r="AM117" i="18"/>
  <c r="AN117" i="18" s="1"/>
  <c r="H132" i="27" s="1"/>
  <c r="AF165" i="18"/>
  <c r="AG165" i="18" s="1"/>
  <c r="AH165" i="18" s="1"/>
  <c r="AC165" i="18"/>
  <c r="AD165" i="18" s="1"/>
  <c r="G182" i="27" s="1"/>
  <c r="BE186" i="18"/>
  <c r="BF186" i="18" s="1"/>
  <c r="J203" i="27" s="1"/>
  <c r="BG186" i="18"/>
  <c r="BH186" i="18" s="1"/>
  <c r="BI186" i="18" s="1"/>
  <c r="V81" i="18"/>
  <c r="W81" i="18" s="1"/>
  <c r="X81" i="18" s="1"/>
  <c r="S81" i="18"/>
  <c r="T81" i="18" s="1"/>
  <c r="F96" i="27" s="1"/>
  <c r="AC83" i="18"/>
  <c r="AD83" i="18" s="1"/>
  <c r="G98" i="27" s="1"/>
  <c r="AF83" i="18"/>
  <c r="AG83" i="18" s="1"/>
  <c r="AH83" i="18" s="1"/>
  <c r="S143" i="18"/>
  <c r="T143" i="18" s="1"/>
  <c r="F160" i="27" s="1"/>
  <c r="V143" i="18"/>
  <c r="W143" i="18" s="1"/>
  <c r="X143" i="18" s="1"/>
  <c r="AX99" i="18"/>
  <c r="AY99" i="18" s="1"/>
  <c r="AZ99" i="18" s="1"/>
  <c r="AV99" i="18"/>
  <c r="AW99" i="18" s="1"/>
  <c r="I114" i="27" s="1"/>
  <c r="AV122" i="18"/>
  <c r="AW122" i="18" s="1"/>
  <c r="I137" i="27" s="1"/>
  <c r="AX122" i="18"/>
  <c r="AY122" i="18" s="1"/>
  <c r="AZ122" i="18" s="1"/>
  <c r="BG88" i="18"/>
  <c r="BH88" i="18" s="1"/>
  <c r="BI88" i="18" s="1"/>
  <c r="BE88" i="18"/>
  <c r="BF88" i="18" s="1"/>
  <c r="J103" i="27" s="1"/>
  <c r="AV101" i="18"/>
  <c r="AW101" i="18" s="1"/>
  <c r="I116" i="27" s="1"/>
  <c r="AX101" i="18"/>
  <c r="AY101" i="18" s="1"/>
  <c r="AZ101" i="18" s="1"/>
  <c r="AL39" i="12"/>
  <c r="BG10" i="18"/>
  <c r="BH10" i="18" s="1"/>
  <c r="BI10" i="18" s="1"/>
  <c r="BE10" i="18"/>
  <c r="BF10" i="18" s="1"/>
  <c r="AM24" i="18"/>
  <c r="AN24" i="18" s="1"/>
  <c r="H31" i="27" s="1"/>
  <c r="AO24" i="18"/>
  <c r="AP24" i="18" s="1"/>
  <c r="AQ24" i="18" s="1"/>
  <c r="X8" i="12"/>
  <c r="AB8" i="12" s="1"/>
  <c r="AC8" i="12" s="1"/>
  <c r="AD8" i="12" s="1"/>
  <c r="Y8" i="12"/>
  <c r="Z8" i="12" s="1"/>
  <c r="AV46" i="18"/>
  <c r="AW46" i="18" s="1"/>
  <c r="I58" i="27" s="1"/>
  <c r="AX46" i="18"/>
  <c r="AY46" i="18" s="1"/>
  <c r="AZ46" i="18" s="1"/>
  <c r="AV18" i="18"/>
  <c r="AW18" i="18" s="1"/>
  <c r="I23" i="27" s="1"/>
  <c r="AX18" i="18"/>
  <c r="AY18" i="18" s="1"/>
  <c r="AZ18" i="18" s="1"/>
  <c r="AM21" i="12"/>
  <c r="AB160" i="12" s="1"/>
  <c r="AC160" i="12" s="1"/>
  <c r="AD160" i="12" s="1"/>
  <c r="AL21" i="12"/>
  <c r="AB152" i="12"/>
  <c r="AC152" i="12" s="1"/>
  <c r="AD152" i="12" s="1"/>
  <c r="BG36" i="18"/>
  <c r="BH36" i="18" s="1"/>
  <c r="BI36" i="18" s="1"/>
  <c r="BE36" i="18"/>
  <c r="BF36" i="18" s="1"/>
  <c r="AV38" i="18"/>
  <c r="AW38" i="18" s="1"/>
  <c r="I50" i="27" s="1"/>
  <c r="AX38" i="18"/>
  <c r="AY38" i="18" s="1"/>
  <c r="AZ38" i="18" s="1"/>
  <c r="S34" i="18"/>
  <c r="T34" i="18" s="1"/>
  <c r="V34" i="18"/>
  <c r="W34" i="18" s="1"/>
  <c r="X34" i="18" s="1"/>
  <c r="S18" i="18"/>
  <c r="T18" i="18" s="1"/>
  <c r="F23" i="27" s="1"/>
  <c r="V18" i="18"/>
  <c r="W18" i="18" s="1"/>
  <c r="X18" i="18" s="1"/>
  <c r="AV6" i="18"/>
  <c r="AW6" i="18" s="1"/>
  <c r="I7" i="27" s="1"/>
  <c r="AX6" i="18"/>
  <c r="AY6" i="18" s="1"/>
  <c r="AZ6" i="18" s="1"/>
  <c r="AV14" i="18"/>
  <c r="AW14" i="18" s="1"/>
  <c r="I18" i="27" s="1"/>
  <c r="AX14" i="18"/>
  <c r="AY14" i="18" s="1"/>
  <c r="AZ14" i="18" s="1"/>
  <c r="AM22" i="18"/>
  <c r="AN22" i="18" s="1"/>
  <c r="AO22" i="18"/>
  <c r="AP22" i="18" s="1"/>
  <c r="AQ22" i="18" s="1"/>
  <c r="AM17" i="12"/>
  <c r="AB145" i="12" s="1"/>
  <c r="AC145" i="12" s="1"/>
  <c r="AD145" i="12" s="1"/>
  <c r="AL17" i="12"/>
  <c r="AB137" i="12"/>
  <c r="AC137" i="12" s="1"/>
  <c r="AD137" i="12" s="1"/>
  <c r="AC34" i="18"/>
  <c r="AD34" i="18" s="1"/>
  <c r="AF34" i="18"/>
  <c r="AG34" i="18" s="1"/>
  <c r="AH34" i="18" s="1"/>
  <c r="AV44" i="18"/>
  <c r="AW44" i="18" s="1"/>
  <c r="I56" i="27" s="1"/>
  <c r="AX44" i="18"/>
  <c r="AY44" i="18" s="1"/>
  <c r="AZ44" i="18" s="1"/>
  <c r="AL26" i="12"/>
  <c r="BE42" i="18"/>
  <c r="BF42" i="18" s="1"/>
  <c r="J54" i="27" s="1"/>
  <c r="BG42" i="18"/>
  <c r="BH42" i="18" s="1"/>
  <c r="BI42" i="18" s="1"/>
  <c r="AM26" i="18"/>
  <c r="AN26" i="18" s="1"/>
  <c r="H34" i="27" s="1"/>
  <c r="AO26" i="18"/>
  <c r="AP26" i="18" s="1"/>
  <c r="AQ26" i="18" s="1"/>
  <c r="AC36" i="18"/>
  <c r="AD36" i="18" s="1"/>
  <c r="AF36" i="18"/>
  <c r="AG36" i="18" s="1"/>
  <c r="AH36" i="18" s="1"/>
  <c r="BE8" i="18"/>
  <c r="BF8" i="18" s="1"/>
  <c r="J10" i="27" s="1"/>
  <c r="BG8" i="18"/>
  <c r="BH8" i="18" s="1"/>
  <c r="BI8" i="18" s="1"/>
  <c r="AV183" i="18"/>
  <c r="AW183" i="18" s="1"/>
  <c r="I200" i="27" s="1"/>
  <c r="AX183" i="18"/>
  <c r="AY183" i="18" s="1"/>
  <c r="AZ183" i="18" s="1"/>
  <c r="X10" i="12"/>
  <c r="AB10" i="12" s="1"/>
  <c r="AC10" i="12" s="1"/>
  <c r="AD10" i="12" s="1"/>
  <c r="Y10" i="12"/>
  <c r="Z10" i="12" s="1"/>
  <c r="AM40" i="18"/>
  <c r="AN40" i="18" s="1"/>
  <c r="H52" i="27" s="1"/>
  <c r="AO40" i="18"/>
  <c r="AP40" i="18" s="1"/>
  <c r="AQ40" i="18" s="1"/>
  <c r="BE6" i="18"/>
  <c r="BF6" i="18" s="1"/>
  <c r="J7" i="27" s="1"/>
  <c r="BG6" i="18"/>
  <c r="BH6" i="18" s="1"/>
  <c r="BI6" i="18" s="1"/>
  <c r="BE40" i="18"/>
  <c r="BF40" i="18" s="1"/>
  <c r="J52" i="27" s="1"/>
  <c r="BG40" i="18"/>
  <c r="BH40" i="18" s="1"/>
  <c r="BI40" i="18" s="1"/>
  <c r="AM38" i="18"/>
  <c r="AN38" i="18" s="1"/>
  <c r="H50" i="27" s="1"/>
  <c r="AO38" i="18"/>
  <c r="AP38" i="18" s="1"/>
  <c r="AQ38" i="18" s="1"/>
  <c r="AV10" i="18"/>
  <c r="AW10" i="18" s="1"/>
  <c r="AX10" i="18"/>
  <c r="AY10" i="18" s="1"/>
  <c r="AZ10" i="18" s="1"/>
  <c r="AM183" i="18"/>
  <c r="AN183" i="18" s="1"/>
  <c r="H200" i="27" s="1"/>
  <c r="AO183" i="18"/>
  <c r="AP183" i="18" s="1"/>
  <c r="AQ183" i="18" s="1"/>
  <c r="S183" i="18"/>
  <c r="T183" i="18" s="1"/>
  <c r="F200" i="27" s="1"/>
  <c r="V183" i="18"/>
  <c r="W183" i="18" s="1"/>
  <c r="X183" i="18" s="1"/>
  <c r="AV20" i="18"/>
  <c r="AW20" i="18" s="1"/>
  <c r="I26" i="27" s="1"/>
  <c r="AX20" i="18"/>
  <c r="AY20" i="18" s="1"/>
  <c r="AZ20" i="18" s="1"/>
  <c r="S6" i="18"/>
  <c r="T6" i="18" s="1"/>
  <c r="F7" i="27" s="1"/>
  <c r="V6" i="18"/>
  <c r="W6" i="18" s="1"/>
  <c r="X6" i="18" s="1"/>
  <c r="S14" i="18"/>
  <c r="T14" i="18" s="1"/>
  <c r="F18" i="27" s="1"/>
  <c r="V14" i="18"/>
  <c r="W14" i="18" s="1"/>
  <c r="X14" i="18" s="1"/>
  <c r="Y128" i="12"/>
  <c r="Z128" i="12" s="1"/>
  <c r="X128" i="12"/>
  <c r="AB128" i="12" s="1"/>
  <c r="AC128" i="12" s="1"/>
  <c r="AD128" i="12" s="1"/>
  <c r="Y183" i="12"/>
  <c r="Z183" i="12" s="1"/>
  <c r="X183" i="12"/>
  <c r="AB183" i="12" s="1"/>
  <c r="AC183" i="12" s="1"/>
  <c r="AD183" i="12" s="1"/>
  <c r="AM34" i="18"/>
  <c r="AN34" i="18" s="1"/>
  <c r="AO34" i="18"/>
  <c r="AP34" i="18" s="1"/>
  <c r="AQ34" i="18" s="1"/>
  <c r="BE44" i="18"/>
  <c r="BF44" i="18" s="1"/>
  <c r="J56" i="27" s="1"/>
  <c r="BG44" i="18"/>
  <c r="BH44" i="18" s="1"/>
  <c r="BI44" i="18" s="1"/>
  <c r="AV42" i="18"/>
  <c r="AW42" i="18" s="1"/>
  <c r="I54" i="27" s="1"/>
  <c r="AX42" i="18"/>
  <c r="AY42" i="18" s="1"/>
  <c r="AZ42" i="18" s="1"/>
  <c r="S26" i="18"/>
  <c r="T26" i="18" s="1"/>
  <c r="F34" i="27" s="1"/>
  <c r="V26" i="18"/>
  <c r="W26" i="18" s="1"/>
  <c r="X26" i="18" s="1"/>
  <c r="AM36" i="18"/>
  <c r="AN36" i="18" s="1"/>
  <c r="AO36" i="18"/>
  <c r="AP36" i="18" s="1"/>
  <c r="AQ36" i="18" s="1"/>
  <c r="AM4" i="12"/>
  <c r="AB47" i="12" s="1"/>
  <c r="AC47" i="12" s="1"/>
  <c r="AD47" i="12" s="1"/>
  <c r="AB39" i="12"/>
  <c r="AC39" i="12" s="1"/>
  <c r="AD39" i="12" s="1"/>
  <c r="AL4" i="12"/>
  <c r="AM14" i="12"/>
  <c r="AB132" i="12" s="1"/>
  <c r="AC132" i="12" s="1"/>
  <c r="AD132" i="12" s="1"/>
  <c r="AM13" i="12"/>
  <c r="AB129" i="12" s="1"/>
  <c r="AC129" i="12" s="1"/>
  <c r="AD129" i="12" s="1"/>
  <c r="AM11" i="12"/>
  <c r="AM10" i="12"/>
  <c r="AB123" i="12" s="1"/>
  <c r="AC123" i="12" s="1"/>
  <c r="AD123" i="12" s="1"/>
  <c r="AM12" i="12"/>
  <c r="AB125" i="12" s="1"/>
  <c r="AC125" i="12" s="1"/>
  <c r="AD125" i="12" s="1"/>
  <c r="AB119" i="12"/>
  <c r="AC119" i="12" s="1"/>
  <c r="AD119" i="12" s="1"/>
  <c r="AL11" i="12"/>
  <c r="AL10" i="12"/>
  <c r="AL14" i="12"/>
  <c r="AL13" i="12"/>
  <c r="AL12" i="12"/>
  <c r="AC8" i="18"/>
  <c r="AD8" i="18" s="1"/>
  <c r="G10" i="27" s="1"/>
  <c r="AF8" i="18"/>
  <c r="AG8" i="18" s="1"/>
  <c r="AH8" i="18" s="1"/>
  <c r="AM46" i="18"/>
  <c r="AN46" i="18" s="1"/>
  <c r="H58" i="27" s="1"/>
  <c r="AO46" i="18"/>
  <c r="AP46" i="18" s="1"/>
  <c r="AQ46" i="18" s="1"/>
  <c r="BE26" i="18"/>
  <c r="BF26" i="18" s="1"/>
  <c r="J34" i="27" s="1"/>
  <c r="BG26" i="18"/>
  <c r="BH26" i="18" s="1"/>
  <c r="BI26" i="18" s="1"/>
  <c r="BE30" i="18"/>
  <c r="BF30" i="18" s="1"/>
  <c r="J39" i="27" s="1"/>
  <c r="BG30" i="18"/>
  <c r="BH30" i="18" s="1"/>
  <c r="BI30" i="18" s="1"/>
  <c r="AC24" i="18"/>
  <c r="AD24" i="18" s="1"/>
  <c r="G31" i="27" s="1"/>
  <c r="AF24" i="18"/>
  <c r="AG24" i="18" s="1"/>
  <c r="AH24" i="18" s="1"/>
  <c r="S40" i="18"/>
  <c r="T40" i="18" s="1"/>
  <c r="F52" i="27" s="1"/>
  <c r="V40" i="18"/>
  <c r="W40" i="18" s="1"/>
  <c r="X40" i="18" s="1"/>
  <c r="S24" i="18"/>
  <c r="T24" i="18" s="1"/>
  <c r="F31" i="27" s="1"/>
  <c r="V24" i="18"/>
  <c r="W24" i="18" s="1"/>
  <c r="X24" i="18" s="1"/>
  <c r="S30" i="18"/>
  <c r="T30" i="18" s="1"/>
  <c r="F39" i="27" s="1"/>
  <c r="V30" i="18"/>
  <c r="W30" i="18" s="1"/>
  <c r="X30" i="18" s="1"/>
  <c r="AC183" i="18"/>
  <c r="AD183" i="18" s="1"/>
  <c r="G200" i="27" s="1"/>
  <c r="AF183" i="18"/>
  <c r="AG183" i="18" s="1"/>
  <c r="AH183" i="18" s="1"/>
  <c r="AM128" i="18"/>
  <c r="AN128" i="18" s="1"/>
  <c r="H145" i="27" s="1"/>
  <c r="AO128" i="18"/>
  <c r="AP128" i="18" s="1"/>
  <c r="AQ128" i="18" s="1"/>
  <c r="X20" i="12"/>
  <c r="AB20" i="12" s="1"/>
  <c r="AC20" i="12" s="1"/>
  <c r="AD20" i="12" s="1"/>
  <c r="Y20" i="12"/>
  <c r="Z20" i="12" s="1"/>
  <c r="AV12" i="18"/>
  <c r="AW12" i="18" s="1"/>
  <c r="I15" i="27" s="1"/>
  <c r="AX12" i="18"/>
  <c r="AY12" i="18" s="1"/>
  <c r="AZ12" i="18" s="1"/>
  <c r="AM6" i="12"/>
  <c r="AB62" i="12" s="1"/>
  <c r="AC62" i="12" s="1"/>
  <c r="AD62" i="12" s="1"/>
  <c r="AM5" i="12"/>
  <c r="AB59" i="12" s="1"/>
  <c r="AC59" i="12" s="1"/>
  <c r="AD59" i="12" s="1"/>
  <c r="AL6" i="12"/>
  <c r="AB56" i="12"/>
  <c r="AC56" i="12" s="1"/>
  <c r="AD56" i="12" s="1"/>
  <c r="AL5" i="12"/>
  <c r="BE20" i="18"/>
  <c r="BF20" i="18" s="1"/>
  <c r="J26" i="27" s="1"/>
  <c r="BG20" i="18"/>
  <c r="BH20" i="18" s="1"/>
  <c r="BI20" i="18" s="1"/>
  <c r="AM6" i="18"/>
  <c r="AN6" i="18" s="1"/>
  <c r="H7" i="27" s="1"/>
  <c r="AO6" i="18"/>
  <c r="AP6" i="18" s="1"/>
  <c r="AQ6" i="18" s="1"/>
  <c r="BE14" i="18"/>
  <c r="BF14" i="18" s="1"/>
  <c r="J18" i="27" s="1"/>
  <c r="BG14" i="18"/>
  <c r="BH14" i="18" s="1"/>
  <c r="BI14" i="18" s="1"/>
  <c r="Y46" i="12"/>
  <c r="Z46" i="12" s="1"/>
  <c r="X46" i="12"/>
  <c r="AB46" i="12" s="1"/>
  <c r="AC46" i="12" s="1"/>
  <c r="AD46" i="12" s="1"/>
  <c r="BG34" i="18"/>
  <c r="BH34" i="18" s="1"/>
  <c r="BI34" i="18" s="1"/>
  <c r="BE34" i="18"/>
  <c r="BF34" i="18" s="1"/>
  <c r="S44" i="18"/>
  <c r="T44" i="18" s="1"/>
  <c r="F56" i="27" s="1"/>
  <c r="V44" i="18"/>
  <c r="W44" i="18" s="1"/>
  <c r="X44" i="18" s="1"/>
  <c r="S42" i="18"/>
  <c r="T42" i="18" s="1"/>
  <c r="F54" i="27" s="1"/>
  <c r="V42" i="18"/>
  <c r="W42" i="18" s="1"/>
  <c r="X42" i="18" s="1"/>
  <c r="V36" i="18"/>
  <c r="W36" i="18" s="1"/>
  <c r="X36" i="18" s="1"/>
  <c r="S36" i="18"/>
  <c r="T36" i="18" s="1"/>
  <c r="AM24" i="12"/>
  <c r="AB182" i="12" s="1"/>
  <c r="AC182" i="12" s="1"/>
  <c r="AD182" i="12" s="1"/>
  <c r="AB175" i="12"/>
  <c r="AC175" i="12" s="1"/>
  <c r="AD175" i="12" s="1"/>
  <c r="AL24" i="12"/>
  <c r="AX28" i="18"/>
  <c r="AY28" i="18" s="1"/>
  <c r="AZ28" i="18" s="1"/>
  <c r="AV28" i="18"/>
  <c r="AW28" i="18" s="1"/>
  <c r="AM8" i="18"/>
  <c r="AN8" i="18" s="1"/>
  <c r="H10" i="27" s="1"/>
  <c r="AO8" i="18"/>
  <c r="AP8" i="18" s="1"/>
  <c r="AQ8" i="18" s="1"/>
  <c r="AC12" i="18"/>
  <c r="AD12" i="18" s="1"/>
  <c r="G15" i="27" s="1"/>
  <c r="AF12" i="18"/>
  <c r="AG12" i="18" s="1"/>
  <c r="AH12" i="18" s="1"/>
  <c r="AC10" i="18"/>
  <c r="AD10" i="18" s="1"/>
  <c r="AF10" i="18"/>
  <c r="AG10" i="18" s="1"/>
  <c r="AH10" i="18" s="1"/>
  <c r="AM16" i="12"/>
  <c r="AB144" i="12" s="1"/>
  <c r="AC144" i="12" s="1"/>
  <c r="AD144" i="12" s="1"/>
  <c r="AM15" i="12"/>
  <c r="AB142" i="12" s="1"/>
  <c r="AC142" i="12" s="1"/>
  <c r="AD142" i="12" s="1"/>
  <c r="AB136" i="12"/>
  <c r="AC136" i="12" s="1"/>
  <c r="AD136" i="12" s="1"/>
  <c r="AL16" i="12"/>
  <c r="AL15" i="12"/>
  <c r="AM18" i="18"/>
  <c r="AN18" i="18" s="1"/>
  <c r="H23" i="27" s="1"/>
  <c r="AO18" i="18"/>
  <c r="AP18" i="18" s="1"/>
  <c r="AQ18" i="18" s="1"/>
  <c r="Y30" i="12"/>
  <c r="Z30" i="12" s="1"/>
  <c r="X30" i="12"/>
  <c r="AB30" i="12" s="1"/>
  <c r="AC30" i="12" s="1"/>
  <c r="AD30" i="12" s="1"/>
  <c r="Y18" i="12"/>
  <c r="Z18" i="12" s="1"/>
  <c r="X18" i="12"/>
  <c r="AB18" i="12" s="1"/>
  <c r="AC18" i="12" s="1"/>
  <c r="AD18" i="12" s="1"/>
  <c r="AL43" i="12"/>
  <c r="AB174" i="12"/>
  <c r="AC174" i="12" s="1"/>
  <c r="AD174" i="12" s="1"/>
  <c r="S128" i="18"/>
  <c r="T128" i="18" s="1"/>
  <c r="F145" i="27" s="1"/>
  <c r="V128" i="18"/>
  <c r="W128" i="18" s="1"/>
  <c r="X128" i="18" s="1"/>
  <c r="BN21" i="18"/>
  <c r="BE12" i="18"/>
  <c r="BF12" i="18" s="1"/>
  <c r="J15" i="27" s="1"/>
  <c r="BG12" i="18"/>
  <c r="BH12" i="18" s="1"/>
  <c r="BI12" i="18" s="1"/>
  <c r="S20" i="18"/>
  <c r="T20" i="18" s="1"/>
  <c r="F26" i="27" s="1"/>
  <c r="V20" i="18"/>
  <c r="W20" i="18" s="1"/>
  <c r="X20" i="18" s="1"/>
  <c r="AC6" i="18"/>
  <c r="AD6" i="18" s="1"/>
  <c r="G7" i="27" s="1"/>
  <c r="AF6" i="18"/>
  <c r="AG6" i="18" s="1"/>
  <c r="AH6" i="18" s="1"/>
  <c r="AC14" i="18"/>
  <c r="AD14" i="18" s="1"/>
  <c r="G18" i="27" s="1"/>
  <c r="AF14" i="18"/>
  <c r="AG14" i="18" s="1"/>
  <c r="AH14" i="18" s="1"/>
  <c r="Y36" i="12"/>
  <c r="Z36" i="12" s="1"/>
  <c r="X36" i="12"/>
  <c r="AB36" i="12" s="1"/>
  <c r="AC36" i="12" s="1"/>
  <c r="AD36" i="12" s="1"/>
  <c r="AV34" i="18"/>
  <c r="AW34" i="18" s="1"/>
  <c r="AX34" i="18"/>
  <c r="AY34" i="18" s="1"/>
  <c r="AZ34" i="18" s="1"/>
  <c r="AC44" i="18"/>
  <c r="AD44" i="18" s="1"/>
  <c r="G56" i="27" s="1"/>
  <c r="AF44" i="18"/>
  <c r="AG44" i="18" s="1"/>
  <c r="AH44" i="18" s="1"/>
  <c r="X6" i="12"/>
  <c r="AB6" i="12" s="1"/>
  <c r="AC6" i="12" s="1"/>
  <c r="AD6" i="12" s="1"/>
  <c r="Y6" i="12"/>
  <c r="Z6" i="12" s="1"/>
  <c r="AC42" i="18"/>
  <c r="AD42" i="18" s="1"/>
  <c r="G54" i="27" s="1"/>
  <c r="AF42" i="18"/>
  <c r="AG42" i="18" s="1"/>
  <c r="AH42" i="18" s="1"/>
  <c r="AL29" i="12"/>
  <c r="AL31" i="12"/>
  <c r="AL30" i="12"/>
  <c r="AB122" i="12"/>
  <c r="AC122" i="12" s="1"/>
  <c r="AD122" i="12" s="1"/>
  <c r="S28" i="18"/>
  <c r="T28" i="18" s="1"/>
  <c r="V28" i="18"/>
  <c r="W28" i="18" s="1"/>
  <c r="X28" i="18" s="1"/>
  <c r="BE46" i="18"/>
  <c r="BF46" i="18" s="1"/>
  <c r="J58" i="27" s="1"/>
  <c r="BG46" i="18"/>
  <c r="BH46" i="18" s="1"/>
  <c r="BI46" i="18" s="1"/>
  <c r="AV8" i="18"/>
  <c r="AW8" i="18" s="1"/>
  <c r="I10" i="27" s="1"/>
  <c r="AX8" i="18"/>
  <c r="AY8" i="18" s="1"/>
  <c r="AZ8" i="18" s="1"/>
  <c r="AC38" i="18"/>
  <c r="AD38" i="18" s="1"/>
  <c r="G50" i="27" s="1"/>
  <c r="AF38" i="18"/>
  <c r="AG38" i="18" s="1"/>
  <c r="AH38" i="18" s="1"/>
  <c r="AV24" i="18"/>
  <c r="AW24" i="18" s="1"/>
  <c r="I31" i="27" s="1"/>
  <c r="AX24" i="18"/>
  <c r="AY24" i="18" s="1"/>
  <c r="AZ24" i="18" s="1"/>
  <c r="S22" i="18"/>
  <c r="T22" i="18" s="1"/>
  <c r="V22" i="18"/>
  <c r="W22" i="18" s="1"/>
  <c r="X22" i="18" s="1"/>
  <c r="AC28" i="18"/>
  <c r="AD28" i="18" s="1"/>
  <c r="AF28" i="18"/>
  <c r="AG28" i="18" s="1"/>
  <c r="AH28" i="18" s="1"/>
  <c r="S191" i="18"/>
  <c r="T191" i="18" s="1"/>
  <c r="F208" i="27" s="1"/>
  <c r="V191" i="18"/>
  <c r="W191" i="18" s="1"/>
  <c r="X191" i="18" s="1"/>
  <c r="AV30" i="18"/>
  <c r="AW30" i="18" s="1"/>
  <c r="I39" i="27" s="1"/>
  <c r="AX30" i="18"/>
  <c r="AY30" i="18" s="1"/>
  <c r="AZ30" i="18" s="1"/>
  <c r="S38" i="18"/>
  <c r="T38" i="18" s="1"/>
  <c r="F50" i="27" s="1"/>
  <c r="V38" i="18"/>
  <c r="W38" i="18" s="1"/>
  <c r="X38" i="18" s="1"/>
  <c r="AV128" i="18"/>
  <c r="AW128" i="18" s="1"/>
  <c r="I145" i="27" s="1"/>
  <c r="AX128" i="18"/>
  <c r="AY128" i="18" s="1"/>
  <c r="AZ128" i="18" s="1"/>
  <c r="AC18" i="18"/>
  <c r="AD18" i="18" s="1"/>
  <c r="G23" i="27" s="1"/>
  <c r="AF18" i="18"/>
  <c r="AG18" i="18" s="1"/>
  <c r="AH18" i="18" s="1"/>
  <c r="AC40" i="18"/>
  <c r="AD40" i="18" s="1"/>
  <c r="G52" i="27" s="1"/>
  <c r="AF40" i="18"/>
  <c r="AG40" i="18" s="1"/>
  <c r="AH40" i="18" s="1"/>
  <c r="BE128" i="18"/>
  <c r="BF128" i="18" s="1"/>
  <c r="J145" i="27" s="1"/>
  <c r="BG128" i="18"/>
  <c r="BH128" i="18" s="1"/>
  <c r="BI128" i="18" s="1"/>
  <c r="S12" i="18"/>
  <c r="T12" i="18" s="1"/>
  <c r="F15" i="27" s="1"/>
  <c r="V12" i="18"/>
  <c r="W12" i="18" s="1"/>
  <c r="X12" i="18" s="1"/>
  <c r="AM20" i="18"/>
  <c r="AN20" i="18" s="1"/>
  <c r="H26" i="27" s="1"/>
  <c r="AO20" i="18"/>
  <c r="AP20" i="18" s="1"/>
  <c r="AQ20" i="18" s="1"/>
  <c r="AM14" i="18"/>
  <c r="AN14" i="18" s="1"/>
  <c r="H18" i="27" s="1"/>
  <c r="AO14" i="18"/>
  <c r="AP14" i="18" s="1"/>
  <c r="AQ14" i="18" s="1"/>
  <c r="AX22" i="18"/>
  <c r="AY22" i="18" s="1"/>
  <c r="AZ22" i="18" s="1"/>
  <c r="AV22" i="18"/>
  <c r="AW22" i="18" s="1"/>
  <c r="AM44" i="18"/>
  <c r="AN44" i="18" s="1"/>
  <c r="H56" i="27" s="1"/>
  <c r="AO44" i="18"/>
  <c r="AP44" i="18" s="1"/>
  <c r="AQ44" i="18" s="1"/>
  <c r="AM42" i="18"/>
  <c r="AN42" i="18" s="1"/>
  <c r="H54" i="27" s="1"/>
  <c r="AO42" i="18"/>
  <c r="AP42" i="18" s="1"/>
  <c r="AQ42" i="18" s="1"/>
  <c r="AL28" i="12"/>
  <c r="AL27" i="12"/>
  <c r="AB78" i="12"/>
  <c r="AC78" i="12" s="1"/>
  <c r="AD78" i="12" s="1"/>
  <c r="BG28" i="18"/>
  <c r="BH28" i="18" s="1"/>
  <c r="BI28" i="18" s="1"/>
  <c r="BE28" i="18"/>
  <c r="BF28" i="18" s="1"/>
  <c r="S46" i="18"/>
  <c r="T46" i="18" s="1"/>
  <c r="F58" i="27" s="1"/>
  <c r="V46" i="18"/>
  <c r="W46" i="18" s="1"/>
  <c r="X46" i="18" s="1"/>
  <c r="S8" i="18"/>
  <c r="T8" i="18" s="1"/>
  <c r="F10" i="27" s="1"/>
  <c r="V8" i="18"/>
  <c r="W8" i="18" s="1"/>
  <c r="X8" i="18" s="1"/>
  <c r="AV191" i="18"/>
  <c r="AW191" i="18" s="1"/>
  <c r="I208" i="27" s="1"/>
  <c r="AX191" i="18"/>
  <c r="AY191" i="18" s="1"/>
  <c r="AZ191" i="18" s="1"/>
  <c r="Y34" i="12"/>
  <c r="Z34" i="12" s="1"/>
  <c r="X34" i="12"/>
  <c r="AB34" i="12" s="1"/>
  <c r="AC34" i="12" s="1"/>
  <c r="AD34" i="12" s="1"/>
  <c r="AC26" i="18"/>
  <c r="AD26" i="18" s="1"/>
  <c r="G34" i="27" s="1"/>
  <c r="AF26" i="18"/>
  <c r="AG26" i="18" s="1"/>
  <c r="AH26" i="18" s="1"/>
  <c r="BE18" i="18"/>
  <c r="BF18" i="18" s="1"/>
  <c r="J23" i="27" s="1"/>
  <c r="BG18" i="18"/>
  <c r="BH18" i="18" s="1"/>
  <c r="BI18" i="18" s="1"/>
  <c r="BE183" i="18"/>
  <c r="BF183" i="18" s="1"/>
  <c r="J200" i="27" s="1"/>
  <c r="BG183" i="18"/>
  <c r="BH183" i="18" s="1"/>
  <c r="BI183" i="18" s="1"/>
  <c r="BG22" i="18"/>
  <c r="BH22" i="18" s="1"/>
  <c r="BI22" i="18" s="1"/>
  <c r="BE22" i="18"/>
  <c r="BF22" i="18" s="1"/>
  <c r="AV36" i="18"/>
  <c r="AW36" i="18" s="1"/>
  <c r="AX36" i="18"/>
  <c r="AY36" i="18" s="1"/>
  <c r="AZ36" i="18" s="1"/>
  <c r="BE191" i="18"/>
  <c r="BF191" i="18" s="1"/>
  <c r="J208" i="27" s="1"/>
  <c r="BG191" i="18"/>
  <c r="BH191" i="18" s="1"/>
  <c r="BI191" i="18" s="1"/>
  <c r="AC191" i="18"/>
  <c r="AD191" i="18" s="1"/>
  <c r="G208" i="27" s="1"/>
  <c r="AF191" i="18"/>
  <c r="AG191" i="18" s="1"/>
  <c r="AH191" i="18" s="1"/>
  <c r="X44" i="12"/>
  <c r="AB44" i="12" s="1"/>
  <c r="AC44" i="12" s="1"/>
  <c r="AD44" i="12" s="1"/>
  <c r="Y44" i="12"/>
  <c r="Z44" i="12" s="1"/>
  <c r="AV40" i="18"/>
  <c r="AW40" i="18" s="1"/>
  <c r="I52" i="27" s="1"/>
  <c r="AX40" i="18"/>
  <c r="AY40" i="18" s="1"/>
  <c r="AZ40" i="18" s="1"/>
  <c r="AM23" i="12"/>
  <c r="AB171" i="12" s="1"/>
  <c r="AC171" i="12" s="1"/>
  <c r="AD171" i="12" s="1"/>
  <c r="AM18" i="12"/>
  <c r="AB151" i="12" s="1"/>
  <c r="AC151" i="12" s="1"/>
  <c r="AD151" i="12" s="1"/>
  <c r="AM22" i="12"/>
  <c r="AB167" i="12" s="1"/>
  <c r="AC167" i="12" s="1"/>
  <c r="AD167" i="12" s="1"/>
  <c r="AM20" i="12"/>
  <c r="AB159" i="12" s="1"/>
  <c r="AC159" i="12" s="1"/>
  <c r="AD159" i="12" s="1"/>
  <c r="AM19" i="12"/>
  <c r="AB155" i="12" s="1"/>
  <c r="AC155" i="12" s="1"/>
  <c r="AD155" i="12" s="1"/>
  <c r="AL18" i="12"/>
  <c r="AB163" i="12"/>
  <c r="AC163" i="12" s="1"/>
  <c r="AD163" i="12" s="1"/>
  <c r="AL23" i="12"/>
  <c r="AL22" i="12"/>
  <c r="AL20" i="12"/>
  <c r="AL19" i="12"/>
  <c r="AM30" i="18"/>
  <c r="AN30" i="18" s="1"/>
  <c r="H39" i="27" s="1"/>
  <c r="AO30" i="18"/>
  <c r="AP30" i="18" s="1"/>
  <c r="AQ30" i="18" s="1"/>
  <c r="AC30" i="18"/>
  <c r="AD30" i="18" s="1"/>
  <c r="G39" i="27" s="1"/>
  <c r="AF30" i="18"/>
  <c r="AG30" i="18" s="1"/>
  <c r="AH30" i="18" s="1"/>
  <c r="AO10" i="18"/>
  <c r="AP10" i="18" s="1"/>
  <c r="AQ10" i="18" s="1"/>
  <c r="AM10" i="18"/>
  <c r="AN10" i="18" s="1"/>
  <c r="AM191" i="18"/>
  <c r="AN191" i="18" s="1"/>
  <c r="H208" i="27" s="1"/>
  <c r="AO191" i="18"/>
  <c r="AP191" i="18" s="1"/>
  <c r="AQ191" i="18" s="1"/>
  <c r="AL38" i="12"/>
  <c r="AL37" i="12"/>
  <c r="AB158" i="12"/>
  <c r="AC158" i="12" s="1"/>
  <c r="AD158" i="12" s="1"/>
  <c r="BE38" i="18"/>
  <c r="BF38" i="18" s="1"/>
  <c r="J50" i="27" s="1"/>
  <c r="BG38" i="18"/>
  <c r="BH38" i="18" s="1"/>
  <c r="BI38" i="18" s="1"/>
  <c r="AM7" i="12"/>
  <c r="AB97" i="12" s="1"/>
  <c r="AC97" i="12" s="1"/>
  <c r="AD97" i="12" s="1"/>
  <c r="AM9" i="12"/>
  <c r="AB116" i="12" s="1"/>
  <c r="AC116" i="12" s="1"/>
  <c r="AD116" i="12" s="1"/>
  <c r="AM8" i="12"/>
  <c r="AB108" i="12" s="1"/>
  <c r="AC108" i="12" s="1"/>
  <c r="AD108" i="12" s="1"/>
  <c r="AL9" i="12"/>
  <c r="AL8" i="12"/>
  <c r="AL7" i="12"/>
  <c r="AB100" i="12"/>
  <c r="AC100" i="12" s="1"/>
  <c r="AD100" i="12" s="1"/>
  <c r="S10" i="18"/>
  <c r="T10" i="18" s="1"/>
  <c r="V10" i="18"/>
  <c r="W10" i="18" s="1"/>
  <c r="X10" i="18" s="1"/>
  <c r="BE24" i="18"/>
  <c r="BF24" i="18" s="1"/>
  <c r="J31" i="27" s="1"/>
  <c r="BG24" i="18"/>
  <c r="BH24" i="18" s="1"/>
  <c r="BI24" i="18" s="1"/>
  <c r="AC128" i="18"/>
  <c r="AD128" i="18" s="1"/>
  <c r="G145" i="27" s="1"/>
  <c r="AF128" i="18"/>
  <c r="AG128" i="18" s="1"/>
  <c r="AH128" i="18" s="1"/>
  <c r="AM12" i="18"/>
  <c r="AN12" i="18" s="1"/>
  <c r="H15" i="27" s="1"/>
  <c r="AO12" i="18"/>
  <c r="AP12" i="18" s="1"/>
  <c r="AQ12" i="18" s="1"/>
  <c r="AC20" i="18"/>
  <c r="AD20" i="18" s="1"/>
  <c r="G26" i="27" s="1"/>
  <c r="AF20" i="18"/>
  <c r="AG20" i="18" s="1"/>
  <c r="AH20" i="18" s="1"/>
  <c r="AL42" i="12"/>
  <c r="AL41" i="12"/>
  <c r="AL45" i="12"/>
  <c r="AL40" i="12"/>
  <c r="AL44" i="12"/>
  <c r="AB185" i="12"/>
  <c r="AC185" i="12" s="1"/>
  <c r="AD185" i="12" s="1"/>
  <c r="AF22" i="18"/>
  <c r="AG22" i="18" s="1"/>
  <c r="AH22" i="18" s="1"/>
  <c r="AC22" i="18"/>
  <c r="AD22" i="18" s="1"/>
  <c r="AV26" i="18"/>
  <c r="AW26" i="18" s="1"/>
  <c r="I34" i="27" s="1"/>
  <c r="AX26" i="18"/>
  <c r="AY26" i="18" s="1"/>
  <c r="AZ26" i="18" s="1"/>
  <c r="AO28" i="18"/>
  <c r="AP28" i="18" s="1"/>
  <c r="AQ28" i="18" s="1"/>
  <c r="AM28" i="18"/>
  <c r="AN28" i="18" s="1"/>
  <c r="AC46" i="18"/>
  <c r="AD46" i="18" s="1"/>
  <c r="G58" i="27" s="1"/>
  <c r="AF46" i="18"/>
  <c r="AG46" i="18" s="1"/>
  <c r="AH46" i="18" s="1"/>
  <c r="G159" i="27" l="1"/>
  <c r="H159" i="27"/>
  <c r="J159" i="27"/>
</calcChain>
</file>

<file path=xl/sharedStrings.xml><?xml version="1.0" encoding="utf-8"?>
<sst xmlns="http://schemas.openxmlformats.org/spreadsheetml/2006/main" count="10709" uniqueCount="1249">
  <si>
    <t>SK1</t>
  </si>
  <si>
    <t>SK3</t>
  </si>
  <si>
    <t>SK4</t>
  </si>
  <si>
    <t>SK5</t>
  </si>
  <si>
    <t>SN1</t>
  </si>
  <si>
    <t>SN3</t>
  </si>
  <si>
    <t>SN4</t>
  </si>
  <si>
    <t>SN5</t>
  </si>
  <si>
    <t>Site</t>
  </si>
  <si>
    <t>Sandnes</t>
  </si>
  <si>
    <t>Sample ID</t>
  </si>
  <si>
    <t>Type</t>
  </si>
  <si>
    <t>Cultural</t>
  </si>
  <si>
    <t>Natural</t>
  </si>
  <si>
    <t>SK11</t>
  </si>
  <si>
    <t>SK12</t>
  </si>
  <si>
    <t>SK13</t>
  </si>
  <si>
    <t>SK21</t>
  </si>
  <si>
    <t>SK23</t>
  </si>
  <si>
    <t>SK24</t>
  </si>
  <si>
    <t>Depth (cm)</t>
  </si>
  <si>
    <t>SK7</t>
  </si>
  <si>
    <t>SK8</t>
  </si>
  <si>
    <t>SK9</t>
  </si>
  <si>
    <t>SK15</t>
  </si>
  <si>
    <t>SK16</t>
  </si>
  <si>
    <t>SK17</t>
  </si>
  <si>
    <t>SK19</t>
  </si>
  <si>
    <t>SK20</t>
  </si>
  <si>
    <t>SN7</t>
  </si>
  <si>
    <t>SN8</t>
  </si>
  <si>
    <t>SN9</t>
  </si>
  <si>
    <t>SN11</t>
  </si>
  <si>
    <t>SN12</t>
  </si>
  <si>
    <t>SN13</t>
  </si>
  <si>
    <t>SN15</t>
  </si>
  <si>
    <t>SN16</t>
  </si>
  <si>
    <t>SN17</t>
  </si>
  <si>
    <t>SN18</t>
  </si>
  <si>
    <t>SN21</t>
  </si>
  <si>
    <t>SN23</t>
  </si>
  <si>
    <t>SN24</t>
  </si>
  <si>
    <t>Total weight</t>
  </si>
  <si>
    <t>IK1</t>
  </si>
  <si>
    <t>IK2</t>
  </si>
  <si>
    <t>IK3</t>
  </si>
  <si>
    <t>IK4</t>
  </si>
  <si>
    <t>IK5</t>
  </si>
  <si>
    <t>IK6</t>
  </si>
  <si>
    <t>IK7</t>
  </si>
  <si>
    <t>IK8</t>
  </si>
  <si>
    <t>IK9</t>
  </si>
  <si>
    <t>IK13</t>
  </si>
  <si>
    <t>IK14</t>
  </si>
  <si>
    <t>IK15</t>
  </si>
  <si>
    <t>IK17</t>
  </si>
  <si>
    <t>IK18</t>
  </si>
  <si>
    <t>IK21</t>
  </si>
  <si>
    <t>IK22</t>
  </si>
  <si>
    <t>IK23</t>
  </si>
  <si>
    <t>IN1</t>
  </si>
  <si>
    <t>IN2</t>
  </si>
  <si>
    <t>IN3</t>
  </si>
  <si>
    <t>IN5</t>
  </si>
  <si>
    <t>IN6</t>
  </si>
  <si>
    <t>IN7</t>
  </si>
  <si>
    <t>IN9</t>
  </si>
  <si>
    <t>IN10</t>
  </si>
  <si>
    <t>IN11</t>
  </si>
  <si>
    <t>IN13</t>
  </si>
  <si>
    <t>IN14</t>
  </si>
  <si>
    <t>IN15</t>
  </si>
  <si>
    <t>IN16</t>
  </si>
  <si>
    <t>IN17</t>
  </si>
  <si>
    <t>IN18</t>
  </si>
  <si>
    <t>IN19</t>
  </si>
  <si>
    <t>IN20</t>
  </si>
  <si>
    <t>IN21</t>
  </si>
  <si>
    <t>IN22</t>
  </si>
  <si>
    <t>IN23</t>
  </si>
  <si>
    <t>IN24</t>
  </si>
  <si>
    <t>QK1</t>
  </si>
  <si>
    <t>QK2</t>
  </si>
  <si>
    <t>QK3</t>
  </si>
  <si>
    <t>QK5</t>
  </si>
  <si>
    <t>QK6</t>
  </si>
  <si>
    <t>QK7</t>
  </si>
  <si>
    <t>QK9</t>
  </si>
  <si>
    <t>QK10</t>
  </si>
  <si>
    <t>QK11</t>
  </si>
  <si>
    <t>QK12</t>
  </si>
  <si>
    <t>QK13</t>
  </si>
  <si>
    <t>QK14</t>
  </si>
  <si>
    <t>QK15</t>
  </si>
  <si>
    <t>QK17</t>
  </si>
  <si>
    <t>QK18</t>
  </si>
  <si>
    <t>QK19</t>
  </si>
  <si>
    <t>QK21</t>
  </si>
  <si>
    <t>QK22</t>
  </si>
  <si>
    <t>QK23</t>
  </si>
  <si>
    <t>QK24</t>
  </si>
  <si>
    <t>QN1</t>
  </si>
  <si>
    <t>QN2</t>
  </si>
  <si>
    <t>QN3</t>
  </si>
  <si>
    <t>QN5</t>
  </si>
  <si>
    <t>QN6</t>
  </si>
  <si>
    <t>QN7</t>
  </si>
  <si>
    <t>QN8</t>
  </si>
  <si>
    <t>QN9</t>
  </si>
  <si>
    <t>QN10</t>
  </si>
  <si>
    <t>QN11</t>
  </si>
  <si>
    <t>QN12</t>
  </si>
  <si>
    <t>QN13</t>
  </si>
  <si>
    <t>QN14</t>
  </si>
  <si>
    <t>QN15</t>
  </si>
  <si>
    <t>QN16</t>
  </si>
  <si>
    <t>QN17</t>
  </si>
  <si>
    <t>QN18</t>
  </si>
  <si>
    <t>QN19</t>
  </si>
  <si>
    <t>QN20</t>
  </si>
  <si>
    <t>QN21</t>
  </si>
  <si>
    <t>QN22</t>
  </si>
  <si>
    <t>QN23</t>
  </si>
  <si>
    <t>EK1</t>
  </si>
  <si>
    <t>EK2</t>
  </si>
  <si>
    <t>EK3</t>
  </si>
  <si>
    <t>EK4</t>
  </si>
  <si>
    <t>EK5</t>
  </si>
  <si>
    <t>EK13</t>
  </si>
  <si>
    <t>EK14</t>
  </si>
  <si>
    <t>EK15</t>
  </si>
  <si>
    <t>EK16</t>
  </si>
  <si>
    <t>EK17</t>
  </si>
  <si>
    <t>EK18</t>
  </si>
  <si>
    <t>EK19</t>
  </si>
  <si>
    <t>EK21</t>
  </si>
  <si>
    <t>EK22</t>
  </si>
  <si>
    <t>EK23</t>
  </si>
  <si>
    <t>EK24</t>
  </si>
  <si>
    <t>EN1</t>
  </si>
  <si>
    <t>EN2</t>
  </si>
  <si>
    <t>EN5</t>
  </si>
  <si>
    <t>EN6</t>
  </si>
  <si>
    <t>EN7</t>
  </si>
  <si>
    <t>EN9</t>
  </si>
  <si>
    <t>EN13</t>
  </si>
  <si>
    <t>EN14</t>
  </si>
  <si>
    <t>EN17</t>
  </si>
  <si>
    <t>EN18</t>
  </si>
  <si>
    <t>EN19</t>
  </si>
  <si>
    <t>EN20</t>
  </si>
  <si>
    <t>EN21</t>
  </si>
  <si>
    <t>EN22</t>
  </si>
  <si>
    <t>EN23</t>
  </si>
  <si>
    <t>KK1</t>
  </si>
  <si>
    <t>KK2</t>
  </si>
  <si>
    <t>KK3</t>
  </si>
  <si>
    <t>KK4</t>
  </si>
  <si>
    <t>KK5</t>
  </si>
  <si>
    <t>KK6</t>
  </si>
  <si>
    <t>KK7</t>
  </si>
  <si>
    <t>KK8</t>
  </si>
  <si>
    <t>KK9</t>
  </si>
  <si>
    <t>KK10</t>
  </si>
  <si>
    <t>KK11</t>
  </si>
  <si>
    <t>KK12</t>
  </si>
  <si>
    <t>KK13</t>
  </si>
  <si>
    <t>KK14</t>
  </si>
  <si>
    <t>KK15</t>
  </si>
  <si>
    <t>KK16</t>
  </si>
  <si>
    <t>KK17</t>
  </si>
  <si>
    <t>KK18</t>
  </si>
  <si>
    <t>KK19</t>
  </si>
  <si>
    <t>KK20</t>
  </si>
  <si>
    <t>KK21</t>
  </si>
  <si>
    <t>KK22</t>
  </si>
  <si>
    <t>KK23</t>
  </si>
  <si>
    <t>KK24</t>
  </si>
  <si>
    <t>KN1</t>
  </si>
  <si>
    <t>KN2</t>
  </si>
  <si>
    <t>KN3</t>
  </si>
  <si>
    <t>KN5</t>
  </si>
  <si>
    <t>KN6</t>
  </si>
  <si>
    <t>KN7</t>
  </si>
  <si>
    <t>KN9</t>
  </si>
  <si>
    <t>KN13</t>
  </si>
  <si>
    <t>KN14</t>
  </si>
  <si>
    <t>KN15</t>
  </si>
  <si>
    <t>KN17</t>
  </si>
  <si>
    <t>KN18</t>
  </si>
  <si>
    <t>KN19</t>
  </si>
  <si>
    <t>KN20</t>
  </si>
  <si>
    <t>KN21</t>
  </si>
  <si>
    <t>KN22</t>
  </si>
  <si>
    <t>KN23</t>
  </si>
  <si>
    <t>KN24</t>
  </si>
  <si>
    <t>Iffiartafik</t>
  </si>
  <si>
    <t>Qoornoq</t>
  </si>
  <si>
    <t>Ersaa</t>
  </si>
  <si>
    <t>LSK1</t>
  </si>
  <si>
    <t>LSK2</t>
  </si>
  <si>
    <t>LSK3</t>
  </si>
  <si>
    <t>LSK4</t>
  </si>
  <si>
    <t>LSK5</t>
  </si>
  <si>
    <t>LSK6</t>
  </si>
  <si>
    <t>LSN1</t>
  </si>
  <si>
    <t>LSN2</t>
  </si>
  <si>
    <t>LSN3</t>
  </si>
  <si>
    <t>LSN4</t>
  </si>
  <si>
    <t>LSN5</t>
  </si>
  <si>
    <t>LSN6</t>
  </si>
  <si>
    <t>Species</t>
  </si>
  <si>
    <t>Plot number</t>
  </si>
  <si>
    <t>BSK1</t>
  </si>
  <si>
    <t>BSK2</t>
  </si>
  <si>
    <t>BSK3</t>
  </si>
  <si>
    <t>BSK4</t>
  </si>
  <si>
    <t>BSK5</t>
  </si>
  <si>
    <t>BSK6</t>
  </si>
  <si>
    <t>BSN1</t>
  </si>
  <si>
    <t>BSN2</t>
  </si>
  <si>
    <t>BSN3</t>
  </si>
  <si>
    <t>BSN4</t>
  </si>
  <si>
    <t>BSN5</t>
  </si>
  <si>
    <t>BSN6</t>
  </si>
  <si>
    <t>BIK1</t>
  </si>
  <si>
    <t>BIK2</t>
  </si>
  <si>
    <t>BIK3</t>
  </si>
  <si>
    <t>BIK4</t>
  </si>
  <si>
    <t>BIK5</t>
  </si>
  <si>
    <t>BIK6</t>
  </si>
  <si>
    <t>BIN1</t>
  </si>
  <si>
    <t>BIN2</t>
  </si>
  <si>
    <t>BIN3</t>
  </si>
  <si>
    <t>BIN4</t>
  </si>
  <si>
    <t>BIN5</t>
  </si>
  <si>
    <t>BIN6</t>
  </si>
  <si>
    <t>BQK1</t>
  </si>
  <si>
    <t>BQK2</t>
  </si>
  <si>
    <t>BQK3</t>
  </si>
  <si>
    <t>BQK4</t>
  </si>
  <si>
    <t>BQK5</t>
  </si>
  <si>
    <t>BQK6</t>
  </si>
  <si>
    <t>BQN1</t>
  </si>
  <si>
    <t>BQN2</t>
  </si>
  <si>
    <t>BQN3</t>
  </si>
  <si>
    <t>BQN4</t>
  </si>
  <si>
    <t>BQN5</t>
  </si>
  <si>
    <t>BQN6</t>
  </si>
  <si>
    <t>BEK1</t>
  </si>
  <si>
    <t>BEK2</t>
  </si>
  <si>
    <t>BEK3</t>
  </si>
  <si>
    <t>BEK4</t>
  </si>
  <si>
    <t>BEK5</t>
  </si>
  <si>
    <t>BEK6</t>
  </si>
  <si>
    <t>BEN1</t>
  </si>
  <si>
    <t>BEN2</t>
  </si>
  <si>
    <t>BEN3</t>
  </si>
  <si>
    <t>BEN4</t>
  </si>
  <si>
    <t>BEN5</t>
  </si>
  <si>
    <t>BEN6</t>
  </si>
  <si>
    <t>BKK1</t>
  </si>
  <si>
    <t>BKK2</t>
  </si>
  <si>
    <t>BKK3</t>
  </si>
  <si>
    <t>BKK4</t>
  </si>
  <si>
    <t>BKK5</t>
  </si>
  <si>
    <t>BKK6</t>
  </si>
  <si>
    <t>BKN1</t>
  </si>
  <si>
    <t>BKN2</t>
  </si>
  <si>
    <t>BKN3</t>
  </si>
  <si>
    <t>BKN4</t>
  </si>
  <si>
    <t>BKN5</t>
  </si>
  <si>
    <t>BKN6</t>
  </si>
  <si>
    <t>Calamagrostis canadensis</t>
  </si>
  <si>
    <t>Notes</t>
  </si>
  <si>
    <t>Full species name</t>
  </si>
  <si>
    <t>Leymus mollis</t>
  </si>
  <si>
    <t>Salix glauca</t>
  </si>
  <si>
    <t>Equisetum arvense</t>
  </si>
  <si>
    <t>Stellaria longipes</t>
  </si>
  <si>
    <t>Short</t>
  </si>
  <si>
    <t>DK name</t>
  </si>
  <si>
    <t>English name</t>
  </si>
  <si>
    <t>Dunet marehalm</t>
  </si>
  <si>
    <t>Krat rørhvene</t>
  </si>
  <si>
    <t>Blågrå pil</t>
  </si>
  <si>
    <t>Ager padderok</t>
  </si>
  <si>
    <t>Stilk-fladstjerne</t>
  </si>
  <si>
    <t>Poa spp</t>
  </si>
  <si>
    <t>Rapgræs</t>
  </si>
  <si>
    <t>Lymegrass, Dunegrass, Dune Wildrye</t>
  </si>
  <si>
    <t>Bluejoint, Canadian Smallreed</t>
  </si>
  <si>
    <t>Common Horsetail, Field Horsetail</t>
  </si>
  <si>
    <t>Northen Willow, Greyleaf Willow</t>
  </si>
  <si>
    <t>Meadowgrass, Bluegrass</t>
  </si>
  <si>
    <t>Long-stalked Starwort</t>
  </si>
  <si>
    <t>LSK7</t>
  </si>
  <si>
    <t>LSK8</t>
  </si>
  <si>
    <t>LSK9</t>
  </si>
  <si>
    <t>LSK10</t>
  </si>
  <si>
    <t>LSK11</t>
  </si>
  <si>
    <t>LSN7</t>
  </si>
  <si>
    <t>LSN8</t>
  </si>
  <si>
    <t>LSN9</t>
  </si>
  <si>
    <t>LSN10</t>
  </si>
  <si>
    <t>LSN11</t>
  </si>
  <si>
    <t>Leymus</t>
  </si>
  <si>
    <t>Calamagrostis</t>
  </si>
  <si>
    <t>Salix</t>
  </si>
  <si>
    <t>Equisetum</t>
  </si>
  <si>
    <t>Stellaria</t>
  </si>
  <si>
    <t>Poa</t>
  </si>
  <si>
    <t>LIK1</t>
  </si>
  <si>
    <t>LIN1</t>
  </si>
  <si>
    <t>LQK1</t>
  </si>
  <si>
    <t>LQN1</t>
  </si>
  <si>
    <t>LEK1</t>
  </si>
  <si>
    <t>LEN1</t>
  </si>
  <si>
    <t>LKK1</t>
  </si>
  <si>
    <t>LKN1</t>
  </si>
  <si>
    <t>LIK2</t>
  </si>
  <si>
    <t>LIK3</t>
  </si>
  <si>
    <t>LIK4</t>
  </si>
  <si>
    <t>LIK5</t>
  </si>
  <si>
    <t>LIK6</t>
  </si>
  <si>
    <t>LIK7</t>
  </si>
  <si>
    <t>LIK8</t>
  </si>
  <si>
    <t>LIK9</t>
  </si>
  <si>
    <t>LIN2</t>
  </si>
  <si>
    <t>LIN3</t>
  </si>
  <si>
    <t>LIN4</t>
  </si>
  <si>
    <t>LIN5</t>
  </si>
  <si>
    <t>LIN6</t>
  </si>
  <si>
    <t>LIN7</t>
  </si>
  <si>
    <t>LQK2</t>
  </si>
  <si>
    <t>LQK3</t>
  </si>
  <si>
    <t>LQK4</t>
  </si>
  <si>
    <t>LQK5</t>
  </si>
  <si>
    <t>LQK6</t>
  </si>
  <si>
    <t>LQK7</t>
  </si>
  <si>
    <t>LQK8</t>
  </si>
  <si>
    <t>LQK9</t>
  </si>
  <si>
    <t>LQK10</t>
  </si>
  <si>
    <t>LQK11</t>
  </si>
  <si>
    <t>LQK12</t>
  </si>
  <si>
    <t>LQN2</t>
  </si>
  <si>
    <t>LQN3</t>
  </si>
  <si>
    <t>LQN4</t>
  </si>
  <si>
    <t>LQN5</t>
  </si>
  <si>
    <t>LEK2</t>
  </si>
  <si>
    <t>LEK3</t>
  </si>
  <si>
    <t>LEK4</t>
  </si>
  <si>
    <t>LEK5</t>
  </si>
  <si>
    <t>LEK6</t>
  </si>
  <si>
    <t>LEK7</t>
  </si>
  <si>
    <t>LEK8</t>
  </si>
  <si>
    <t>LEK9</t>
  </si>
  <si>
    <t>LEK10</t>
  </si>
  <si>
    <t>LEK11</t>
  </si>
  <si>
    <t>LEK12</t>
  </si>
  <si>
    <t>LEK13</t>
  </si>
  <si>
    <t>LEK14</t>
  </si>
  <si>
    <t>LEK15</t>
  </si>
  <si>
    <t>LEK16</t>
  </si>
  <si>
    <t>LEK17</t>
  </si>
  <si>
    <t>LEN2</t>
  </si>
  <si>
    <t>LEN3</t>
  </si>
  <si>
    <t>Other</t>
  </si>
  <si>
    <t>LKK2</t>
  </si>
  <si>
    <t>LKK3</t>
  </si>
  <si>
    <t>LKK4</t>
  </si>
  <si>
    <t>LKN2</t>
  </si>
  <si>
    <t>LKN3</t>
  </si>
  <si>
    <t>Count of leaves</t>
  </si>
  <si>
    <t>Average leaf weight</t>
  </si>
  <si>
    <t>Note</t>
  </si>
  <si>
    <t>5x5</t>
  </si>
  <si>
    <t>5x5 (5-10)</t>
  </si>
  <si>
    <t>5x5 (10-15)</t>
  </si>
  <si>
    <t>(5-10)</t>
  </si>
  <si>
    <t>(10-15)</t>
  </si>
  <si>
    <t>(20-25)</t>
  </si>
  <si>
    <t>(30-35)</t>
  </si>
  <si>
    <t>svær</t>
  </si>
  <si>
    <t>under tørvelag</t>
  </si>
  <si>
    <t>HM</t>
  </si>
  <si>
    <t>AME</t>
  </si>
  <si>
    <t>Grasses W</t>
  </si>
  <si>
    <t>Evergreen bushes W</t>
  </si>
  <si>
    <t>Moss W</t>
  </si>
  <si>
    <t>Other W</t>
  </si>
  <si>
    <t>Salix W</t>
  </si>
  <si>
    <t>Decidious bushes (-salix) W</t>
  </si>
  <si>
    <t>Horsetail W</t>
  </si>
  <si>
    <t>"mos ikke udtaget pga tidspress"</t>
  </si>
  <si>
    <t>22.08.2016</t>
  </si>
  <si>
    <t>Date sampled</t>
  </si>
  <si>
    <t>Date weighed</t>
  </si>
  <si>
    <t>19.08.2016</t>
  </si>
  <si>
    <t>16.08.2016</t>
  </si>
  <si>
    <t>?</t>
  </si>
  <si>
    <t>Stængel+blomst gederams</t>
  </si>
  <si>
    <t>Weight with bag</t>
  </si>
  <si>
    <t>6 bags</t>
  </si>
  <si>
    <t>Date analysed</t>
  </si>
  <si>
    <t>18.11.2016</t>
  </si>
  <si>
    <t>"toppe"</t>
  </si>
  <si>
    <t>o</t>
  </si>
  <si>
    <t>Boat w</t>
  </si>
  <si>
    <t>Leaf+boat</t>
  </si>
  <si>
    <t>counted</t>
  </si>
  <si>
    <t>~15 hele</t>
  </si>
  <si>
    <t>toppe</t>
  </si>
  <si>
    <t>Længere "toppe" end i natur</t>
  </si>
  <si>
    <t>Date Sampled</t>
  </si>
  <si>
    <t>"Kultur"</t>
  </si>
  <si>
    <t>"kultur 4"</t>
  </si>
  <si>
    <t>11.08.2016</t>
  </si>
  <si>
    <t>19,08.2016</t>
  </si>
  <si>
    <t>mulede</t>
  </si>
  <si>
    <t>mulet</t>
  </si>
  <si>
    <t>mugen</t>
  </si>
  <si>
    <t>Weight without boat</t>
  </si>
  <si>
    <t>Boat</t>
  </si>
  <si>
    <t>Leaves</t>
  </si>
  <si>
    <t>Site (both same)</t>
  </si>
  <si>
    <t>Avg pr leaf</t>
  </si>
  <si>
    <t>Boat+leaves</t>
  </si>
  <si>
    <t>(Might be wrong, added leaves to the 48, thus weight of boat not necessarily correct)</t>
  </si>
  <si>
    <t>(Difference)</t>
  </si>
  <si>
    <t>Broadleaved herbs/forbs W</t>
  </si>
  <si>
    <t>plastic bag</t>
  </si>
  <si>
    <t>Total weight (soil sample + plastic bag)</t>
  </si>
  <si>
    <t>Soil sample</t>
  </si>
  <si>
    <t>SIFTING</t>
  </si>
  <si>
    <t>Remaining soil</t>
  </si>
  <si>
    <t>Tray</t>
  </si>
  <si>
    <t>A2 wet + paper bag</t>
  </si>
  <si>
    <t>A2 wet</t>
  </si>
  <si>
    <t>A2 dry + paper bag</t>
  </si>
  <si>
    <t>A2 dry</t>
  </si>
  <si>
    <t>Total wet root</t>
  </si>
  <si>
    <t>Waste</t>
  </si>
  <si>
    <t>organic waste &gt; 2 mm</t>
  </si>
  <si>
    <t>Debris (stones, grain) &gt; 2 mm</t>
  </si>
  <si>
    <t>roots &gt; 1 mm (in pastic bag)</t>
  </si>
  <si>
    <t>roots  &lt; 1mm (in pastic bag)</t>
  </si>
  <si>
    <t>Horsetail rhizomes (in pastic bag)</t>
  </si>
  <si>
    <t>plasticbag mean weight</t>
  </si>
  <si>
    <t>woody roots &gt; 2 mm</t>
  </si>
  <si>
    <t>DOA pH</t>
  </si>
  <si>
    <t>DOA wet</t>
  </si>
  <si>
    <t>DOA dry</t>
  </si>
  <si>
    <t>pH sample A1 (4 g, 10 ml water)</t>
  </si>
  <si>
    <t>Part A2- Dry sample</t>
  </si>
  <si>
    <t>DOA sifting</t>
  </si>
  <si>
    <t>Reference paperbag</t>
  </si>
  <si>
    <t>before drying</t>
  </si>
  <si>
    <t>refpaper1</t>
  </si>
  <si>
    <t>paper bag before</t>
  </si>
  <si>
    <t>Part A1 - pH</t>
  </si>
  <si>
    <t>Part A2 - water content</t>
  </si>
  <si>
    <t>DOA water extraction</t>
  </si>
  <si>
    <t>Part B2 - Olsen P</t>
  </si>
  <si>
    <t>DOA extraction</t>
  </si>
  <si>
    <t>afterdrying 2</t>
  </si>
  <si>
    <t>after drying 1</t>
  </si>
  <si>
    <t>mean after drying</t>
  </si>
  <si>
    <t>Paper correction</t>
  </si>
  <si>
    <t>none</t>
  </si>
  <si>
    <t>refpaper2 (3 stk)</t>
  </si>
  <si>
    <t>times filtered</t>
  </si>
  <si>
    <t>many bones</t>
  </si>
  <si>
    <t>Meget jord</t>
  </si>
  <si>
    <t>Note (pH)</t>
  </si>
  <si>
    <t>ikke nok jord</t>
  </si>
  <si>
    <t>meget jord i prøven</t>
  </si>
  <si>
    <t>lignede en topprøve</t>
  </si>
  <si>
    <t>mange større døde rødder under organic waste</t>
  </si>
  <si>
    <t>næsten ingen jord</t>
  </si>
  <si>
    <t>Olsen P meget mørk. Derfor kørt igennem igen med aktivt kul d. 2/2. sammen med nyt hold Olsen prøver</t>
  </si>
  <si>
    <t>Næsten ingen jord</t>
  </si>
  <si>
    <t>Nød A 1</t>
  </si>
  <si>
    <t>Nød A 2</t>
  </si>
  <si>
    <t>Nød A 3</t>
  </si>
  <si>
    <t>Nød A 4</t>
  </si>
  <si>
    <t>Nød A 5</t>
  </si>
  <si>
    <t>Nød A 6</t>
  </si>
  <si>
    <t>Nød A 7</t>
  </si>
  <si>
    <t>Nød A 8</t>
  </si>
  <si>
    <t>Nød A 9</t>
  </si>
  <si>
    <t>Nød A 10</t>
  </si>
  <si>
    <t>Nød A 11</t>
  </si>
  <si>
    <t>Nød A 12</t>
  </si>
  <si>
    <t>Nød A 13</t>
  </si>
  <si>
    <t>Nød A 14</t>
  </si>
  <si>
    <t>Nød A 15</t>
  </si>
  <si>
    <t>DOA</t>
  </si>
  <si>
    <t>Ikke anvendt</t>
  </si>
  <si>
    <t>Genkørsel af prøver fra d. 11/11</t>
  </si>
  <si>
    <t>Blank</t>
  </si>
  <si>
    <t>NB: blank blev glemt ved analysen, men tilføjet ved anden filtrering</t>
  </si>
  <si>
    <t>En blankprøve</t>
  </si>
  <si>
    <t>B1</t>
  </si>
  <si>
    <t>To blankprøver</t>
  </si>
  <si>
    <t>B2</t>
  </si>
  <si>
    <t>B3</t>
  </si>
  <si>
    <t>stod QK10 (måske fejl noteret)</t>
  </si>
  <si>
    <t>note (sifting)</t>
  </si>
  <si>
    <t>Total (soil + tray)</t>
  </si>
  <si>
    <t>Many dead horsetail rizomes</t>
  </si>
  <si>
    <t>Genkørsel af prøver d. 25/1</t>
  </si>
  <si>
    <t>næsten ingen jord, visne blade</t>
  </si>
  <si>
    <t>Fejlregistrering. Der er 2 x QN16 og mangler en QN15</t>
  </si>
  <si>
    <t>ikke nok jord til både vådoplukning og Olsen. Olsen udeladt</t>
  </si>
  <si>
    <t>mange visne mosebølleblade</t>
  </si>
  <si>
    <t>Ikke nok jord til pH</t>
  </si>
  <si>
    <t>lignede ikke en topprøve, men derimod en dyb prøve. Formentlig forbyttet med IN 16</t>
  </si>
  <si>
    <t>Lignede mest en topprøve. Der var visne og et grønt græsstrå. Formentlig forbyttet med IN13</t>
  </si>
  <si>
    <t>ingen jord</t>
  </si>
  <si>
    <t>Nød A 16</t>
  </si>
  <si>
    <t>Nød A 17</t>
  </si>
  <si>
    <t>Genkørsel d. 2/2/17 sammen med KN7, som var for mørk</t>
  </si>
  <si>
    <t xml:space="preserve">Blank </t>
  </si>
  <si>
    <t>Time filtered</t>
  </si>
  <si>
    <t>x</t>
  </si>
  <si>
    <t>refpaper3 (3stk)</t>
  </si>
  <si>
    <t>refpaper4 (3stk)</t>
  </si>
  <si>
    <t>refpaper5 (3stk)</t>
  </si>
  <si>
    <t>units</t>
  </si>
  <si>
    <t>difference per unit</t>
  </si>
  <si>
    <t>HT wet</t>
  </si>
  <si>
    <t>Wet w date</t>
  </si>
  <si>
    <t>R&lt;1 dry</t>
  </si>
  <si>
    <t>R&gt;1 dry</t>
  </si>
  <si>
    <t>HT dry</t>
  </si>
  <si>
    <t>Dry w date</t>
  </si>
  <si>
    <t>R&lt;1 diff. (g)</t>
  </si>
  <si>
    <t>R&gt;1 diff. (g)</t>
  </si>
  <si>
    <t>HT diff. (g)</t>
  </si>
  <si>
    <t>R&lt;1 water%</t>
  </si>
  <si>
    <t>R&gt;1 water%</t>
  </si>
  <si>
    <t>HT water%</t>
  </si>
  <si>
    <t>east</t>
  </si>
  <si>
    <t>Skrevet KN21 på våd plastikpose før vådvejning</t>
  </si>
  <si>
    <t>R&lt;1mm wet</t>
  </si>
  <si>
    <t>R&gt;1mm wet</t>
  </si>
  <si>
    <t>Roots</t>
  </si>
  <si>
    <t>Kangeq</t>
  </si>
  <si>
    <t>Dry weight total</t>
  </si>
  <si>
    <t>Dry weight - bag</t>
  </si>
  <si>
    <t>Biomass bag weight</t>
  </si>
  <si>
    <t>Bags</t>
  </si>
  <si>
    <t>BKN5+6_1</t>
  </si>
  <si>
    <t>BKN5+6_2</t>
  </si>
  <si>
    <t>BSK3-6_1</t>
  </si>
  <si>
    <t>BSK3-6_2</t>
  </si>
  <si>
    <t>Last_1</t>
  </si>
  <si>
    <t>Last_2</t>
  </si>
  <si>
    <t>weight</t>
  </si>
  <si>
    <t>per bag</t>
  </si>
  <si>
    <t>Value to use</t>
  </si>
  <si>
    <t>bag weight (see sheet: Dry ref)</t>
  </si>
  <si>
    <t>gederams som bredbladet, men smalbladet art</t>
  </si>
  <si>
    <t>Liden Padderok</t>
  </si>
  <si>
    <t>Dry weight date</t>
  </si>
  <si>
    <t>NDVI handheld</t>
  </si>
  <si>
    <t>Total</t>
  </si>
  <si>
    <t>many dead horsetail rizomes</t>
  </si>
  <si>
    <t>refpaper6 (3stk)</t>
  </si>
  <si>
    <t>Nød A 18</t>
  </si>
  <si>
    <t>Nød A 19</t>
  </si>
  <si>
    <t>Nød A 20</t>
  </si>
  <si>
    <t>gl bøtte</t>
  </si>
  <si>
    <t>ny bøtte knust Nødebo A</t>
  </si>
  <si>
    <t>Genkørsel d. 10/2/17 sammen med: IK3, IN15, IK1, IK2 som var for mørke</t>
  </si>
  <si>
    <t>kørt igen d. 10/2/17</t>
  </si>
  <si>
    <t>Meget mørk, kørt igen d. 10/2/17</t>
  </si>
  <si>
    <t>EK9</t>
  </si>
  <si>
    <t>Vegetation Analysis</t>
  </si>
  <si>
    <t>1x1 m</t>
  </si>
  <si>
    <t>Squares</t>
  </si>
  <si>
    <t>Grass</t>
  </si>
  <si>
    <t>Horsetail</t>
  </si>
  <si>
    <t>Deciduous bush</t>
  </si>
  <si>
    <t>Other (narrow leaves)</t>
  </si>
  <si>
    <t>Evergreen bush</t>
  </si>
  <si>
    <t>Other (Semi-parsite)</t>
  </si>
  <si>
    <t>Broadleaved herb/forb</t>
  </si>
  <si>
    <t>Deciduous shrub</t>
  </si>
  <si>
    <t>Shrub (Evergreen? Now Kalmia p.)</t>
  </si>
  <si>
    <t>Moss</t>
  </si>
  <si>
    <t>Evergreen bushes</t>
  </si>
  <si>
    <t>Lichens</t>
  </si>
  <si>
    <t>Test of Sums</t>
  </si>
  <si>
    <t>Equistetum arvense</t>
  </si>
  <si>
    <t>Poa alpina</t>
  </si>
  <si>
    <t>Cerastium alpinum</t>
  </si>
  <si>
    <t>Campanula rotundifolia</t>
  </si>
  <si>
    <t>Vaccinium uliginosum</t>
  </si>
  <si>
    <t>Empetrum hermaphroditum</t>
  </si>
  <si>
    <t>Betula nana</t>
  </si>
  <si>
    <t>Euphrasia frigida</t>
  </si>
  <si>
    <t>Bistorta vivipara</t>
  </si>
  <si>
    <t>Rhododendron groenlandicum</t>
  </si>
  <si>
    <t>Equistetum variegatum</t>
  </si>
  <si>
    <t>Stellaria borealis</t>
  </si>
  <si>
    <t>Chamerion angustifolium</t>
  </si>
  <si>
    <t>Loiseleuria procumbens</t>
  </si>
  <si>
    <t>Oxyria digyna</t>
  </si>
  <si>
    <t>Salix herbacea</t>
  </si>
  <si>
    <t>Poa arctica</t>
  </si>
  <si>
    <t>Cochlearia groenlandica</t>
  </si>
  <si>
    <t>Poa angustifolia</t>
  </si>
  <si>
    <t>Potentilla spp</t>
  </si>
  <si>
    <t>Stellaria spp</t>
  </si>
  <si>
    <t>Carex spp</t>
  </si>
  <si>
    <t>Taraxacum spp</t>
  </si>
  <si>
    <t>uk græs A</t>
  </si>
  <si>
    <t>uk græs B</t>
  </si>
  <si>
    <t>uk græs C</t>
  </si>
  <si>
    <t>uk græs D</t>
  </si>
  <si>
    <t>mos A spagnum</t>
  </si>
  <si>
    <t>"mos" B</t>
  </si>
  <si>
    <t>mos C</t>
  </si>
  <si>
    <t>uk græsstrå (tynd) Anden hvene?</t>
  </si>
  <si>
    <t>uk græsstrå B</t>
  </si>
  <si>
    <t>uk græsstrå C (langt tynd)</t>
  </si>
  <si>
    <t>uk græsstrå D (cylind)</t>
  </si>
  <si>
    <t>mos A</t>
  </si>
  <si>
    <t>mos B</t>
  </si>
  <si>
    <t>græs</t>
  </si>
  <si>
    <t>Græs, uk</t>
  </si>
  <si>
    <t>uk græs (mare?) Bastard? (Tynder end mare)</t>
  </si>
  <si>
    <t>Græs B</t>
  </si>
  <si>
    <t>lav A</t>
  </si>
  <si>
    <t>lav B</t>
  </si>
  <si>
    <t>lav C</t>
  </si>
  <si>
    <t>Mos A</t>
  </si>
  <si>
    <t>uk urt</t>
  </si>
  <si>
    <t>SN2</t>
  </si>
  <si>
    <t>SN6</t>
  </si>
  <si>
    <t>SK2</t>
  </si>
  <si>
    <t>SK6</t>
  </si>
  <si>
    <t>IN4</t>
  </si>
  <si>
    <t>Ik4</t>
  </si>
  <si>
    <t>QN4</t>
  </si>
  <si>
    <t>QK4</t>
  </si>
  <si>
    <t>EN3</t>
  </si>
  <si>
    <t>EN4</t>
  </si>
  <si>
    <t>EK6</t>
  </si>
  <si>
    <t>KN4</t>
  </si>
  <si>
    <t>Total LAI</t>
  </si>
  <si>
    <t>indeholdt 2 større stk gren, som ligger i organic waste</t>
  </si>
  <si>
    <t>2 stk knogle. Ligger under organic waste, men vejer i sig selv 3.68</t>
  </si>
  <si>
    <t>vådt sand og grus</t>
  </si>
  <si>
    <t>vådt sand og grus, men ikke helt så vådt som IN23 og IN 24</t>
  </si>
  <si>
    <t>denne er højere, end QK1 og QK2, men den er eftermålt og passer.</t>
  </si>
  <si>
    <t>for lidt jord</t>
  </si>
  <si>
    <t>ikke nok jord til måling</t>
  </si>
  <si>
    <t>Nød A 21</t>
  </si>
  <si>
    <t>Nød A 22</t>
  </si>
  <si>
    <t>Nød A 23</t>
  </si>
  <si>
    <t>blev den kørt?</t>
  </si>
  <si>
    <t>refpaper7 (3stk)</t>
  </si>
  <si>
    <t>lille revne i posen</t>
  </si>
  <si>
    <t>26.86 g. Knoglemateriale (dog svært helt at skelne mellem debris og knogle) under organic waste. Lavet om, 15 gr er lagt under debris i stedet.</t>
  </si>
  <si>
    <t>2.37 g. Knogle ud af organic waste</t>
  </si>
  <si>
    <t>0.84 g knogle under organic waste</t>
  </si>
  <si>
    <t>refpaper8 (3stk)</t>
  </si>
  <si>
    <t>477.19 vejer sigte efter sigtning, efter vask 473.76</t>
  </si>
  <si>
    <t>476.78 vejer sigte efter sigtining, 84.61 vejer børste efter sigtning</t>
  </si>
  <si>
    <t>Blank 1</t>
  </si>
  <si>
    <t>Blank 2</t>
  </si>
  <si>
    <t>mget mørk. Lerpartikler i</t>
  </si>
  <si>
    <t>kørt igen d. 28/2</t>
  </si>
  <si>
    <t>ny bøtte knust Nødebo A, genkørsel med: QK5, QK6, QK7, QN3. 28/2/17</t>
  </si>
  <si>
    <t>Nød A 24</t>
  </si>
  <si>
    <t>Nød A 25</t>
  </si>
  <si>
    <t>Nød A 26</t>
  </si>
  <si>
    <t>refpaper9 (3stk)</t>
  </si>
  <si>
    <t>Nød A 29</t>
  </si>
  <si>
    <t>Nød A 28</t>
  </si>
  <si>
    <t>Nød A 27</t>
  </si>
  <si>
    <t>Genkørsel af prøver d. 1/3 (samme dag)</t>
  </si>
  <si>
    <t>Genkørsel af prøver d. 1/3</t>
  </si>
  <si>
    <t>ny bøtte knust Nødebo A, genkørsel med: SK15, SK16, EK2, EK3 d. 1/3/17</t>
  </si>
  <si>
    <t>R&gt;1 sorteret under HT</t>
  </si>
  <si>
    <t>Mange rødder meget korte, en del andet materiale</t>
  </si>
  <si>
    <t>82.72 vejer børste tør og tom</t>
  </si>
  <si>
    <t>inkluding piece of bone (4.31 g.)</t>
  </si>
  <si>
    <t>474.84 vejer si efter sigtning. 473.87 bagefter.</t>
  </si>
  <si>
    <t>refpaper10 (3stk)</t>
  </si>
  <si>
    <t>Nød A 30</t>
  </si>
  <si>
    <t>Nød A 31</t>
  </si>
  <si>
    <t>Nød A 32</t>
  </si>
  <si>
    <t>Rod frossen i køleskab</t>
  </si>
  <si>
    <t>Stærkt nedkølet</t>
  </si>
  <si>
    <t>Rod frossen i køleskab. Få rødder &gt; 1mm (tvivlsom måling?)</t>
  </si>
  <si>
    <t>Rod frossen i køleskab. Kun en rod &gt; 1mm (tvivlsom måling af vandprocent?)</t>
  </si>
  <si>
    <t>Ph ref</t>
  </si>
  <si>
    <t>ikke fri væske, suget af jord</t>
  </si>
  <si>
    <t>1 min</t>
  </si>
  <si>
    <t>1,5 min</t>
  </si>
  <si>
    <t>2 min</t>
  </si>
  <si>
    <t>Nød A 33</t>
  </si>
  <si>
    <t>Nød A 34</t>
  </si>
  <si>
    <t>refpaper11 (3stk)</t>
  </si>
  <si>
    <t>Mest fibre?</t>
  </si>
  <si>
    <t>En del fibre</t>
  </si>
  <si>
    <t>pH 7</t>
  </si>
  <si>
    <t>refpaper12 (3stk)</t>
  </si>
  <si>
    <t>dummy</t>
  </si>
  <si>
    <t>mean diff</t>
  </si>
  <si>
    <t>paper corr. Avr used</t>
  </si>
  <si>
    <t>Olsen P meget mørk. Kørt igen 29/3/17</t>
  </si>
  <si>
    <t>Nød A 35</t>
  </si>
  <si>
    <t>Nød A 36</t>
  </si>
  <si>
    <t>Nød A 37</t>
  </si>
  <si>
    <t>halv ny, halv ny 2</t>
  </si>
  <si>
    <t>ny 2</t>
  </si>
  <si>
    <t>NB: ved rystning var tal udvisket. Der stod umiddelbart EK11, men da denne ikke findes må det være EK 16 i stedet.</t>
  </si>
  <si>
    <t>NB: mørk og skal køres igen!</t>
  </si>
  <si>
    <t>Extraction</t>
  </si>
  <si>
    <t>Analysis</t>
  </si>
  <si>
    <t>Batch</t>
  </si>
  <si>
    <t>Number</t>
  </si>
  <si>
    <t>Note on bottle</t>
  </si>
  <si>
    <t>Amount (ml)</t>
  </si>
  <si>
    <t>Output conc</t>
  </si>
  <si>
    <t>Output mean</t>
  </si>
  <si>
    <t>Concentration</t>
  </si>
  <si>
    <t>kørt 1 ekstra gang</t>
  </si>
  <si>
    <t>ny bøtte</t>
  </si>
  <si>
    <t>Blank1 252</t>
  </si>
  <si>
    <t>B1 273</t>
  </si>
  <si>
    <t>B1 172</t>
  </si>
  <si>
    <t>B1 262</t>
  </si>
  <si>
    <t>B1 102</t>
  </si>
  <si>
    <t>B1 243</t>
  </si>
  <si>
    <t>B1 111</t>
  </si>
  <si>
    <t>B1 343</t>
  </si>
  <si>
    <t>Blank 32</t>
  </si>
  <si>
    <t>Blank 12</t>
  </si>
  <si>
    <t>B2 172</t>
  </si>
  <si>
    <t>B2 262</t>
  </si>
  <si>
    <t>B2 102</t>
  </si>
  <si>
    <t>Blank2 252</t>
  </si>
  <si>
    <t>B2 111</t>
  </si>
  <si>
    <t>B2 273</t>
  </si>
  <si>
    <t>B2 243</t>
  </si>
  <si>
    <t>B2 343</t>
  </si>
  <si>
    <t>B 301</t>
  </si>
  <si>
    <t>B3 181</t>
  </si>
  <si>
    <t>NO3 (µg/L)</t>
  </si>
  <si>
    <t>NH4 (µg/L)</t>
  </si>
  <si>
    <t>TOC (mg/L)</t>
  </si>
  <si>
    <t>Part B1 - water extraction (N)</t>
  </si>
  <si>
    <t>kørt igen</t>
  </si>
  <si>
    <t>kørt igen 10/2</t>
  </si>
  <si>
    <t>halv ny 2</t>
  </si>
  <si>
    <t>Retake</t>
  </si>
  <si>
    <t>NB: måske fejl i prøve ID (2x QN16 - ingen QN15)</t>
  </si>
  <si>
    <t>genfiltreret 2/2</t>
  </si>
  <si>
    <t>Remaining soil - dry weight</t>
  </si>
  <si>
    <t>Output mean absorbance</t>
  </si>
  <si>
    <t>Concentration - output from spectrometer</t>
  </si>
  <si>
    <t>mg P i 50 ml opløsning</t>
  </si>
  <si>
    <t>mg P i 100 ml ekstraktion</t>
  </si>
  <si>
    <t>mg P/g tørstof</t>
  </si>
  <si>
    <t>Blank conc (mg/l)</t>
  </si>
  <si>
    <t>Corrected concentration (mg/l)</t>
  </si>
  <si>
    <t>Blank corrected</t>
  </si>
  <si>
    <t>Roots per gram dry soil</t>
  </si>
  <si>
    <t>g R&lt;1/kg dry soil</t>
  </si>
  <si>
    <t>g R&gt;1/kg dry soil</t>
  </si>
  <si>
    <t>g HT/kg dry soil</t>
  </si>
  <si>
    <t>NB: vej R&lt;1 dry igen. Fejl</t>
  </si>
  <si>
    <t>11.08.16</t>
  </si>
  <si>
    <t>DOA sampling</t>
  </si>
  <si>
    <t>18.08.2016</t>
  </si>
  <si>
    <t>"3 dybder på natur 1"</t>
  </si>
  <si>
    <t>overført [fra pose]</t>
  </si>
  <si>
    <t>3 dybder</t>
  </si>
  <si>
    <t>kun 1 dybde på natur 3</t>
  </si>
  <si>
    <t>Kulstof i bundfald</t>
  </si>
  <si>
    <t>* genfiltreret 2/2</t>
  </si>
  <si>
    <t>genkørt 28/2</t>
  </si>
  <si>
    <t>*</t>
  </si>
  <si>
    <t>NB måske fejl i prøve ID (2x QN16)og ingen QN15)</t>
  </si>
  <si>
    <t>TN (mg/L)</t>
  </si>
  <si>
    <t>DON (µg/L)</t>
  </si>
  <si>
    <t>NO3 (µg/mL)</t>
  </si>
  <si>
    <t>NO3 (µg/sample)</t>
  </si>
  <si>
    <t>NO3 (µg/g DW)</t>
  </si>
  <si>
    <t>NH4 (µg/mL)</t>
  </si>
  <si>
    <t>NH4 (µg/sample)</t>
  </si>
  <si>
    <t>NH4 (µg/g DW)</t>
  </si>
  <si>
    <t>TOC (mg/mL)</t>
  </si>
  <si>
    <t>TOC (mg/sample)</t>
  </si>
  <si>
    <t>TOC (mg/g DW)</t>
  </si>
  <si>
    <t>TN (mg/mL)</t>
  </si>
  <si>
    <t>TN (mg/sample)</t>
  </si>
  <si>
    <t>TN (mg/g DW)</t>
  </si>
  <si>
    <t>DON (µg/mL)</t>
  </si>
  <si>
    <t>DON (µg/sample)</t>
  </si>
  <si>
    <t>DON (µg/g DW)</t>
  </si>
  <si>
    <t>High NH4 value</t>
  </si>
  <si>
    <t>Low NO3 &amp; NH4 values</t>
  </si>
  <si>
    <t>Low NH4?</t>
  </si>
  <si>
    <t>High NH4</t>
  </si>
  <si>
    <t>Extraction (H2O)</t>
  </si>
  <si>
    <t>mL H2O</t>
  </si>
  <si>
    <t>g soil (FW)</t>
  </si>
  <si>
    <t>Soil % dw/ww</t>
  </si>
  <si>
    <t>Water % water/dw</t>
  </si>
  <si>
    <t>std</t>
  </si>
  <si>
    <t>detektionsgrænse</t>
  </si>
  <si>
    <t>usikkerhed</t>
  </si>
  <si>
    <t>mean (0 niveau)</t>
  </si>
  <si>
    <t>Forskel mellem 0 niveau og detektionsgrænse</t>
  </si>
  <si>
    <t>samples below detection threshold</t>
  </si>
  <si>
    <t>SampleID</t>
  </si>
  <si>
    <t>Conc.</t>
  </si>
  <si>
    <t>Mean</t>
  </si>
  <si>
    <t>Date</t>
  </si>
  <si>
    <t>Time</t>
  </si>
  <si>
    <t>14:41:08</t>
  </si>
  <si>
    <t>14:41:22</t>
  </si>
  <si>
    <t>14:41:33</t>
  </si>
  <si>
    <t>14:41:46</t>
  </si>
  <si>
    <t>14:41:58</t>
  </si>
  <si>
    <t>14:42:09</t>
  </si>
  <si>
    <t>12:01:49</t>
  </si>
  <si>
    <t>12:02:03</t>
  </si>
  <si>
    <t>12:02:13</t>
  </si>
  <si>
    <t>12:02:26</t>
  </si>
  <si>
    <t>12:02:38</t>
  </si>
  <si>
    <t>12:02:48</t>
  </si>
  <si>
    <t>Standard curves:</t>
  </si>
  <si>
    <t>a</t>
  </si>
  <si>
    <t>b</t>
  </si>
  <si>
    <t>Analysis ID</t>
  </si>
  <si>
    <t>Water % (100 - dw/ww)</t>
  </si>
  <si>
    <t>Average</t>
  </si>
  <si>
    <t>Numer</t>
  </si>
  <si>
    <t>all</t>
  </si>
  <si>
    <t>If NH4 minus blank is below 0, then values is set to 0</t>
  </si>
  <si>
    <t>If TOC minus blank is below 0, then values is set to 0</t>
  </si>
  <si>
    <t>water in 5 g B1 sample (g)</t>
  </si>
  <si>
    <t>dry soil in 5 g B1 sample (g)</t>
  </si>
  <si>
    <t>Amount of extraction liquid used (ml)</t>
  </si>
  <si>
    <t>Concentration (mg/l) - correcting for amount of extraction used</t>
  </si>
  <si>
    <t>mL extraction</t>
  </si>
  <si>
    <t>Extraction (natriumhydrogencarbonat)</t>
  </si>
  <si>
    <t>P (mg/mL)</t>
  </si>
  <si>
    <t>P (mg/sample)</t>
  </si>
  <si>
    <t>P (mg/g DW)</t>
  </si>
  <si>
    <t>P (mg/kg DW)</t>
  </si>
  <si>
    <t>If TN minus blank is below 0, then values is set to 0</t>
  </si>
  <si>
    <t>If TN is above 0 then DON = TN (*1000 to convert from mg to um) -NO3 - NH4</t>
  </si>
  <si>
    <t>P Blank.Corr (mg/L)</t>
  </si>
  <si>
    <t>P (mg/ml extraction)</t>
  </si>
  <si>
    <t>multiply with 50 ml in analysis liquid and divide by the 5 ml P extraction  used</t>
  </si>
  <si>
    <t>If P minus blank is below 0, then values is set to 0</t>
  </si>
  <si>
    <t>Depth</t>
  </si>
  <si>
    <t>P (mg/kg DW) gap filled</t>
  </si>
  <si>
    <t>No. Of other samples (same size, depth, type)</t>
  </si>
  <si>
    <t>Soil % dw/ww gapfilled</t>
  </si>
  <si>
    <t>Water % (100 - dw/ww) - gapfilled</t>
  </si>
  <si>
    <t>Remaining soil - dry weight - gapfilled</t>
  </si>
  <si>
    <t>Mean of other samples (same size, depth, type)</t>
  </si>
  <si>
    <t>none¨</t>
  </si>
  <si>
    <t>Gapfilled</t>
  </si>
  <si>
    <t>P mg/cm3</t>
  </si>
  <si>
    <t>P g/m3</t>
  </si>
  <si>
    <t>P mg/cm3 gap filled</t>
  </si>
  <si>
    <t>P g/m3 gapfilled</t>
  </si>
  <si>
    <t>NO3 (µg/cm3)</t>
  </si>
  <si>
    <t>NO3 (g/m3)</t>
  </si>
  <si>
    <t xml:space="preserve">NO3 (µg/g DW) - gapfilled </t>
  </si>
  <si>
    <t>Gapfilling</t>
  </si>
  <si>
    <t>NO3 Mean of other samples (same size, depth, type)</t>
  </si>
  <si>
    <t>NH4 Mean of other samples (same size, depth, type)</t>
  </si>
  <si>
    <t>DON Mean of other samples (same size, depth, type)</t>
  </si>
  <si>
    <t>NO3 (µg/cm3) - gapfilled</t>
  </si>
  <si>
    <t>NO3 (g/m3) - gapfilled</t>
  </si>
  <si>
    <t>NO3</t>
  </si>
  <si>
    <t>NH4</t>
  </si>
  <si>
    <t>Identifier</t>
  </si>
  <si>
    <t>Preparation</t>
  </si>
  <si>
    <t xml:space="preserve">N % total </t>
  </si>
  <si>
    <t>C % total</t>
  </si>
  <si>
    <t>d15N (‰ AIR)</t>
  </si>
  <si>
    <t>d13C (‰ PDB)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</si>
  <si>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</si>
  <si>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</si>
  <si>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</si>
  <si>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</si>
  <si>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</si>
  <si>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</si>
  <si>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</si>
  <si>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</si>
  <si>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</si>
  <si>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</si>
  <si>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</si>
  <si>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</si>
  <si>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</si>
  <si>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</si>
  <si>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</si>
  <si>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</si>
  <si>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</si>
  <si>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</si>
  <si>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</si>
  <si>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</si>
  <si>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</si>
  <si>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</si>
  <si>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</si>
  <si>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</si>
  <si>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</si>
  <si>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</si>
  <si>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</si>
  <si>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</si>
  <si>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</si>
  <si>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</si>
  <si>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</si>
  <si>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</si>
  <si>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</si>
  <si>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</si>
  <si>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</si>
  <si>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</si>
  <si>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</si>
  <si>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</si>
  <si>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</si>
  <si>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</si>
  <si>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</si>
  <si>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</si>
  <si>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</si>
  <si>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</si>
  <si>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</si>
  <si>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</si>
  <si>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</si>
  <si>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</si>
  <si>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</si>
  <si>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</si>
  <si>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</si>
  <si>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</si>
  <si>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</si>
  <si>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</si>
  <si>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</si>
  <si>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</si>
  <si>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</si>
  <si>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</si>
  <si>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</si>
  <si>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</si>
  <si>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</si>
  <si>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</si>
  <si>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</si>
  <si>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</si>
  <si>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</si>
  <si>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</si>
  <si>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</si>
  <si>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</si>
  <si>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</si>
  <si>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</si>
  <si>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</si>
  <si>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</si>
  <si>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g7</t>
  </si>
  <si>
    <t>g8</t>
  </si>
  <si>
    <t>g9</t>
  </si>
  <si>
    <t>g10</t>
  </si>
  <si>
    <t>C/N ratio</t>
  </si>
  <si>
    <t>mean C/N</t>
  </si>
  <si>
    <t>Cultura</t>
  </si>
  <si>
    <t>C/N mean</t>
  </si>
  <si>
    <t>natural Salix</t>
  </si>
  <si>
    <t>cultural salix</t>
  </si>
  <si>
    <t>natural Calamagrostis</t>
  </si>
  <si>
    <t>cultural Calamagrostis</t>
  </si>
  <si>
    <t>natural Equisetum</t>
  </si>
  <si>
    <t>cultural Equisetum</t>
  </si>
  <si>
    <t>Natural leymus</t>
  </si>
  <si>
    <t>Cultural leymus</t>
  </si>
  <si>
    <t>Natural N15</t>
  </si>
  <si>
    <t>Cultural N15</t>
  </si>
  <si>
    <t>N15</t>
  </si>
  <si>
    <t>1-3</t>
  </si>
  <si>
    <t>4-8</t>
  </si>
  <si>
    <t>9-12</t>
  </si>
  <si>
    <t>Identifier 1</t>
  </si>
  <si>
    <t>Identifier 2</t>
  </si>
  <si>
    <t>N % total</t>
  </si>
  <si>
    <r>
      <rPr>
        <b/>
        <sz val="10"/>
        <rFont val="Symbol"/>
        <family val="1"/>
        <charset val="2"/>
      </rPr>
      <t>d</t>
    </r>
    <r>
      <rPr>
        <b/>
        <vertAlign val="superscript"/>
        <sz val="10"/>
        <rFont val="MS Sans Serif"/>
        <family val="2"/>
      </rPr>
      <t>15</t>
    </r>
    <r>
      <rPr>
        <b/>
        <sz val="10"/>
        <rFont val="MS Sans Serif"/>
        <family val="2"/>
      </rPr>
      <t>N (</t>
    </r>
    <r>
      <rPr>
        <b/>
        <sz val="10"/>
        <rFont val="Calibri"/>
        <family val="2"/>
      </rPr>
      <t>‰</t>
    </r>
    <r>
      <rPr>
        <b/>
        <sz val="10"/>
        <rFont val="MS Sans Serif"/>
        <family val="2"/>
      </rPr>
      <t xml:space="preserve"> AIR)</t>
    </r>
  </si>
  <si>
    <r>
      <rPr>
        <b/>
        <sz val="10"/>
        <rFont val="Symbol"/>
        <family val="1"/>
        <charset val="2"/>
      </rPr>
      <t>d</t>
    </r>
    <r>
      <rPr>
        <b/>
        <vertAlign val="superscript"/>
        <sz val="10"/>
        <rFont val="MS Sans Serif"/>
        <family val="2"/>
      </rPr>
      <t>13</t>
    </r>
    <r>
      <rPr>
        <b/>
        <sz val="10"/>
        <rFont val="MS Sans Serif"/>
        <family val="2"/>
      </rPr>
      <t>C (</t>
    </r>
    <r>
      <rPr>
        <b/>
        <sz val="10"/>
        <rFont val="Calibri"/>
        <family val="2"/>
      </rPr>
      <t>‰</t>
    </r>
    <r>
      <rPr>
        <b/>
        <sz val="10"/>
        <rFont val="MS Sans Serif"/>
        <family val="2"/>
      </rPr>
      <t xml:space="preserve"> PDB)</t>
    </r>
  </si>
  <si>
    <t>Kommentar</t>
  </si>
  <si>
    <t>Rasmus Fenger</t>
  </si>
  <si>
    <t>Jordprøver</t>
  </si>
  <si>
    <t>Tray 1</t>
  </si>
  <si>
    <t>C og N</t>
  </si>
  <si>
    <t>12.06.2017</t>
  </si>
  <si>
    <t>He 1,7</t>
  </si>
  <si>
    <t>g1</t>
  </si>
  <si>
    <t>g2</t>
  </si>
  <si>
    <t>g3</t>
  </si>
  <si>
    <t>g4</t>
  </si>
  <si>
    <t>g5</t>
  </si>
  <si>
    <t>g6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</si>
  <si>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</si>
  <si>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</si>
  <si>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</si>
  <si>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</si>
  <si>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</si>
  <si>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</si>
  <si>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</si>
  <si>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</si>
  <si>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</si>
  <si>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</si>
  <si>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</si>
  <si>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</si>
  <si>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</si>
  <si>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</si>
  <si>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Slut Tray 1</t>
  </si>
  <si>
    <t>Start Tray 2</t>
  </si>
  <si>
    <t>Tray 2</t>
  </si>
  <si>
    <t>gapfilled</t>
  </si>
  <si>
    <t>NH4 (µg/cm3)</t>
  </si>
  <si>
    <t>NH4 (g/m3)</t>
  </si>
  <si>
    <t>NH4 (µg/g DW) - gapfilled</t>
  </si>
  <si>
    <t>NH4 (µg/cm3) - gapfilled</t>
  </si>
  <si>
    <t>NH4 (g/m3) - gapfilled</t>
  </si>
  <si>
    <t>TOC (g/m3)</t>
  </si>
  <si>
    <t>TN (g/m3)</t>
  </si>
  <si>
    <t>DON (µg/cm3)</t>
  </si>
  <si>
    <t>DON (g/m3)</t>
  </si>
  <si>
    <t>TOC (mg/cm3)</t>
  </si>
  <si>
    <t>TN (mg/cm3)</t>
  </si>
  <si>
    <t>Dec. bushes</t>
  </si>
  <si>
    <t>Evergr. bushes</t>
  </si>
  <si>
    <t>Outer fjord</t>
  </si>
  <si>
    <t>Inner fjord</t>
  </si>
  <si>
    <t>NDVI</t>
  </si>
  <si>
    <t>NDRE</t>
  </si>
  <si>
    <t>Planteprøver</t>
  </si>
  <si>
    <t>08.06.2017</t>
  </si>
  <si>
    <t>Vejetal korrigeret, revideret N% og C%</t>
  </si>
  <si>
    <t>He 2,0 Bar</t>
  </si>
  <si>
    <t>Rasmus LEK8</t>
  </si>
  <si>
    <t>Resultat af re-analyse den 28.6</t>
  </si>
  <si>
    <t>Rasmus LEK9</t>
  </si>
  <si>
    <t>Rasmus LEK10</t>
  </si>
  <si>
    <t>Rasmus LEK11</t>
  </si>
  <si>
    <t>Rasmus LEK12</t>
  </si>
  <si>
    <t>Rasmus LEK13</t>
  </si>
  <si>
    <t>OSAVI</t>
  </si>
  <si>
    <t>Green</t>
  </si>
  <si>
    <t>Red</t>
  </si>
  <si>
    <t>Rededge</t>
  </si>
  <si>
    <t>Nir</t>
  </si>
  <si>
    <t>Roots total excl HT</t>
  </si>
  <si>
    <t>Roots total incl HT</t>
  </si>
  <si>
    <t>NO3 &gt;0 (µg/L)</t>
  </si>
  <si>
    <t>NH4 &gt;0 (µg/L)</t>
  </si>
  <si>
    <t>TOC &gt;0 (mg/L)</t>
  </si>
  <si>
    <t>TN &gt;0 (mg/L)</t>
  </si>
  <si>
    <t>Raw ref</t>
  </si>
  <si>
    <t>P  g/m3 (mean cultural, surface natural)</t>
  </si>
  <si>
    <t>depth</t>
  </si>
  <si>
    <t>P  g/m3 (depth integrated 35 cm cultural, 5 cm natural)</t>
  </si>
  <si>
    <t>P  g/m3 depth integrated 35 cm</t>
  </si>
  <si>
    <t>P  g/m3 depth integrated 10 cm</t>
  </si>
  <si>
    <t>35 cm pool</t>
  </si>
  <si>
    <t>10 cm pool</t>
  </si>
  <si>
    <t>cultural mean, natural surface</t>
  </si>
  <si>
    <t>NO3  g/m3 depth integrated 35 cm</t>
  </si>
  <si>
    <t>NH4  g/m3 depth integrated 35 cm</t>
  </si>
  <si>
    <t>P</t>
  </si>
  <si>
    <t>NH</t>
  </si>
  <si>
    <t>biomass/LAI pred all. P,NO3,NH4 10cm conc. Gapf.</t>
  </si>
  <si>
    <t>weights</t>
  </si>
  <si>
    <t>weights %</t>
  </si>
  <si>
    <t>R2</t>
  </si>
  <si>
    <t>biomass/LAI pred pr site. P,NO3,NH4 10cm conc. Gapf.</t>
  </si>
  <si>
    <t>biomass/LAI pred all. P,NO3,NH4 10cm pool. Gapf.</t>
  </si>
  <si>
    <t>biomass/LAI pred pr site. P,NO3,NH4 10cm pool. Gapf.</t>
  </si>
  <si>
    <t>Qoonoq</t>
  </si>
  <si>
    <t>soil mois</t>
  </si>
  <si>
    <t>total C%</t>
  </si>
  <si>
    <t>Re-analyse 16.8.2017; d13C høj?</t>
  </si>
  <si>
    <t>Re-analyse 16.8.2017</t>
  </si>
  <si>
    <t>SK10</t>
  </si>
  <si>
    <t>SK14</t>
  </si>
  <si>
    <t>SK18</t>
  </si>
  <si>
    <t>SK22</t>
  </si>
  <si>
    <t>SN10</t>
  </si>
  <si>
    <t>SN14</t>
  </si>
  <si>
    <t>SN22</t>
  </si>
  <si>
    <t>IK10</t>
  </si>
  <si>
    <t>IK11</t>
  </si>
  <si>
    <t>IK12</t>
  </si>
  <si>
    <t>bulk</t>
  </si>
  <si>
    <t>EK7</t>
  </si>
  <si>
    <t>bulk (kan vi få vol ud?)</t>
  </si>
  <si>
    <t>pH 4</t>
  </si>
  <si>
    <t>pH 9</t>
  </si>
  <si>
    <t>refpaper13(3stk)</t>
  </si>
  <si>
    <t>Sk2</t>
  </si>
  <si>
    <t>refpaper14(3stk)</t>
  </si>
  <si>
    <t>refpaper15(3stk)</t>
  </si>
  <si>
    <t>refpaper16(3stk)</t>
  </si>
  <si>
    <t>Måtte bruge EK7B på dette, da A målingen ikke var blevet noteret og derfor ubrugelig</t>
  </si>
  <si>
    <t>meget jord</t>
  </si>
  <si>
    <t>for meget jord til at måle</t>
  </si>
  <si>
    <t>blank</t>
  </si>
  <si>
    <t>ny flaske</t>
  </si>
  <si>
    <t>Nød A</t>
  </si>
  <si>
    <t>SN19</t>
  </si>
  <si>
    <t>str nok som SN18 i de gamle prøver</t>
  </si>
  <si>
    <t>nok jord</t>
  </si>
  <si>
    <t>lidt jord</t>
  </si>
  <si>
    <t>fra 2016</t>
  </si>
  <si>
    <t>A jord oveni 2017</t>
  </si>
  <si>
    <t>Graminoids</t>
  </si>
  <si>
    <t>Forbs</t>
  </si>
  <si>
    <t>Correction 2</t>
  </si>
  <si>
    <t>Wet analysis all (merge of Wet analysis 2016 and Wet analysis 2017)</t>
  </si>
  <si>
    <t>data from 2017</t>
  </si>
  <si>
    <t>rest is from 2016</t>
  </si>
  <si>
    <t>Iffiatarfik</t>
  </si>
  <si>
    <t>NB: not correct now</t>
  </si>
  <si>
    <t>Roots total excl HT (g/100 cm3)</t>
  </si>
  <si>
    <t>Roots total excl HT (kg/m3)</t>
  </si>
  <si>
    <t>Roots total incl HT (g/100 cm3)</t>
  </si>
  <si>
    <t>Roots total incl HT (kg/m3)</t>
  </si>
  <si>
    <t>Halvdelen tørret</t>
  </si>
  <si>
    <t>Ingen prøve</t>
  </si>
  <si>
    <t>Det hel tørret</t>
  </si>
  <si>
    <t>ikke nok</t>
  </si>
  <si>
    <t>mangler</t>
  </si>
  <si>
    <t>Standards</t>
  </si>
  <si>
    <t>conc</t>
  </si>
  <si>
    <t>abs</t>
  </si>
  <si>
    <t>samples</t>
  </si>
  <si>
    <t>name</t>
  </si>
  <si>
    <t>p1</t>
  </si>
  <si>
    <t>p2</t>
  </si>
  <si>
    <t>p3</t>
  </si>
  <si>
    <t>p4</t>
  </si>
  <si>
    <t>kul</t>
  </si>
  <si>
    <t>p5</t>
  </si>
  <si>
    <t>s1</t>
  </si>
  <si>
    <t>s2</t>
  </si>
  <si>
    <t>s3</t>
  </si>
  <si>
    <t>s4</t>
  </si>
  <si>
    <t>kul i gram</t>
  </si>
  <si>
    <t>jord i gram</t>
  </si>
  <si>
    <t>Bøtte 1 fra tidligere måling</t>
  </si>
  <si>
    <t>conc / gr jord</t>
  </si>
  <si>
    <t>conc tilskrevet kul</t>
  </si>
  <si>
    <t>conc tilskrevet jord</t>
  </si>
  <si>
    <t>note</t>
  </si>
  <si>
    <t>der er 2 poser tørret</t>
  </si>
  <si>
    <t>flere poser</t>
  </si>
  <si>
    <t>Jord</t>
  </si>
  <si>
    <t>Sand</t>
  </si>
  <si>
    <t>Indsendt</t>
  </si>
  <si>
    <t>replikater</t>
  </si>
  <si>
    <t>SK1-2017</t>
  </si>
  <si>
    <t>SK2-2017</t>
  </si>
  <si>
    <t>SK5-2017</t>
  </si>
  <si>
    <t>SK6-2017</t>
  </si>
  <si>
    <t>SK9-2017</t>
  </si>
  <si>
    <t>SK10-2017</t>
  </si>
  <si>
    <t>SK13-2017</t>
  </si>
  <si>
    <t>SK14-2017</t>
  </si>
  <si>
    <t>SK17-2017</t>
  </si>
  <si>
    <t>SK18-2017</t>
  </si>
  <si>
    <t>SK21-2017</t>
  </si>
  <si>
    <t>SK22-2017</t>
  </si>
  <si>
    <t>SN1-2017</t>
  </si>
  <si>
    <t>SN2-2017</t>
  </si>
  <si>
    <t>SN5-2017</t>
  </si>
  <si>
    <t>SN6-2017</t>
  </si>
  <si>
    <t>SN9-2017</t>
  </si>
  <si>
    <t>SN10-2017</t>
  </si>
  <si>
    <t>SN13-2017</t>
  </si>
  <si>
    <t>SN14-2017</t>
  </si>
  <si>
    <t>SN17-2017</t>
  </si>
  <si>
    <t>SN18-2017</t>
  </si>
  <si>
    <t>SN21-2017</t>
  </si>
  <si>
    <t>SN22-2017</t>
  </si>
  <si>
    <t>IK9-2017</t>
  </si>
  <si>
    <t>IK10-2017</t>
  </si>
  <si>
    <t>IK11-2017</t>
  </si>
  <si>
    <t>IK12-2017</t>
  </si>
  <si>
    <t>EK5-2017</t>
  </si>
  <si>
    <t>EK6-2017</t>
  </si>
  <si>
    <t>EK7-2017</t>
  </si>
  <si>
    <t>EK21-2017</t>
  </si>
  <si>
    <t>KK5-2017</t>
  </si>
  <si>
    <t>KK9-2017</t>
  </si>
  <si>
    <t>KK10-2017</t>
  </si>
  <si>
    <t>KK17-2017</t>
  </si>
  <si>
    <t>Resultat mg/100g</t>
  </si>
  <si>
    <t>Resulat korrigeret for jord/sand, mg/100g</t>
  </si>
  <si>
    <t>mg/g</t>
  </si>
  <si>
    <t>Horsetail (kg/m3)</t>
  </si>
  <si>
    <t>gapfilled from other observations</t>
  </si>
  <si>
    <t>PC#1</t>
  </si>
  <si>
    <t>PC#2</t>
  </si>
  <si>
    <t>PC#3</t>
  </si>
  <si>
    <t>PC#4</t>
  </si>
  <si>
    <t>PC#5</t>
  </si>
  <si>
    <t>PC#6</t>
  </si>
  <si>
    <t>Principal component analysis</t>
  </si>
  <si>
    <t>Roots &lt; 1mm</t>
  </si>
  <si>
    <t>Biomass kg/m2</t>
  </si>
  <si>
    <t>Total water. Equals vol% as there is room for 100 g water in a 100 cm3 sample</t>
  </si>
  <si>
    <t>Total water. Equals vol% as there is room for 100 g water in a 100 cm3 sample - gapfilled</t>
  </si>
  <si>
    <t>TDN (g/m3)</t>
  </si>
  <si>
    <t>DOC (g/m3)</t>
  </si>
  <si>
    <t>TDN (mg/L)</t>
  </si>
  <si>
    <t>DOC (mg/L)</t>
  </si>
  <si>
    <t>If DOC minus blank is below 0, then values is set to 0</t>
  </si>
  <si>
    <t>DOC &gt;0 (mg/L)</t>
  </si>
  <si>
    <t>DOC (mg/mL)</t>
  </si>
  <si>
    <t>DOC (mg/sample)</t>
  </si>
  <si>
    <t>DOC (mg/g DW)</t>
  </si>
  <si>
    <t>DOC (mg/cm3)</t>
  </si>
  <si>
    <t>DOC Mean of other samples (same size, depth, type)</t>
  </si>
  <si>
    <t>TDN Mean of other samples (same size, depth, type)</t>
  </si>
  <si>
    <t>If TDN minus blank is below 0, then values is set to 0</t>
  </si>
  <si>
    <t>TDN &gt;0 (mg/L)</t>
  </si>
  <si>
    <t>TDN (mg/mL)</t>
  </si>
  <si>
    <t>TDN (mg/sample)</t>
  </si>
  <si>
    <t>TDN (mg/g DW)</t>
  </si>
  <si>
    <t>TDN (mg/cm3)</t>
  </si>
  <si>
    <t>pH</t>
  </si>
  <si>
    <t>Sum plant cover</t>
  </si>
  <si>
    <t>SUM</t>
  </si>
  <si>
    <t>Standard error Plant cover %</t>
  </si>
  <si>
    <t>P g/m2 in 5 cm</t>
  </si>
  <si>
    <t>NO3 g/m2 in 5 cm</t>
  </si>
  <si>
    <t>NH4 g/m2 in 5 cm</t>
  </si>
  <si>
    <t>Roots total incl HT kg/m2 in 5 cm</t>
  </si>
  <si>
    <t>DOC (g/m2) in 5 cm</t>
  </si>
  <si>
    <t>TDN (g/m2) in 5 cm</t>
  </si>
  <si>
    <t>DON (g/m2) in 5 cm</t>
  </si>
  <si>
    <t>Graminoids including leymus</t>
  </si>
  <si>
    <t>Total percent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</si>
</sst>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[$-F400]h:mm:ss\ AM/PM"/>
    <numFmt numFmtId="167" formatCode="hh:mm:ss;@"/>
    <numFmt numFmtId="168" formatCode="0.0"/>
  </numFmts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b/>
      <sz val="10"/>
      <name val="Symbol"/>
      <family val="1"/>
      <charset val="2"/>
    </font>
    <font>
      <b/>
      <vertAlign val="superscript"/>
      <sz val="10"/>
      <name val="MS Sans Serif"/>
      <family val="2"/>
    </font>
    <font>
      <b/>
      <sz val="10"/>
      <name val="Calibri"/>
      <family val="2"/>
    </font>
    <font>
      <sz val="10"/>
      <color rgb="FFFF0000"/>
      <name val="MS Sans Serif"/>
      <family val="2"/>
    </font>
    <font>
      <i/>
      <sz val="10"/>
      <name val="MS Sans Serif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30">
    <xf numFmtId="0" fontId="0" fillId="0" borderId="0"/>
    <xf numFmtId="0" fontId="4" fillId="0" borderId="0"/>
    <xf numFmtId="0" fontId="1" fillId="0" borderId="0"/>
    <xf numFmtId="0" fontId="6" fillId="7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69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0" fillId="0" borderId="2" xfId="0" applyFill="1" applyBorder="1"/>
    <xf numFmtId="0" fontId="0" fillId="0" borderId="0" xfId="0" applyBorder="1"/>
    <xf numFmtId="0" fontId="0" fillId="0" borderId="0" xfId="0" applyFont="1"/>
    <xf numFmtId="0" fontId="0" fillId="0" borderId="2" xfId="0" applyFont="1" applyBorder="1"/>
    <xf numFmtId="0" fontId="0" fillId="0" borderId="1" xfId="0" applyFill="1" applyBorder="1"/>
    <xf numFmtId="0" fontId="0" fillId="0" borderId="3" xfId="0" applyFill="1" applyBorder="1"/>
    <xf numFmtId="16" fontId="0" fillId="0" borderId="0" xfId="0" applyNumberFormat="1"/>
    <xf numFmtId="17" fontId="0" fillId="0" borderId="0" xfId="0" applyNumberFormat="1"/>
    <xf numFmtId="0" fontId="0" fillId="2" borderId="0" xfId="0" applyFill="1"/>
    <xf numFmtId="0" fontId="0" fillId="2" borderId="2" xfId="0" applyFill="1" applyBorder="1"/>
    <xf numFmtId="0" fontId="0" fillId="2" borderId="0" xfId="0" applyFill="1" applyBorder="1"/>
    <xf numFmtId="0" fontId="2" fillId="0" borderId="0" xfId="0" applyFont="1" applyBorder="1"/>
    <xf numFmtId="0" fontId="3" fillId="0" borderId="0" xfId="0" applyFont="1"/>
    <xf numFmtId="0" fontId="3" fillId="0" borderId="0" xfId="0" applyFont="1" applyBorder="1"/>
    <xf numFmtId="0" fontId="3" fillId="0" borderId="1" xfId="0" applyFont="1" applyBorder="1"/>
    <xf numFmtId="0" fontId="0" fillId="0" borderId="0" xfId="0" applyFont="1" applyBorder="1"/>
    <xf numFmtId="0" fontId="0" fillId="0" borderId="1" xfId="0" applyFont="1" applyBorder="1"/>
    <xf numFmtId="14" fontId="0" fillId="0" borderId="0" xfId="0" applyNumberFormat="1"/>
    <xf numFmtId="14" fontId="0" fillId="0" borderId="1" xfId="0" applyNumberFormat="1" applyBorder="1"/>
    <xf numFmtId="14" fontId="0" fillId="0" borderId="0" xfId="0" applyNumberFormat="1" applyBorder="1"/>
    <xf numFmtId="14" fontId="0" fillId="0" borderId="3" xfId="0" applyNumberFormat="1" applyBorder="1"/>
    <xf numFmtId="164" fontId="3" fillId="0" borderId="0" xfId="0" applyNumberFormat="1" applyFont="1"/>
    <xf numFmtId="164" fontId="0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164" fontId="0" fillId="0" borderId="2" xfId="0" applyNumberFormat="1" applyBorder="1"/>
    <xf numFmtId="2" fontId="3" fillId="0" borderId="0" xfId="0" applyNumberFormat="1" applyFont="1" applyBorder="1"/>
    <xf numFmtId="2" fontId="0" fillId="0" borderId="0" xfId="0" applyNumberFormat="1" applyFont="1" applyBorder="1"/>
    <xf numFmtId="2" fontId="2" fillId="0" borderId="0" xfId="0" applyNumberFormat="1" applyFont="1" applyBorder="1"/>
    <xf numFmtId="2" fontId="0" fillId="0" borderId="0" xfId="0" applyNumberFormat="1" applyBorder="1"/>
    <xf numFmtId="2" fontId="0" fillId="0" borderId="2" xfId="0" applyNumberFormat="1" applyBorder="1"/>
    <xf numFmtId="2" fontId="0" fillId="0" borderId="0" xfId="0" applyNumberFormat="1" applyFill="1" applyBorder="1"/>
    <xf numFmtId="2" fontId="3" fillId="0" borderId="1" xfId="0" applyNumberFormat="1" applyFont="1" applyBorder="1"/>
    <xf numFmtId="2" fontId="0" fillId="0" borderId="1" xfId="0" applyNumberFormat="1" applyFont="1" applyBorder="1"/>
    <xf numFmtId="2" fontId="2" fillId="0" borderId="1" xfId="0" applyNumberFormat="1" applyFont="1" applyBorder="1"/>
    <xf numFmtId="2" fontId="0" fillId="0" borderId="1" xfId="0" applyNumberFormat="1" applyBorder="1"/>
    <xf numFmtId="2" fontId="0" fillId="0" borderId="3" xfId="0" applyNumberFormat="1" applyBorder="1"/>
    <xf numFmtId="2" fontId="0" fillId="0" borderId="0" xfId="0" applyNumberFormat="1"/>
    <xf numFmtId="2" fontId="3" fillId="0" borderId="0" xfId="0" applyNumberFormat="1" applyFont="1"/>
    <xf numFmtId="2" fontId="0" fillId="0" borderId="0" xfId="0" applyNumberFormat="1" applyFont="1"/>
    <xf numFmtId="2" fontId="2" fillId="0" borderId="0" xfId="0" applyNumberFormat="1" applyFont="1"/>
    <xf numFmtId="14" fontId="0" fillId="0" borderId="2" xfId="0" applyNumberFormat="1" applyBorder="1"/>
    <xf numFmtId="0" fontId="2" fillId="0" borderId="0" xfId="0" applyNumberFormat="1" applyFont="1"/>
    <xf numFmtId="0" fontId="0" fillId="0" borderId="0" xfId="0" applyNumberFormat="1"/>
    <xf numFmtId="164" fontId="0" fillId="0" borderId="0" xfId="0" applyNumberFormat="1" applyBorder="1"/>
    <xf numFmtId="1" fontId="0" fillId="0" borderId="0" xfId="0" applyNumberFormat="1"/>
    <xf numFmtId="0" fontId="0" fillId="0" borderId="5" xfId="0" applyBorder="1"/>
    <xf numFmtId="165" fontId="0" fillId="0" borderId="5" xfId="0" applyNumberFormat="1" applyBorder="1"/>
    <xf numFmtId="165" fontId="0" fillId="0" borderId="0" xfId="0" applyNumberFormat="1" applyBorder="1"/>
    <xf numFmtId="0" fontId="2" fillId="0" borderId="2" xfId="0" applyFont="1" applyBorder="1"/>
    <xf numFmtId="0" fontId="2" fillId="0" borderId="3" xfId="0" applyFont="1" applyBorder="1"/>
    <xf numFmtId="0" fontId="0" fillId="0" borderId="6" xfId="0" applyBorder="1"/>
    <xf numFmtId="0" fontId="0" fillId="0" borderId="0" xfId="0" applyFill="1"/>
    <xf numFmtId="1" fontId="2" fillId="0" borderId="0" xfId="0" applyNumberFormat="1" applyFont="1"/>
    <xf numFmtId="0" fontId="2" fillId="0" borderId="0" xfId="0" applyFont="1" applyFill="1" applyBorder="1"/>
    <xf numFmtId="2" fontId="0" fillId="0" borderId="1" xfId="0" applyNumberFormat="1" applyFill="1" applyBorder="1"/>
    <xf numFmtId="2" fontId="0" fillId="0" borderId="0" xfId="0" applyNumberFormat="1" applyFill="1"/>
    <xf numFmtId="0" fontId="0" fillId="0" borderId="7" xfId="0" applyFill="1" applyBorder="1"/>
    <xf numFmtId="0" fontId="0" fillId="0" borderId="7" xfId="0" applyBorder="1"/>
    <xf numFmtId="0" fontId="0" fillId="0" borderId="4" xfId="0" applyBorder="1"/>
    <xf numFmtId="14" fontId="0" fillId="0" borderId="0" xfId="0" applyNumberFormat="1" applyFill="1"/>
    <xf numFmtId="14" fontId="0" fillId="0" borderId="0" xfId="0" applyNumberFormat="1" applyFill="1" applyBorder="1"/>
    <xf numFmtId="14" fontId="0" fillId="0" borderId="1" xfId="0" applyNumberFormat="1" applyFill="1" applyBorder="1"/>
    <xf numFmtId="0" fontId="2" fillId="4" borderId="2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2" fontId="2" fillId="3" borderId="2" xfId="0" applyNumberFormat="1" applyFont="1" applyFill="1" applyBorder="1"/>
    <xf numFmtId="2" fontId="2" fillId="3" borderId="3" xfId="0" applyNumberFormat="1" applyFont="1" applyFill="1" applyBorder="1"/>
    <xf numFmtId="0" fontId="2" fillId="3" borderId="4" xfId="0" applyFont="1" applyFill="1" applyBorder="1"/>
    <xf numFmtId="14" fontId="2" fillId="3" borderId="2" xfId="0" applyNumberFormat="1" applyFont="1" applyFill="1" applyBorder="1"/>
    <xf numFmtId="2" fontId="0" fillId="0" borderId="8" xfId="0" applyNumberFormat="1" applyBorder="1"/>
    <xf numFmtId="164" fontId="0" fillId="0" borderId="0" xfId="0" quotePrefix="1" applyNumberFormat="1"/>
    <xf numFmtId="0" fontId="4" fillId="0" borderId="0" xfId="1"/>
    <xf numFmtId="0" fontId="4" fillId="0" borderId="1" xfId="1" applyBorder="1"/>
    <xf numFmtId="0" fontId="4" fillId="0" borderId="2" xfId="1" applyBorder="1"/>
    <xf numFmtId="0" fontId="4" fillId="0" borderId="3" xfId="1" applyBorder="1"/>
    <xf numFmtId="0" fontId="4" fillId="0" borderId="0" xfId="1" applyBorder="1"/>
    <xf numFmtId="0" fontId="4" fillId="0" borderId="0" xfId="1" applyFill="1" applyBorder="1"/>
    <xf numFmtId="0" fontId="4" fillId="0" borderId="1" xfId="1" applyFill="1" applyBorder="1"/>
    <xf numFmtId="0" fontId="3" fillId="0" borderId="0" xfId="1" applyFont="1"/>
    <xf numFmtId="0" fontId="2" fillId="3" borderId="0" xfId="1" applyFont="1" applyFill="1"/>
    <xf numFmtId="0" fontId="2" fillId="3" borderId="1" xfId="1" applyFont="1" applyFill="1" applyBorder="1"/>
    <xf numFmtId="0" fontId="2" fillId="3" borderId="0" xfId="1" applyFont="1" applyFill="1" applyBorder="1"/>
    <xf numFmtId="1" fontId="3" fillId="0" borderId="0" xfId="0" applyNumberFormat="1" applyFont="1" applyBorder="1"/>
    <xf numFmtId="1" fontId="0" fillId="0" borderId="0" xfId="0" applyNumberFormat="1" applyFont="1" applyBorder="1"/>
    <xf numFmtId="1" fontId="2" fillId="0" borderId="0" xfId="0" applyNumberFormat="1" applyFont="1" applyBorder="1"/>
    <xf numFmtId="1" fontId="0" fillId="0" borderId="0" xfId="0" applyNumberFormat="1" applyFill="1" applyBorder="1"/>
    <xf numFmtId="1" fontId="0" fillId="0" borderId="0" xfId="0" applyNumberFormat="1" applyBorder="1"/>
    <xf numFmtId="1" fontId="0" fillId="0" borderId="2" xfId="0" applyNumberFormat="1" applyBorder="1"/>
    <xf numFmtId="1" fontId="0" fillId="0" borderId="1" xfId="0" applyNumberFormat="1" applyBorder="1"/>
    <xf numFmtId="165" fontId="3" fillId="0" borderId="0" xfId="0" applyNumberFormat="1" applyFont="1"/>
    <xf numFmtId="165" fontId="2" fillId="0" borderId="6" xfId="0" applyNumberFormat="1" applyFont="1" applyBorder="1"/>
    <xf numFmtId="165" fontId="2" fillId="0" borderId="2" xfId="0" applyNumberFormat="1" applyFont="1" applyBorder="1"/>
    <xf numFmtId="165" fontId="0" fillId="0" borderId="0" xfId="0" applyNumberFormat="1" applyFill="1" applyBorder="1"/>
    <xf numFmtId="165" fontId="0" fillId="0" borderId="6" xfId="0" applyNumberFormat="1" applyBorder="1"/>
    <xf numFmtId="165" fontId="0" fillId="0" borderId="2" xfId="0" applyNumberFormat="1" applyBorder="1"/>
    <xf numFmtId="165" fontId="0" fillId="0" borderId="2" xfId="0" applyNumberFormat="1" applyFill="1" applyBorder="1"/>
    <xf numFmtId="165" fontId="0" fillId="0" borderId="0" xfId="0" applyNumberFormat="1"/>
    <xf numFmtId="164" fontId="0" fillId="0" borderId="1" xfId="0" applyNumberFormat="1" applyBorder="1"/>
    <xf numFmtId="165" fontId="2" fillId="0" borderId="0" xfId="0" applyNumberFormat="1" applyFont="1"/>
    <xf numFmtId="0" fontId="5" fillId="0" borderId="0" xfId="0" applyFont="1"/>
    <xf numFmtId="0" fontId="2" fillId="0" borderId="1" xfId="0" applyFont="1" applyFill="1" applyBorder="1"/>
    <xf numFmtId="0" fontId="0" fillId="5" borderId="1" xfId="0" applyFill="1" applyBorder="1"/>
    <xf numFmtId="0" fontId="0" fillId="6" borderId="0" xfId="0" applyFill="1"/>
    <xf numFmtId="0" fontId="0" fillId="6" borderId="0" xfId="0" applyFill="1" applyBorder="1"/>
    <xf numFmtId="0" fontId="0" fillId="6" borderId="1" xfId="0" applyFill="1" applyBorder="1"/>
    <xf numFmtId="14" fontId="0" fillId="6" borderId="0" xfId="0" applyNumberFormat="1" applyFill="1" applyBorder="1"/>
    <xf numFmtId="1" fontId="0" fillId="6" borderId="0" xfId="0" applyNumberFormat="1" applyFill="1" applyBorder="1"/>
    <xf numFmtId="2" fontId="0" fillId="6" borderId="0" xfId="0" applyNumberFormat="1" applyFill="1"/>
    <xf numFmtId="165" fontId="0" fillId="6" borderId="0" xfId="0" applyNumberFormat="1" applyFill="1"/>
    <xf numFmtId="164" fontId="0" fillId="6" borderId="0" xfId="0" applyNumberFormat="1" applyFill="1"/>
    <xf numFmtId="14" fontId="2" fillId="0" borderId="0" xfId="0" applyNumberFormat="1" applyFont="1"/>
    <xf numFmtId="0" fontId="7" fillId="0" borderId="0" xfId="0" applyFont="1" applyAlignment="1">
      <alignment vertical="center"/>
    </xf>
    <xf numFmtId="2" fontId="7" fillId="0" borderId="0" xfId="0" applyNumberFormat="1" applyFont="1" applyAlignment="1">
      <alignment vertical="center"/>
    </xf>
    <xf numFmtId="14" fontId="7" fillId="0" borderId="0" xfId="0" applyNumberFormat="1" applyFont="1" applyAlignment="1">
      <alignment vertical="center"/>
    </xf>
    <xf numFmtId="166" fontId="0" fillId="0" borderId="0" xfId="0" applyNumberFormat="1"/>
    <xf numFmtId="166" fontId="7" fillId="0" borderId="0" xfId="0" applyNumberFormat="1" applyFont="1" applyAlignment="1">
      <alignment vertical="center"/>
    </xf>
    <xf numFmtId="167" fontId="0" fillId="0" borderId="0" xfId="0" applyNumberFormat="1"/>
    <xf numFmtId="0" fontId="5" fillId="0" borderId="1" xfId="0" applyFont="1" applyBorder="1"/>
    <xf numFmtId="164" fontId="5" fillId="0" borderId="0" xfId="0" applyNumberFormat="1" applyFont="1"/>
    <xf numFmtId="164" fontId="5" fillId="0" borderId="1" xfId="0" applyNumberFormat="1" applyFont="1" applyBorder="1"/>
    <xf numFmtId="0" fontId="5" fillId="0" borderId="0" xfId="0" applyFont="1" applyFill="1"/>
    <xf numFmtId="0" fontId="0" fillId="0" borderId="2" xfId="0" applyNumberFormat="1" applyBorder="1"/>
    <xf numFmtId="164" fontId="3" fillId="0" borderId="0" xfId="0" applyNumberFormat="1" applyFont="1" applyBorder="1"/>
    <xf numFmtId="164" fontId="3" fillId="0" borderId="1" xfId="0" applyNumberFormat="1" applyFont="1" applyBorder="1"/>
    <xf numFmtId="164" fontId="0" fillId="0" borderId="0" xfId="0" applyNumberFormat="1" applyFont="1" applyBorder="1"/>
    <xf numFmtId="164" fontId="0" fillId="0" borderId="1" xfId="0" applyNumberFormat="1" applyFont="1" applyBorder="1"/>
    <xf numFmtId="0" fontId="2" fillId="0" borderId="0" xfId="0" applyFont="1" applyFill="1"/>
    <xf numFmtId="165" fontId="0" fillId="0" borderId="0" xfId="0" applyNumberFormat="1" applyFill="1"/>
    <xf numFmtId="0" fontId="0" fillId="5" borderId="0" xfId="0" applyFill="1" applyBorder="1"/>
    <xf numFmtId="0" fontId="0" fillId="8" borderId="0" xfId="0" applyFill="1" applyBorder="1"/>
    <xf numFmtId="0" fontId="2" fillId="0" borderId="0" xfId="3" applyFont="1" applyFill="1" applyBorder="1"/>
    <xf numFmtId="164" fontId="2" fillId="0" borderId="1" xfId="0" applyNumberFormat="1" applyFont="1" applyBorder="1"/>
    <xf numFmtId="164" fontId="2" fillId="0" borderId="0" xfId="0" applyNumberFormat="1" applyFont="1" applyBorder="1"/>
    <xf numFmtId="0" fontId="10" fillId="0" borderId="0" xfId="3" applyFont="1" applyFill="1" applyBorder="1"/>
    <xf numFmtId="0" fontId="11" fillId="0" borderId="0" xfId="3" applyFont="1" applyFill="1" applyBorder="1"/>
    <xf numFmtId="0" fontId="2" fillId="0" borderId="1" xfId="3" applyFont="1" applyFill="1" applyBorder="1"/>
    <xf numFmtId="0" fontId="0" fillId="0" borderId="0" xfId="0" applyFont="1" applyFill="1"/>
    <xf numFmtId="0" fontId="0" fillId="0" borderId="0" xfId="0" applyFont="1" applyFill="1" applyBorder="1"/>
    <xf numFmtId="1" fontId="2" fillId="0" borderId="0" xfId="3" applyNumberFormat="1" applyFont="1" applyFill="1" applyBorder="1"/>
    <xf numFmtId="1" fontId="2" fillId="0" borderId="0" xfId="0" applyNumberFormat="1" applyFont="1" applyFill="1"/>
    <xf numFmtId="164" fontId="2" fillId="0" borderId="0" xfId="0" applyNumberFormat="1" applyFont="1" applyFill="1" applyBorder="1"/>
    <xf numFmtId="0" fontId="10" fillId="0" borderId="1" xfId="3" applyFont="1" applyFill="1" applyBorder="1"/>
    <xf numFmtId="0" fontId="11" fillId="0" borderId="1" xfId="3" applyFont="1" applyFill="1" applyBorder="1"/>
    <xf numFmtId="164" fontId="10" fillId="0" borderId="0" xfId="3" applyNumberFormat="1" applyFont="1" applyFill="1" applyBorder="1"/>
    <xf numFmtId="0" fontId="2" fillId="0" borderId="0" xfId="0" quotePrefix="1" applyFont="1"/>
    <xf numFmtId="0" fontId="0" fillId="0" borderId="0" xfId="0" quotePrefix="1" applyNumberFormat="1" applyFill="1"/>
    <xf numFmtId="2" fontId="0" fillId="0" borderId="0" xfId="0" quotePrefix="1" applyNumberFormat="1" applyAlignment="1">
      <alignment horizontal="center"/>
    </xf>
    <xf numFmtId="168" fontId="0" fillId="0" borderId="0" xfId="0" quotePrefix="1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12" fillId="0" borderId="0" xfId="0" quotePrefix="1" applyNumberFormat="1" applyFont="1" applyFill="1"/>
    <xf numFmtId="168" fontId="0" fillId="0" borderId="0" xfId="0" applyNumberFormat="1"/>
    <xf numFmtId="168" fontId="0" fillId="0" borderId="1" xfId="0" applyNumberFormat="1" applyBorder="1"/>
    <xf numFmtId="49" fontId="0" fillId="0" borderId="0" xfId="0" applyNumberFormat="1"/>
    <xf numFmtId="0" fontId="13" fillId="9" borderId="0" xfId="0" quotePrefix="1" applyNumberFormat="1" applyFont="1" applyFill="1"/>
    <xf numFmtId="0" fontId="13" fillId="9" borderId="0" xfId="0" applyNumberFormat="1" applyFont="1" applyFill="1"/>
    <xf numFmtId="0" fontId="0" fillId="0" borderId="0" xfId="0" quotePrefix="1" applyNumberFormat="1"/>
    <xf numFmtId="0" fontId="12" fillId="0" borderId="0" xfId="0" quotePrefix="1" applyNumberFormat="1" applyFont="1"/>
    <xf numFmtId="0" fontId="0" fillId="8" borderId="0" xfId="0" quotePrefix="1" applyNumberFormat="1" applyFill="1"/>
    <xf numFmtId="0" fontId="0" fillId="8" borderId="0" xfId="0" applyFill="1"/>
    <xf numFmtId="2" fontId="0" fillId="0" borderId="0" xfId="0" applyNumberFormat="1" applyAlignment="1"/>
    <xf numFmtId="2" fontId="0" fillId="0" borderId="0" xfId="0" applyNumberFormat="1" applyFill="1" applyAlignment="1"/>
    <xf numFmtId="2" fontId="0" fillId="8" borderId="0" xfId="0" applyNumberFormat="1" applyFill="1" applyAlignment="1"/>
    <xf numFmtId="2" fontId="0" fillId="0" borderId="0" xfId="0" quotePrefix="1" applyNumberFormat="1" applyAlignment="1"/>
    <xf numFmtId="2" fontId="0" fillId="0" borderId="0" xfId="0" quotePrefix="1" applyNumberFormat="1" applyFill="1" applyAlignment="1"/>
    <xf numFmtId="2" fontId="0" fillId="8" borderId="0" xfId="0" quotePrefix="1" applyNumberFormat="1" applyFill="1" applyAlignment="1"/>
    <xf numFmtId="0" fontId="0" fillId="0" borderId="0" xfId="0" applyAlignment="1"/>
    <xf numFmtId="0" fontId="4" fillId="0" borderId="1" xfId="3" applyFont="1" applyFill="1" applyBorder="1"/>
    <xf numFmtId="0" fontId="4" fillId="0" borderId="0" xfId="3" applyFont="1" applyFill="1" applyBorder="1"/>
    <xf numFmtId="0" fontId="5" fillId="0" borderId="0" xfId="3" applyFont="1" applyFill="1" applyBorder="1"/>
    <xf numFmtId="164" fontId="4" fillId="0" borderId="0" xfId="3" applyNumberFormat="1" applyFont="1" applyFill="1" applyBorder="1"/>
    <xf numFmtId="2" fontId="0" fillId="0" borderId="0" xfId="0" quotePrefix="1" applyNumberFormat="1"/>
    <xf numFmtId="2" fontId="0" fillId="8" borderId="0" xfId="0" quotePrefix="1" applyNumberFormat="1" applyFill="1"/>
    <xf numFmtId="2" fontId="0" fillId="0" borderId="0" xfId="0" quotePrefix="1" applyNumberFormat="1" applyFill="1"/>
    <xf numFmtId="0" fontId="17" fillId="0" borderId="0" xfId="0" applyFont="1" applyFill="1"/>
    <xf numFmtId="2" fontId="0" fillId="6" borderId="0" xfId="0" quotePrefix="1" applyNumberFormat="1" applyFill="1" applyAlignment="1">
      <alignment horizontal="center"/>
    </xf>
    <xf numFmtId="0" fontId="0" fillId="6" borderId="0" xfId="0" quotePrefix="1" applyNumberFormat="1" applyFill="1"/>
    <xf numFmtId="0" fontId="18" fillId="6" borderId="0" xfId="0" quotePrefix="1" applyNumberFormat="1" applyFont="1" applyFill="1"/>
    <xf numFmtId="0" fontId="18" fillId="6" borderId="0" xfId="0" applyFont="1" applyFill="1"/>
    <xf numFmtId="168" fontId="0" fillId="6" borderId="0" xfId="0" quotePrefix="1" applyNumberFormat="1" applyFill="1" applyAlignment="1">
      <alignment horizontal="center"/>
    </xf>
    <xf numFmtId="168" fontId="0" fillId="6" borderId="0" xfId="0" applyNumberFormat="1" applyFill="1" applyAlignment="1">
      <alignment horizontal="center"/>
    </xf>
    <xf numFmtId="0" fontId="12" fillId="6" borderId="0" xfId="0" applyFont="1" applyFill="1"/>
    <xf numFmtId="2" fontId="2" fillId="3" borderId="0" xfId="0" applyNumberFormat="1" applyFont="1" applyFill="1" applyBorder="1"/>
    <xf numFmtId="165" fontId="2" fillId="0" borderId="3" xfId="0" applyNumberFormat="1" applyFont="1" applyBorder="1"/>
    <xf numFmtId="0" fontId="0" fillId="0" borderId="2" xfId="0" quotePrefix="1" applyNumberFormat="1" applyFill="1" applyBorder="1"/>
    <xf numFmtId="2" fontId="0" fillId="0" borderId="2" xfId="0" quotePrefix="1" applyNumberFormat="1" applyBorder="1" applyAlignment="1">
      <alignment horizontal="center"/>
    </xf>
    <xf numFmtId="168" fontId="0" fillId="0" borderId="2" xfId="0" quotePrefix="1" applyNumberFormat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0" fontId="4" fillId="0" borderId="3" xfId="1" applyFill="1" applyBorder="1"/>
    <xf numFmtId="0" fontId="4" fillId="0" borderId="0" xfId="1" applyFill="1"/>
    <xf numFmtId="0" fontId="4" fillId="0" borderId="2" xfId="1" applyFill="1" applyBorder="1"/>
    <xf numFmtId="0" fontId="2" fillId="3" borderId="0" xfId="0" applyFont="1" applyFill="1" applyBorder="1"/>
    <xf numFmtId="0" fontId="2" fillId="3" borderId="1" xfId="0" applyFont="1" applyFill="1" applyBorder="1"/>
    <xf numFmtId="164" fontId="0" fillId="0" borderId="0" xfId="0" applyNumberFormat="1" applyFill="1"/>
    <xf numFmtId="164" fontId="0" fillId="0" borderId="0" xfId="0" applyNumberFormat="1" applyFill="1" applyBorder="1"/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10" borderId="0" xfId="1" applyFill="1"/>
    <xf numFmtId="0" fontId="4" fillId="11" borderId="0" xfId="1" applyFill="1"/>
    <xf numFmtId="0" fontId="0" fillId="12" borderId="0" xfId="0" applyFill="1" applyBorder="1"/>
    <xf numFmtId="0" fontId="0" fillId="0" borderId="0" xfId="0" applyNumberFormat="1" applyBorder="1"/>
    <xf numFmtId="0" fontId="3" fillId="0" borderId="0" xfId="0" applyFont="1" applyFill="1" applyBorder="1"/>
    <xf numFmtId="0" fontId="0" fillId="11" borderId="0" xfId="0" applyFill="1"/>
    <xf numFmtId="0" fontId="0" fillId="13" borderId="0" xfId="0" applyFill="1" applyBorder="1"/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2" fontId="19" fillId="0" borderId="0" xfId="0" applyNumberFormat="1" applyFont="1"/>
    <xf numFmtId="165" fontId="3" fillId="0" borderId="0" xfId="0" applyNumberFormat="1" applyFont="1" applyBorder="1"/>
    <xf numFmtId="165" fontId="0" fillId="0" borderId="0" xfId="0" applyNumberFormat="1" applyFont="1" applyBorder="1"/>
    <xf numFmtId="165" fontId="11" fillId="0" borderId="1" xfId="3" applyNumberFormat="1" applyFont="1" applyFill="1" applyBorder="1"/>
    <xf numFmtId="0" fontId="0" fillId="14" borderId="0" xfId="0" applyFill="1" applyBorder="1"/>
    <xf numFmtId="0" fontId="0" fillId="14" borderId="0" xfId="0" applyFill="1"/>
    <xf numFmtId="0" fontId="0" fillId="14" borderId="1" xfId="0" applyFill="1" applyBorder="1"/>
    <xf numFmtId="165" fontId="0" fillId="14" borderId="0" xfId="0" applyNumberFormat="1" applyFill="1" applyBorder="1"/>
    <xf numFmtId="164" fontId="0" fillId="14" borderId="0" xfId="0" applyNumberFormat="1" applyFill="1"/>
    <xf numFmtId="1" fontId="0" fillId="14" borderId="0" xfId="0" applyNumberFormat="1" applyFill="1"/>
    <xf numFmtId="165" fontId="0" fillId="14" borderId="0" xfId="0" applyNumberFormat="1" applyFill="1"/>
    <xf numFmtId="1" fontId="0" fillId="0" borderId="0" xfId="0" applyNumberFormat="1" applyFill="1"/>
    <xf numFmtId="0" fontId="0" fillId="0" borderId="8" xfId="0" applyBorder="1"/>
    <xf numFmtId="14" fontId="0" fillId="0" borderId="9" xfId="0" applyNumberFormat="1" applyBorder="1"/>
    <xf numFmtId="0" fontId="3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7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Fill="1" applyBorder="1" applyAlignment="1">
      <alignment horizontal="center"/>
    </xf>
    <xf numFmtId="2" fontId="0" fillId="0" borderId="0" xfId="0" applyNumberFormat="1" applyFont="1" applyAlignment="1">
      <alignment horizontal="right"/>
    </xf>
    <xf numFmtId="2" fontId="20" fillId="0" borderId="0" xfId="0" quotePrefix="1" applyNumberFormat="1" applyFont="1" applyFill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8" borderId="0" xfId="0" applyNumberFormat="1" applyFill="1" applyAlignment="1">
      <alignment horizontal="right"/>
    </xf>
    <xf numFmtId="2" fontId="0" fillId="0" borderId="0" xfId="0" applyNumberFormat="1" applyFill="1" applyAlignment="1">
      <alignment horizontal="right"/>
    </xf>
    <xf numFmtId="2" fontId="0" fillId="0" borderId="0" xfId="0" quotePrefix="1" applyNumberFormat="1" applyAlignment="1">
      <alignment horizontal="right"/>
    </xf>
    <xf numFmtId="2" fontId="0" fillId="0" borderId="0" xfId="0" quotePrefix="1" applyNumberFormat="1" applyFill="1" applyAlignment="1">
      <alignment horizontal="right"/>
    </xf>
    <xf numFmtId="2" fontId="0" fillId="8" borderId="0" xfId="0" quotePrefix="1" applyNumberFormat="1" applyFill="1" applyAlignment="1">
      <alignment horizontal="right"/>
    </xf>
    <xf numFmtId="2" fontId="13" fillId="9" borderId="0" xfId="0" quotePrefix="1" applyNumberFormat="1" applyFont="1" applyFill="1" applyAlignment="1">
      <alignment horizontal="right"/>
    </xf>
    <xf numFmtId="2" fontId="20" fillId="0" borderId="0" xfId="0" applyNumberFormat="1" applyFont="1" applyFill="1" applyBorder="1" applyAlignment="1">
      <alignment horizontal="right"/>
    </xf>
    <xf numFmtId="0" fontId="0" fillId="0" borderId="1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11" borderId="0" xfId="0" applyFill="1" applyBorder="1"/>
    <xf numFmtId="0" fontId="0" fillId="11" borderId="1" xfId="0" applyFill="1" applyBorder="1"/>
    <xf numFmtId="165" fontId="0" fillId="11" borderId="0" xfId="0" applyNumberFormat="1" applyFill="1" applyBorder="1"/>
    <xf numFmtId="0" fontId="2" fillId="3" borderId="0" xfId="0" applyFont="1" applyFill="1"/>
    <xf numFmtId="1" fontId="4" fillId="0" borderId="0" xfId="1" applyNumberFormat="1"/>
    <xf numFmtId="11" fontId="0" fillId="0" borderId="0" xfId="0" applyNumberFormat="1"/>
    <xf numFmtId="0" fontId="4" fillId="0" borderId="0" xfId="0" applyFont="1"/>
    <xf numFmtId="168" fontId="11" fillId="0" borderId="0" xfId="3" applyNumberFormat="1" applyFont="1" applyFill="1" applyBorder="1"/>
    <xf numFmtId="168" fontId="0" fillId="0" borderId="0" xfId="0" applyNumberFormat="1" applyFill="1"/>
    <xf numFmtId="168" fontId="0" fillId="14" borderId="0" xfId="0" applyNumberFormat="1" applyFill="1"/>
    <xf numFmtId="168" fontId="0" fillId="10" borderId="0" xfId="0" applyNumberFormat="1" applyFill="1"/>
    <xf numFmtId="1" fontId="4" fillId="0" borderId="0" xfId="1" applyNumberFormat="1" applyBorder="1"/>
    <xf numFmtId="0" fontId="5" fillId="0" borderId="1" xfId="1" applyFont="1" applyBorder="1"/>
    <xf numFmtId="0" fontId="5" fillId="0" borderId="0" xfId="1" applyFont="1" applyBorder="1"/>
    <xf numFmtId="0" fontId="5" fillId="0" borderId="0" xfId="1" applyFont="1"/>
    <xf numFmtId="2" fontId="4" fillId="0" borderId="0" xfId="1" applyNumberFormat="1" applyBorder="1"/>
    <xf numFmtId="1" fontId="4" fillId="0" borderId="1" xfId="1" applyNumberFormat="1" applyBorder="1"/>
  </cellXfs>
  <cellStyles count="130"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Good 2" xfId="3" xr:uid="{00000000-0005-0000-0000-00003F000000}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Normal" xfId="0" builtinId="0"/>
    <cellStyle name="Normal 2" xfId="1" xr:uid="{00000000-0005-0000-0000-000080000000}"/>
    <cellStyle name="Normal 3" xfId="2" xr:uid="{00000000-0005-0000-0000-000081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8.0470253718285222E-3"/>
                  <c:y val="-0.125416666666666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'Olsen P ny'!$AJ$5:$AJ$10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'Olsen P ny'!$AK$5:$AK$10</c:f>
              <c:numCache>
                <c:formatCode>General</c:formatCode>
                <c:ptCount val="6"/>
                <c:pt idx="0">
                  <c:v>0</c:v>
                </c:pt>
                <c:pt idx="1">
                  <c:v>2.5000000000000001E-2</c:v>
                </c:pt>
                <c:pt idx="2">
                  <c:v>6.5000000000000002E-2</c:v>
                </c:pt>
                <c:pt idx="3">
                  <c:v>0.17</c:v>
                </c:pt>
                <c:pt idx="4">
                  <c:v>0.36299999999999999</c:v>
                </c:pt>
                <c:pt idx="5">
                  <c:v>0.59699999999999998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86-F546-B7A3-F1FEA3931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1504"/>
        <c:axId val="1430005408"/>
      </c:scatterChart>
      <c:valAx>
        <c:axId val="142999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30005408"/>
        <c:crosses val="autoZero"/>
        <c:crossBetween val="midCat"/>
      </c:valAx>
      <c:valAx>
        <c:axId val="143000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3E3-ED41-80BF-7560AA3107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3E3-ED41-80BF-7560AA3107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3E3-ED41-80BF-7560AA3107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3E3-ED41-80BF-7560AA3107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3E3-ED41-80BF-7560AA31078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3E3-ED41-80BF-7560AA31078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3E3-ED41-80BF-7560AA3107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3E3-ED41-80BF-7560AA31078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53E3-ED41-80BF-7560AA31078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53E3-ED41-80BF-7560AA31078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53E3-ED41-80BF-7560AA31078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53E3-ED41-80BF-7560AA31078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53E3-ED41-80BF-7560AA31078F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53E3-ED41-80BF-7560AA31078F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53E3-ED41-80BF-7560AA31078F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53E3-ED41-80BF-7560AA31078F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'Veg analysis'!$E$67:$J$67</c:f>
              <c:strCache>
                <c:ptCount val="6"/>
                <c:pt idx="0">
                  <c:v>Graminoids including leymus</c:v>
                </c:pt>
                <c:pt idx="1">
                  <c:v>Forbs</c:v>
                </c:pt>
                <c:pt idx="2">
                  <c:v>Evergr. bushes</c:v>
                </c:pt>
                <c:pt idx="3">
                  <c:v>Dec. bushes</c:v>
                </c:pt>
                <c:pt idx="4">
                  <c:v>Horsetail</c:v>
                </c:pt>
                <c:pt idx="5">
                  <c:v>Moss</c:v>
                </c:pt>
              </c:strCache>
            </c:strRef>
          </c:cat>
          <c:val>
            <c:numRef>
              <c:f>'Veg analysis'!$E$81:$J$81</c:f>
              <c:numCache>
                <c:formatCode>0</c:formatCode>
                <c:ptCount val="6"/>
                <c:pt idx="0">
                  <c:v>54.666666666666664</c:v>
                </c:pt>
                <c:pt idx="1">
                  <c:v>3.3333333333333335</c:v>
                </c:pt>
                <c:pt idx="2">
                  <c:v>14.000000000000002</c:v>
                </c:pt>
                <c:pt idx="3">
                  <c:v>168.66666666666669</c:v>
                </c:pt>
                <c:pt idx="4">
                  <c:v>46.666666666666664</c:v>
                </c:pt>
                <c:pt idx="5">
                  <c:v>35.333333333333336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3E3-ED41-80BF-7560AA31078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DCA-174C-8B6E-4580ECF066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DCA-174C-8B6E-4580ECF066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DCA-174C-8B6E-4580ECF066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DCA-174C-8B6E-4580ECF0660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DCA-174C-8B6E-4580ECF0660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DCA-174C-8B6E-4580ECF0660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DCA-174C-8B6E-4580ECF0660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0DCA-174C-8B6E-4580ECF0660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0DCA-174C-8B6E-4580ECF0660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0DCA-174C-8B6E-4580ECF0660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0DCA-174C-8B6E-4580ECF0660E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0DCA-174C-8B6E-4580ECF0660E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0DCA-174C-8B6E-4580ECF0660E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0DCA-174C-8B6E-4580ECF0660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'Veg analysis'!$E$67:$J$67</c:f>
              <c:strCache>
                <c:ptCount val="6"/>
                <c:pt idx="0">
                  <c:v>Graminoids including leymus</c:v>
                </c:pt>
                <c:pt idx="1">
                  <c:v>Forbs</c:v>
                </c:pt>
                <c:pt idx="2">
                  <c:v>Evergr. bushes</c:v>
                </c:pt>
                <c:pt idx="3">
                  <c:v>Dec. bushes</c:v>
                </c:pt>
                <c:pt idx="4">
                  <c:v>Horsetail</c:v>
                </c:pt>
                <c:pt idx="5">
                  <c:v>Moss</c:v>
                </c:pt>
              </c:strCache>
            </c:strRef>
          </c:cat>
          <c:val>
            <c:numRef>
              <c:f>'Veg analysis'!$E$82:$J$82</c:f>
              <c:numCache>
                <c:formatCode>0</c:formatCode>
                <c:ptCount val="6"/>
                <c:pt idx="0">
                  <c:v>265.33333333333331</c:v>
                </c:pt>
                <c:pt idx="1">
                  <c:v>0</c:v>
                </c:pt>
                <c:pt idx="2">
                  <c:v>0</c:v>
                </c:pt>
                <c:pt idx="3">
                  <c:v>14.000000000000002</c:v>
                </c:pt>
                <c:pt idx="4">
                  <c:v>3.3333333333333335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DCA-174C-8B6E-4580ECF0660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 35 cm pool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mix!$S$2</c:f>
              <c:strCache>
                <c:ptCount val="1"/>
                <c:pt idx="0">
                  <c:v>Cultural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mix!$T$3:$T$7</c:f>
                <c:numCache>
                  <c:formatCode>General</c:formatCode>
                  <c:ptCount val="5"/>
                  <c:pt idx="0">
                    <c:v>0.77769998124266682</c:v>
                  </c:pt>
                  <c:pt idx="1">
                    <c:v>1.8218763230018664</c:v>
                  </c:pt>
                  <c:pt idx="2">
                    <c:v>1.4309850705573115</c:v>
                  </c:pt>
                  <c:pt idx="3">
                    <c:v>1.6045320107707948</c:v>
                  </c:pt>
                  <c:pt idx="4">
                    <c:v>1.3850370183377343</c:v>
                  </c:pt>
                </c:numCache>
              </c:numRef>
            </c:plus>
            <c:minus>
              <c:numRef>
                <c:f>mix!$T$3:$T$7</c:f>
                <c:numCache>
                  <c:formatCode>General</c:formatCode>
                  <c:ptCount val="5"/>
                  <c:pt idx="0">
                    <c:v>0.77769998124266682</c:v>
                  </c:pt>
                  <c:pt idx="1">
                    <c:v>1.8218763230018664</c:v>
                  </c:pt>
                  <c:pt idx="2">
                    <c:v>1.4309850705573115</c:v>
                  </c:pt>
                  <c:pt idx="3">
                    <c:v>1.6045320107707948</c:v>
                  </c:pt>
                  <c:pt idx="4">
                    <c:v>1.3850370183377343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mix!$R$3:$R$7</c:f>
              <c:strCache>
                <c:ptCount val="5"/>
                <c:pt idx="0">
                  <c:v>Kangeq</c:v>
                </c:pt>
                <c:pt idx="1">
                  <c:v>Ersaa</c:v>
                </c:pt>
                <c:pt idx="2">
                  <c:v>Qoornoq</c:v>
                </c:pt>
                <c:pt idx="3">
                  <c:v>Iffiartafik</c:v>
                </c:pt>
                <c:pt idx="4">
                  <c:v>Sandnes</c:v>
                </c:pt>
              </c:strCache>
            </c:strRef>
          </c:cat>
          <c:val>
            <c:numRef>
              <c:f>mix!$S$3:$S$7</c:f>
              <c:numCache>
                <c:formatCode>General</c:formatCode>
                <c:ptCount val="5"/>
                <c:pt idx="0">
                  <c:v>3.4212439941866668</c:v>
                </c:pt>
                <c:pt idx="1">
                  <c:v>2.4691752345738802</c:v>
                </c:pt>
                <c:pt idx="2">
                  <c:v>3.9898215656433336</c:v>
                </c:pt>
                <c:pt idx="3">
                  <c:v>2.0126263168265335</c:v>
                </c:pt>
                <c:pt idx="4">
                  <c:v>5.0095973107549989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2F-B84C-89BE-9EBF07B1357E}"/>
            </c:ext>
          </c:extLst>
        </c:ser>
        <c:ser>
          <c:idx val="1"/>
          <c:order val="1"/>
          <c:tx>
            <c:strRef>
              <c:f>mix!$U$2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mix!$V$3:$V$7</c:f>
                <c:numCache>
                  <c:formatCode>General</c:formatCode>
                  <c:ptCount val="5"/>
                  <c:pt idx="0">
                    <c:v>0.46972018751186984</c:v>
                  </c:pt>
                  <c:pt idx="1">
                    <c:v>0.1626319879111742</c:v>
                  </c:pt>
                  <c:pt idx="2">
                    <c:v>0.44130019609110177</c:v>
                  </c:pt>
                  <c:pt idx="3">
                    <c:v>0.74274282535863978</c:v>
                  </c:pt>
                  <c:pt idx="4">
                    <c:v>1.0520366419248453</c:v>
                  </c:pt>
                </c:numCache>
              </c:numRef>
            </c:plus>
            <c:minus>
              <c:numRef>
                <c:f>mix!$V$3:$V$7</c:f>
                <c:numCache>
                  <c:formatCode>General</c:formatCode>
                  <c:ptCount val="5"/>
                  <c:pt idx="0">
                    <c:v>0.46972018751186984</c:v>
                  </c:pt>
                  <c:pt idx="1">
                    <c:v>0.1626319879111742</c:v>
                  </c:pt>
                  <c:pt idx="2">
                    <c:v>0.44130019609110177</c:v>
                  </c:pt>
                  <c:pt idx="3">
                    <c:v>0.74274282535863978</c:v>
                  </c:pt>
                  <c:pt idx="4">
                    <c:v>1.0520366419248453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mix!$R$3:$R$7</c:f>
              <c:strCache>
                <c:ptCount val="5"/>
                <c:pt idx="0">
                  <c:v>Kangeq</c:v>
                </c:pt>
                <c:pt idx="1">
                  <c:v>Ersaa</c:v>
                </c:pt>
                <c:pt idx="2">
                  <c:v>Qoornoq</c:v>
                </c:pt>
                <c:pt idx="3">
                  <c:v>Iffiartafik</c:v>
                </c:pt>
                <c:pt idx="4">
                  <c:v>Sandnes</c:v>
                </c:pt>
              </c:strCache>
            </c:strRef>
          </c:cat>
          <c:val>
            <c:numRef>
              <c:f>mix!$U$3:$U$7</c:f>
              <c:numCache>
                <c:formatCode>General</c:formatCode>
                <c:ptCount val="5"/>
                <c:pt idx="0">
                  <c:v>0.55482481474003331</c:v>
                </c:pt>
                <c:pt idx="1">
                  <c:v>0.30770653343813337</c:v>
                </c:pt>
                <c:pt idx="2">
                  <c:v>0.45113248591016669</c:v>
                </c:pt>
                <c:pt idx="3">
                  <c:v>0.90004035630250023</c:v>
                </c:pt>
                <c:pt idx="4">
                  <c:v>1.1652800044001166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2F-B84C-89BE-9EBF07B13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01712496"/>
        <c:axId val="-2001710176"/>
      </c:barChart>
      <c:catAx>
        <c:axId val="-200171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2001710176"/>
        <c:crosses val="autoZero"/>
        <c:auto val="1"/>
        <c:lblAlgn val="ctr"/>
        <c:lblOffset val="100"/>
        <c:noMultiLvlLbl val="0"/>
      </c:catAx>
      <c:valAx>
        <c:axId val="-200171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g/m2 in 35 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200171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r>
              <a:rPr lang="en-US" baseline="0"/>
              <a:t> </a:t>
            </a:r>
            <a:r>
              <a:rPr lang="en-US"/>
              <a:t>10 cm pool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mix!$S$2</c:f>
              <c:strCache>
                <c:ptCount val="1"/>
                <c:pt idx="0">
                  <c:v>Cultural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mix!$X$3:$X$7</c:f>
                <c:numCache>
                  <c:formatCode>General</c:formatCode>
                  <c:ptCount val="5"/>
                  <c:pt idx="0">
                    <c:v>151.81528203222055</c:v>
                  </c:pt>
                  <c:pt idx="1">
                    <c:v>117.8483272448771</c:v>
                  </c:pt>
                  <c:pt idx="2">
                    <c:v>509.81023059579672</c:v>
                  </c:pt>
                  <c:pt idx="3">
                    <c:v>345.4017310448321</c:v>
                  </c:pt>
                  <c:pt idx="4">
                    <c:v>504.18572103050116</c:v>
                  </c:pt>
                </c:numCache>
              </c:numRef>
            </c:plus>
            <c:minus>
              <c:numRef>
                <c:f>mix!$X$3:$X$7</c:f>
                <c:numCache>
                  <c:formatCode>General</c:formatCode>
                  <c:ptCount val="5"/>
                  <c:pt idx="0">
                    <c:v>151.81528203222055</c:v>
                  </c:pt>
                  <c:pt idx="1">
                    <c:v>117.8483272448771</c:v>
                  </c:pt>
                  <c:pt idx="2">
                    <c:v>509.81023059579672</c:v>
                  </c:pt>
                  <c:pt idx="3">
                    <c:v>345.4017310448321</c:v>
                  </c:pt>
                  <c:pt idx="4">
                    <c:v>504.18572103050116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mix!$R$3:$R$7</c:f>
              <c:strCache>
                <c:ptCount val="5"/>
                <c:pt idx="0">
                  <c:v>Kangeq</c:v>
                </c:pt>
                <c:pt idx="1">
                  <c:v>Ersaa</c:v>
                </c:pt>
                <c:pt idx="2">
                  <c:v>Qoornoq</c:v>
                </c:pt>
                <c:pt idx="3">
                  <c:v>Iffiartafik</c:v>
                </c:pt>
                <c:pt idx="4">
                  <c:v>Sandnes</c:v>
                </c:pt>
              </c:strCache>
            </c:strRef>
          </c:cat>
          <c:val>
            <c:numRef>
              <c:f>mix!$W$3:$W$7</c:f>
              <c:numCache>
                <c:formatCode>General</c:formatCode>
                <c:ptCount val="5"/>
                <c:pt idx="2">
                  <c:v>964.26019933816667</c:v>
                </c:pt>
                <c:pt idx="3">
                  <c:v>491.03746831336667</c:v>
                </c:pt>
                <c:pt idx="4">
                  <c:v>849.99901488516673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68-1944-A430-5C3AEAA7FE16}"/>
            </c:ext>
          </c:extLst>
        </c:ser>
        <c:ser>
          <c:idx val="1"/>
          <c:order val="1"/>
          <c:tx>
            <c:strRef>
              <c:f>mix!$U$2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mix!$Z$3:$Z$7</c:f>
                <c:numCache>
                  <c:formatCode>General</c:formatCode>
                  <c:ptCount val="5"/>
                  <c:pt idx="0">
                    <c:v>67.181126637424924</c:v>
                  </c:pt>
                  <c:pt idx="1">
                    <c:v>69.000222510701505</c:v>
                  </c:pt>
                  <c:pt idx="2">
                    <c:v>37.318952762874872</c:v>
                  </c:pt>
                  <c:pt idx="3">
                    <c:v>92.049662125422103</c:v>
                  </c:pt>
                  <c:pt idx="4">
                    <c:v>221.99396398970256</c:v>
                  </c:pt>
                </c:numCache>
              </c:numRef>
            </c:plus>
            <c:minus>
              <c:numRef>
                <c:f>mix!$Z$3:$Z$7</c:f>
                <c:numCache>
                  <c:formatCode>General</c:formatCode>
                  <c:ptCount val="5"/>
                  <c:pt idx="0">
                    <c:v>67.181126637424924</c:v>
                  </c:pt>
                  <c:pt idx="1">
                    <c:v>69.000222510701505</c:v>
                  </c:pt>
                  <c:pt idx="2">
                    <c:v>37.318952762874872</c:v>
                  </c:pt>
                  <c:pt idx="3">
                    <c:v>92.049662125422103</c:v>
                  </c:pt>
                  <c:pt idx="4">
                    <c:v>221.99396398970256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mix!$R$3:$R$7</c:f>
              <c:strCache>
                <c:ptCount val="5"/>
                <c:pt idx="0">
                  <c:v>Kangeq</c:v>
                </c:pt>
                <c:pt idx="1">
                  <c:v>Ersaa</c:v>
                </c:pt>
                <c:pt idx="2">
                  <c:v>Qoornoq</c:v>
                </c:pt>
                <c:pt idx="3">
                  <c:v>Iffiartafik</c:v>
                </c:pt>
                <c:pt idx="4">
                  <c:v>Sandnes</c:v>
                </c:pt>
              </c:strCache>
            </c:strRef>
          </c:cat>
          <c:val>
            <c:numRef>
              <c:f>mix!$Y$3:$Y$7</c:f>
              <c:numCache>
                <c:formatCode>General</c:formatCode>
                <c:ptCount val="5"/>
                <c:pt idx="0">
                  <c:v>138.52822253383331</c:v>
                </c:pt>
                <c:pt idx="1">
                  <c:v>143.32455768006665</c:v>
                </c:pt>
                <c:pt idx="2">
                  <c:v>74.359938317133327</c:v>
                </c:pt>
                <c:pt idx="3">
                  <c:v>181.70798048510002</c:v>
                </c:pt>
                <c:pt idx="4">
                  <c:v>205.63435015297833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68-1944-A430-5C3AEAA7F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01678480"/>
        <c:axId val="-2001676704"/>
      </c:barChart>
      <c:catAx>
        <c:axId val="-200167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2001676704"/>
        <c:crosses val="autoZero"/>
        <c:auto val="1"/>
        <c:lblAlgn val="ctr"/>
        <c:lblOffset val="100"/>
        <c:noMultiLvlLbl val="0"/>
      </c:catAx>
      <c:valAx>
        <c:axId val="-20016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P/m2 in 10 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200167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r>
              <a:rPr lang="en-US" baseline="0"/>
              <a:t> </a:t>
            </a:r>
            <a:r>
              <a:rPr lang="en-US"/>
              <a:t>mean cultural, surface natural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mix!$S$2</c:f>
              <c:strCache>
                <c:ptCount val="1"/>
                <c:pt idx="0">
                  <c:v>Cultural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mix!$AB$3:$AB$7</c:f>
                <c:numCache>
                  <c:formatCode>General</c:formatCode>
                  <c:ptCount val="5"/>
                  <c:pt idx="0">
                    <c:v>22.219999464076171</c:v>
                  </c:pt>
                  <c:pt idx="1">
                    <c:v>51.939956515572767</c:v>
                  </c:pt>
                  <c:pt idx="2">
                    <c:v>80.695503834879901</c:v>
                  </c:pt>
                  <c:pt idx="3">
                    <c:v>48.305858354082041</c:v>
                  </c:pt>
                  <c:pt idx="4">
                    <c:v>39.572486238220939</c:v>
                  </c:pt>
                </c:numCache>
              </c:numRef>
            </c:plus>
            <c:minus>
              <c:numRef>
                <c:f>mix!$AB$3:$AB$7</c:f>
                <c:numCache>
                  <c:formatCode>General</c:formatCode>
                  <c:ptCount val="5"/>
                  <c:pt idx="0">
                    <c:v>22.219999464076171</c:v>
                  </c:pt>
                  <c:pt idx="1">
                    <c:v>51.939956515572767</c:v>
                  </c:pt>
                  <c:pt idx="2">
                    <c:v>80.695503834879901</c:v>
                  </c:pt>
                  <c:pt idx="3">
                    <c:v>48.305858354082041</c:v>
                  </c:pt>
                  <c:pt idx="4">
                    <c:v>39.572486238220939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mix!$R$3:$R$7</c:f>
              <c:strCache>
                <c:ptCount val="5"/>
                <c:pt idx="0">
                  <c:v>Kangeq</c:v>
                </c:pt>
                <c:pt idx="1">
                  <c:v>Ersaa</c:v>
                </c:pt>
                <c:pt idx="2">
                  <c:v>Qoornoq</c:v>
                </c:pt>
                <c:pt idx="3">
                  <c:v>Iffiartafik</c:v>
                </c:pt>
                <c:pt idx="4">
                  <c:v>Sandnes</c:v>
                </c:pt>
              </c:strCache>
            </c:strRef>
          </c:cat>
          <c:val>
            <c:numRef>
              <c:f>mix!$AA$3:$AA$7</c:f>
              <c:numCache>
                <c:formatCode>General</c:formatCode>
                <c:ptCount val="5"/>
                <c:pt idx="0">
                  <c:v>97.749828405333346</c:v>
                </c:pt>
                <c:pt idx="1">
                  <c:v>82.664854837961713</c:v>
                </c:pt>
                <c:pt idx="2">
                  <c:v>169.60036547773811</c:v>
                </c:pt>
                <c:pt idx="3">
                  <c:v>81.571531232485242</c:v>
                </c:pt>
                <c:pt idx="4">
                  <c:v>143.13135173585715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A-6343-A0DC-7D0D0303E2D1}"/>
            </c:ext>
          </c:extLst>
        </c:ser>
        <c:ser>
          <c:idx val="1"/>
          <c:order val="1"/>
          <c:tx>
            <c:strRef>
              <c:f>mix!$U$2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mix!$AD$3:$AD$7</c:f>
                <c:numCache>
                  <c:formatCode>General</c:formatCode>
                  <c:ptCount val="5"/>
                  <c:pt idx="0">
                    <c:v>7.3541117529499145</c:v>
                  </c:pt>
                  <c:pt idx="1">
                    <c:v>6.5784302111865669</c:v>
                  </c:pt>
                  <c:pt idx="2">
                    <c:v>4.2564957050331156</c:v>
                  </c:pt>
                  <c:pt idx="3">
                    <c:v>11.275872132596678</c:v>
                  </c:pt>
                  <c:pt idx="4">
                    <c:v>22.482198776660571</c:v>
                  </c:pt>
                </c:numCache>
              </c:numRef>
            </c:plus>
            <c:minus>
              <c:numRef>
                <c:f>mix!$AD$3:$AD$7</c:f>
                <c:numCache>
                  <c:formatCode>General</c:formatCode>
                  <c:ptCount val="5"/>
                  <c:pt idx="0">
                    <c:v>7.3541117529499145</c:v>
                  </c:pt>
                  <c:pt idx="1">
                    <c:v>6.5784302111865669</c:v>
                  </c:pt>
                  <c:pt idx="2">
                    <c:v>4.2564957050331156</c:v>
                  </c:pt>
                  <c:pt idx="3">
                    <c:v>11.275872132596678</c:v>
                  </c:pt>
                  <c:pt idx="4">
                    <c:v>22.482198776660571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mix!$R$3:$R$7</c:f>
              <c:strCache>
                <c:ptCount val="5"/>
                <c:pt idx="0">
                  <c:v>Kangeq</c:v>
                </c:pt>
                <c:pt idx="1">
                  <c:v>Ersaa</c:v>
                </c:pt>
                <c:pt idx="2">
                  <c:v>Qoornoq</c:v>
                </c:pt>
                <c:pt idx="3">
                  <c:v>Iffiartafik</c:v>
                </c:pt>
                <c:pt idx="4">
                  <c:v>Sandnes</c:v>
                </c:pt>
              </c:strCache>
            </c:strRef>
          </c:cat>
          <c:val>
            <c:numRef>
              <c:f>mix!$AD$3:$AD$7</c:f>
              <c:numCache>
                <c:formatCode>General</c:formatCode>
                <c:ptCount val="5"/>
                <c:pt idx="0">
                  <c:v>7.3541117529499145</c:v>
                </c:pt>
                <c:pt idx="1">
                  <c:v>6.5784302111865669</c:v>
                </c:pt>
                <c:pt idx="2">
                  <c:v>4.2564957050331156</c:v>
                </c:pt>
                <c:pt idx="3">
                  <c:v>11.275872132596678</c:v>
                </c:pt>
                <c:pt idx="4">
                  <c:v>22.482198776660571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EA-6343-A0DC-7D0D0303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01649328"/>
        <c:axId val="-2001647008"/>
      </c:barChart>
      <c:catAx>
        <c:axId val="-20016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2001647008"/>
        <c:crosses val="autoZero"/>
        <c:auto val="1"/>
        <c:lblAlgn val="ctr"/>
        <c:lblOffset val="100"/>
        <c:noMultiLvlLbl val="0"/>
      </c:catAx>
      <c:valAx>
        <c:axId val="-20016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P/m2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200164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NO3 35 cm pool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mix!$S$25</c:f>
              <c:strCache>
                <c:ptCount val="1"/>
                <c:pt idx="0">
                  <c:v>Cultural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mix!$T$26:$T$30</c:f>
                <c:numCache>
                  <c:formatCode>General</c:formatCode>
                  <c:ptCount val="5"/>
                  <c:pt idx="0">
                    <c:v>38.537588641788538</c:v>
                  </c:pt>
                  <c:pt idx="1">
                    <c:v>5.881219917273377</c:v>
                  </c:pt>
                  <c:pt idx="2">
                    <c:v>40.305660436734108</c:v>
                  </c:pt>
                  <c:pt idx="3">
                    <c:v>26.704596048570153</c:v>
                  </c:pt>
                  <c:pt idx="4">
                    <c:v>28.302860672024877</c:v>
                  </c:pt>
                </c:numCache>
              </c:numRef>
            </c:plus>
            <c:minus>
              <c:numRef>
                <c:f>mix!$T$26:$T$30</c:f>
                <c:numCache>
                  <c:formatCode>General</c:formatCode>
                  <c:ptCount val="5"/>
                  <c:pt idx="0">
                    <c:v>38.537588641788538</c:v>
                  </c:pt>
                  <c:pt idx="1">
                    <c:v>5.881219917273377</c:v>
                  </c:pt>
                  <c:pt idx="2">
                    <c:v>40.305660436734108</c:v>
                  </c:pt>
                  <c:pt idx="3">
                    <c:v>26.704596048570153</c:v>
                  </c:pt>
                  <c:pt idx="4">
                    <c:v>28.302860672024877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mix!$R$26:$R$30</c:f>
              <c:strCache>
                <c:ptCount val="5"/>
                <c:pt idx="0">
                  <c:v>Kangeq</c:v>
                </c:pt>
                <c:pt idx="1">
                  <c:v>Ersaa</c:v>
                </c:pt>
                <c:pt idx="2">
                  <c:v>Qoornoq</c:v>
                </c:pt>
                <c:pt idx="3">
                  <c:v>Iffiartafik</c:v>
                </c:pt>
                <c:pt idx="4">
                  <c:v>Sandnes</c:v>
                </c:pt>
              </c:strCache>
            </c:strRef>
          </c:cat>
          <c:val>
            <c:numRef>
              <c:f>mix!$S$26:$S$30</c:f>
              <c:numCache>
                <c:formatCode>General</c:formatCode>
                <c:ptCount val="5"/>
                <c:pt idx="0">
                  <c:v>45.922580864049998</c:v>
                </c:pt>
                <c:pt idx="1">
                  <c:v>8.5455419580644012</c:v>
                </c:pt>
                <c:pt idx="2">
                  <c:v>52.541753676149995</c:v>
                </c:pt>
                <c:pt idx="3">
                  <c:v>39.35157688074333</c:v>
                </c:pt>
                <c:pt idx="4">
                  <c:v>39.28494629024167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3F-D64B-8A76-377C4CD58806}"/>
            </c:ext>
          </c:extLst>
        </c:ser>
        <c:ser>
          <c:idx val="1"/>
          <c:order val="1"/>
          <c:tx>
            <c:strRef>
              <c:f>mix!$U$25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mix!$V$26:$V$30</c:f>
                <c:numCache>
                  <c:formatCode>General</c:formatCode>
                  <c:ptCount val="5"/>
                  <c:pt idx="0">
                    <c:v>1.7097486035019323</c:v>
                  </c:pt>
                  <c:pt idx="1">
                    <c:v>1.1611543394783066</c:v>
                  </c:pt>
                  <c:pt idx="2">
                    <c:v>3.5109875337779783</c:v>
                  </c:pt>
                  <c:pt idx="3">
                    <c:v>2.6602946562570238</c:v>
                  </c:pt>
                  <c:pt idx="4">
                    <c:v>8.9243238401720131</c:v>
                  </c:pt>
                </c:numCache>
              </c:numRef>
            </c:plus>
            <c:minus>
              <c:numRef>
                <c:f>mix!$V$26:$V$30</c:f>
                <c:numCache>
                  <c:formatCode>General</c:formatCode>
                  <c:ptCount val="5"/>
                  <c:pt idx="0">
                    <c:v>1.7097486035019323</c:v>
                  </c:pt>
                  <c:pt idx="1">
                    <c:v>1.1611543394783066</c:v>
                  </c:pt>
                  <c:pt idx="2">
                    <c:v>3.5109875337779783</c:v>
                  </c:pt>
                  <c:pt idx="3">
                    <c:v>2.6602946562570238</c:v>
                  </c:pt>
                  <c:pt idx="4">
                    <c:v>8.9243238401720131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mix!$R$26:$R$30</c:f>
              <c:strCache>
                <c:ptCount val="5"/>
                <c:pt idx="0">
                  <c:v>Kangeq</c:v>
                </c:pt>
                <c:pt idx="1">
                  <c:v>Ersaa</c:v>
                </c:pt>
                <c:pt idx="2">
                  <c:v>Qoornoq</c:v>
                </c:pt>
                <c:pt idx="3">
                  <c:v>Iffiartafik</c:v>
                </c:pt>
                <c:pt idx="4">
                  <c:v>Sandnes</c:v>
                </c:pt>
              </c:strCache>
            </c:strRef>
          </c:cat>
          <c:val>
            <c:numRef>
              <c:f>mix!$U$26:$U$30</c:f>
              <c:numCache>
                <c:formatCode>General</c:formatCode>
                <c:ptCount val="5"/>
                <c:pt idx="0">
                  <c:v>3.8227676800299997</c:v>
                </c:pt>
                <c:pt idx="1">
                  <c:v>2.4452711690700002</c:v>
                </c:pt>
                <c:pt idx="2">
                  <c:v>3.6359256082909996</c:v>
                </c:pt>
                <c:pt idx="3">
                  <c:v>3.2136895921933335</c:v>
                </c:pt>
                <c:pt idx="4">
                  <c:v>11.970103559661666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3F-D64B-8A76-377C4CD58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00187680"/>
        <c:axId val="-2000185360"/>
      </c:barChart>
      <c:catAx>
        <c:axId val="-20001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2000185360"/>
        <c:crosses val="autoZero"/>
        <c:auto val="1"/>
        <c:lblAlgn val="ctr"/>
        <c:lblOffset val="100"/>
        <c:noMultiLvlLbl val="0"/>
      </c:catAx>
      <c:valAx>
        <c:axId val="-200018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NO3 ug/m2 in 35 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20001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NH4 35 cm pool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mix!$S$47</c:f>
              <c:strCache>
                <c:ptCount val="1"/>
                <c:pt idx="0">
                  <c:v>Cultural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mix!$T$48:$T$52</c:f>
                <c:numCache>
                  <c:formatCode>General</c:formatCode>
                  <c:ptCount val="5"/>
                  <c:pt idx="0">
                    <c:v>9.1863879345191393</c:v>
                  </c:pt>
                  <c:pt idx="1">
                    <c:v>19.538104866264508</c:v>
                  </c:pt>
                  <c:pt idx="2">
                    <c:v>54.167729265879011</c:v>
                  </c:pt>
                  <c:pt idx="3">
                    <c:v>30.976829389759775</c:v>
                  </c:pt>
                  <c:pt idx="4">
                    <c:v>31.457177081771516</c:v>
                  </c:pt>
                </c:numCache>
              </c:numRef>
            </c:plus>
            <c:minus>
              <c:numRef>
                <c:f>mix!$T$48:$T$52</c:f>
                <c:numCache>
                  <c:formatCode>General</c:formatCode>
                  <c:ptCount val="5"/>
                  <c:pt idx="0">
                    <c:v>9.1863879345191393</c:v>
                  </c:pt>
                  <c:pt idx="1">
                    <c:v>19.538104866264508</c:v>
                  </c:pt>
                  <c:pt idx="2">
                    <c:v>54.167729265879011</c:v>
                  </c:pt>
                  <c:pt idx="3">
                    <c:v>30.976829389759775</c:v>
                  </c:pt>
                  <c:pt idx="4">
                    <c:v>31.457177081771516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mix!$R$48:$R$52</c:f>
              <c:strCache>
                <c:ptCount val="5"/>
                <c:pt idx="0">
                  <c:v>Kangeq</c:v>
                </c:pt>
                <c:pt idx="1">
                  <c:v>Ersaa</c:v>
                </c:pt>
                <c:pt idx="2">
                  <c:v>Qoornoq</c:v>
                </c:pt>
                <c:pt idx="3">
                  <c:v>Iffiartafik</c:v>
                </c:pt>
                <c:pt idx="4">
                  <c:v>Sandnes</c:v>
                </c:pt>
              </c:strCache>
            </c:strRef>
          </c:cat>
          <c:val>
            <c:numRef>
              <c:f>mix!$S$48:$S$52</c:f>
              <c:numCache>
                <c:formatCode>General</c:formatCode>
                <c:ptCount val="5"/>
                <c:pt idx="0">
                  <c:v>40.795441869650006</c:v>
                </c:pt>
                <c:pt idx="1">
                  <c:v>25.791176943070003</c:v>
                </c:pt>
                <c:pt idx="2">
                  <c:v>85.351392115730661</c:v>
                </c:pt>
                <c:pt idx="3">
                  <c:v>59.313045112325</c:v>
                </c:pt>
                <c:pt idx="4">
                  <c:v>68.407935322049994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E-8E4C-A335-1C1F06A89E4D}"/>
            </c:ext>
          </c:extLst>
        </c:ser>
        <c:ser>
          <c:idx val="1"/>
          <c:order val="1"/>
          <c:tx>
            <c:strRef>
              <c:f>mix!$U$47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mix!$V$48:$V$52</c:f>
                <c:numCache>
                  <c:formatCode>General</c:formatCode>
                  <c:ptCount val="5"/>
                  <c:pt idx="0">
                    <c:v>11.489699131875808</c:v>
                  </c:pt>
                  <c:pt idx="1">
                    <c:v>5.2302682134616001</c:v>
                  </c:pt>
                  <c:pt idx="2">
                    <c:v>4.7495509253138746</c:v>
                  </c:pt>
                  <c:pt idx="3">
                    <c:v>37.149623796420073</c:v>
                  </c:pt>
                  <c:pt idx="4">
                    <c:v>12.519395607948452</c:v>
                  </c:pt>
                </c:numCache>
              </c:numRef>
            </c:plus>
            <c:minus>
              <c:numRef>
                <c:f>mix!$V$48:$V$52</c:f>
                <c:numCache>
                  <c:formatCode>General</c:formatCode>
                  <c:ptCount val="5"/>
                  <c:pt idx="0">
                    <c:v>11.489699131875808</c:v>
                  </c:pt>
                  <c:pt idx="1">
                    <c:v>5.2302682134616001</c:v>
                  </c:pt>
                  <c:pt idx="2">
                    <c:v>4.7495509253138746</c:v>
                  </c:pt>
                  <c:pt idx="3">
                    <c:v>37.149623796420073</c:v>
                  </c:pt>
                  <c:pt idx="4">
                    <c:v>12.519395607948452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mix!$R$48:$R$52</c:f>
              <c:strCache>
                <c:ptCount val="5"/>
                <c:pt idx="0">
                  <c:v>Kangeq</c:v>
                </c:pt>
                <c:pt idx="1">
                  <c:v>Ersaa</c:v>
                </c:pt>
                <c:pt idx="2">
                  <c:v>Qoornoq</c:v>
                </c:pt>
                <c:pt idx="3">
                  <c:v>Iffiartafik</c:v>
                </c:pt>
                <c:pt idx="4">
                  <c:v>Sandnes</c:v>
                </c:pt>
              </c:strCache>
            </c:strRef>
          </c:cat>
          <c:val>
            <c:numRef>
              <c:f>mix!$U$48:$U$52</c:f>
              <c:numCache>
                <c:formatCode>General</c:formatCode>
                <c:ptCount val="5"/>
                <c:pt idx="0">
                  <c:v>16.214114022038334</c:v>
                </c:pt>
                <c:pt idx="1">
                  <c:v>3.9550512133011835</c:v>
                </c:pt>
                <c:pt idx="2">
                  <c:v>7.3621296606366657</c:v>
                </c:pt>
                <c:pt idx="3">
                  <c:v>40.880812978661673</c:v>
                </c:pt>
                <c:pt idx="4">
                  <c:v>30.273725687616672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EE-8E4C-A335-1C1F06A89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00157840"/>
        <c:axId val="-2000155520"/>
      </c:barChart>
      <c:catAx>
        <c:axId val="-200015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2000155520"/>
        <c:crosses val="autoZero"/>
        <c:auto val="1"/>
        <c:lblAlgn val="ctr"/>
        <c:lblOffset val="100"/>
        <c:noMultiLvlLbl val="0"/>
      </c:catAx>
      <c:valAx>
        <c:axId val="-200015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NH4 ug/m2 in 35 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200015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6.1603893263342098E-2"/>
                  <c:y val="-0.213020924467775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mix!$BB$4:$BB$192</c:f>
              <c:numCache>
                <c:formatCode>General</c:formatCode>
                <c:ptCount val="189"/>
                <c:pt idx="0">
                  <c:v>51.83994817749209</c:v>
                </c:pt>
                <c:pt idx="1">
                  <c:v>35.310399367338874</c:v>
                </c:pt>
                <c:pt idx="2">
                  <c:v>33.8028877958984</c:v>
                </c:pt>
                <c:pt idx="3">
                  <c:v>56.590347374996604</c:v>
                </c:pt>
                <c:pt idx="4">
                  <c:v>46.050957832583393</c:v>
                </c:pt>
                <c:pt idx="5">
                  <c:v>38.556503339284532</c:v>
                </c:pt>
                <c:pt idx="6">
                  <c:v>51.468681104915056</c:v>
                </c:pt>
                <c:pt idx="7">
                  <c:v>40.462620988283248</c:v>
                </c:pt>
                <c:pt idx="8">
                  <c:v>40.434640686988402</c:v>
                </c:pt>
                <c:pt idx="9">
                  <c:v>19.71971971971972</c:v>
                </c:pt>
                <c:pt idx="10">
                  <c:v>19.224187665620391</c:v>
                </c:pt>
                <c:pt idx="11">
                  <c:v>26.864209827357243</c:v>
                </c:pt>
                <c:pt idx="12">
                  <c:v>23.913359499927324</c:v>
                </c:pt>
                <c:pt idx="13">
                  <c:v>30.12855730139546</c:v>
                </c:pt>
                <c:pt idx="14">
                  <c:v>24.311723491261432</c:v>
                </c:pt>
                <c:pt idx="15">
                  <c:v>17.966511209754444</c:v>
                </c:pt>
                <c:pt idx="16">
                  <c:v>26.399663646720569</c:v>
                </c:pt>
                <c:pt idx="17">
                  <c:v>23.354021205068534</c:v>
                </c:pt>
                <c:pt idx="18">
                  <c:v>33.358267755802245</c:v>
                </c:pt>
                <c:pt idx="19">
                  <c:v>32.963661141985128</c:v>
                </c:pt>
                <c:pt idx="20">
                  <c:v>15.897995995300263</c:v>
                </c:pt>
                <c:pt idx="21">
                  <c:v>24.292523086088764</c:v>
                </c:pt>
                <c:pt idx="22">
                  <c:v>7.204853095972382</c:v>
                </c:pt>
                <c:pt idx="23">
                  <c:v>4.569532844150757</c:v>
                </c:pt>
                <c:pt idx="24">
                  <c:v>38.961340367226349</c:v>
                </c:pt>
                <c:pt idx="25">
                  <c:v>25.085684636689848</c:v>
                </c:pt>
                <c:pt idx="26">
                  <c:v>12.993623570800352</c:v>
                </c:pt>
                <c:pt idx="27">
                  <c:v>31.336607433974564</c:v>
                </c:pt>
                <c:pt idx="28">
                  <c:v>28.042969491239532</c:v>
                </c:pt>
                <c:pt idx="29">
                  <c:v>20.867556468172495</c:v>
                </c:pt>
                <c:pt idx="30">
                  <c:v>20.799024851364479</c:v>
                </c:pt>
                <c:pt idx="31">
                  <c:v>22.938810303950561</c:v>
                </c:pt>
                <c:pt idx="32">
                  <c:v>39.21445074564167</c:v>
                </c:pt>
                <c:pt idx="33">
                  <c:v>9.2379489690683272</c:v>
                </c:pt>
                <c:pt idx="34">
                  <c:v>5.424792995195304</c:v>
                </c:pt>
                <c:pt idx="35">
                  <c:v>54.319289953686727</c:v>
                </c:pt>
                <c:pt idx="36">
                  <c:v>53.840209867404319</c:v>
                </c:pt>
                <c:pt idx="37">
                  <c:v>37.717382042403536</c:v>
                </c:pt>
                <c:pt idx="38">
                  <c:v>22.258302388665044</c:v>
                </c:pt>
                <c:pt idx="39">
                  <c:v>33.122337908187419</c:v>
                </c:pt>
                <c:pt idx="40">
                  <c:v>34.155279290386659</c:v>
                </c:pt>
                <c:pt idx="41">
                  <c:v>37.199898198682249</c:v>
                </c:pt>
                <c:pt idx="42">
                  <c:v>36.87918801734331</c:v>
                </c:pt>
                <c:pt idx="43">
                  <c:v>42.123745819397996</c:v>
                </c:pt>
                <c:pt idx="44">
                  <c:v>71.923783287419639</c:v>
                </c:pt>
                <c:pt idx="45">
                  <c:v>34.90387488793705</c:v>
                </c:pt>
                <c:pt idx="46">
                  <c:v>35.312016760612565</c:v>
                </c:pt>
                <c:pt idx="47">
                  <c:v>67.661898810350408</c:v>
                </c:pt>
                <c:pt idx="48">
                  <c:v>63.375347773685213</c:v>
                </c:pt>
                <c:pt idx="49">
                  <c:v>47.795270651696661</c:v>
                </c:pt>
                <c:pt idx="50">
                  <c:v>46.925639860669385</c:v>
                </c:pt>
                <c:pt idx="51">
                  <c:v>39.236199278858372</c:v>
                </c:pt>
                <c:pt idx="52">
                  <c:v>41.360773021672671</c:v>
                </c:pt>
                <c:pt idx="53">
                  <c:v>24.356101243692123</c:v>
                </c:pt>
                <c:pt idx="54">
                  <c:v>20.015135343741136</c:v>
                </c:pt>
                <c:pt idx="55">
                  <c:v>71.131349611368449</c:v>
                </c:pt>
                <c:pt idx="56">
                  <c:v>27.568803918156291</c:v>
                </c:pt>
                <c:pt idx="57">
                  <c:v>14.65932829824844</c:v>
                </c:pt>
                <c:pt idx="58">
                  <c:v>70.30807660283098</c:v>
                </c:pt>
                <c:pt idx="59">
                  <c:v>56.453444360333094</c:v>
                </c:pt>
                <c:pt idx="60">
                  <c:v>57.865545194124465</c:v>
                </c:pt>
                <c:pt idx="61">
                  <c:v>53.513241980755879</c:v>
                </c:pt>
                <c:pt idx="62">
                  <c:v>63.362233961108558</c:v>
                </c:pt>
                <c:pt idx="63">
                  <c:v>50.809288831014555</c:v>
                </c:pt>
                <c:pt idx="64">
                  <c:v>61.336511934748714</c:v>
                </c:pt>
                <c:pt idx="65">
                  <c:v>56.545039010166285</c:v>
                </c:pt>
                <c:pt idx="66">
                  <c:v>49.310814111735354</c:v>
                </c:pt>
                <c:pt idx="67">
                  <c:v>41.881209272513622</c:v>
                </c:pt>
                <c:pt idx="68">
                  <c:v>4.8487332950725772</c:v>
                </c:pt>
                <c:pt idx="69">
                  <c:v>14.362458820005983</c:v>
                </c:pt>
                <c:pt idx="70">
                  <c:v>6.7426265503531084</c:v>
                </c:pt>
                <c:pt idx="71">
                  <c:v>11.379576353354977</c:v>
                </c:pt>
                <c:pt idx="72">
                  <c:v>12.792625861849032</c:v>
                </c:pt>
                <c:pt idx="73">
                  <c:v>49.504449838187703</c:v>
                </c:pt>
                <c:pt idx="74">
                  <c:v>45.441202475685238</c:v>
                </c:pt>
                <c:pt idx="75">
                  <c:v>38.325520190805165</c:v>
                </c:pt>
                <c:pt idx="76">
                  <c:v>50.630361185535968</c:v>
                </c:pt>
                <c:pt idx="77">
                  <c:v>50.240985485630638</c:v>
                </c:pt>
                <c:pt idx="78">
                  <c:v>52.188973890280508</c:v>
                </c:pt>
                <c:pt idx="79">
                  <c:v>56.208094493659885</c:v>
                </c:pt>
                <c:pt idx="80">
                  <c:v>4.8402972040910015</c:v>
                </c:pt>
                <c:pt idx="81">
                  <c:v>10.278152242293515</c:v>
                </c:pt>
                <c:pt idx="82">
                  <c:v>4.1207299880105808</c:v>
                </c:pt>
                <c:pt idx="83">
                  <c:v>24.479821254014794</c:v>
                </c:pt>
                <c:pt idx="84">
                  <c:v>23.085438379556024</c:v>
                </c:pt>
                <c:pt idx="85">
                  <c:v>25.649091613667977</c:v>
                </c:pt>
                <c:pt idx="86">
                  <c:v>50.209609803289261</c:v>
                </c:pt>
                <c:pt idx="87">
                  <c:v>38.737410955539175</c:v>
                </c:pt>
                <c:pt idx="88">
                  <c:v>36.701097482246617</c:v>
                </c:pt>
                <c:pt idx="89">
                  <c:v>47.736790519468954</c:v>
                </c:pt>
                <c:pt idx="90">
                  <c:v>41.588825887931137</c:v>
                </c:pt>
                <c:pt idx="91">
                  <c:v>48.472782942578121</c:v>
                </c:pt>
                <c:pt idx="92">
                  <c:v>46.051624653718413</c:v>
                </c:pt>
                <c:pt idx="93">
                  <c:v>52.349699188018</c:v>
                </c:pt>
                <c:pt idx="94">
                  <c:v>43.478017048003593</c:v>
                </c:pt>
                <c:pt idx="95">
                  <c:v>41.112284406898993</c:v>
                </c:pt>
                <c:pt idx="96">
                  <c:v>40.304523063143762</c:v>
                </c:pt>
                <c:pt idx="97">
                  <c:v>34.817893903404595</c:v>
                </c:pt>
                <c:pt idx="98">
                  <c:v>40.18157195164769</c:v>
                </c:pt>
                <c:pt idx="99">
                  <c:v>29.900060461642425</c:v>
                </c:pt>
                <c:pt idx="100">
                  <c:v>52.81546144469349</c:v>
                </c:pt>
                <c:pt idx="101">
                  <c:v>43.640177037917823</c:v>
                </c:pt>
                <c:pt idx="102">
                  <c:v>28.680868260016155</c:v>
                </c:pt>
                <c:pt idx="103">
                  <c:v>37.949638448242375</c:v>
                </c:pt>
                <c:pt idx="104">
                  <c:v>61.633946830265849</c:v>
                </c:pt>
                <c:pt idx="105">
                  <c:v>54.55797549171043</c:v>
                </c:pt>
                <c:pt idx="106">
                  <c:v>31.504231075363421</c:v>
                </c:pt>
                <c:pt idx="107">
                  <c:v>27.93028778988544</c:v>
                </c:pt>
                <c:pt idx="108">
                  <c:v>57.117488961412946</c:v>
                </c:pt>
                <c:pt idx="109">
                  <c:v>59.252651153440226</c:v>
                </c:pt>
                <c:pt idx="110">
                  <c:v>46.238360121700126</c:v>
                </c:pt>
                <c:pt idx="111">
                  <c:v>20.66047626179423</c:v>
                </c:pt>
                <c:pt idx="112">
                  <c:v>58.436213991769542</c:v>
                </c:pt>
                <c:pt idx="113">
                  <c:v>53.23012454894657</c:v>
                </c:pt>
                <c:pt idx="114">
                  <c:v>5.0617903869221834</c:v>
                </c:pt>
                <c:pt idx="115">
                  <c:v>62.346345265935128</c:v>
                </c:pt>
                <c:pt idx="116">
                  <c:v>45.36172906493038</c:v>
                </c:pt>
                <c:pt idx="117">
                  <c:v>45.365474047404753</c:v>
                </c:pt>
                <c:pt idx="118">
                  <c:v>43.033363481057187</c:v>
                </c:pt>
                <c:pt idx="119">
                  <c:v>43.772476320721267</c:v>
                </c:pt>
                <c:pt idx="121">
                  <c:v>61.731697768497973</c:v>
                </c:pt>
                <c:pt idx="122">
                  <c:v>49.902152641878658</c:v>
                </c:pt>
                <c:pt idx="123">
                  <c:v>48.100158547919733</c:v>
                </c:pt>
                <c:pt idx="124">
                  <c:v>43.06312413631268</c:v>
                </c:pt>
                <c:pt idx="125">
                  <c:v>39.105476574331909</c:v>
                </c:pt>
                <c:pt idx="126">
                  <c:v>23.277092909876032</c:v>
                </c:pt>
                <c:pt idx="127">
                  <c:v>21.383000493541829</c:v>
                </c:pt>
                <c:pt idx="128">
                  <c:v>51.738998982371569</c:v>
                </c:pt>
                <c:pt idx="129">
                  <c:v>36.963593035189334</c:v>
                </c:pt>
                <c:pt idx="130">
                  <c:v>42.532828566787863</c:v>
                </c:pt>
                <c:pt idx="131">
                  <c:v>34.756945970092417</c:v>
                </c:pt>
                <c:pt idx="132">
                  <c:v>65.926701570680621</c:v>
                </c:pt>
                <c:pt idx="133">
                  <c:v>62.240331025164664</c:v>
                </c:pt>
                <c:pt idx="134">
                  <c:v>70.657114908797979</c:v>
                </c:pt>
                <c:pt idx="135">
                  <c:v>69.286025662894943</c:v>
                </c:pt>
                <c:pt idx="136">
                  <c:v>57.934772706568289</c:v>
                </c:pt>
                <c:pt idx="137">
                  <c:v>75.647574538999379</c:v>
                </c:pt>
                <c:pt idx="138">
                  <c:v>61.840171809652986</c:v>
                </c:pt>
                <c:pt idx="139">
                  <c:v>53.635161331231778</c:v>
                </c:pt>
                <c:pt idx="140">
                  <c:v>65.479920763551235</c:v>
                </c:pt>
                <c:pt idx="141">
                  <c:v>62.997446733579849</c:v>
                </c:pt>
                <c:pt idx="142">
                  <c:v>68.922319885808719</c:v>
                </c:pt>
                <c:pt idx="143">
                  <c:v>59.183464215491135</c:v>
                </c:pt>
                <c:pt idx="144">
                  <c:v>60.500940263273712</c:v>
                </c:pt>
                <c:pt idx="145">
                  <c:v>65.829736211031161</c:v>
                </c:pt>
                <c:pt idx="146">
                  <c:v>69.143716365938587</c:v>
                </c:pt>
                <c:pt idx="147">
                  <c:v>57.280952380952378</c:v>
                </c:pt>
                <c:pt idx="148">
                  <c:v>49.916035422178737</c:v>
                </c:pt>
                <c:pt idx="149">
                  <c:v>45.319577775007282</c:v>
                </c:pt>
                <c:pt idx="150">
                  <c:v>36.979651137038125</c:v>
                </c:pt>
                <c:pt idx="151">
                  <c:v>51.704022046507511</c:v>
                </c:pt>
                <c:pt idx="152">
                  <c:v>47.158506102043816</c:v>
                </c:pt>
                <c:pt idx="153">
                  <c:v>51.532737293764924</c:v>
                </c:pt>
                <c:pt idx="154">
                  <c:v>50.034210284779768</c:v>
                </c:pt>
                <c:pt idx="155">
                  <c:v>51.704022046507511</c:v>
                </c:pt>
                <c:pt idx="156">
                  <c:v>47.966577905300298</c:v>
                </c:pt>
                <c:pt idx="157">
                  <c:v>50.427220159249195</c:v>
                </c:pt>
                <c:pt idx="158">
                  <c:v>45.975911396792391</c:v>
                </c:pt>
                <c:pt idx="159">
                  <c:v>43.902661735835267</c:v>
                </c:pt>
                <c:pt idx="160">
                  <c:v>40.339431441126358</c:v>
                </c:pt>
                <c:pt idx="161">
                  <c:v>44.746602396732939</c:v>
                </c:pt>
                <c:pt idx="162">
                  <c:v>42.611956761526585</c:v>
                </c:pt>
                <c:pt idx="163">
                  <c:v>51.704022046507511</c:v>
                </c:pt>
                <c:pt idx="164">
                  <c:v>43.024206738632657</c:v>
                </c:pt>
                <c:pt idx="165">
                  <c:v>48.732731917972359</c:v>
                </c:pt>
                <c:pt idx="166">
                  <c:v>43.071921018594338</c:v>
                </c:pt>
                <c:pt idx="167">
                  <c:v>53.928452022734888</c:v>
                </c:pt>
                <c:pt idx="168">
                  <c:v>59.394709822519928</c:v>
                </c:pt>
                <c:pt idx="169">
                  <c:v>44.686927637910166</c:v>
                </c:pt>
                <c:pt idx="170">
                  <c:v>51.499450463181034</c:v>
                </c:pt>
                <c:pt idx="171">
                  <c:v>70.674185463659143</c:v>
                </c:pt>
                <c:pt idx="172">
                  <c:v>60.473469063777429</c:v>
                </c:pt>
                <c:pt idx="173">
                  <c:v>67.254267858778434</c:v>
                </c:pt>
                <c:pt idx="174">
                  <c:v>72.623959618302194</c:v>
                </c:pt>
                <c:pt idx="175">
                  <c:v>70.357532233598789</c:v>
                </c:pt>
                <c:pt idx="176">
                  <c:v>64.451867275917252</c:v>
                </c:pt>
                <c:pt idx="177">
                  <c:v>75.270899831623751</c:v>
                </c:pt>
                <c:pt idx="178">
                  <c:v>66.770049488170287</c:v>
                </c:pt>
                <c:pt idx="179">
                  <c:v>71.101377153422149</c:v>
                </c:pt>
                <c:pt idx="180">
                  <c:v>65.489436956313924</c:v>
                </c:pt>
                <c:pt idx="181">
                  <c:v>77.7972709551657</c:v>
                </c:pt>
                <c:pt idx="182">
                  <c:v>74.33870724375268</c:v>
                </c:pt>
                <c:pt idx="183">
                  <c:v>56.240624062406241</c:v>
                </c:pt>
                <c:pt idx="184">
                  <c:v>61.319359506279433</c:v>
                </c:pt>
                <c:pt idx="185">
                  <c:v>75.149192548952314</c:v>
                </c:pt>
                <c:pt idx="186">
                  <c:v>74.670737860361527</c:v>
                </c:pt>
                <c:pt idx="187">
                  <c:v>68.268659743043784</c:v>
                </c:pt>
                <c:pt idx="188">
                  <c:v>45.210290980071719</c:v>
                </c:pt>
              </c:numCache>
            </c:numRef>
          </c:xVal>
          <c:yVal>
            <c:numRef>
              <c:f>mix!$BC$4:$BC$192</c:f>
              <c:numCache>
                <c:formatCode>0.00</c:formatCode>
                <c:ptCount val="189"/>
                <c:pt idx="0">
                  <c:v>21.342845350919813</c:v>
                </c:pt>
                <c:pt idx="1">
                  <c:v>8.898195196515168</c:v>
                </c:pt>
                <c:pt idx="2">
                  <c:v>7.9833446834800927</c:v>
                </c:pt>
                <c:pt idx="3">
                  <c:v>24.382651874926836</c:v>
                </c:pt>
                <c:pt idx="4">
                  <c:v>13.100938120380754</c:v>
                </c:pt>
                <c:pt idx="5">
                  <c:v>10.672006932737009</c:v>
                </c:pt>
                <c:pt idx="6">
                  <c:v>18.068839595395207</c:v>
                </c:pt>
                <c:pt idx="7">
                  <c:v>11.660403730108877</c:v>
                </c:pt>
                <c:pt idx="8">
                  <c:v>11.359928283802818</c:v>
                </c:pt>
                <c:pt idx="9">
                  <c:v>7.6348795967370346</c:v>
                </c:pt>
                <c:pt idx="10">
                  <c:v>7.431687141252481</c:v>
                </c:pt>
                <c:pt idx="11">
                  <c:v>9.6305978017838463</c:v>
                </c:pt>
                <c:pt idx="12">
                  <c:v>9.5558938471559589</c:v>
                </c:pt>
                <c:pt idx="13">
                  <c:v>12.230286179329394</c:v>
                </c:pt>
                <c:pt idx="14">
                  <c:v>8.85660659893915</c:v>
                </c:pt>
                <c:pt idx="15">
                  <c:v>10.153687340928851</c:v>
                </c:pt>
                <c:pt idx="16">
                  <c:v>10.331501981247753</c:v>
                </c:pt>
                <c:pt idx="17">
                  <c:v>6.4947494854456833</c:v>
                </c:pt>
                <c:pt idx="18">
                  <c:v>10.766089904485666</c:v>
                </c:pt>
                <c:pt idx="19">
                  <c:v>8.8483916091999912</c:v>
                </c:pt>
                <c:pt idx="20">
                  <c:v>3.3110032927722104</c:v>
                </c:pt>
                <c:pt idx="21">
                  <c:v>9.2017358821994222</c:v>
                </c:pt>
                <c:pt idx="22">
                  <c:v>2.4314584590010835</c:v>
                </c:pt>
                <c:pt idx="23">
                  <c:v>2.0047423090870713</c:v>
                </c:pt>
                <c:pt idx="24">
                  <c:v>15.011370255794892</c:v>
                </c:pt>
                <c:pt idx="25">
                  <c:v>6.7925150504880278</c:v>
                </c:pt>
                <c:pt idx="26">
                  <c:v>2.5699564684938618</c:v>
                </c:pt>
                <c:pt idx="27">
                  <c:v>10.213646488060503</c:v>
                </c:pt>
                <c:pt idx="28">
                  <c:v>7.3273457173151035</c:v>
                </c:pt>
                <c:pt idx="29">
                  <c:v>5.7020851715413743</c:v>
                </c:pt>
                <c:pt idx="30">
                  <c:v>6.6830325664053838</c:v>
                </c:pt>
                <c:pt idx="31">
                  <c:v>8.3810318675350555</c:v>
                </c:pt>
                <c:pt idx="32">
                  <c:v>16.464980202529969</c:v>
                </c:pt>
                <c:pt idx="33">
                  <c:v>2.4603266777309387</c:v>
                </c:pt>
                <c:pt idx="34">
                  <c:v>1.2920798445790174</c:v>
                </c:pt>
                <c:pt idx="35">
                  <c:v>29.234540200054205</c:v>
                </c:pt>
                <c:pt idx="36">
                  <c:v>30.883360492930549</c:v>
                </c:pt>
                <c:pt idx="37">
                  <c:v>14.388433624073874</c:v>
                </c:pt>
                <c:pt idx="38">
                  <c:v>6.4566292159905707</c:v>
                </c:pt>
                <c:pt idx="39">
                  <c:v>16.365113988675365</c:v>
                </c:pt>
                <c:pt idx="40">
                  <c:v>13.514844722905393</c:v>
                </c:pt>
                <c:pt idx="41">
                  <c:v>15.47836462479669</c:v>
                </c:pt>
                <c:pt idx="42">
                  <c:v>14.738119019934889</c:v>
                </c:pt>
                <c:pt idx="44">
                  <c:v>33.802669544292655</c:v>
                </c:pt>
                <c:pt idx="45">
                  <c:v>7.6725436887277718</c:v>
                </c:pt>
                <c:pt idx="46">
                  <c:v>7.4818177204334226</c:v>
                </c:pt>
                <c:pt idx="48">
                  <c:v>26.476788925467226</c:v>
                </c:pt>
                <c:pt idx="49">
                  <c:v>21.653342019810832</c:v>
                </c:pt>
                <c:pt idx="50">
                  <c:v>24.330403280311018</c:v>
                </c:pt>
                <c:pt idx="51">
                  <c:v>18.080926743535986</c:v>
                </c:pt>
                <c:pt idx="52">
                  <c:v>7.2983951196194985</c:v>
                </c:pt>
                <c:pt idx="53">
                  <c:v>2.6547999899020112</c:v>
                </c:pt>
                <c:pt idx="54">
                  <c:v>2.3502495752989003</c:v>
                </c:pt>
                <c:pt idx="55">
                  <c:v>41.456542247715895</c:v>
                </c:pt>
                <c:pt idx="56">
                  <c:v>5.82746440664702</c:v>
                </c:pt>
                <c:pt idx="57">
                  <c:v>1.5935556505177777</c:v>
                </c:pt>
                <c:pt idx="59">
                  <c:v>17.93219670805976</c:v>
                </c:pt>
                <c:pt idx="60">
                  <c:v>18.414557637631152</c:v>
                </c:pt>
                <c:pt idx="61">
                  <c:v>18.150088325846106</c:v>
                </c:pt>
                <c:pt idx="62">
                  <c:v>29.062861292441216</c:v>
                </c:pt>
                <c:pt idx="63">
                  <c:v>16.293242555878752</c:v>
                </c:pt>
                <c:pt idx="64">
                  <c:v>42.694149847401533</c:v>
                </c:pt>
                <c:pt idx="65">
                  <c:v>31.054743894348853</c:v>
                </c:pt>
                <c:pt idx="66">
                  <c:v>18.963716670144397</c:v>
                </c:pt>
                <c:pt idx="67">
                  <c:v>13.089966233506223</c:v>
                </c:pt>
                <c:pt idx="68">
                  <c:v>0.68595529592606952</c:v>
                </c:pt>
                <c:pt idx="69">
                  <c:v>2.0877210192207727</c:v>
                </c:pt>
                <c:pt idx="70">
                  <c:v>0.48143153182388482</c:v>
                </c:pt>
                <c:pt idx="71">
                  <c:v>0.37742708717570689</c:v>
                </c:pt>
                <c:pt idx="72">
                  <c:v>0.40952898113973835</c:v>
                </c:pt>
                <c:pt idx="73">
                  <c:v>22.771826059765683</c:v>
                </c:pt>
                <c:pt idx="74">
                  <c:v>22.583354219489078</c:v>
                </c:pt>
                <c:pt idx="75">
                  <c:v>20.448709195313981</c:v>
                </c:pt>
                <c:pt idx="76">
                  <c:v>29.17283413284752</c:v>
                </c:pt>
                <c:pt idx="77">
                  <c:v>26.930287135241919</c:v>
                </c:pt>
                <c:pt idx="78">
                  <c:v>30.400524508805475</c:v>
                </c:pt>
                <c:pt idx="80">
                  <c:v>1.5470339548258305</c:v>
                </c:pt>
                <c:pt idx="81">
                  <c:v>3.8540838176275245</c:v>
                </c:pt>
                <c:pt idx="82">
                  <c:v>1.9029283360532723</c:v>
                </c:pt>
                <c:pt idx="83">
                  <c:v>16.554162550124019</c:v>
                </c:pt>
                <c:pt idx="84">
                  <c:v>16.96771462109924</c:v>
                </c:pt>
                <c:pt idx="85">
                  <c:v>16.979492068976885</c:v>
                </c:pt>
                <c:pt idx="86">
                  <c:v>31.971066433307822</c:v>
                </c:pt>
                <c:pt idx="87">
                  <c:v>26.937577256002932</c:v>
                </c:pt>
                <c:pt idx="88">
                  <c:v>24.890053975453398</c:v>
                </c:pt>
                <c:pt idx="89">
                  <c:v>25.357904929210235</c:v>
                </c:pt>
                <c:pt idx="90">
                  <c:v>22.735635419203405</c:v>
                </c:pt>
                <c:pt idx="91">
                  <c:v>29.083237838707156</c:v>
                </c:pt>
                <c:pt idx="92">
                  <c:v>18.856157113541279</c:v>
                </c:pt>
                <c:pt idx="95">
                  <c:v>33.468133771636083</c:v>
                </c:pt>
                <c:pt idx="96">
                  <c:v>39.767405757520486</c:v>
                </c:pt>
                <c:pt idx="97">
                  <c:v>31.919423865457507</c:v>
                </c:pt>
                <c:pt idx="98">
                  <c:v>32.427923272274484</c:v>
                </c:pt>
                <c:pt idx="99">
                  <c:v>18.257654811034321</c:v>
                </c:pt>
                <c:pt idx="102">
                  <c:v>22.299807436953532</c:v>
                </c:pt>
                <c:pt idx="103">
                  <c:v>24.258317796842487</c:v>
                </c:pt>
                <c:pt idx="104">
                  <c:v>48.92082858712746</c:v>
                </c:pt>
                <c:pt idx="106">
                  <c:v>12.567751500019595</c:v>
                </c:pt>
                <c:pt idx="107">
                  <c:v>8.3422197019740327</c:v>
                </c:pt>
                <c:pt idx="108">
                  <c:v>34.421058322803475</c:v>
                </c:pt>
                <c:pt idx="109">
                  <c:v>30.561626457225877</c:v>
                </c:pt>
                <c:pt idx="110">
                  <c:v>18.177282197394913</c:v>
                </c:pt>
                <c:pt idx="111">
                  <c:v>4.8692397817565682</c:v>
                </c:pt>
                <c:pt idx="112">
                  <c:v>49.428588994869166</c:v>
                </c:pt>
                <c:pt idx="113">
                  <c:v>34.045638427281425</c:v>
                </c:pt>
                <c:pt idx="114">
                  <c:v>0.73989061407369894</c:v>
                </c:pt>
                <c:pt idx="116">
                  <c:v>22.18793239577515</c:v>
                </c:pt>
                <c:pt idx="117">
                  <c:v>20.058776067914561</c:v>
                </c:pt>
                <c:pt idx="118">
                  <c:v>17.083057958769707</c:v>
                </c:pt>
                <c:pt idx="122">
                  <c:v>25.564902711427035</c:v>
                </c:pt>
                <c:pt idx="123">
                  <c:v>18.053031206233833</c:v>
                </c:pt>
                <c:pt idx="124">
                  <c:v>12.746892202799867</c:v>
                </c:pt>
                <c:pt idx="126">
                  <c:v>18.956337916624712</c:v>
                </c:pt>
                <c:pt idx="127">
                  <c:v>15.339094083534754</c:v>
                </c:pt>
                <c:pt idx="129">
                  <c:v>16.203516569856504</c:v>
                </c:pt>
                <c:pt idx="130">
                  <c:v>21.900253863023583</c:v>
                </c:pt>
                <c:pt idx="131">
                  <c:v>18.228519509400183</c:v>
                </c:pt>
                <c:pt idx="132">
                  <c:v>50.474601830968879</c:v>
                </c:pt>
                <c:pt idx="133">
                  <c:v>32.825771092268567</c:v>
                </c:pt>
                <c:pt idx="134">
                  <c:v>48.963276973066684</c:v>
                </c:pt>
                <c:pt idx="135">
                  <c:v>33.476530600952628</c:v>
                </c:pt>
                <c:pt idx="136">
                  <c:v>24.775191699756853</c:v>
                </c:pt>
                <c:pt idx="137">
                  <c:v>44.206883780306143</c:v>
                </c:pt>
                <c:pt idx="138">
                  <c:v>48.529963451450939</c:v>
                </c:pt>
                <c:pt idx="139">
                  <c:v>27.967754735085322</c:v>
                </c:pt>
                <c:pt idx="140">
                  <c:v>50.838349124467221</c:v>
                </c:pt>
                <c:pt idx="141">
                  <c:v>49.089313305035461</c:v>
                </c:pt>
                <c:pt idx="142">
                  <c:v>47.042545135286652</c:v>
                </c:pt>
                <c:pt idx="143">
                  <c:v>25.969110507865285</c:v>
                </c:pt>
                <c:pt idx="144">
                  <c:v>49.76862787242397</c:v>
                </c:pt>
                <c:pt idx="145">
                  <c:v>49.507403145789922</c:v>
                </c:pt>
                <c:pt idx="148">
                  <c:v>22.912620991627374</c:v>
                </c:pt>
                <c:pt idx="150">
                  <c:v>17.562776019537225</c:v>
                </c:pt>
                <c:pt idx="152">
                  <c:v>18.98616339257153</c:v>
                </c:pt>
                <c:pt idx="153">
                  <c:v>25.932472927853734</c:v>
                </c:pt>
                <c:pt idx="154">
                  <c:v>25.355119409907022</c:v>
                </c:pt>
                <c:pt idx="157">
                  <c:v>20.538439378034333</c:v>
                </c:pt>
                <c:pt idx="158">
                  <c:v>18.596693866131382</c:v>
                </c:pt>
                <c:pt idx="159">
                  <c:v>26.237743224203381</c:v>
                </c:pt>
                <c:pt idx="160">
                  <c:v>24.037547221081585</c:v>
                </c:pt>
                <c:pt idx="161">
                  <c:v>21.381642267147239</c:v>
                </c:pt>
                <c:pt idx="162">
                  <c:v>16.775728516128073</c:v>
                </c:pt>
                <c:pt idx="164">
                  <c:v>20.519350606121424</c:v>
                </c:pt>
                <c:pt idx="165">
                  <c:v>18.374596845145732</c:v>
                </c:pt>
                <c:pt idx="166">
                  <c:v>23.486868504750298</c:v>
                </c:pt>
                <c:pt idx="169">
                  <c:v>17.166614037421567</c:v>
                </c:pt>
                <c:pt idx="170">
                  <c:v>24.181863158266523</c:v>
                </c:pt>
                <c:pt idx="171">
                  <c:v>48.940953139707759</c:v>
                </c:pt>
                <c:pt idx="172">
                  <c:v>35.442431596466996</c:v>
                </c:pt>
                <c:pt idx="173">
                  <c:v>45.363775562632789</c:v>
                </c:pt>
                <c:pt idx="176">
                  <c:v>44.207433669674138</c:v>
                </c:pt>
                <c:pt idx="178">
                  <c:v>49.915005283463373</c:v>
                </c:pt>
                <c:pt idx="180">
                  <c:v>37.257641343658612</c:v>
                </c:pt>
                <c:pt idx="182">
                  <c:v>38.529215312246521</c:v>
                </c:pt>
                <c:pt idx="183">
                  <c:v>22.847911851500903</c:v>
                </c:pt>
                <c:pt idx="184">
                  <c:v>36.025574862409165</c:v>
                </c:pt>
                <c:pt idx="185">
                  <c:v>48.400797671526149</c:v>
                </c:pt>
                <c:pt idx="186">
                  <c:v>46.979295687120491</c:v>
                </c:pt>
                <c:pt idx="187">
                  <c:v>43.167140652202555</c:v>
                </c:pt>
                <c:pt idx="188">
                  <c:v>16.156991968216634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DD-8742-BFA7-86C1C993E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1533184"/>
        <c:axId val="-2019120416"/>
      </c:scatterChart>
      <c:valAx>
        <c:axId val="-202153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2019120416"/>
        <c:crosses val="autoZero"/>
        <c:crossBetween val="midCat"/>
      </c:valAx>
      <c:valAx>
        <c:axId val="-201912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202153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165135608048994E-2"/>
                  <c:y val="-0.164621974336541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'Olsen P ny'!$AV$5:$AV$11</c:f>
              <c:numCache>
                <c:formatCode>General</c:formatCode>
                <c:ptCount val="7"/>
                <c:pt idx="0">
                  <c:v>0</c:v>
                </c:pt>
                <c:pt idx="1">
                  <c:v>0.93899999999999995</c:v>
                </c:pt>
                <c:pt idx="2">
                  <c:v>3.0129999999999999</c:v>
                </c:pt>
                <c:pt idx="3">
                  <c:v>6.0220000000000002</c:v>
                </c:pt>
                <c:pt idx="4">
                  <c:v>10.231999999999999</c:v>
                </c:pt>
                <c:pt idx="5">
                  <c:v>15.026</c:v>
                </c:pt>
                <c:pt idx="6">
                  <c:v>8.4719999999999995</c:v>
                </c:pt>
              </c:numCache>
            </c:numRef>
          </c:xVal>
          <c:yVal>
            <c:numRef>
              <c:f>'Olsen P ny'!$AW$5:$AW$11</c:f>
              <c:numCache>
                <c:formatCode>General</c:formatCode>
                <c:ptCount val="7"/>
                <c:pt idx="0">
                  <c:v>0</c:v>
                </c:pt>
                <c:pt idx="1">
                  <c:v>1.4E-2</c:v>
                </c:pt>
                <c:pt idx="2">
                  <c:v>5.6000000000000001E-2</c:v>
                </c:pt>
                <c:pt idx="3">
                  <c:v>9.4E-2</c:v>
                </c:pt>
                <c:pt idx="4">
                  <c:v>0.14799999999999999</c:v>
                </c:pt>
                <c:pt idx="5">
                  <c:v>0.217</c:v>
                </c:pt>
                <c:pt idx="6">
                  <c:v>0.11700000000000001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E2-9D4A-8425-3C03AA7ED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894752"/>
        <c:axId val="1429896448"/>
      </c:scatterChart>
      <c:valAx>
        <c:axId val="142989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896448"/>
        <c:crosses val="autoZero"/>
        <c:crossBetween val="midCat"/>
      </c:valAx>
      <c:valAx>
        <c:axId val="14298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89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165135608048994E-2"/>
                  <c:y val="-0.164621974336541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'Olsen P ny'!$AP$10:$AP$11</c:f>
              <c:numCache>
                <c:formatCode>General</c:formatCode>
                <c:ptCount val="2"/>
                <c:pt idx="0">
                  <c:v>8.4719999999999995</c:v>
                </c:pt>
                <c:pt idx="1">
                  <c:v>0</c:v>
                </c:pt>
              </c:numCache>
            </c:numRef>
          </c:xVal>
          <c:yVal>
            <c:numRef>
              <c:f>'Olsen P ny'!$AN$10:$AN$11</c:f>
              <c:numCache>
                <c:formatCode>General</c:formatCode>
                <c:ptCount val="2"/>
                <c:pt idx="0">
                  <c:v>0.17549999999999999</c:v>
                </c:pt>
                <c:pt idx="1">
                  <c:v>-1.5800000000000002E-2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F7-4E4A-B71D-555EBCE6A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894752"/>
        <c:axId val="1429896448"/>
      </c:scatterChart>
      <c:valAx>
        <c:axId val="142989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896448"/>
        <c:crosses val="autoZero"/>
        <c:crossBetween val="midCat"/>
      </c:valAx>
      <c:valAx>
        <c:axId val="14298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89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'Olsen P ny'!$AQ$5:$AQ$9</c:f>
              <c:numCache>
                <c:formatCode>General</c:formatCode>
                <c:ptCount val="5"/>
                <c:pt idx="0">
                  <c:v>0.36428571428571477</c:v>
                </c:pt>
                <c:pt idx="1">
                  <c:v>0.71571428571428553</c:v>
                </c:pt>
                <c:pt idx="2">
                  <c:v>1.4192857142857145</c:v>
                </c:pt>
                <c:pt idx="3">
                  <c:v>3.5735714285714288</c:v>
                </c:pt>
                <c:pt idx="4">
                  <c:v>5.0049999999999999</c:v>
                </c:pt>
              </c:numCache>
            </c:numRef>
          </c:xVal>
          <c:yVal>
            <c:numRef>
              <c:f>'Olsen P ny'!$AS$5:$AS$9</c:f>
              <c:numCache>
                <c:formatCode>General</c:formatCode>
                <c:ptCount val="5"/>
                <c:pt idx="0">
                  <c:v>9.9844000000000321E-3</c:v>
                </c:pt>
                <c:pt idx="1">
                  <c:v>4.1593800000000014E-2</c:v>
                </c:pt>
                <c:pt idx="2">
                  <c:v>5.9369000000000005E-2</c:v>
                </c:pt>
                <c:pt idx="3">
                  <c:v>0.21550180000000002</c:v>
                </c:pt>
                <c:pt idx="4">
                  <c:v>0.27219119999999997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D-7041-83C3-0D2D3ED54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210416"/>
        <c:axId val="1387573136"/>
      </c:scatterChart>
      <c:valAx>
        <c:axId val="138821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87573136"/>
        <c:crosses val="autoZero"/>
        <c:crossBetween val="midCat"/>
      </c:valAx>
      <c:valAx>
        <c:axId val="138757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8821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Olsen P ekstration frår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Nødebo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'Olsen P ref'!$B$6:$B$39</c:f>
              <c:numCache>
                <c:formatCode>m/d/yy</c:formatCode>
                <c:ptCount val="34"/>
                <c:pt idx="0">
                  <c:v>42753</c:v>
                </c:pt>
                <c:pt idx="1">
                  <c:v>42753</c:v>
                </c:pt>
                <c:pt idx="2">
                  <c:v>42753</c:v>
                </c:pt>
                <c:pt idx="3">
                  <c:v>42760</c:v>
                </c:pt>
                <c:pt idx="4">
                  <c:v>42760</c:v>
                </c:pt>
                <c:pt idx="5">
                  <c:v>42760</c:v>
                </c:pt>
                <c:pt idx="6">
                  <c:v>42765</c:v>
                </c:pt>
                <c:pt idx="7">
                  <c:v>42765</c:v>
                </c:pt>
                <c:pt idx="8">
                  <c:v>42765</c:v>
                </c:pt>
                <c:pt idx="9">
                  <c:v>42767</c:v>
                </c:pt>
                <c:pt idx="10">
                  <c:v>42767</c:v>
                </c:pt>
                <c:pt idx="11">
                  <c:v>42767</c:v>
                </c:pt>
                <c:pt idx="12">
                  <c:v>42768</c:v>
                </c:pt>
                <c:pt idx="13">
                  <c:v>42768</c:v>
                </c:pt>
                <c:pt idx="14">
                  <c:v>42776</c:v>
                </c:pt>
                <c:pt idx="15">
                  <c:v>42776</c:v>
                </c:pt>
                <c:pt idx="16">
                  <c:v>42776</c:v>
                </c:pt>
                <c:pt idx="17">
                  <c:v>42787</c:v>
                </c:pt>
                <c:pt idx="18">
                  <c:v>42787</c:v>
                </c:pt>
                <c:pt idx="19">
                  <c:v>42787</c:v>
                </c:pt>
                <c:pt idx="20">
                  <c:v>42794</c:v>
                </c:pt>
                <c:pt idx="21">
                  <c:v>42794</c:v>
                </c:pt>
                <c:pt idx="22">
                  <c:v>42794</c:v>
                </c:pt>
                <c:pt idx="23">
                  <c:v>42795</c:v>
                </c:pt>
                <c:pt idx="24">
                  <c:v>42795</c:v>
                </c:pt>
                <c:pt idx="25">
                  <c:v>42795</c:v>
                </c:pt>
                <c:pt idx="26">
                  <c:v>42798</c:v>
                </c:pt>
                <c:pt idx="27">
                  <c:v>42798</c:v>
                </c:pt>
                <c:pt idx="28">
                  <c:v>42798</c:v>
                </c:pt>
                <c:pt idx="29">
                  <c:v>42818</c:v>
                </c:pt>
                <c:pt idx="30">
                  <c:v>42818</c:v>
                </c:pt>
                <c:pt idx="31">
                  <c:v>42823</c:v>
                </c:pt>
                <c:pt idx="32">
                  <c:v>42823</c:v>
                </c:pt>
                <c:pt idx="33">
                  <c:v>42823</c:v>
                </c:pt>
              </c:numCache>
            </c:numRef>
          </c:xVal>
          <c:yVal>
            <c:numRef>
              <c:f>'Olsen P ref'!$J$6:$J$39</c:f>
              <c:numCache>
                <c:formatCode>0,000</c:formatCode>
                <c:ptCount val="34"/>
                <c:pt idx="0">
                  <c:v>0.36599999999999999</c:v>
                </c:pt>
                <c:pt idx="1">
                  <c:v>0.39800000000000002</c:v>
                </c:pt>
                <c:pt idx="2">
                  <c:v>0.374</c:v>
                </c:pt>
                <c:pt idx="3">
                  <c:v>0.36099999999999999</c:v>
                </c:pt>
                <c:pt idx="4">
                  <c:v>0.36399999999999999</c:v>
                </c:pt>
                <c:pt idx="5">
                  <c:v>0.29499999999999998</c:v>
                </c:pt>
                <c:pt idx="6">
                  <c:v>0.34599999999999997</c:v>
                </c:pt>
                <c:pt idx="7">
                  <c:v>0.43099999999999999</c:v>
                </c:pt>
                <c:pt idx="8">
                  <c:v>0.38900000000000001</c:v>
                </c:pt>
                <c:pt idx="9">
                  <c:v>0.29699999999999999</c:v>
                </c:pt>
                <c:pt idx="10">
                  <c:v>0.31900000000000001</c:v>
                </c:pt>
                <c:pt idx="11">
                  <c:v>0.40799999999999997</c:v>
                </c:pt>
                <c:pt idx="12">
                  <c:v>0.35899999999999999</c:v>
                </c:pt>
                <c:pt idx="13">
                  <c:v>0.373</c:v>
                </c:pt>
                <c:pt idx="14">
                  <c:v>0.36499999999999999</c:v>
                </c:pt>
                <c:pt idx="15">
                  <c:v>0.34300000000000003</c:v>
                </c:pt>
                <c:pt idx="16">
                  <c:v>0.307</c:v>
                </c:pt>
                <c:pt idx="17">
                  <c:v>0.28899999999999998</c:v>
                </c:pt>
                <c:pt idx="18">
                  <c:v>0.311</c:v>
                </c:pt>
                <c:pt idx="19">
                  <c:v>0.315</c:v>
                </c:pt>
                <c:pt idx="20">
                  <c:v>0.34799999999999998</c:v>
                </c:pt>
                <c:pt idx="21">
                  <c:v>0.45700000000000002</c:v>
                </c:pt>
                <c:pt idx="22">
                  <c:v>0.38</c:v>
                </c:pt>
                <c:pt idx="23">
                  <c:v>0.41499999999999998</c:v>
                </c:pt>
                <c:pt idx="24">
                  <c:v>0.39200000000000002</c:v>
                </c:pt>
                <c:pt idx="25">
                  <c:v>0.36599999999999999</c:v>
                </c:pt>
                <c:pt idx="26">
                  <c:v>0.308</c:v>
                </c:pt>
                <c:pt idx="27">
                  <c:v>0.34</c:v>
                </c:pt>
                <c:pt idx="28">
                  <c:v>0.376</c:v>
                </c:pt>
                <c:pt idx="29">
                  <c:v>0.25800000000000001</c:v>
                </c:pt>
                <c:pt idx="30">
                  <c:v>0.26600000000000001</c:v>
                </c:pt>
                <c:pt idx="31">
                  <c:v>0.33800000000000002</c:v>
                </c:pt>
                <c:pt idx="32">
                  <c:v>0.371</c:v>
                </c:pt>
                <c:pt idx="33">
                  <c:v>0.35199999999999998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3A-3D46-B78A-6BD96391E13C}"/>
            </c:ext>
          </c:extLst>
        </c:ser>
        <c:ser>
          <c:idx val="1"/>
          <c:order val="1"/>
          <c:tx>
            <c:v>blank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'Olsen P ref'!$B$48:$B$59</c:f>
              <c:numCache>
                <c:formatCode>m/d/yy</c:formatCode>
                <c:ptCount val="12"/>
                <c:pt idx="0">
                  <c:v>42753</c:v>
                </c:pt>
                <c:pt idx="1">
                  <c:v>42760</c:v>
                </c:pt>
                <c:pt idx="2">
                  <c:v>42765</c:v>
                </c:pt>
                <c:pt idx="3">
                  <c:v>42767</c:v>
                </c:pt>
                <c:pt idx="4">
                  <c:v>42768</c:v>
                </c:pt>
                <c:pt idx="5">
                  <c:v>42776</c:v>
                </c:pt>
                <c:pt idx="6">
                  <c:v>42787</c:v>
                </c:pt>
                <c:pt idx="7">
                  <c:v>42794</c:v>
                </c:pt>
                <c:pt idx="8">
                  <c:v>42795</c:v>
                </c:pt>
                <c:pt idx="9">
                  <c:v>42798</c:v>
                </c:pt>
                <c:pt idx="10">
                  <c:v>42818</c:v>
                </c:pt>
                <c:pt idx="11">
                  <c:v>42823</c:v>
                </c:pt>
              </c:numCache>
            </c:numRef>
          </c:xVal>
          <c:yVal>
            <c:numRef>
              <c:f>'Olsen P ref'!$J$48:$J$59</c:f>
              <c:numCache>
                <c:formatCode>0,000</c:formatCode>
                <c:ptCount val="12"/>
                <c:pt idx="0">
                  <c:v>0.10199999999999999</c:v>
                </c:pt>
                <c:pt idx="1">
                  <c:v>0.17899999999999999</c:v>
                </c:pt>
                <c:pt idx="2">
                  <c:v>0.10299999999999999</c:v>
                </c:pt>
                <c:pt idx="3">
                  <c:v>0.122</c:v>
                </c:pt>
                <c:pt idx="4">
                  <c:v>0.13900000000000001</c:v>
                </c:pt>
                <c:pt idx="5">
                  <c:v>0.14799999999999999</c:v>
                </c:pt>
                <c:pt idx="6">
                  <c:v>0.17799999999999999</c:v>
                </c:pt>
                <c:pt idx="7">
                  <c:v>0.157</c:v>
                </c:pt>
                <c:pt idx="8">
                  <c:v>0.183</c:v>
                </c:pt>
                <c:pt idx="9">
                  <c:v>0.11600000000000001</c:v>
                </c:pt>
                <c:pt idx="10">
                  <c:v>0.11</c:v>
                </c:pt>
                <c:pt idx="11">
                  <c:v>0.18099999999999999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3A-3D46-B78A-6BD96391E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0953808"/>
        <c:axId val="-2000952448"/>
      </c:scatterChart>
      <c:valAx>
        <c:axId val="-200095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31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2000952448"/>
        <c:crosses val="autoZero"/>
        <c:crossBetween val="midCat"/>
      </c:valAx>
      <c:valAx>
        <c:axId val="-20009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200095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25/4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1962016316809201E-2"/>
                  <c:y val="0.3242492693732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'Olsen P ref'!$B$82:$B$87</c:f>
              <c:numCache>
                <c:formatCode>0,000</c:formatCode>
                <c:ptCount val="6"/>
                <c:pt idx="0">
                  <c:v>0</c:v>
                </c:pt>
                <c:pt idx="1">
                  <c:v>0.04</c:v>
                </c:pt>
                <c:pt idx="2">
                  <c:v>7.3999999999999996E-2</c:v>
                </c:pt>
                <c:pt idx="3">
                  <c:v>0.16500000000000001</c:v>
                </c:pt>
                <c:pt idx="4">
                  <c:v>0.35899999999999999</c:v>
                </c:pt>
                <c:pt idx="5">
                  <c:v>0.71199999999999997</c:v>
                </c:pt>
              </c:numCache>
            </c:numRef>
          </c:xVal>
          <c:yVal>
            <c:numRef>
              <c:f>'Olsen P ref'!$A$82:$A$87</c:f>
              <c:numCache>
                <c:formatCode>0.00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B2-A144-9629-C7E5E0F3C9A0}"/>
            </c:ext>
          </c:extLst>
        </c:ser>
        <c:ser>
          <c:idx val="1"/>
          <c:order val="1"/>
          <c:tx>
            <c:v>26/4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1090340806636E-2"/>
                  <c:y val="0.42280761864226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'Olsen P ref'!$B$91:$B$96</c:f>
              <c:numCache>
                <c:formatCode>0,000</c:formatCode>
                <c:ptCount val="6"/>
                <c:pt idx="0">
                  <c:v>0</c:v>
                </c:pt>
                <c:pt idx="1">
                  <c:v>3.6999999999999998E-2</c:v>
                </c:pt>
                <c:pt idx="2">
                  <c:v>7.6999999999999999E-2</c:v>
                </c:pt>
                <c:pt idx="3">
                  <c:v>0.17599999999999999</c:v>
                </c:pt>
                <c:pt idx="4">
                  <c:v>0.36299999999999999</c:v>
                </c:pt>
                <c:pt idx="5">
                  <c:v>0.71499999999999997</c:v>
                </c:pt>
              </c:numCache>
            </c:numRef>
          </c:xVal>
          <c:yVal>
            <c:numRef>
              <c:f>'Olsen P ref'!$A$91:$A$96</c:f>
              <c:numCache>
                <c:formatCode>0.00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B2-A144-9629-C7E5E0F3C9A0}"/>
            </c:ext>
          </c:extLst>
        </c:ser>
        <c:ser>
          <c:idx val="2"/>
          <c:order val="2"/>
          <c:tx>
            <c:v>3/5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088103490880402E-2"/>
                  <c:y val="0.524479889338157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'Olsen P ref'!$B$99:$B$104</c:f>
              <c:numCache>
                <c:formatCode>0,000</c:formatCode>
                <c:ptCount val="6"/>
                <c:pt idx="0">
                  <c:v>0</c:v>
                </c:pt>
                <c:pt idx="1">
                  <c:v>3.7999999999999999E-2</c:v>
                </c:pt>
                <c:pt idx="2">
                  <c:v>7.3999999999999996E-2</c:v>
                </c:pt>
                <c:pt idx="3">
                  <c:v>0.16400000000000001</c:v>
                </c:pt>
                <c:pt idx="4">
                  <c:v>0.36699999999999999</c:v>
                </c:pt>
                <c:pt idx="5">
                  <c:v>0.72299999999999998</c:v>
                </c:pt>
              </c:numCache>
            </c:numRef>
          </c:xVal>
          <c:yVal>
            <c:numRef>
              <c:f>'Olsen P ref'!$A$99:$A$104</c:f>
              <c:numCache>
                <c:formatCode>0.00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B2-A144-9629-C7E5E0F3C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0909488"/>
        <c:axId val="-2000904656"/>
      </c:scatterChart>
      <c:valAx>
        <c:axId val="-200090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,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2000904656"/>
        <c:crosses val="autoZero"/>
        <c:crossBetween val="midCat"/>
      </c:valAx>
      <c:valAx>
        <c:axId val="-20009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P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200090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Olsen P ekstratkion efterår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Nødebo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'Olsen P ref'!$B$40:$B$45</c:f>
              <c:numCache>
                <c:formatCode>m/d/yy</c:formatCode>
                <c:ptCount val="6"/>
                <c:pt idx="0">
                  <c:v>42998</c:v>
                </c:pt>
                <c:pt idx="1">
                  <c:v>42998</c:v>
                </c:pt>
                <c:pt idx="2">
                  <c:v>42998</c:v>
                </c:pt>
                <c:pt idx="3">
                  <c:v>43017</c:v>
                </c:pt>
                <c:pt idx="4">
                  <c:v>43017</c:v>
                </c:pt>
                <c:pt idx="5">
                  <c:v>43017</c:v>
                </c:pt>
              </c:numCache>
            </c:numRef>
          </c:xVal>
          <c:yVal>
            <c:numRef>
              <c:f>'Olsen P ref'!$J$40:$J$45</c:f>
              <c:numCache>
                <c:formatCode>0,000</c:formatCode>
                <c:ptCount val="6"/>
                <c:pt idx="0">
                  <c:v>0.216</c:v>
                </c:pt>
                <c:pt idx="1">
                  <c:v>0.22800000000000001</c:v>
                </c:pt>
                <c:pt idx="2">
                  <c:v>0.222</c:v>
                </c:pt>
                <c:pt idx="3">
                  <c:v>0.253</c:v>
                </c:pt>
                <c:pt idx="4">
                  <c:v>0.255</c:v>
                </c:pt>
                <c:pt idx="5">
                  <c:v>0.28599999999999998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F4-8A47-8ED8-B992984D6E4E}"/>
            </c:ext>
          </c:extLst>
        </c:ser>
        <c:ser>
          <c:idx val="1"/>
          <c:order val="1"/>
          <c:tx>
            <c:v>blank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'Olsen P ref'!$B$60:$B$66</c:f>
              <c:numCache>
                <c:formatCode>m/d/yy</c:formatCode>
                <c:ptCount val="7"/>
                <c:pt idx="0">
                  <c:v>42998</c:v>
                </c:pt>
                <c:pt idx="1">
                  <c:v>42998</c:v>
                </c:pt>
                <c:pt idx="2">
                  <c:v>42998</c:v>
                </c:pt>
                <c:pt idx="3">
                  <c:v>42998</c:v>
                </c:pt>
                <c:pt idx="4">
                  <c:v>43017</c:v>
                </c:pt>
                <c:pt idx="5">
                  <c:v>43017</c:v>
                </c:pt>
                <c:pt idx="6">
                  <c:v>43017</c:v>
                </c:pt>
              </c:numCache>
            </c:numRef>
          </c:xVal>
          <c:yVal>
            <c:numRef>
              <c:f>'Olsen P ref'!$J$60:$J$66</c:f>
              <c:numCache>
                <c:formatCode>0,000</c:formatCode>
                <c:ptCount val="7"/>
                <c:pt idx="0">
                  <c:v>9.6000000000000002E-2</c:v>
                </c:pt>
                <c:pt idx="1">
                  <c:v>7.0999999999999994E-2</c:v>
                </c:pt>
                <c:pt idx="2">
                  <c:v>7.0999999999999994E-2</c:v>
                </c:pt>
                <c:pt idx="3">
                  <c:v>8.6999999999999994E-2</c:v>
                </c:pt>
                <c:pt idx="4">
                  <c:v>4.9000000000000002E-2</c:v>
                </c:pt>
                <c:pt idx="5">
                  <c:v>6.6000000000000003E-2</c:v>
                </c:pt>
                <c:pt idx="6">
                  <c:v>5.1999999999999998E-2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F4-8A47-8ED8-B992984D6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0873456"/>
        <c:axId val="-2000861696"/>
      </c:scatterChart>
      <c:valAx>
        <c:axId val="-200087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31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2000861696"/>
        <c:crosses val="autoZero"/>
        <c:crossBetween val="midCat"/>
      </c:valAx>
      <c:valAx>
        <c:axId val="-200086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200087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A74-3D4E-93EC-B360846C9C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A74-3D4E-93EC-B360846C9C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A74-3D4E-93EC-B360846C9C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A74-3D4E-93EC-B360846C9C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A74-3D4E-93EC-B360846C9C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A74-3D4E-93EC-B360846C9C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A74-3D4E-93EC-B360846C9C8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A74-3D4E-93EC-B360846C9C8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DA74-3D4E-93EC-B360846C9C8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DA74-3D4E-93EC-B360846C9C8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DA74-3D4E-93EC-B360846C9C8C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DA74-3D4E-93EC-B360846C9C8C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DA74-3D4E-93EC-B360846C9C8C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DA74-3D4E-93EC-B360846C9C8C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'Veg analysis'!$E$3:$J$3</c:f>
              <c:strCache>
                <c:ptCount val="6"/>
                <c:pt idx="0">
                  <c:v>Graminoids</c:v>
                </c:pt>
                <c:pt idx="1">
                  <c:v>Forbs</c:v>
                </c:pt>
                <c:pt idx="2">
                  <c:v>Evergreen bushes</c:v>
                </c:pt>
                <c:pt idx="3">
                  <c:v>Deciduous bush</c:v>
                </c:pt>
                <c:pt idx="4">
                  <c:v>Horsetail</c:v>
                </c:pt>
                <c:pt idx="5">
                  <c:v>Moss</c:v>
                </c:pt>
              </c:strCache>
            </c:strRef>
          </c:cat>
          <c:val>
            <c:numRef>
              <c:f>'Veg analysis'!$E$79:$J$79</c:f>
              <c:numCache>
                <c:formatCode>0</c:formatCode>
                <c:ptCount val="6"/>
                <c:pt idx="0">
                  <c:v>187.33333333333334</c:v>
                </c:pt>
                <c:pt idx="1">
                  <c:v>29.333333333333332</c:v>
                </c:pt>
                <c:pt idx="2">
                  <c:v>0</c:v>
                </c:pt>
                <c:pt idx="3">
                  <c:v>63.333333333333329</c:v>
                </c:pt>
                <c:pt idx="4">
                  <c:v>4</c:v>
                </c:pt>
                <c:pt idx="5">
                  <c:v>49.333333333333336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A74-3D4E-93EC-B360846C9C8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2E7-D84B-8F6F-BC0786823F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2E7-D84B-8F6F-BC0786823F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2E7-D84B-8F6F-BC0786823F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2E7-D84B-8F6F-BC0786823F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2E7-D84B-8F6F-BC0786823F2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2E7-D84B-8F6F-BC0786823F2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2E7-D84B-8F6F-BC0786823F2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82E7-D84B-8F6F-BC0786823F2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82E7-D84B-8F6F-BC0786823F2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82E7-D84B-8F6F-BC0786823F2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82E7-D84B-8F6F-BC0786823F2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82E7-D84B-8F6F-BC0786823F2F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82E7-D84B-8F6F-BC0786823F2F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82E7-D84B-8F6F-BC0786823F2F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'Veg analysis'!$E$67:$J$67</c:f>
              <c:strCache>
                <c:ptCount val="6"/>
                <c:pt idx="0">
                  <c:v>Graminoids including leymus</c:v>
                </c:pt>
                <c:pt idx="1">
                  <c:v>Forbs</c:v>
                </c:pt>
                <c:pt idx="2">
                  <c:v>Evergr. bushes</c:v>
                </c:pt>
                <c:pt idx="3">
                  <c:v>Dec. bushes</c:v>
                </c:pt>
                <c:pt idx="4">
                  <c:v>Horsetail</c:v>
                </c:pt>
                <c:pt idx="5">
                  <c:v>Moss</c:v>
                </c:pt>
              </c:strCache>
            </c:strRef>
          </c:cat>
          <c:val>
            <c:numRef>
              <c:f>'Veg analysis'!$E$80:$J$80</c:f>
              <c:numCache>
                <c:formatCode>0</c:formatCode>
                <c:ptCount val="6"/>
                <c:pt idx="0">
                  <c:v>439.33333333333337</c:v>
                </c:pt>
                <c:pt idx="1">
                  <c:v>7.333333333333333</c:v>
                </c:pt>
                <c:pt idx="2">
                  <c:v>0</c:v>
                </c:pt>
                <c:pt idx="3">
                  <c:v>0</c:v>
                </c:pt>
                <c:pt idx="4">
                  <c:v>189.33333333333334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2E7-D84B-8F6F-BC0786823F2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965200</xdr:colOff>
      <xdr:row>9</xdr:row>
      <xdr:rowOff>25400</xdr:rowOff>
    </xdr:from>
    <xdr:to>
      <xdr:col>44</xdr:col>
      <xdr:colOff>69850</xdr:colOff>
      <xdr:row>22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C2C8AD-24EB-4E4D-8B3A-6F76D713C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76200</xdr:colOff>
      <xdr:row>17</xdr:row>
      <xdr:rowOff>139700</xdr:rowOff>
    </xdr:from>
    <xdr:to>
      <xdr:col>42</xdr:col>
      <xdr:colOff>241300</xdr:colOff>
      <xdr:row>32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3C3AFE-CD71-CD42-90AE-AA7C4F3D5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317500</xdr:colOff>
      <xdr:row>22</xdr:row>
      <xdr:rowOff>152400</xdr:rowOff>
    </xdr:from>
    <xdr:to>
      <xdr:col>45</xdr:col>
      <xdr:colOff>25400</xdr:colOff>
      <xdr:row>37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35A0F1-0A56-E743-9444-9E308F7E3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419100</xdr:colOff>
      <xdr:row>34</xdr:row>
      <xdr:rowOff>38100</xdr:rowOff>
    </xdr:from>
    <xdr:to>
      <xdr:col>45</xdr:col>
      <xdr:colOff>38100</xdr:colOff>
      <xdr:row>47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82FCF8-EA17-494B-8679-D1D99555A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44450</xdr:colOff>
      <xdr:row>40</xdr:row>
      <xdr:rowOff>12700</xdr:rowOff>
    </xdr:from>
    <xdr:to>
      <xdr:col>21</xdr:col>
      <xdr:colOff>25400</xdr:colOff>
      <xdr:row>64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508000</xdr:colOff>
      <xdr:row>83</xdr:row>
      <xdr:rowOff>63500</xdr:rowOff>
    </xdr:from>
    <xdr:to>
      <xdr:col>11</xdr:col>
      <xdr:colOff>584200</xdr:colOff>
      <xdr:row>102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12700</xdr:colOff>
      <xdr:row>66</xdr:row>
      <xdr:rowOff>127000</xdr:rowOff>
    </xdr:from>
    <xdr:to>
      <xdr:col>20</xdr:col>
      <xdr:colOff>831850</xdr:colOff>
      <xdr:row>91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793750</xdr:colOff>
      <xdr:row>124</xdr:row>
      <xdr:rowOff>146050</xdr:rowOff>
    </xdr:from>
    <xdr:to>
      <xdr:col>8</xdr:col>
      <xdr:colOff>520700</xdr:colOff>
      <xdr:row>139</xdr:row>
      <xdr:rowOff>31750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13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882650</xdr:colOff>
      <xdr:row>140</xdr:row>
      <xdr:rowOff>19050</xdr:rowOff>
    </xdr:from>
    <xdr:to>
      <xdr:col>8</xdr:col>
      <xdr:colOff>558800</xdr:colOff>
      <xdr:row>154</xdr:row>
      <xdr:rowOff>95250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13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215900</xdr:colOff>
      <xdr:row>125</xdr:row>
      <xdr:rowOff>19050</xdr:rowOff>
    </xdr:from>
    <xdr:to>
      <xdr:col>5</xdr:col>
      <xdr:colOff>406400</xdr:colOff>
      <xdr:row>139</xdr:row>
      <xdr:rowOff>95250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13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260350</xdr:colOff>
      <xdr:row>140</xdr:row>
      <xdr:rowOff>120650</xdr:rowOff>
    </xdr:from>
    <xdr:to>
      <xdr:col>5</xdr:col>
      <xdr:colOff>406400</xdr:colOff>
      <xdr:row>155</xdr:row>
      <xdr:rowOff>6350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13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6350</xdr:colOff>
      <xdr:row>8</xdr:row>
      <xdr:rowOff>139700</xdr:rowOff>
    </xdr:from>
    <xdr:to>
      <xdr:col>20</xdr:col>
      <xdr:colOff>730250</xdr:colOff>
      <xdr:row>22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177800</xdr:colOff>
      <xdr:row>8</xdr:row>
      <xdr:rowOff>101600</xdr:rowOff>
    </xdr:from>
    <xdr:to>
      <xdr:col>25</xdr:col>
      <xdr:colOff>76200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304800</xdr:colOff>
      <xdr:row>8</xdr:row>
      <xdr:rowOff>127000</xdr:rowOff>
    </xdr:from>
    <xdr:to>
      <xdr:col>29</xdr:col>
      <xdr:colOff>203200</xdr:colOff>
      <xdr:row>22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63500</xdr:colOff>
      <xdr:row>30</xdr:row>
      <xdr:rowOff>139700</xdr:rowOff>
    </xdr:from>
    <xdr:to>
      <xdr:col>20</xdr:col>
      <xdr:colOff>787400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70556</xdr:colOff>
      <xdr:row>52</xdr:row>
      <xdr:rowOff>169332</xdr:rowOff>
    </xdr:from>
    <xdr:to>
      <xdr:col>20</xdr:col>
      <xdr:colOff>794456</xdr:colOff>
      <xdr:row>66</xdr:row>
      <xdr:rowOff>67731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218723</xdr:colOff>
      <xdr:row>194</xdr:row>
      <xdr:rowOff>25400</xdr:rowOff>
    </xdr:from>
    <xdr:to>
      <xdr:col>56</xdr:col>
      <xdr:colOff>627945</xdr:colOff>
      <xdr:row>208</xdr:row>
      <xdr:rowOff>2822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92"/>
  <sheetViews>
    <sheetView workbookViewId="0">
      <pane xSplit="5" ySplit="3" topLeftCell="U146" activePane="bottomRight" state="frozen"/>
      <selection pane="topRight" activeCell="F1" sqref="F1"/>
      <selection pane="bottomLeft" activeCell="A4" sqref="A4"/>
      <selection pane="bottomRight" activeCell="X150" sqref="X150"/>
    </sheetView>
  </sheetViews>
  <sheetFormatPr baseColWidth="10" defaultColWidth="11" defaultRowHeight="16"/>
  <cols>
    <col min="4" max="4" width="11.5" bestFit="1" customWidth="1"/>
    <col min="5" max="7" width="11.5" customWidth="1"/>
    <col min="8" max="8" width="11.5" style="36" bestFit="1" customWidth="1"/>
    <col min="9" max="9" width="11.5" style="36" customWidth="1"/>
    <col min="10" max="10" width="13.33203125" style="42" bestFit="1" customWidth="1"/>
    <col min="11" max="11" width="18.5" style="44" customWidth="1"/>
    <col min="12" max="12" width="11.5" style="44" bestFit="1" customWidth="1"/>
    <col min="13" max="13" width="12.5" style="44" bestFit="1" customWidth="1"/>
    <col min="14" max="15" width="11.83203125" style="44" customWidth="1"/>
    <col min="16" max="16" width="10.83203125" style="44" customWidth="1"/>
    <col min="17" max="17" width="11.83203125" style="44" customWidth="1"/>
    <col min="18" max="18" width="16.1640625" style="44" customWidth="1"/>
    <col min="19" max="19" width="10" style="44" customWidth="1"/>
    <col min="20" max="20" width="13.1640625" style="36" bestFit="1" customWidth="1"/>
    <col min="21" max="21" width="13.1640625" style="36" customWidth="1"/>
    <col min="22" max="22" width="13.1640625" style="8" customWidth="1"/>
    <col min="23" max="23" width="13.1640625" style="3" customWidth="1"/>
    <col min="24" max="24" width="13.33203125" style="31" customWidth="1"/>
    <col min="25" max="25" width="10.83203125" style="8" customWidth="1"/>
    <col min="26" max="26" width="12.1640625" style="3" customWidth="1"/>
    <col min="27" max="30" width="13.33203125" style="31" customWidth="1"/>
    <col min="31" max="31" width="10" style="31" customWidth="1"/>
    <col min="32" max="37" width="13.33203125" style="31" customWidth="1"/>
    <col min="38" max="39" width="13.33203125" style="8" customWidth="1"/>
    <col min="40" max="40" width="11" style="3" customWidth="1"/>
    <col min="41" max="43" width="11" style="51" customWidth="1"/>
    <col min="44" max="44" width="11" style="3" customWidth="1"/>
    <col min="45" max="48" width="13.33203125" style="8" customWidth="1"/>
    <col min="49" max="49" width="10.6640625" style="8" customWidth="1"/>
    <col min="50" max="50" width="8.83203125" style="8" customWidth="1"/>
    <col min="51" max="51" width="11" style="8"/>
  </cols>
  <sheetData>
    <row r="1" spans="1:53" s="19" customFormat="1" ht="19">
      <c r="H1" s="33"/>
      <c r="I1" s="33"/>
      <c r="J1" s="39"/>
      <c r="K1" s="45" t="s">
        <v>434</v>
      </c>
      <c r="L1" s="45" t="s">
        <v>689</v>
      </c>
      <c r="M1" s="45"/>
      <c r="N1" s="45"/>
      <c r="O1" s="45"/>
      <c r="P1" s="45"/>
      <c r="Q1" s="45"/>
      <c r="R1" s="45"/>
      <c r="S1" s="45"/>
      <c r="T1" s="33"/>
      <c r="U1" s="33"/>
      <c r="V1" s="20"/>
      <c r="W1" s="21"/>
      <c r="X1" s="28" t="s">
        <v>460</v>
      </c>
      <c r="Y1" s="20"/>
      <c r="Z1" s="21"/>
      <c r="AA1" s="28" t="s">
        <v>461</v>
      </c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0"/>
      <c r="AM1" s="20"/>
      <c r="AN1" s="21"/>
      <c r="AO1" s="130"/>
      <c r="AP1" s="130"/>
      <c r="AQ1" s="130"/>
      <c r="AR1" s="21"/>
      <c r="AS1" s="20"/>
      <c r="AT1" s="20"/>
      <c r="AU1" s="20"/>
      <c r="AV1" s="20"/>
      <c r="AW1" s="20"/>
      <c r="AX1" s="20"/>
      <c r="AY1" s="20"/>
    </row>
    <row r="2" spans="1:53" s="9" customFormat="1">
      <c r="H2" s="34"/>
      <c r="I2" s="34"/>
      <c r="J2" s="40"/>
      <c r="K2" s="46"/>
      <c r="L2" s="46"/>
      <c r="M2" s="46"/>
      <c r="N2" s="46" t="s">
        <v>448</v>
      </c>
      <c r="O2" s="46"/>
      <c r="P2" s="46">
        <v>3.35</v>
      </c>
      <c r="Q2" s="46"/>
      <c r="R2" s="46"/>
      <c r="S2" s="46"/>
      <c r="T2" s="34"/>
      <c r="U2" s="34"/>
      <c r="V2" s="22"/>
      <c r="W2" s="23"/>
      <c r="X2" s="29"/>
      <c r="Y2" s="22"/>
      <c r="Z2" s="23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18"/>
      <c r="AM2" s="18"/>
      <c r="AN2" s="2"/>
      <c r="AO2" s="140" t="s">
        <v>873</v>
      </c>
      <c r="AP2" s="140"/>
      <c r="AQ2" s="140"/>
      <c r="AR2" s="2"/>
      <c r="AS2" s="18"/>
      <c r="AT2" s="18"/>
      <c r="AU2" s="18"/>
      <c r="AV2" s="18"/>
      <c r="AW2" s="18"/>
      <c r="AX2" s="22"/>
      <c r="AY2" s="22"/>
    </row>
    <row r="3" spans="1:53" s="1" customFormat="1">
      <c r="A3" s="1" t="s">
        <v>10</v>
      </c>
      <c r="B3" s="1" t="s">
        <v>8</v>
      </c>
      <c r="C3" s="1" t="s">
        <v>11</v>
      </c>
      <c r="D3" s="1" t="s">
        <v>212</v>
      </c>
      <c r="E3" s="1" t="s">
        <v>20</v>
      </c>
      <c r="F3" s="1" t="s">
        <v>375</v>
      </c>
      <c r="G3" s="1" t="s">
        <v>779</v>
      </c>
      <c r="H3" s="35" t="s">
        <v>432</v>
      </c>
      <c r="I3" s="35" t="s">
        <v>431</v>
      </c>
      <c r="J3" s="41" t="s">
        <v>433</v>
      </c>
      <c r="K3" s="47" t="s">
        <v>444</v>
      </c>
      <c r="L3" s="47" t="s">
        <v>449</v>
      </c>
      <c r="M3" s="47" t="s">
        <v>443</v>
      </c>
      <c r="N3" s="47" t="s">
        <v>445</v>
      </c>
      <c r="O3" s="47" t="s">
        <v>446</v>
      </c>
      <c r="P3" s="47" t="s">
        <v>447</v>
      </c>
      <c r="Q3" s="47" t="s">
        <v>441</v>
      </c>
      <c r="R3" s="47" t="s">
        <v>509</v>
      </c>
      <c r="S3" s="47" t="s">
        <v>436</v>
      </c>
      <c r="T3" s="35" t="s">
        <v>435</v>
      </c>
      <c r="U3" s="35" t="s">
        <v>442</v>
      </c>
      <c r="V3" s="18" t="s">
        <v>455</v>
      </c>
      <c r="W3" s="2" t="s">
        <v>508</v>
      </c>
      <c r="X3" s="30" t="s">
        <v>453</v>
      </c>
      <c r="Y3" s="18" t="s">
        <v>450</v>
      </c>
      <c r="Z3" s="2" t="s">
        <v>474</v>
      </c>
      <c r="AA3" s="30" t="s">
        <v>459</v>
      </c>
      <c r="AB3" s="30" t="s">
        <v>437</v>
      </c>
      <c r="AC3" s="30" t="s">
        <v>438</v>
      </c>
      <c r="AD3" s="30" t="s">
        <v>439</v>
      </c>
      <c r="AE3" s="30" t="s">
        <v>468</v>
      </c>
      <c r="AF3" s="30" t="s">
        <v>440</v>
      </c>
      <c r="AG3" s="30" t="s">
        <v>815</v>
      </c>
      <c r="AH3" s="30" t="s">
        <v>814</v>
      </c>
      <c r="AI3" s="30" t="s">
        <v>843</v>
      </c>
      <c r="AJ3" s="30" t="s">
        <v>1216</v>
      </c>
      <c r="AK3" s="30" t="s">
        <v>764</v>
      </c>
      <c r="AL3" s="18" t="s">
        <v>451</v>
      </c>
      <c r="AM3" s="18" t="s">
        <v>452</v>
      </c>
      <c r="AN3" s="2" t="s">
        <v>375</v>
      </c>
      <c r="AO3" s="30" t="s">
        <v>868</v>
      </c>
      <c r="AP3" s="30" t="s">
        <v>869</v>
      </c>
      <c r="AQ3" s="30" t="s">
        <v>1217</v>
      </c>
      <c r="AR3" s="139" t="s">
        <v>870</v>
      </c>
      <c r="AS3" s="18"/>
      <c r="AV3" s="138" t="s">
        <v>822</v>
      </c>
      <c r="AW3" s="138" t="s">
        <v>865</v>
      </c>
      <c r="AX3" s="134" t="s">
        <v>867</v>
      </c>
      <c r="AY3" s="61" t="s">
        <v>871</v>
      </c>
      <c r="BA3" s="1" t="s">
        <v>1216</v>
      </c>
    </row>
    <row r="4" spans="1:53">
      <c r="A4" t="s">
        <v>0</v>
      </c>
      <c r="B4" t="s">
        <v>9</v>
      </c>
      <c r="C4" t="s">
        <v>12</v>
      </c>
      <c r="D4" s="8">
        <v>1</v>
      </c>
      <c r="E4">
        <v>5</v>
      </c>
      <c r="F4" t="s">
        <v>386</v>
      </c>
      <c r="G4" t="s">
        <v>778</v>
      </c>
      <c r="H4" s="36">
        <v>44.41</v>
      </c>
      <c r="I4" s="36">
        <v>2.72</v>
      </c>
      <c r="J4" s="42">
        <f>H4-I4</f>
        <v>41.69</v>
      </c>
      <c r="K4" s="44">
        <v>0</v>
      </c>
      <c r="L4" s="44">
        <v>0</v>
      </c>
      <c r="M4" s="44">
        <v>3.01</v>
      </c>
      <c r="N4" s="44">
        <v>3.36</v>
      </c>
      <c r="O4" s="44">
        <v>6.67</v>
      </c>
      <c r="P4" s="44">
        <v>4.21</v>
      </c>
      <c r="Q4" s="44">
        <f>(IF(N4&gt;0,N4-P$2,0))+(IF(O4&gt;0,O4-P$2,0))+(IF(P4&gt;0,P4-P$2,0))</f>
        <v>4.1899999999999995</v>
      </c>
      <c r="R4" s="44">
        <v>318.19</v>
      </c>
      <c r="S4" s="44">
        <v>286.10000000000002</v>
      </c>
      <c r="T4" s="36">
        <f>R4-S4</f>
        <v>32.089999999999975</v>
      </c>
      <c r="U4" s="36">
        <f>J4-T4-Q4-M4-(IF(L4="none",0))-K4</f>
        <v>2.4000000000000234</v>
      </c>
      <c r="V4" s="26">
        <v>42776</v>
      </c>
      <c r="W4" s="3" t="s">
        <v>568</v>
      </c>
      <c r="X4" s="31">
        <v>4.1310000000000002</v>
      </c>
      <c r="Y4" s="26">
        <v>42776</v>
      </c>
      <c r="AA4" s="31">
        <v>2.3530000000000002</v>
      </c>
      <c r="AB4" s="31">
        <v>15.731999999999999</v>
      </c>
      <c r="AC4" s="31">
        <f t="shared" ref="AC4:AC51" si="0">AB4-AA4</f>
        <v>13.379</v>
      </c>
      <c r="AD4" s="31">
        <v>8.7219999999999995</v>
      </c>
      <c r="AE4" s="31">
        <v>7.4333333333333293E-2</v>
      </c>
      <c r="AF4" s="31">
        <f>AD4-AA4+AE4</f>
        <v>6.4433333333333334</v>
      </c>
      <c r="AG4" s="31">
        <f>((AC4-AF4)*100)/AF4</f>
        <v>107.64097258147956</v>
      </c>
      <c r="AH4" s="31">
        <f>(AF4/AC4)*100</f>
        <v>48.16005182250791</v>
      </c>
      <c r="AI4" s="31">
        <f>100-AH4</f>
        <v>51.83994817749209</v>
      </c>
      <c r="AJ4" s="31">
        <f>AI4*(J4-K4)%</f>
        <v>21.612074395196451</v>
      </c>
      <c r="AK4" s="31">
        <f t="shared" ref="AK4:AK35" si="1">T4*AH4%</f>
        <v>15.454560629842776</v>
      </c>
      <c r="AL4" s="26">
        <v>42776</v>
      </c>
      <c r="AM4" s="26">
        <v>42778</v>
      </c>
      <c r="AN4" s="25"/>
      <c r="AO4" s="51">
        <f t="shared" ref="AO4:AO35" si="2">AH4</f>
        <v>48.16005182250791</v>
      </c>
      <c r="AP4" s="51">
        <f>100-AO4</f>
        <v>51.83994817749209</v>
      </c>
      <c r="AQ4" s="51">
        <f>AJ4</f>
        <v>21.612074395196451</v>
      </c>
      <c r="AR4" s="31">
        <f t="shared" ref="AR4:AR35" si="3">T4*AO4%</f>
        <v>15.454560629842776</v>
      </c>
      <c r="AT4" s="51"/>
      <c r="AV4" s="6" t="s">
        <v>135</v>
      </c>
      <c r="AW4" s="8">
        <v>5</v>
      </c>
      <c r="AX4" s="8">
        <f>COUNT(AH119,AH123,AH129,AH125)</f>
        <v>4</v>
      </c>
      <c r="AY4" s="51">
        <f>AVERAGE(AH119,AH123,AH129,AH125)</f>
        <v>48.261001017628431</v>
      </c>
      <c r="AZ4" s="51">
        <f>AVERAGE(AI119,AI123,AI129,AI125)</f>
        <v>51.738998982371569</v>
      </c>
      <c r="BA4" s="51">
        <f>AVERAGE(AJ119,AJ123,AJ129,AJ125)</f>
        <v>16.688871601585834</v>
      </c>
    </row>
    <row r="5" spans="1:53">
      <c r="A5" t="s">
        <v>1</v>
      </c>
      <c r="B5" t="s">
        <v>9</v>
      </c>
      <c r="C5" t="s">
        <v>12</v>
      </c>
      <c r="D5" s="8">
        <v>1</v>
      </c>
      <c r="E5">
        <v>20</v>
      </c>
      <c r="F5" t="s">
        <v>386</v>
      </c>
      <c r="G5" t="s">
        <v>778</v>
      </c>
      <c r="H5" s="36">
        <v>94.45</v>
      </c>
      <c r="I5" s="38">
        <v>3.21</v>
      </c>
      <c r="J5" s="42">
        <f t="shared" ref="J5:J68" si="4">H5-I5</f>
        <v>91.240000000000009</v>
      </c>
      <c r="K5" s="38">
        <v>3.35</v>
      </c>
      <c r="L5" s="38">
        <v>0</v>
      </c>
      <c r="M5" s="44">
        <v>1.26</v>
      </c>
      <c r="N5" s="44">
        <v>3.44</v>
      </c>
      <c r="O5" s="44">
        <v>3.97</v>
      </c>
      <c r="P5" s="44">
        <v>4.41</v>
      </c>
      <c r="Q5" s="44">
        <f t="shared" ref="Q5:Q35" si="5">(IF(N5&gt;0,N5-P$2,0))+(IF(O5&gt;0,O5-P$2,0))+(IF(P5&gt;0,P5-P$2,0))</f>
        <v>1.77</v>
      </c>
      <c r="R5" s="44">
        <v>369.02</v>
      </c>
      <c r="S5" s="44">
        <v>286.10000000000002</v>
      </c>
      <c r="T5" s="36">
        <f t="shared" ref="T5:T68" si="6">R5-S5</f>
        <v>82.919999999999959</v>
      </c>
      <c r="U5" s="36">
        <f>J5-T5-Q5-M5-(IF(L5="none",0))-K5</f>
        <v>1.9400000000000506</v>
      </c>
      <c r="V5" s="26">
        <v>42776</v>
      </c>
      <c r="W5" s="3" t="s">
        <v>568</v>
      </c>
      <c r="X5" s="31">
        <v>4.16</v>
      </c>
      <c r="Y5" s="26">
        <v>42776</v>
      </c>
      <c r="AA5" s="31">
        <v>2.4020000000000001</v>
      </c>
      <c r="AB5" s="31">
        <v>41.18</v>
      </c>
      <c r="AC5" s="31">
        <f t="shared" si="0"/>
        <v>38.777999999999999</v>
      </c>
      <c r="AD5" s="31">
        <v>27.413</v>
      </c>
      <c r="AE5" s="31">
        <v>7.4333333333333293E-2</v>
      </c>
      <c r="AF5" s="31">
        <f>AD5-AA5+AE5</f>
        <v>25.085333333333331</v>
      </c>
      <c r="AG5" s="31">
        <f>((AC5-AF5)*100)/AF5</f>
        <v>54.584352078239625</v>
      </c>
      <c r="AH5" s="31">
        <f t="shared" ref="AH5:AH68" si="7">(AF5/AC5)*100</f>
        <v>64.689600632661126</v>
      </c>
      <c r="AI5" s="31">
        <f t="shared" ref="AI5:AI68" si="8">100-AH5</f>
        <v>35.310399367338874</v>
      </c>
      <c r="AJ5" s="31">
        <f t="shared" ref="AJ5:AJ68" si="9">AI5*(J5-K5)%</f>
        <v>31.03431000395414</v>
      </c>
      <c r="AK5" s="31">
        <f t="shared" si="1"/>
        <v>53.640616844602576</v>
      </c>
      <c r="AL5" s="26">
        <v>42776</v>
      </c>
      <c r="AM5" s="26">
        <v>42778</v>
      </c>
      <c r="AN5" s="25"/>
      <c r="AO5" s="51">
        <f t="shared" si="2"/>
        <v>64.689600632661126</v>
      </c>
      <c r="AP5" s="51">
        <f t="shared" ref="AP5:AP68" si="10">100-AO5</f>
        <v>35.310399367338874</v>
      </c>
      <c r="AQ5" s="51">
        <f t="shared" ref="AQ5:AQ68" si="11">AJ5</f>
        <v>31.03431000395414</v>
      </c>
      <c r="AR5" s="31">
        <f t="shared" si="3"/>
        <v>53.640616844602576</v>
      </c>
      <c r="AT5" s="51"/>
      <c r="AV5" s="6" t="s">
        <v>158</v>
      </c>
      <c r="AW5" s="8">
        <v>5</v>
      </c>
      <c r="AX5" s="8">
        <f>COUNT(AH151,AH163,AH171)</f>
        <v>3</v>
      </c>
      <c r="AY5" s="51">
        <f>AVERAGE(AH151,AH163,AH171)</f>
        <v>48.295977953492489</v>
      </c>
      <c r="AZ5" s="51">
        <f>AVERAGE(AI151,AI163,AI171)</f>
        <v>51.704022046507511</v>
      </c>
      <c r="BA5" s="51">
        <f>AVERAGE(AJ151,AJ163,AJ171)</f>
        <v>19.947170064089448</v>
      </c>
    </row>
    <row r="6" spans="1:53">
      <c r="A6" t="s">
        <v>2</v>
      </c>
      <c r="B6" t="s">
        <v>9</v>
      </c>
      <c r="C6" t="s">
        <v>12</v>
      </c>
      <c r="D6" s="8">
        <v>1</v>
      </c>
      <c r="E6">
        <v>30</v>
      </c>
      <c r="F6" t="s">
        <v>386</v>
      </c>
      <c r="G6" t="s">
        <v>778</v>
      </c>
      <c r="H6" s="36">
        <v>110.65</v>
      </c>
      <c r="I6" s="36">
        <v>2.25</v>
      </c>
      <c r="J6" s="42">
        <f t="shared" si="4"/>
        <v>108.4</v>
      </c>
      <c r="K6" s="44">
        <v>1.54</v>
      </c>
      <c r="L6" s="44">
        <v>0</v>
      </c>
      <c r="M6" s="44">
        <v>1.54</v>
      </c>
      <c r="N6" s="44">
        <v>3.48</v>
      </c>
      <c r="O6" s="44">
        <v>3.7</v>
      </c>
      <c r="P6" s="44">
        <v>4.04</v>
      </c>
      <c r="Q6" s="44">
        <f t="shared" si="5"/>
        <v>1.17</v>
      </c>
      <c r="R6" s="44">
        <v>388.19</v>
      </c>
      <c r="S6" s="44">
        <v>286.10000000000002</v>
      </c>
      <c r="T6" s="36">
        <f t="shared" si="6"/>
        <v>102.08999999999997</v>
      </c>
      <c r="U6" s="36">
        <f t="shared" ref="U6:U69" si="12">J6-T6-Q6-M6-(IF(L6="none",0))-K6</f>
        <v>2.0600000000000307</v>
      </c>
      <c r="V6" s="26">
        <v>42776</v>
      </c>
      <c r="X6" s="31">
        <v>4.5439999999999996</v>
      </c>
      <c r="Y6" s="26">
        <v>42776</v>
      </c>
      <c r="AA6" s="31">
        <v>2.4180000000000001</v>
      </c>
      <c r="AB6" s="31">
        <v>48.774000000000001</v>
      </c>
      <c r="AC6" s="31">
        <f t="shared" si="0"/>
        <v>46.356000000000002</v>
      </c>
      <c r="AD6" s="31">
        <v>33.03</v>
      </c>
      <c r="AE6" s="31">
        <v>7.4333333333333293E-2</v>
      </c>
      <c r="AF6" s="31">
        <f t="shared" ref="AF6:AF69" si="13">AD6-AA6+AE6</f>
        <v>30.686333333333334</v>
      </c>
      <c r="AG6" s="31">
        <f>((AC6-AF6)*100)/AF6</f>
        <v>51.063991570623187</v>
      </c>
      <c r="AH6" s="31">
        <f t="shared" si="7"/>
        <v>66.1971122041016</v>
      </c>
      <c r="AI6" s="31">
        <f t="shared" si="8"/>
        <v>33.8028877958984</v>
      </c>
      <c r="AJ6" s="31">
        <f t="shared" si="9"/>
        <v>36.121765898697028</v>
      </c>
      <c r="AK6" s="31">
        <f t="shared" si="1"/>
        <v>67.580631849167318</v>
      </c>
      <c r="AL6" s="26">
        <v>42776</v>
      </c>
      <c r="AM6" s="26">
        <v>42778</v>
      </c>
      <c r="AN6" s="25"/>
      <c r="AO6" s="51">
        <f t="shared" si="2"/>
        <v>66.1971122041016</v>
      </c>
      <c r="AP6" s="51">
        <f t="shared" si="10"/>
        <v>33.8028877958984</v>
      </c>
      <c r="AQ6" s="51">
        <f t="shared" si="11"/>
        <v>36.121765898697028</v>
      </c>
      <c r="AR6" s="31">
        <f t="shared" si="3"/>
        <v>67.580631849167318</v>
      </c>
      <c r="AT6" s="51"/>
      <c r="AV6" s="6" t="s">
        <v>162</v>
      </c>
      <c r="AW6" s="8">
        <v>5</v>
      </c>
      <c r="AX6" s="8">
        <f>COUNT(AH151,AH163,AH171)</f>
        <v>3</v>
      </c>
      <c r="AY6" s="51">
        <f>AVERAGE(AH151,AH163,AH171)</f>
        <v>48.295977953492489</v>
      </c>
      <c r="AZ6" s="51">
        <f>AVERAGE(AI151,AI163,AI171)</f>
        <v>51.704022046507511</v>
      </c>
      <c r="BA6" s="51">
        <f>AVERAGE(AJ151,AJ163,AJ171)</f>
        <v>19.947170064089448</v>
      </c>
    </row>
    <row r="7" spans="1:53">
      <c r="A7" t="s">
        <v>3</v>
      </c>
      <c r="B7" t="s">
        <v>9</v>
      </c>
      <c r="C7" t="s">
        <v>12</v>
      </c>
      <c r="D7" s="8">
        <v>2</v>
      </c>
      <c r="E7">
        <v>5</v>
      </c>
      <c r="F7" t="s">
        <v>386</v>
      </c>
      <c r="G7" t="s">
        <v>778</v>
      </c>
      <c r="H7" s="36">
        <v>46.75</v>
      </c>
      <c r="I7" s="36">
        <v>1.95</v>
      </c>
      <c r="J7" s="42">
        <f t="shared" si="4"/>
        <v>44.8</v>
      </c>
      <c r="K7" s="44">
        <v>0</v>
      </c>
      <c r="L7" s="44">
        <v>0</v>
      </c>
      <c r="M7" s="44">
        <v>0.73</v>
      </c>
      <c r="N7" s="44">
        <v>0</v>
      </c>
      <c r="O7" s="44">
        <v>11.58</v>
      </c>
      <c r="P7" s="44">
        <v>4.4400000000000004</v>
      </c>
      <c r="Q7" s="44">
        <f t="shared" si="5"/>
        <v>9.32</v>
      </c>
      <c r="R7" s="44">
        <v>318.31</v>
      </c>
      <c r="S7" s="44">
        <v>286</v>
      </c>
      <c r="T7" s="36">
        <f t="shared" si="6"/>
        <v>32.31</v>
      </c>
      <c r="U7" s="36">
        <f t="shared" si="12"/>
        <v>2.4399999999999946</v>
      </c>
      <c r="V7" s="26">
        <v>42791</v>
      </c>
      <c r="X7" s="31">
        <v>5.4770000000000003</v>
      </c>
      <c r="Y7" s="26">
        <v>42791</v>
      </c>
      <c r="Z7" s="3" t="s">
        <v>475</v>
      </c>
      <c r="AA7" s="31">
        <v>2.427</v>
      </c>
      <c r="AB7" s="31">
        <v>14.7</v>
      </c>
      <c r="AC7" s="31">
        <f t="shared" si="0"/>
        <v>12.273</v>
      </c>
      <c r="AD7" s="31">
        <v>7.6619999999999999</v>
      </c>
      <c r="AE7" s="31">
        <v>9.2666666666666828E-2</v>
      </c>
      <c r="AF7" s="31">
        <f t="shared" si="13"/>
        <v>5.3276666666666666</v>
      </c>
      <c r="AG7" s="31">
        <f t="shared" ref="AG7:AG70" si="14">((AC7-AF7)*100)/AF7</f>
        <v>130.3635112306826</v>
      </c>
      <c r="AH7" s="31">
        <f t="shared" si="7"/>
        <v>43.409652625003396</v>
      </c>
      <c r="AI7" s="31">
        <f t="shared" si="8"/>
        <v>56.590347374996604</v>
      </c>
      <c r="AJ7" s="31">
        <f t="shared" si="9"/>
        <v>25.352475623998476</v>
      </c>
      <c r="AK7" s="31">
        <f t="shared" si="1"/>
        <v>14.025658763138599</v>
      </c>
      <c r="AL7" s="26">
        <v>42795</v>
      </c>
      <c r="AM7" s="26">
        <v>42797</v>
      </c>
      <c r="AN7" s="25"/>
      <c r="AO7" s="51">
        <f t="shared" si="2"/>
        <v>43.409652625003396</v>
      </c>
      <c r="AP7" s="51">
        <f t="shared" si="10"/>
        <v>56.590347374996604</v>
      </c>
      <c r="AQ7" s="51">
        <f t="shared" si="11"/>
        <v>25.352475623998476</v>
      </c>
      <c r="AR7" s="31">
        <f t="shared" si="3"/>
        <v>14.025658763138599</v>
      </c>
      <c r="AT7" s="51"/>
      <c r="AV7" s="6" t="s">
        <v>163</v>
      </c>
      <c r="AW7" s="6">
        <v>10</v>
      </c>
      <c r="AX7" s="8">
        <f>COUNT(AH152,AH156,AH164,AH168,AH172)</f>
        <v>5</v>
      </c>
      <c r="AY7" s="51">
        <f>AVERAGE(AH152,AH156,AH164,AH168,AH172)</f>
        <v>52.033422094699702</v>
      </c>
      <c r="AZ7" s="51">
        <f>AVERAGE(AI152,AI156,AI164,AI168,AI172)</f>
        <v>47.966577905300298</v>
      </c>
      <c r="BA7" s="51">
        <f>AVERAGE(AJ152,AJ156,AJ164,AJ168,AJ172)</f>
        <v>35.085343694170923</v>
      </c>
    </row>
    <row r="8" spans="1:53">
      <c r="A8" t="s">
        <v>21</v>
      </c>
      <c r="B8" t="s">
        <v>9</v>
      </c>
      <c r="C8" t="s">
        <v>12</v>
      </c>
      <c r="D8" s="8">
        <v>2</v>
      </c>
      <c r="E8">
        <v>20</v>
      </c>
      <c r="F8" t="s">
        <v>386</v>
      </c>
      <c r="G8" t="s">
        <v>778</v>
      </c>
      <c r="H8" s="36">
        <v>86.18</v>
      </c>
      <c r="I8" s="36">
        <v>2.93</v>
      </c>
      <c r="J8" s="42">
        <f t="shared" si="4"/>
        <v>83.25</v>
      </c>
      <c r="K8" s="44">
        <v>0.56000000000000005</v>
      </c>
      <c r="L8" s="44">
        <v>0</v>
      </c>
      <c r="M8" s="44">
        <v>2.72</v>
      </c>
      <c r="N8" s="44">
        <v>0</v>
      </c>
      <c r="O8" s="44">
        <v>4.58</v>
      </c>
      <c r="P8" s="44">
        <v>4.88</v>
      </c>
      <c r="Q8" s="44">
        <f t="shared" si="5"/>
        <v>2.76</v>
      </c>
      <c r="R8" s="44">
        <v>360.92</v>
      </c>
      <c r="S8" s="44">
        <v>286</v>
      </c>
      <c r="T8" s="36">
        <f t="shared" si="6"/>
        <v>74.920000000000016</v>
      </c>
      <c r="U8" s="36">
        <f t="shared" si="12"/>
        <v>2.289999999999984</v>
      </c>
      <c r="V8" s="26">
        <v>42791</v>
      </c>
      <c r="X8" s="31">
        <v>5.6289999999999996</v>
      </c>
      <c r="Y8" s="26">
        <v>42791</v>
      </c>
      <c r="AA8" s="31">
        <v>2.4359999999999999</v>
      </c>
      <c r="AB8" s="31">
        <v>37.549999999999997</v>
      </c>
      <c r="AC8" s="31">
        <f t="shared" si="0"/>
        <v>35.113999999999997</v>
      </c>
      <c r="AD8" s="31">
        <v>21.286999999999999</v>
      </c>
      <c r="AE8" s="31">
        <v>9.2666666666666828E-2</v>
      </c>
      <c r="AF8" s="31">
        <f t="shared" si="13"/>
        <v>18.943666666666665</v>
      </c>
      <c r="AG8" s="31">
        <f t="shared" si="14"/>
        <v>85.360102760817171</v>
      </c>
      <c r="AH8" s="31">
        <f t="shared" si="7"/>
        <v>53.949042167416607</v>
      </c>
      <c r="AI8" s="31">
        <f t="shared" si="8"/>
        <v>46.050957832583393</v>
      </c>
      <c r="AJ8" s="31">
        <f t="shared" si="9"/>
        <v>38.079537031763209</v>
      </c>
      <c r="AK8" s="31">
        <f t="shared" si="1"/>
        <v>40.418622391828528</v>
      </c>
      <c r="AL8" s="26">
        <v>42795</v>
      </c>
      <c r="AM8" s="26">
        <v>42797</v>
      </c>
      <c r="AN8" s="25"/>
      <c r="AO8" s="51">
        <f t="shared" si="2"/>
        <v>53.949042167416607</v>
      </c>
      <c r="AP8" s="51">
        <f t="shared" si="10"/>
        <v>46.050957832583393</v>
      </c>
      <c r="AQ8" s="51">
        <f t="shared" si="11"/>
        <v>38.079537031763209</v>
      </c>
      <c r="AR8" s="31">
        <f t="shared" si="3"/>
        <v>40.418622391828528</v>
      </c>
      <c r="AT8" s="51"/>
      <c r="AV8" s="6" t="s">
        <v>170</v>
      </c>
      <c r="AW8" s="6">
        <v>5</v>
      </c>
      <c r="AX8" s="8">
        <f>COUNT(AH151,AH163,AH171)</f>
        <v>3</v>
      </c>
      <c r="AY8" s="51">
        <f>AVERAGE(AH151,AH163,AH171)</f>
        <v>48.295977953492489</v>
      </c>
      <c r="AZ8" s="51">
        <f>AVERAGE(AI151,AI163,AI171)</f>
        <v>51.704022046507511</v>
      </c>
      <c r="BA8" s="51">
        <f>AVERAGE(AJ151,AJ163,AJ171)</f>
        <v>19.947170064089448</v>
      </c>
    </row>
    <row r="9" spans="1:53">
      <c r="A9" t="s">
        <v>22</v>
      </c>
      <c r="B9" t="s">
        <v>9</v>
      </c>
      <c r="C9" t="s">
        <v>12</v>
      </c>
      <c r="D9" s="8">
        <v>2</v>
      </c>
      <c r="E9">
        <v>30</v>
      </c>
      <c r="F9" t="s">
        <v>386</v>
      </c>
      <c r="G9" t="s">
        <v>778</v>
      </c>
      <c r="H9" s="36">
        <v>119.44</v>
      </c>
      <c r="I9" s="36">
        <v>3.5</v>
      </c>
      <c r="J9" s="42">
        <f t="shared" si="4"/>
        <v>115.94</v>
      </c>
      <c r="K9" s="44">
        <v>5.6</v>
      </c>
      <c r="L9" s="44">
        <v>0</v>
      </c>
      <c r="M9" s="44">
        <v>1.39</v>
      </c>
      <c r="N9" s="44">
        <v>0</v>
      </c>
      <c r="O9" s="44">
        <v>3.99</v>
      </c>
      <c r="P9" s="44">
        <v>4.17</v>
      </c>
      <c r="Q9" s="44">
        <f t="shared" si="5"/>
        <v>1.46</v>
      </c>
      <c r="R9" s="44">
        <v>390.81</v>
      </c>
      <c r="S9" s="44">
        <v>286</v>
      </c>
      <c r="T9" s="36">
        <f t="shared" si="6"/>
        <v>104.81</v>
      </c>
      <c r="U9" s="36">
        <f t="shared" si="12"/>
        <v>2.6799999999999944</v>
      </c>
      <c r="V9" s="26">
        <v>42791</v>
      </c>
      <c r="X9" s="31">
        <v>5.7830000000000004</v>
      </c>
      <c r="Y9" s="26">
        <v>42791</v>
      </c>
      <c r="AA9" s="31">
        <v>2.4039999999999999</v>
      </c>
      <c r="AB9" s="31">
        <v>52.814</v>
      </c>
      <c r="AC9" s="31">
        <f t="shared" si="0"/>
        <v>50.41</v>
      </c>
      <c r="AD9" s="31">
        <v>33.284999999999997</v>
      </c>
      <c r="AE9" s="31">
        <v>9.2666666666666828E-2</v>
      </c>
      <c r="AF9" s="31">
        <f t="shared" si="13"/>
        <v>30.973666666666663</v>
      </c>
      <c r="AG9" s="31">
        <f t="shared" si="14"/>
        <v>62.751154206261241</v>
      </c>
      <c r="AH9" s="31">
        <f t="shared" si="7"/>
        <v>61.443496660715468</v>
      </c>
      <c r="AI9" s="31">
        <f t="shared" si="8"/>
        <v>38.556503339284532</v>
      </c>
      <c r="AJ9" s="31">
        <f t="shared" si="9"/>
        <v>42.543245784566551</v>
      </c>
      <c r="AK9" s="31">
        <f t="shared" si="1"/>
        <v>64.398928850095885</v>
      </c>
      <c r="AL9" s="26">
        <v>42795</v>
      </c>
      <c r="AM9" s="26">
        <v>42797</v>
      </c>
      <c r="AN9" s="25"/>
      <c r="AO9" s="51">
        <f t="shared" si="2"/>
        <v>61.443496660715468</v>
      </c>
      <c r="AP9" s="51">
        <f t="shared" si="10"/>
        <v>38.556503339284532</v>
      </c>
      <c r="AQ9" s="51">
        <f t="shared" si="11"/>
        <v>42.543245784566551</v>
      </c>
      <c r="AR9" s="31">
        <f t="shared" si="3"/>
        <v>64.398928850095885</v>
      </c>
      <c r="AT9" s="51"/>
    </row>
    <row r="10" spans="1:53">
      <c r="A10" t="s">
        <v>23</v>
      </c>
      <c r="B10" t="s">
        <v>9</v>
      </c>
      <c r="C10" t="s">
        <v>12</v>
      </c>
      <c r="D10" s="8">
        <v>3</v>
      </c>
      <c r="E10">
        <v>5</v>
      </c>
      <c r="F10" t="s">
        <v>386</v>
      </c>
      <c r="G10" t="s">
        <v>778</v>
      </c>
      <c r="H10" s="36">
        <v>56.1</v>
      </c>
      <c r="I10" s="38">
        <v>2.93</v>
      </c>
      <c r="J10" s="42">
        <f t="shared" si="4"/>
        <v>53.17</v>
      </c>
      <c r="K10" s="38">
        <v>0</v>
      </c>
      <c r="L10" s="38" t="s">
        <v>469</v>
      </c>
      <c r="M10" s="44">
        <v>4.17</v>
      </c>
      <c r="N10" s="44">
        <v>0</v>
      </c>
      <c r="O10" s="44">
        <v>4.12</v>
      </c>
      <c r="P10" s="44">
        <v>3.53</v>
      </c>
      <c r="Q10" s="44">
        <f t="shared" si="5"/>
        <v>0.94999999999999973</v>
      </c>
      <c r="R10" s="44">
        <v>331.87</v>
      </c>
      <c r="S10" s="44">
        <v>286.73</v>
      </c>
      <c r="T10" s="36">
        <f t="shared" si="6"/>
        <v>45.139999999999986</v>
      </c>
      <c r="U10" s="36">
        <f t="shared" si="12"/>
        <v>2.9100000000000161</v>
      </c>
      <c r="V10" s="26">
        <v>42746</v>
      </c>
      <c r="W10" s="25" t="s">
        <v>510</v>
      </c>
      <c r="X10" s="31">
        <v>5.96</v>
      </c>
      <c r="Y10" s="26">
        <v>42746</v>
      </c>
      <c r="AA10" s="31">
        <v>3.516</v>
      </c>
      <c r="AB10" s="31">
        <v>18.937999999999999</v>
      </c>
      <c r="AC10" s="31">
        <f t="shared" si="0"/>
        <v>15.421999999999999</v>
      </c>
      <c r="AD10" s="31">
        <v>10.885</v>
      </c>
      <c r="AE10" s="31">
        <v>0.11549999999999901</v>
      </c>
      <c r="AF10" s="31">
        <f t="shared" si="13"/>
        <v>7.4844999999999988</v>
      </c>
      <c r="AG10" s="31">
        <f t="shared" si="14"/>
        <v>106.05250851760306</v>
      </c>
      <c r="AH10" s="31">
        <f t="shared" si="7"/>
        <v>48.531318895084944</v>
      </c>
      <c r="AI10" s="31">
        <f t="shared" si="8"/>
        <v>51.468681104915056</v>
      </c>
      <c r="AJ10" s="31">
        <f t="shared" si="9"/>
        <v>27.365897743483337</v>
      </c>
      <c r="AK10" s="31">
        <f t="shared" si="1"/>
        <v>21.907037349241339</v>
      </c>
      <c r="AL10" s="26">
        <v>42746</v>
      </c>
      <c r="AM10" s="26">
        <v>42748</v>
      </c>
      <c r="AN10" s="25"/>
      <c r="AO10" s="51">
        <f t="shared" si="2"/>
        <v>48.531318895084944</v>
      </c>
      <c r="AP10" s="51">
        <f t="shared" si="10"/>
        <v>51.468681104915056</v>
      </c>
      <c r="AQ10" s="51">
        <f t="shared" si="11"/>
        <v>27.365897743483337</v>
      </c>
      <c r="AR10" s="31">
        <f t="shared" si="3"/>
        <v>21.907037349241339</v>
      </c>
      <c r="AT10" s="51"/>
    </row>
    <row r="11" spans="1:53">
      <c r="A11" t="s">
        <v>14</v>
      </c>
      <c r="B11" t="s">
        <v>9</v>
      </c>
      <c r="C11" t="s">
        <v>12</v>
      </c>
      <c r="D11" s="8">
        <v>3</v>
      </c>
      <c r="E11">
        <v>20</v>
      </c>
      <c r="F11" t="s">
        <v>386</v>
      </c>
      <c r="G11" t="s">
        <v>778</v>
      </c>
      <c r="H11" s="36">
        <v>92.93</v>
      </c>
      <c r="I11" s="38">
        <v>2.87</v>
      </c>
      <c r="J11" s="42">
        <f t="shared" si="4"/>
        <v>90.06</v>
      </c>
      <c r="K11" s="38">
        <v>3.94</v>
      </c>
      <c r="L11" s="38" t="s">
        <v>469</v>
      </c>
      <c r="M11" s="38">
        <v>3.41</v>
      </c>
      <c r="N11" s="44">
        <v>3.39</v>
      </c>
      <c r="O11" s="44">
        <v>3.58</v>
      </c>
      <c r="P11" s="44">
        <v>3.77</v>
      </c>
      <c r="Q11" s="44">
        <f t="shared" si="5"/>
        <v>0.69</v>
      </c>
      <c r="R11" s="44">
        <v>365.47</v>
      </c>
      <c r="S11" s="44">
        <v>286.74</v>
      </c>
      <c r="T11" s="36">
        <f t="shared" si="6"/>
        <v>78.730000000000018</v>
      </c>
      <c r="U11" s="36">
        <f t="shared" si="12"/>
        <v>3.2899999999999845</v>
      </c>
      <c r="V11" s="26">
        <v>42746</v>
      </c>
      <c r="W11" s="25" t="s">
        <v>510</v>
      </c>
      <c r="X11" s="31">
        <v>5.9770000000000003</v>
      </c>
      <c r="Y11" s="26">
        <v>42746</v>
      </c>
      <c r="AA11" s="31">
        <v>3.5379999999999998</v>
      </c>
      <c r="AB11" s="31">
        <v>34.945999999999998</v>
      </c>
      <c r="AC11" s="31">
        <f t="shared" si="0"/>
        <v>31.407999999999998</v>
      </c>
      <c r="AD11" s="31">
        <v>22.122</v>
      </c>
      <c r="AE11" s="31">
        <v>0.11549999999999901</v>
      </c>
      <c r="AF11" s="31">
        <f t="shared" si="13"/>
        <v>18.699499999999997</v>
      </c>
      <c r="AG11" s="31">
        <f t="shared" si="14"/>
        <v>67.96171020615526</v>
      </c>
      <c r="AH11" s="31">
        <f t="shared" si="7"/>
        <v>59.537379011716752</v>
      </c>
      <c r="AI11" s="31">
        <f t="shared" si="8"/>
        <v>40.462620988283248</v>
      </c>
      <c r="AJ11" s="31">
        <f t="shared" si="9"/>
        <v>34.846409195109537</v>
      </c>
      <c r="AK11" s="31">
        <f t="shared" si="1"/>
        <v>46.873778495924611</v>
      </c>
      <c r="AL11" s="26">
        <v>42746</v>
      </c>
      <c r="AM11" s="26">
        <v>42748</v>
      </c>
      <c r="AN11" s="25"/>
      <c r="AO11" s="51">
        <f t="shared" si="2"/>
        <v>59.537379011716752</v>
      </c>
      <c r="AP11" s="51">
        <f t="shared" si="10"/>
        <v>40.462620988283248</v>
      </c>
      <c r="AQ11" s="51">
        <f t="shared" si="11"/>
        <v>34.846409195109537</v>
      </c>
      <c r="AR11" s="31">
        <f t="shared" si="3"/>
        <v>46.873778495924611</v>
      </c>
      <c r="AT11" s="51"/>
    </row>
    <row r="12" spans="1:53">
      <c r="A12" t="s">
        <v>15</v>
      </c>
      <c r="B12" t="s">
        <v>9</v>
      </c>
      <c r="C12" t="s">
        <v>12</v>
      </c>
      <c r="D12" s="8">
        <v>3</v>
      </c>
      <c r="E12">
        <v>30</v>
      </c>
      <c r="F12" t="s">
        <v>386</v>
      </c>
      <c r="G12" t="s">
        <v>778</v>
      </c>
      <c r="H12" s="36">
        <v>101.34</v>
      </c>
      <c r="I12" s="38">
        <v>3.02</v>
      </c>
      <c r="J12" s="42">
        <f t="shared" si="4"/>
        <v>98.320000000000007</v>
      </c>
      <c r="K12" s="38">
        <v>0.87</v>
      </c>
      <c r="L12" s="38" t="s">
        <v>469</v>
      </c>
      <c r="M12" s="38">
        <v>4.45</v>
      </c>
      <c r="N12" s="44">
        <v>0</v>
      </c>
      <c r="O12" s="44">
        <v>3.47</v>
      </c>
      <c r="P12" s="44">
        <v>3.71</v>
      </c>
      <c r="Q12" s="44">
        <f t="shared" si="5"/>
        <v>0.48</v>
      </c>
      <c r="R12" s="44">
        <v>376.41</v>
      </c>
      <c r="S12" s="44">
        <v>286.73</v>
      </c>
      <c r="T12" s="36">
        <f t="shared" si="6"/>
        <v>89.68</v>
      </c>
      <c r="U12" s="36">
        <f t="shared" si="12"/>
        <v>2.84</v>
      </c>
      <c r="V12" s="26">
        <v>42746</v>
      </c>
      <c r="W12" s="25"/>
      <c r="X12" s="31">
        <v>6.3579999999999997</v>
      </c>
      <c r="Y12" s="26">
        <v>42746</v>
      </c>
      <c r="AA12" s="31">
        <v>3.59</v>
      </c>
      <c r="AB12" s="31">
        <v>43.415999999999997</v>
      </c>
      <c r="AC12" s="31">
        <f t="shared" si="0"/>
        <v>39.825999999999993</v>
      </c>
      <c r="AD12" s="31">
        <v>27.196999999999999</v>
      </c>
      <c r="AE12" s="31">
        <v>0.11549999999999901</v>
      </c>
      <c r="AF12" s="31">
        <f t="shared" si="13"/>
        <v>23.722499999999997</v>
      </c>
      <c r="AG12" s="31">
        <f t="shared" si="14"/>
        <v>67.882811676678259</v>
      </c>
      <c r="AH12" s="31">
        <f t="shared" si="7"/>
        <v>59.565359313011598</v>
      </c>
      <c r="AI12" s="31">
        <f t="shared" si="8"/>
        <v>40.434640686988402</v>
      </c>
      <c r="AJ12" s="31">
        <f t="shared" si="9"/>
        <v>39.403557349470198</v>
      </c>
      <c r="AK12" s="31">
        <f t="shared" si="1"/>
        <v>53.418214231908806</v>
      </c>
      <c r="AL12" s="26">
        <v>42746</v>
      </c>
      <c r="AM12" s="26">
        <v>42748</v>
      </c>
      <c r="AN12" s="25"/>
      <c r="AO12" s="51">
        <f t="shared" si="2"/>
        <v>59.565359313011598</v>
      </c>
      <c r="AP12" s="51">
        <f t="shared" si="10"/>
        <v>40.434640686988402</v>
      </c>
      <c r="AQ12" s="51">
        <f t="shared" si="11"/>
        <v>39.403557349470198</v>
      </c>
      <c r="AR12" s="31">
        <f t="shared" si="3"/>
        <v>53.418214231908806</v>
      </c>
      <c r="AT12" s="51"/>
    </row>
    <row r="13" spans="1:53">
      <c r="A13" t="s">
        <v>16</v>
      </c>
      <c r="B13" t="s">
        <v>9</v>
      </c>
      <c r="C13" t="s">
        <v>12</v>
      </c>
      <c r="D13" s="8">
        <v>4</v>
      </c>
      <c r="E13">
        <v>5</v>
      </c>
      <c r="F13" t="s">
        <v>386</v>
      </c>
      <c r="G13" t="s">
        <v>778</v>
      </c>
      <c r="H13" s="36">
        <v>75.17</v>
      </c>
      <c r="I13" s="36">
        <v>2.66</v>
      </c>
      <c r="J13" s="42">
        <f t="shared" si="4"/>
        <v>72.510000000000005</v>
      </c>
      <c r="K13" s="44">
        <v>2.19</v>
      </c>
      <c r="L13" s="44">
        <v>0</v>
      </c>
      <c r="M13" s="44">
        <v>1.82</v>
      </c>
      <c r="N13" s="44">
        <v>3.35</v>
      </c>
      <c r="O13" s="44">
        <v>4.09</v>
      </c>
      <c r="P13" s="44">
        <v>3.6</v>
      </c>
      <c r="Q13" s="44">
        <f t="shared" si="5"/>
        <v>0.98999999999999977</v>
      </c>
      <c r="R13" s="44">
        <v>352.32</v>
      </c>
      <c r="S13" s="44">
        <v>286</v>
      </c>
      <c r="T13" s="36">
        <f t="shared" si="6"/>
        <v>66.319999999999993</v>
      </c>
      <c r="U13" s="36">
        <f t="shared" si="12"/>
        <v>1.1900000000000115</v>
      </c>
      <c r="V13" s="26">
        <v>42790</v>
      </c>
      <c r="X13" s="31">
        <v>5.2510000000000003</v>
      </c>
      <c r="Y13" s="26">
        <v>42790</v>
      </c>
      <c r="AA13" s="31">
        <v>2.3660000000000001</v>
      </c>
      <c r="AB13" s="31">
        <v>32.003</v>
      </c>
      <c r="AC13" s="31">
        <f t="shared" si="0"/>
        <v>29.637</v>
      </c>
      <c r="AD13" s="31">
        <v>26.071999999999999</v>
      </c>
      <c r="AE13" s="31">
        <v>8.6666666666666295E-2</v>
      </c>
      <c r="AF13" s="31">
        <f t="shared" si="13"/>
        <v>23.792666666666666</v>
      </c>
      <c r="AG13" s="31">
        <f t="shared" si="14"/>
        <v>24.563591022443898</v>
      </c>
      <c r="AH13" s="31">
        <f t="shared" si="7"/>
        <v>80.28028028028028</v>
      </c>
      <c r="AI13" s="31">
        <f t="shared" si="8"/>
        <v>19.71971971971972</v>
      </c>
      <c r="AJ13" s="31">
        <f t="shared" si="9"/>
        <v>13.866906906906907</v>
      </c>
      <c r="AK13" s="31">
        <f t="shared" si="1"/>
        <v>53.241881881881874</v>
      </c>
      <c r="AL13" s="26">
        <v>42790</v>
      </c>
      <c r="AM13" s="26">
        <v>42792</v>
      </c>
      <c r="AN13" s="25"/>
      <c r="AO13" s="51">
        <f t="shared" si="2"/>
        <v>80.28028028028028</v>
      </c>
      <c r="AP13" s="51">
        <f t="shared" si="10"/>
        <v>19.71971971971972</v>
      </c>
      <c r="AQ13" s="51">
        <f t="shared" si="11"/>
        <v>13.866906906906907</v>
      </c>
      <c r="AR13" s="31">
        <f t="shared" si="3"/>
        <v>53.241881881881874</v>
      </c>
      <c r="AT13" s="51"/>
    </row>
    <row r="14" spans="1:53">
      <c r="A14" t="s">
        <v>24</v>
      </c>
      <c r="B14" t="s">
        <v>9</v>
      </c>
      <c r="C14" t="s">
        <v>12</v>
      </c>
      <c r="D14" s="8">
        <v>4</v>
      </c>
      <c r="E14">
        <v>20</v>
      </c>
      <c r="F14" t="s">
        <v>386</v>
      </c>
      <c r="G14" t="s">
        <v>778</v>
      </c>
      <c r="H14" s="36">
        <v>80.900000000000006</v>
      </c>
      <c r="I14" s="36">
        <v>2.66</v>
      </c>
      <c r="J14" s="42">
        <f t="shared" si="4"/>
        <v>78.240000000000009</v>
      </c>
      <c r="K14" s="44">
        <v>0.24</v>
      </c>
      <c r="L14" s="44">
        <v>0</v>
      </c>
      <c r="M14" s="44">
        <v>1.05</v>
      </c>
      <c r="N14" s="44">
        <v>3.37</v>
      </c>
      <c r="O14" s="44">
        <v>4.0599999999999996</v>
      </c>
      <c r="P14" s="44">
        <v>3.65</v>
      </c>
      <c r="Q14" s="44">
        <f t="shared" si="5"/>
        <v>1.0299999999999994</v>
      </c>
      <c r="R14" s="44">
        <v>360.82</v>
      </c>
      <c r="S14" s="44">
        <v>286</v>
      </c>
      <c r="T14" s="36">
        <f t="shared" si="6"/>
        <v>74.819999999999993</v>
      </c>
      <c r="U14" s="36">
        <f t="shared" si="12"/>
        <v>1.1000000000000165</v>
      </c>
      <c r="V14" s="26">
        <v>42790</v>
      </c>
      <c r="W14" s="3" t="s">
        <v>665</v>
      </c>
      <c r="X14" s="31">
        <v>6.0609999999999999</v>
      </c>
      <c r="Y14" s="26">
        <v>42790</v>
      </c>
      <c r="AA14" s="31">
        <v>2.4060000000000001</v>
      </c>
      <c r="AB14" s="31">
        <v>36.494999999999997</v>
      </c>
      <c r="AC14" s="31">
        <f t="shared" si="0"/>
        <v>34.088999999999999</v>
      </c>
      <c r="AD14" s="31">
        <v>29.855</v>
      </c>
      <c r="AE14" s="31">
        <v>8.6666666666666295E-2</v>
      </c>
      <c r="AF14" s="31">
        <f t="shared" si="13"/>
        <v>27.535666666666668</v>
      </c>
      <c r="AG14" s="31">
        <f t="shared" si="14"/>
        <v>23.799435883157592</v>
      </c>
      <c r="AH14" s="31">
        <f t="shared" si="7"/>
        <v>80.775812334379609</v>
      </c>
      <c r="AI14" s="31">
        <f t="shared" si="8"/>
        <v>19.224187665620391</v>
      </c>
      <c r="AJ14" s="31">
        <f t="shared" si="9"/>
        <v>14.994866379183907</v>
      </c>
      <c r="AK14" s="31">
        <f t="shared" si="1"/>
        <v>60.436462788582816</v>
      </c>
      <c r="AL14" s="26">
        <v>42790</v>
      </c>
      <c r="AM14" s="26">
        <v>42792</v>
      </c>
      <c r="AN14" s="25"/>
      <c r="AO14" s="51">
        <f t="shared" si="2"/>
        <v>80.775812334379609</v>
      </c>
      <c r="AP14" s="51">
        <f t="shared" si="10"/>
        <v>19.224187665620391</v>
      </c>
      <c r="AQ14" s="51">
        <f t="shared" si="11"/>
        <v>14.994866379183907</v>
      </c>
      <c r="AR14" s="31">
        <f t="shared" si="3"/>
        <v>60.436462788582816</v>
      </c>
      <c r="AT14" s="51"/>
    </row>
    <row r="15" spans="1:53">
      <c r="A15" t="s">
        <v>25</v>
      </c>
      <c r="B15" t="s">
        <v>9</v>
      </c>
      <c r="C15" t="s">
        <v>12</v>
      </c>
      <c r="D15" s="8">
        <v>4</v>
      </c>
      <c r="E15">
        <v>30</v>
      </c>
      <c r="F15" t="s">
        <v>386</v>
      </c>
      <c r="G15" t="s">
        <v>778</v>
      </c>
      <c r="H15" s="36">
        <v>63.36</v>
      </c>
      <c r="I15" s="36">
        <v>2.8</v>
      </c>
      <c r="J15" s="42">
        <f t="shared" si="4"/>
        <v>60.56</v>
      </c>
      <c r="K15" s="44">
        <v>0.34</v>
      </c>
      <c r="L15" s="44">
        <v>0</v>
      </c>
      <c r="M15" s="44">
        <v>1.73</v>
      </c>
      <c r="N15" s="44">
        <v>0</v>
      </c>
      <c r="O15" s="44">
        <v>3.66</v>
      </c>
      <c r="P15" s="44">
        <v>3.72</v>
      </c>
      <c r="Q15" s="44">
        <f t="shared" si="5"/>
        <v>0.68000000000000016</v>
      </c>
      <c r="R15" s="44">
        <v>342.85</v>
      </c>
      <c r="S15" s="44">
        <v>286</v>
      </c>
      <c r="T15" s="36">
        <f t="shared" si="6"/>
        <v>56.850000000000023</v>
      </c>
      <c r="U15" s="36">
        <f t="shared" si="12"/>
        <v>0.95999999999997931</v>
      </c>
      <c r="V15" s="26">
        <v>42790</v>
      </c>
      <c r="X15" s="31">
        <v>6.1550000000000002</v>
      </c>
      <c r="Y15" s="26">
        <v>42790</v>
      </c>
      <c r="AA15" s="31">
        <v>2.38</v>
      </c>
      <c r="AB15" s="31">
        <v>22.46</v>
      </c>
      <c r="AC15" s="31">
        <f t="shared" si="0"/>
        <v>20.080000000000002</v>
      </c>
      <c r="AD15" s="31">
        <v>16.978999999999999</v>
      </c>
      <c r="AE15" s="31">
        <v>8.6666666666666295E-2</v>
      </c>
      <c r="AF15" s="31">
        <f t="shared" si="13"/>
        <v>14.685666666666666</v>
      </c>
      <c r="AG15" s="31">
        <f t="shared" si="14"/>
        <v>36.731960868874431</v>
      </c>
      <c r="AH15" s="31">
        <f t="shared" si="7"/>
        <v>73.135790172642757</v>
      </c>
      <c r="AI15" s="31">
        <f t="shared" si="8"/>
        <v>26.864209827357243</v>
      </c>
      <c r="AJ15" s="31">
        <f t="shared" si="9"/>
        <v>16.177627158034532</v>
      </c>
      <c r="AK15" s="31">
        <f t="shared" si="1"/>
        <v>41.577696713147425</v>
      </c>
      <c r="AL15" s="26">
        <v>42790</v>
      </c>
      <c r="AM15" s="26">
        <v>42792</v>
      </c>
      <c r="AN15" s="25"/>
      <c r="AO15" s="51">
        <f t="shared" si="2"/>
        <v>73.135790172642757</v>
      </c>
      <c r="AP15" s="51">
        <f t="shared" si="10"/>
        <v>26.864209827357243</v>
      </c>
      <c r="AQ15" s="51">
        <f t="shared" si="11"/>
        <v>16.177627158034532</v>
      </c>
      <c r="AR15" s="31">
        <f t="shared" si="3"/>
        <v>41.577696713147425</v>
      </c>
      <c r="AT15" s="51"/>
    </row>
    <row r="16" spans="1:53">
      <c r="A16" t="s">
        <v>26</v>
      </c>
      <c r="B16" t="s">
        <v>9</v>
      </c>
      <c r="C16" t="s">
        <v>12</v>
      </c>
      <c r="D16" s="8">
        <v>5</v>
      </c>
      <c r="E16">
        <v>5</v>
      </c>
      <c r="F16" t="s">
        <v>386</v>
      </c>
      <c r="G16" t="s">
        <v>778</v>
      </c>
      <c r="H16" s="36">
        <v>39.46</v>
      </c>
      <c r="I16" s="36">
        <v>2.77</v>
      </c>
      <c r="J16" s="42">
        <f t="shared" si="4"/>
        <v>36.69</v>
      </c>
      <c r="K16" s="44">
        <v>0.13</v>
      </c>
      <c r="L16" s="44">
        <v>0</v>
      </c>
      <c r="M16" s="44">
        <v>1.89</v>
      </c>
      <c r="N16" s="44">
        <v>3.57</v>
      </c>
      <c r="O16" s="44">
        <v>4.1399999999999997</v>
      </c>
      <c r="P16" s="44">
        <v>0</v>
      </c>
      <c r="Q16" s="44">
        <f t="shared" si="5"/>
        <v>1.0099999999999993</v>
      </c>
      <c r="R16" s="44">
        <v>318.70999999999998</v>
      </c>
      <c r="S16" s="44">
        <v>285.94</v>
      </c>
      <c r="T16" s="36">
        <f t="shared" si="6"/>
        <v>32.769999999999982</v>
      </c>
      <c r="U16" s="36">
        <f t="shared" si="12"/>
        <v>0.89000000000001667</v>
      </c>
      <c r="V16" s="26">
        <v>42797</v>
      </c>
      <c r="X16" s="31">
        <v>5.3739999999999997</v>
      </c>
      <c r="Y16" s="26">
        <v>42797</v>
      </c>
      <c r="AA16" s="31">
        <v>2.4</v>
      </c>
      <c r="AB16" s="31">
        <v>16.158000000000001</v>
      </c>
      <c r="AC16" s="31">
        <f t="shared" si="0"/>
        <v>13.758000000000001</v>
      </c>
      <c r="AD16" s="31">
        <v>12.785</v>
      </c>
      <c r="AE16" s="31">
        <v>8.3000000000000004E-2</v>
      </c>
      <c r="AF16" s="31">
        <f t="shared" si="13"/>
        <v>10.468</v>
      </c>
      <c r="AG16" s="31">
        <f t="shared" si="14"/>
        <v>31.429117309896839</v>
      </c>
      <c r="AH16" s="31">
        <f t="shared" si="7"/>
        <v>76.086640500072676</v>
      </c>
      <c r="AI16" s="31">
        <f t="shared" si="8"/>
        <v>23.913359499927324</v>
      </c>
      <c r="AJ16" s="31">
        <f t="shared" si="9"/>
        <v>8.7427242331734281</v>
      </c>
      <c r="AK16" s="31">
        <f t="shared" si="1"/>
        <v>24.933592091873802</v>
      </c>
      <c r="AL16" s="26">
        <v>42797</v>
      </c>
      <c r="AM16" s="26">
        <v>42799</v>
      </c>
      <c r="AN16" s="25"/>
      <c r="AO16" s="51">
        <f t="shared" si="2"/>
        <v>76.086640500072676</v>
      </c>
      <c r="AP16" s="51">
        <f t="shared" si="10"/>
        <v>23.913359499927324</v>
      </c>
      <c r="AQ16" s="51">
        <f t="shared" si="11"/>
        <v>8.7427242331734281</v>
      </c>
      <c r="AR16" s="31">
        <f t="shared" si="3"/>
        <v>24.933592091873802</v>
      </c>
      <c r="AT16" s="51"/>
    </row>
    <row r="17" spans="1:46">
      <c r="A17" t="s">
        <v>27</v>
      </c>
      <c r="B17" t="s">
        <v>9</v>
      </c>
      <c r="C17" t="s">
        <v>12</v>
      </c>
      <c r="D17" s="8">
        <v>5</v>
      </c>
      <c r="E17">
        <v>20</v>
      </c>
      <c r="F17" t="s">
        <v>386</v>
      </c>
      <c r="G17" t="s">
        <v>778</v>
      </c>
      <c r="H17" s="36">
        <v>68.97</v>
      </c>
      <c r="I17" s="36">
        <v>2.83</v>
      </c>
      <c r="J17" s="42">
        <f t="shared" si="4"/>
        <v>66.14</v>
      </c>
      <c r="K17" s="44">
        <v>0.71</v>
      </c>
      <c r="L17" s="44">
        <v>0</v>
      </c>
      <c r="M17" s="44">
        <v>0.64</v>
      </c>
      <c r="N17" s="44">
        <v>0</v>
      </c>
      <c r="O17" s="44">
        <v>3.86</v>
      </c>
      <c r="P17" s="44">
        <v>0</v>
      </c>
      <c r="Q17" s="44">
        <f t="shared" si="5"/>
        <v>0.50999999999999979</v>
      </c>
      <c r="R17" s="44">
        <v>349.59</v>
      </c>
      <c r="S17" s="44">
        <v>285.94</v>
      </c>
      <c r="T17" s="36">
        <f t="shared" si="6"/>
        <v>63.649999999999977</v>
      </c>
      <c r="U17" s="36">
        <f t="shared" si="12"/>
        <v>0.63000000000002343</v>
      </c>
      <c r="V17" s="26">
        <v>42797</v>
      </c>
      <c r="X17" s="31">
        <v>6.2549999999999999</v>
      </c>
      <c r="Y17" s="26">
        <v>42797</v>
      </c>
      <c r="AA17" s="31">
        <v>2.4119999999999999</v>
      </c>
      <c r="AB17" s="31">
        <v>29.715</v>
      </c>
      <c r="AC17" s="31">
        <f t="shared" si="0"/>
        <v>27.303000000000001</v>
      </c>
      <c r="AD17" s="31">
        <v>21.405999999999999</v>
      </c>
      <c r="AE17" s="31">
        <v>8.3000000000000004E-2</v>
      </c>
      <c r="AF17" s="31">
        <f t="shared" si="13"/>
        <v>19.076999999999998</v>
      </c>
      <c r="AG17" s="31">
        <f t="shared" si="14"/>
        <v>43.119987419405582</v>
      </c>
      <c r="AH17" s="31">
        <f t="shared" si="7"/>
        <v>69.87144269860454</v>
      </c>
      <c r="AI17" s="31">
        <f t="shared" si="8"/>
        <v>30.12855730139546</v>
      </c>
      <c r="AJ17" s="31">
        <f t="shared" si="9"/>
        <v>19.713115042303052</v>
      </c>
      <c r="AK17" s="31">
        <f t="shared" si="1"/>
        <v>44.473173277661772</v>
      </c>
      <c r="AL17" s="26">
        <v>42797</v>
      </c>
      <c r="AM17" s="26">
        <v>42799</v>
      </c>
      <c r="AN17" s="25"/>
      <c r="AO17" s="51">
        <f t="shared" si="2"/>
        <v>69.87144269860454</v>
      </c>
      <c r="AP17" s="51">
        <f t="shared" si="10"/>
        <v>30.12855730139546</v>
      </c>
      <c r="AQ17" s="51">
        <f t="shared" si="11"/>
        <v>19.713115042303052</v>
      </c>
      <c r="AR17" s="31">
        <f t="shared" si="3"/>
        <v>44.473173277661772</v>
      </c>
      <c r="AT17" s="51"/>
    </row>
    <row r="18" spans="1:46">
      <c r="A18" t="s">
        <v>28</v>
      </c>
      <c r="B18" t="s">
        <v>9</v>
      </c>
      <c r="C18" t="s">
        <v>12</v>
      </c>
      <c r="D18" s="8">
        <v>5</v>
      </c>
      <c r="E18">
        <v>30</v>
      </c>
      <c r="F18" t="s">
        <v>386</v>
      </c>
      <c r="G18" t="s">
        <v>778</v>
      </c>
      <c r="H18" s="36">
        <v>84.83</v>
      </c>
      <c r="I18" s="36">
        <v>2.64</v>
      </c>
      <c r="J18" s="42">
        <f t="shared" si="4"/>
        <v>82.19</v>
      </c>
      <c r="K18" s="44">
        <v>1.1100000000000001</v>
      </c>
      <c r="L18" s="44">
        <v>0</v>
      </c>
      <c r="M18" s="44">
        <v>2.1800000000000002</v>
      </c>
      <c r="N18" s="44">
        <v>0</v>
      </c>
      <c r="O18" s="44">
        <v>3.78</v>
      </c>
      <c r="P18" s="44">
        <v>0</v>
      </c>
      <c r="Q18" s="44">
        <f t="shared" si="5"/>
        <v>0.42999999999999972</v>
      </c>
      <c r="R18" s="44">
        <v>363.69</v>
      </c>
      <c r="S18" s="44">
        <v>285.94</v>
      </c>
      <c r="T18" s="36">
        <f t="shared" si="6"/>
        <v>77.75</v>
      </c>
      <c r="U18" s="36">
        <f t="shared" si="12"/>
        <v>0.71999999999999775</v>
      </c>
      <c r="V18" s="26">
        <v>42797</v>
      </c>
      <c r="X18" s="31">
        <v>7.1349999999999998</v>
      </c>
      <c r="Y18" s="26">
        <v>42797</v>
      </c>
      <c r="AA18" s="31">
        <v>2.4289999999999998</v>
      </c>
      <c r="AB18" s="31">
        <v>40.822000000000003</v>
      </c>
      <c r="AC18" s="31">
        <f t="shared" si="0"/>
        <v>38.393000000000001</v>
      </c>
      <c r="AD18" s="31">
        <v>31.405000000000001</v>
      </c>
      <c r="AE18" s="31">
        <v>8.3000000000000004E-2</v>
      </c>
      <c r="AF18" s="31">
        <f t="shared" si="13"/>
        <v>29.059000000000001</v>
      </c>
      <c r="AG18" s="31">
        <f t="shared" si="14"/>
        <v>32.120857565642311</v>
      </c>
      <c r="AH18" s="31">
        <f t="shared" si="7"/>
        <v>75.688276508738568</v>
      </c>
      <c r="AI18" s="31">
        <f t="shared" si="8"/>
        <v>24.311723491261432</v>
      </c>
      <c r="AJ18" s="31">
        <f t="shared" si="9"/>
        <v>19.711945406714769</v>
      </c>
      <c r="AK18" s="31">
        <f t="shared" si="1"/>
        <v>58.847634985544239</v>
      </c>
      <c r="AL18" s="26">
        <v>42797</v>
      </c>
      <c r="AM18" s="26">
        <v>42799</v>
      </c>
      <c r="AN18" s="25"/>
      <c r="AO18" s="51">
        <f t="shared" si="2"/>
        <v>75.688276508738568</v>
      </c>
      <c r="AP18" s="51">
        <f t="shared" si="10"/>
        <v>24.311723491261432</v>
      </c>
      <c r="AQ18" s="51">
        <f t="shared" si="11"/>
        <v>19.711945406714769</v>
      </c>
      <c r="AR18" s="31">
        <f t="shared" si="3"/>
        <v>58.847634985544239</v>
      </c>
      <c r="AT18" s="51"/>
    </row>
    <row r="19" spans="1:46">
      <c r="A19" t="s">
        <v>17</v>
      </c>
      <c r="B19" t="s">
        <v>9</v>
      </c>
      <c r="C19" t="s">
        <v>12</v>
      </c>
      <c r="D19" s="8">
        <v>6</v>
      </c>
      <c r="E19">
        <v>5</v>
      </c>
      <c r="F19" t="s">
        <v>386</v>
      </c>
      <c r="G19" t="s">
        <v>778</v>
      </c>
      <c r="H19" s="36">
        <v>52.18</v>
      </c>
      <c r="I19" s="38">
        <v>2.82</v>
      </c>
      <c r="J19" s="42">
        <f>H19-I19</f>
        <v>49.36</v>
      </c>
      <c r="K19" s="38">
        <v>0.46</v>
      </c>
      <c r="L19" s="38" t="s">
        <v>469</v>
      </c>
      <c r="M19" s="38">
        <v>4.2300000000000004</v>
      </c>
      <c r="N19" s="44">
        <v>3.56</v>
      </c>
      <c r="O19" s="44">
        <v>6.54</v>
      </c>
      <c r="P19" s="44">
        <v>0</v>
      </c>
      <c r="Q19" s="44">
        <f t="shared" si="5"/>
        <v>3.4</v>
      </c>
      <c r="R19" s="44">
        <v>326.04000000000002</v>
      </c>
      <c r="S19" s="44">
        <v>286.72000000000003</v>
      </c>
      <c r="T19" s="36">
        <f t="shared" si="6"/>
        <v>39.319999999999993</v>
      </c>
      <c r="U19" s="36">
        <f t="shared" si="12"/>
        <v>1.9500000000000055</v>
      </c>
      <c r="V19" s="26">
        <v>42746</v>
      </c>
      <c r="W19" s="25"/>
      <c r="X19" s="31">
        <v>5.5259999999999998</v>
      </c>
      <c r="Y19" s="26">
        <v>42746</v>
      </c>
      <c r="AA19" s="31">
        <v>3.5009999999999999</v>
      </c>
      <c r="AB19" s="31">
        <v>21.297999999999998</v>
      </c>
      <c r="AC19" s="31">
        <f t="shared" si="0"/>
        <v>17.796999999999997</v>
      </c>
      <c r="AD19" s="31">
        <v>17.984999999999999</v>
      </c>
      <c r="AE19" s="31">
        <v>0.11549999999999901</v>
      </c>
      <c r="AF19" s="31">
        <f t="shared" si="13"/>
        <v>14.599499999999999</v>
      </c>
      <c r="AG19" s="31">
        <f t="shared" si="14"/>
        <v>21.901434980650009</v>
      </c>
      <c r="AH19" s="31">
        <f t="shared" si="7"/>
        <v>82.033488790245556</v>
      </c>
      <c r="AI19" s="31">
        <f t="shared" si="8"/>
        <v>17.966511209754444</v>
      </c>
      <c r="AJ19" s="31">
        <f t="shared" si="9"/>
        <v>8.7856239815699233</v>
      </c>
      <c r="AK19" s="31">
        <f t="shared" si="1"/>
        <v>32.255567792324548</v>
      </c>
      <c r="AL19" s="26">
        <v>42746</v>
      </c>
      <c r="AM19" s="26">
        <v>42748</v>
      </c>
      <c r="AN19" s="25"/>
      <c r="AO19" s="51">
        <f t="shared" si="2"/>
        <v>82.033488790245556</v>
      </c>
      <c r="AP19" s="51">
        <f t="shared" si="10"/>
        <v>17.966511209754444</v>
      </c>
      <c r="AQ19" s="51">
        <f t="shared" si="11"/>
        <v>8.7856239815699233</v>
      </c>
      <c r="AR19" s="31">
        <f t="shared" si="3"/>
        <v>32.255567792324548</v>
      </c>
      <c r="AT19" s="51"/>
    </row>
    <row r="20" spans="1:46">
      <c r="A20" t="s">
        <v>18</v>
      </c>
      <c r="B20" t="s">
        <v>9</v>
      </c>
      <c r="C20" t="s">
        <v>12</v>
      </c>
      <c r="D20" s="8">
        <v>6</v>
      </c>
      <c r="E20">
        <v>20</v>
      </c>
      <c r="F20" t="s">
        <v>386</v>
      </c>
      <c r="G20" t="s">
        <v>778</v>
      </c>
      <c r="H20" s="36">
        <v>79.010000000000005</v>
      </c>
      <c r="I20" s="38">
        <v>2.66</v>
      </c>
      <c r="J20" s="42">
        <f t="shared" si="4"/>
        <v>76.350000000000009</v>
      </c>
      <c r="K20" s="38">
        <v>0.46</v>
      </c>
      <c r="L20" s="38" t="s">
        <v>469</v>
      </c>
      <c r="M20" s="44">
        <v>3.82</v>
      </c>
      <c r="N20" s="44">
        <v>3.34</v>
      </c>
      <c r="O20" s="44">
        <v>5.76</v>
      </c>
      <c r="P20" s="44">
        <v>0</v>
      </c>
      <c r="Q20" s="44">
        <f t="shared" si="5"/>
        <v>2.3999999999999995</v>
      </c>
      <c r="R20" s="44">
        <v>354.39</v>
      </c>
      <c r="S20" s="44">
        <v>286.73</v>
      </c>
      <c r="T20" s="36">
        <f t="shared" si="6"/>
        <v>67.659999999999968</v>
      </c>
      <c r="U20" s="36">
        <f t="shared" si="12"/>
        <v>2.0100000000000411</v>
      </c>
      <c r="V20" s="26">
        <v>42746</v>
      </c>
      <c r="W20" s="25"/>
      <c r="X20" s="31">
        <v>5.5250000000000004</v>
      </c>
      <c r="Y20" s="26">
        <v>42746</v>
      </c>
      <c r="AA20" s="31">
        <v>3.504</v>
      </c>
      <c r="AB20" s="31">
        <v>40.369999999999997</v>
      </c>
      <c r="AC20" s="31">
        <f t="shared" si="0"/>
        <v>36.866</v>
      </c>
      <c r="AD20" s="31">
        <v>30.521999999999998</v>
      </c>
      <c r="AE20" s="31">
        <v>0.11549999999999901</v>
      </c>
      <c r="AF20" s="31">
        <f t="shared" si="13"/>
        <v>27.133499999999994</v>
      </c>
      <c r="AG20" s="31">
        <f t="shared" si="14"/>
        <v>35.868944293953994</v>
      </c>
      <c r="AH20" s="31">
        <f t="shared" si="7"/>
        <v>73.600336353279431</v>
      </c>
      <c r="AI20" s="31">
        <f t="shared" si="8"/>
        <v>26.399663646720569</v>
      </c>
      <c r="AJ20" s="31">
        <f t="shared" si="9"/>
        <v>20.034704741496242</v>
      </c>
      <c r="AK20" s="31">
        <f t="shared" si="1"/>
        <v>49.797987576628834</v>
      </c>
      <c r="AL20" s="26">
        <v>42746</v>
      </c>
      <c r="AM20" s="26">
        <v>42748</v>
      </c>
      <c r="AN20" s="25"/>
      <c r="AO20" s="51">
        <f t="shared" si="2"/>
        <v>73.600336353279431</v>
      </c>
      <c r="AP20" s="51">
        <f t="shared" si="10"/>
        <v>26.399663646720569</v>
      </c>
      <c r="AQ20" s="51">
        <f t="shared" si="11"/>
        <v>20.034704741496242</v>
      </c>
      <c r="AR20" s="31">
        <f t="shared" si="3"/>
        <v>49.797987576628834</v>
      </c>
      <c r="AT20" s="51"/>
    </row>
    <row r="21" spans="1:46">
      <c r="A21" t="s">
        <v>19</v>
      </c>
      <c r="B21" t="s">
        <v>9</v>
      </c>
      <c r="C21" t="s">
        <v>12</v>
      </c>
      <c r="D21" s="8">
        <v>6</v>
      </c>
      <c r="E21">
        <v>30</v>
      </c>
      <c r="F21" t="s">
        <v>386</v>
      </c>
      <c r="G21" t="s">
        <v>778</v>
      </c>
      <c r="H21" s="36">
        <v>53.32</v>
      </c>
      <c r="I21" s="38">
        <v>2.0299999999999998</v>
      </c>
      <c r="J21" s="42">
        <f t="shared" si="4"/>
        <v>51.29</v>
      </c>
      <c r="K21" s="38">
        <v>0.32</v>
      </c>
      <c r="L21" s="38" t="s">
        <v>469</v>
      </c>
      <c r="M21" s="38">
        <v>1.75</v>
      </c>
      <c r="N21" s="44">
        <v>3.46</v>
      </c>
      <c r="O21" s="44">
        <v>4.3499999999999996</v>
      </c>
      <c r="P21" s="44">
        <v>3.52</v>
      </c>
      <c r="Q21" s="44">
        <f t="shared" si="5"/>
        <v>1.2799999999999994</v>
      </c>
      <c r="R21" s="36">
        <v>332.98</v>
      </c>
      <c r="S21" s="36">
        <v>286.72000000000003</v>
      </c>
      <c r="T21" s="36">
        <f t="shared" si="6"/>
        <v>46.259999999999991</v>
      </c>
      <c r="U21" s="36">
        <f t="shared" si="12"/>
        <v>1.6800000000000088</v>
      </c>
      <c r="V21" s="26">
        <v>42746</v>
      </c>
      <c r="W21" s="25"/>
      <c r="X21" s="31">
        <v>5.8090000000000002</v>
      </c>
      <c r="Y21" s="26">
        <v>42746</v>
      </c>
      <c r="AA21" s="31">
        <v>3.536</v>
      </c>
      <c r="AB21" s="31">
        <v>22.870999999999999</v>
      </c>
      <c r="AC21" s="31">
        <f t="shared" si="0"/>
        <v>19.334999999999997</v>
      </c>
      <c r="AD21" s="31">
        <v>18.239999999999998</v>
      </c>
      <c r="AE21" s="31">
        <v>0.11549999999999901</v>
      </c>
      <c r="AF21" s="31">
        <f t="shared" si="13"/>
        <v>14.819499999999998</v>
      </c>
      <c r="AG21" s="31">
        <f t="shared" si="14"/>
        <v>30.469988866021122</v>
      </c>
      <c r="AH21" s="31">
        <f t="shared" si="7"/>
        <v>76.645978794931466</v>
      </c>
      <c r="AI21" s="31">
        <f t="shared" si="8"/>
        <v>23.354021205068534</v>
      </c>
      <c r="AJ21" s="31">
        <f t="shared" si="9"/>
        <v>11.903544608223433</v>
      </c>
      <c r="AK21" s="31">
        <f t="shared" si="1"/>
        <v>35.456429790535289</v>
      </c>
      <c r="AL21" s="26">
        <v>42746</v>
      </c>
      <c r="AM21" s="26">
        <v>42748</v>
      </c>
      <c r="AN21" s="25"/>
      <c r="AO21" s="51">
        <f t="shared" si="2"/>
        <v>76.645978794931466</v>
      </c>
      <c r="AP21" s="51">
        <f t="shared" si="10"/>
        <v>23.354021205068534</v>
      </c>
      <c r="AQ21" s="51">
        <f t="shared" si="11"/>
        <v>11.903544608223433</v>
      </c>
      <c r="AR21" s="31">
        <f t="shared" si="3"/>
        <v>35.456429790535289</v>
      </c>
      <c r="AT21" s="51"/>
    </row>
    <row r="22" spans="1:46">
      <c r="A22" t="s">
        <v>4</v>
      </c>
      <c r="B22" t="s">
        <v>9</v>
      </c>
      <c r="C22" t="s">
        <v>13</v>
      </c>
      <c r="D22" s="8">
        <v>1</v>
      </c>
      <c r="E22">
        <v>5</v>
      </c>
      <c r="F22" t="s">
        <v>386</v>
      </c>
      <c r="G22" t="s">
        <v>778</v>
      </c>
      <c r="H22" s="36">
        <v>87.86</v>
      </c>
      <c r="I22" s="38">
        <v>2.89</v>
      </c>
      <c r="J22" s="42">
        <f t="shared" si="4"/>
        <v>84.97</v>
      </c>
      <c r="K22" s="38">
        <v>0.12</v>
      </c>
      <c r="L22" s="38">
        <v>0</v>
      </c>
      <c r="M22" s="38">
        <v>0.28999999999999998</v>
      </c>
      <c r="N22" s="38">
        <v>0</v>
      </c>
      <c r="O22" s="38">
        <v>4.38</v>
      </c>
      <c r="P22" s="38">
        <v>0</v>
      </c>
      <c r="Q22" s="44">
        <f t="shared" si="5"/>
        <v>1.0299999999999998</v>
      </c>
      <c r="R22" s="36">
        <v>368.68</v>
      </c>
      <c r="S22" s="36">
        <v>286.13</v>
      </c>
      <c r="T22" s="36">
        <f t="shared" si="6"/>
        <v>82.550000000000011</v>
      </c>
      <c r="U22" s="36">
        <f t="shared" si="12"/>
        <v>0.97999999999998766</v>
      </c>
      <c r="V22" s="26">
        <v>42776</v>
      </c>
      <c r="X22" s="31">
        <v>6.19</v>
      </c>
      <c r="Y22" s="26">
        <v>42776</v>
      </c>
      <c r="AA22" s="31">
        <v>2.36</v>
      </c>
      <c r="AB22" s="31">
        <v>35.780999999999999</v>
      </c>
      <c r="AC22" s="31">
        <f t="shared" si="0"/>
        <v>33.420999999999999</v>
      </c>
      <c r="AD22" s="31">
        <v>24.558</v>
      </c>
      <c r="AE22" s="31">
        <v>7.4333333333333293E-2</v>
      </c>
      <c r="AF22" s="31">
        <f t="shared" si="13"/>
        <v>22.272333333333332</v>
      </c>
      <c r="AG22" s="31">
        <f t="shared" si="14"/>
        <v>50.056123441639109</v>
      </c>
      <c r="AH22" s="31">
        <f t="shared" si="7"/>
        <v>66.641732244197755</v>
      </c>
      <c r="AI22" s="31">
        <f t="shared" si="8"/>
        <v>33.358267755802245</v>
      </c>
      <c r="AJ22" s="31">
        <f t="shared" si="9"/>
        <v>28.304490190798202</v>
      </c>
      <c r="AK22" s="31">
        <f t="shared" si="1"/>
        <v>55.012749967585258</v>
      </c>
      <c r="AL22" s="26">
        <v>42776</v>
      </c>
      <c r="AM22" s="26">
        <v>42778</v>
      </c>
      <c r="AN22" s="25"/>
      <c r="AO22" s="51">
        <f t="shared" si="2"/>
        <v>66.641732244197755</v>
      </c>
      <c r="AP22" s="51">
        <f t="shared" si="10"/>
        <v>33.358267755802245</v>
      </c>
      <c r="AQ22" s="51">
        <f t="shared" si="11"/>
        <v>28.304490190798202</v>
      </c>
      <c r="AR22" s="31">
        <f t="shared" si="3"/>
        <v>55.012749967585258</v>
      </c>
      <c r="AT22" s="51"/>
    </row>
    <row r="23" spans="1:46">
      <c r="A23" t="s">
        <v>5</v>
      </c>
      <c r="B23" t="s">
        <v>9</v>
      </c>
      <c r="C23" t="s">
        <v>13</v>
      </c>
      <c r="D23" s="8">
        <v>1</v>
      </c>
      <c r="E23">
        <v>20</v>
      </c>
      <c r="F23" t="s">
        <v>386</v>
      </c>
      <c r="G23" t="s">
        <v>778</v>
      </c>
      <c r="H23" s="36">
        <v>90.88</v>
      </c>
      <c r="I23" s="38">
        <v>2.69</v>
      </c>
      <c r="J23" s="42">
        <f t="shared" si="4"/>
        <v>88.19</v>
      </c>
      <c r="K23" s="38">
        <v>0.5</v>
      </c>
      <c r="L23" s="38">
        <v>0.91</v>
      </c>
      <c r="M23" s="38">
        <v>1</v>
      </c>
      <c r="N23" s="44">
        <v>0</v>
      </c>
      <c r="O23" s="44">
        <v>3.97</v>
      </c>
      <c r="P23" s="44">
        <v>0</v>
      </c>
      <c r="Q23" s="44">
        <f t="shared" si="5"/>
        <v>0.62000000000000011</v>
      </c>
      <c r="R23" s="36">
        <v>370.03</v>
      </c>
      <c r="S23" s="36">
        <v>286.13</v>
      </c>
      <c r="T23" s="36">
        <f t="shared" si="6"/>
        <v>83.899999999999977</v>
      </c>
      <c r="U23" s="36">
        <f t="shared" si="12"/>
        <v>2.1700000000000204</v>
      </c>
      <c r="V23" s="26">
        <v>42776</v>
      </c>
      <c r="X23" s="31">
        <v>5.4749999999999996</v>
      </c>
      <c r="Y23" s="26">
        <v>42776</v>
      </c>
      <c r="AA23" s="31">
        <v>2.387</v>
      </c>
      <c r="AB23" s="31">
        <v>43.234000000000002</v>
      </c>
      <c r="AC23" s="31">
        <f t="shared" si="0"/>
        <v>40.847000000000001</v>
      </c>
      <c r="AD23" s="31">
        <v>29.695</v>
      </c>
      <c r="AE23" s="31">
        <v>7.4333333333333293E-2</v>
      </c>
      <c r="AF23" s="31">
        <f t="shared" si="13"/>
        <v>27.382333333333332</v>
      </c>
      <c r="AG23" s="31">
        <f t="shared" si="14"/>
        <v>49.172824327120907</v>
      </c>
      <c r="AH23" s="31">
        <f t="shared" si="7"/>
        <v>67.036338858014872</v>
      </c>
      <c r="AI23" s="31">
        <f t="shared" si="8"/>
        <v>32.963661141985128</v>
      </c>
      <c r="AJ23" s="31">
        <f t="shared" si="9"/>
        <v>28.905834455406758</v>
      </c>
      <c r="AK23" s="31">
        <f t="shared" si="1"/>
        <v>56.243488301874464</v>
      </c>
      <c r="AL23" s="26">
        <v>42776</v>
      </c>
      <c r="AM23" s="26">
        <v>42778</v>
      </c>
      <c r="AN23" s="25"/>
      <c r="AO23" s="51">
        <f t="shared" si="2"/>
        <v>67.036338858014872</v>
      </c>
      <c r="AP23" s="51">
        <f t="shared" si="10"/>
        <v>32.963661141985128</v>
      </c>
      <c r="AQ23" s="51">
        <f t="shared" si="11"/>
        <v>28.905834455406758</v>
      </c>
      <c r="AR23" s="31">
        <f t="shared" si="3"/>
        <v>56.243488301874464</v>
      </c>
      <c r="AT23" s="51"/>
    </row>
    <row r="24" spans="1:46">
      <c r="A24" t="s">
        <v>6</v>
      </c>
      <c r="B24" t="s">
        <v>9</v>
      </c>
      <c r="C24" t="s">
        <v>13</v>
      </c>
      <c r="D24" s="8">
        <v>1</v>
      </c>
      <c r="E24">
        <v>30</v>
      </c>
      <c r="F24" t="s">
        <v>386</v>
      </c>
      <c r="G24" t="s">
        <v>778</v>
      </c>
      <c r="H24" s="36">
        <v>101.72</v>
      </c>
      <c r="I24" s="36">
        <v>2.85</v>
      </c>
      <c r="J24" s="42">
        <f t="shared" si="4"/>
        <v>98.87</v>
      </c>
      <c r="K24" s="44">
        <v>15.08</v>
      </c>
      <c r="L24" s="44">
        <v>0.17</v>
      </c>
      <c r="M24" s="44">
        <v>0.02</v>
      </c>
      <c r="N24" s="44">
        <v>0</v>
      </c>
      <c r="O24" s="44">
        <v>3.72</v>
      </c>
      <c r="P24" s="44">
        <v>0</v>
      </c>
      <c r="Q24" s="44">
        <f t="shared" si="5"/>
        <v>0.37000000000000011</v>
      </c>
      <c r="R24" s="36">
        <v>368.47</v>
      </c>
      <c r="S24" s="36">
        <v>286.13</v>
      </c>
      <c r="T24" s="36">
        <f t="shared" si="6"/>
        <v>82.340000000000032</v>
      </c>
      <c r="U24" s="36">
        <f t="shared" si="12"/>
        <v>1.0599999999999721</v>
      </c>
      <c r="V24" s="26">
        <v>42776</v>
      </c>
      <c r="X24" s="31">
        <v>6.9770000000000003</v>
      </c>
      <c r="Y24" s="26">
        <v>42776</v>
      </c>
      <c r="AA24" s="31">
        <v>2.36</v>
      </c>
      <c r="AB24" s="31">
        <v>42.646000000000001</v>
      </c>
      <c r="AC24" s="31">
        <f t="shared" si="0"/>
        <v>40.286000000000001</v>
      </c>
      <c r="AD24" s="31">
        <v>36.167000000000002</v>
      </c>
      <c r="AE24" s="31">
        <v>7.4333333333333293E-2</v>
      </c>
      <c r="AF24" s="31">
        <f t="shared" si="13"/>
        <v>33.881333333333338</v>
      </c>
      <c r="AG24" s="31">
        <f t="shared" si="14"/>
        <v>18.903230884262708</v>
      </c>
      <c r="AH24" s="31">
        <f t="shared" si="7"/>
        <v>84.102004004699737</v>
      </c>
      <c r="AI24" s="31">
        <f t="shared" si="8"/>
        <v>15.897995995300263</v>
      </c>
      <c r="AJ24" s="31">
        <f t="shared" si="9"/>
        <v>13.320930844462092</v>
      </c>
      <c r="AK24" s="31">
        <f t="shared" si="1"/>
        <v>69.249590097469792</v>
      </c>
      <c r="AL24" s="26">
        <v>42776</v>
      </c>
      <c r="AM24" s="26">
        <v>42778</v>
      </c>
      <c r="AN24" s="25"/>
      <c r="AO24" s="51">
        <f t="shared" si="2"/>
        <v>84.102004004699737</v>
      </c>
      <c r="AP24" s="51">
        <f t="shared" si="10"/>
        <v>15.897995995300263</v>
      </c>
      <c r="AQ24" s="51">
        <f t="shared" si="11"/>
        <v>13.320930844462092</v>
      </c>
      <c r="AR24" s="31">
        <f t="shared" si="3"/>
        <v>69.249590097469792</v>
      </c>
      <c r="AT24" s="51"/>
    </row>
    <row r="25" spans="1:46">
      <c r="A25" t="s">
        <v>7</v>
      </c>
      <c r="B25" t="s">
        <v>9</v>
      </c>
      <c r="C25" t="s">
        <v>13</v>
      </c>
      <c r="D25" s="8">
        <v>2</v>
      </c>
      <c r="E25">
        <v>5</v>
      </c>
      <c r="F25" t="s">
        <v>386</v>
      </c>
      <c r="G25" t="s">
        <v>778</v>
      </c>
      <c r="H25" s="36">
        <v>101.75</v>
      </c>
      <c r="I25" s="38">
        <v>2.72</v>
      </c>
      <c r="J25" s="42">
        <f t="shared" si="4"/>
        <v>99.03</v>
      </c>
      <c r="K25" s="38">
        <v>0.95</v>
      </c>
      <c r="L25" s="38" t="s">
        <v>469</v>
      </c>
      <c r="M25" s="38">
        <v>0.57999999999999996</v>
      </c>
      <c r="N25" s="44">
        <v>3.39</v>
      </c>
      <c r="O25" s="44">
        <v>3.78</v>
      </c>
      <c r="P25" s="44">
        <v>3.46</v>
      </c>
      <c r="Q25" s="44">
        <f t="shared" si="5"/>
        <v>0.57999999999999963</v>
      </c>
      <c r="R25" s="44">
        <v>381.48</v>
      </c>
      <c r="S25" s="44">
        <v>286.43</v>
      </c>
      <c r="T25" s="36">
        <f t="shared" si="6"/>
        <v>95.050000000000011</v>
      </c>
      <c r="U25" s="36">
        <f t="shared" si="12"/>
        <v>1.8699999999999901</v>
      </c>
      <c r="V25" s="26">
        <v>42746</v>
      </c>
      <c r="W25" s="25"/>
      <c r="X25" s="31">
        <v>4.8310000000000004</v>
      </c>
      <c r="Y25" s="26">
        <v>42746</v>
      </c>
      <c r="AA25" s="31">
        <v>3.5070000000000001</v>
      </c>
      <c r="AB25" s="31">
        <v>53.862000000000002</v>
      </c>
      <c r="AC25" s="31">
        <f t="shared" si="0"/>
        <v>50.355000000000004</v>
      </c>
      <c r="AD25" s="31">
        <v>41.514000000000003</v>
      </c>
      <c r="AE25" s="31">
        <v>0.11549999999999901</v>
      </c>
      <c r="AF25" s="31">
        <f t="shared" si="13"/>
        <v>38.122500000000002</v>
      </c>
      <c r="AG25" s="31">
        <f t="shared" si="14"/>
        <v>32.087349990163297</v>
      </c>
      <c r="AH25" s="31">
        <f t="shared" si="7"/>
        <v>75.707476913911236</v>
      </c>
      <c r="AI25" s="31">
        <f t="shared" si="8"/>
        <v>24.292523086088764</v>
      </c>
      <c r="AJ25" s="31">
        <f t="shared" si="9"/>
        <v>23.82610664283586</v>
      </c>
      <c r="AK25" s="31">
        <f t="shared" si="1"/>
        <v>71.959956806672636</v>
      </c>
      <c r="AL25" s="26">
        <v>42746</v>
      </c>
      <c r="AM25" s="26">
        <v>42748</v>
      </c>
      <c r="AN25" s="25"/>
      <c r="AO25" s="51">
        <f t="shared" si="2"/>
        <v>75.707476913911236</v>
      </c>
      <c r="AP25" s="51">
        <f t="shared" si="10"/>
        <v>24.292523086088764</v>
      </c>
      <c r="AQ25" s="51">
        <f t="shared" si="11"/>
        <v>23.82610664283586</v>
      </c>
      <c r="AR25" s="31">
        <f t="shared" si="3"/>
        <v>71.959956806672636</v>
      </c>
      <c r="AT25" s="51"/>
    </row>
    <row r="26" spans="1:46">
      <c r="A26" t="s">
        <v>29</v>
      </c>
      <c r="B26" t="s">
        <v>9</v>
      </c>
      <c r="C26" t="s">
        <v>13</v>
      </c>
      <c r="D26" s="8">
        <v>2</v>
      </c>
      <c r="E26">
        <v>20</v>
      </c>
      <c r="F26" t="s">
        <v>386</v>
      </c>
      <c r="G26" t="s">
        <v>778</v>
      </c>
      <c r="H26" s="36">
        <v>104.34</v>
      </c>
      <c r="I26" s="38">
        <v>2.81</v>
      </c>
      <c r="J26" s="42">
        <f t="shared" si="4"/>
        <v>101.53</v>
      </c>
      <c r="K26" s="38">
        <v>1.1000000000000001</v>
      </c>
      <c r="L26" s="38" t="s">
        <v>469</v>
      </c>
      <c r="M26" s="38">
        <v>0.28999999999999998</v>
      </c>
      <c r="N26" s="44">
        <v>3.37</v>
      </c>
      <c r="O26" s="44">
        <v>3.58</v>
      </c>
      <c r="P26" s="44">
        <v>3.37</v>
      </c>
      <c r="Q26" s="44">
        <f t="shared" si="5"/>
        <v>0.27</v>
      </c>
      <c r="R26" s="44">
        <v>387.54</v>
      </c>
      <c r="S26" s="44">
        <v>288.33</v>
      </c>
      <c r="T26" s="36">
        <f t="shared" si="6"/>
        <v>99.210000000000036</v>
      </c>
      <c r="U26" s="36">
        <f t="shared" si="12"/>
        <v>0.65999999999996461</v>
      </c>
      <c r="V26" s="26">
        <v>42746</v>
      </c>
      <c r="W26" s="25"/>
      <c r="X26" s="31">
        <v>5.1909999999999998</v>
      </c>
      <c r="Y26" s="26">
        <v>42746</v>
      </c>
      <c r="AA26" s="31">
        <v>3.528</v>
      </c>
      <c r="AB26" s="31">
        <v>57.679000000000002</v>
      </c>
      <c r="AC26" s="31">
        <f t="shared" si="0"/>
        <v>54.151000000000003</v>
      </c>
      <c r="AD26" s="31">
        <v>53.661999999999999</v>
      </c>
      <c r="AE26" s="31">
        <v>0.11549999999999901</v>
      </c>
      <c r="AF26" s="31">
        <f t="shared" si="13"/>
        <v>50.249499999999998</v>
      </c>
      <c r="AG26" s="31">
        <f t="shared" si="14"/>
        <v>7.7642563607598198</v>
      </c>
      <c r="AH26" s="31">
        <f t="shared" si="7"/>
        <v>92.795146904027618</v>
      </c>
      <c r="AI26" s="31">
        <f t="shared" si="8"/>
        <v>7.204853095972382</v>
      </c>
      <c r="AJ26" s="31">
        <f t="shared" si="9"/>
        <v>7.2358339642850629</v>
      </c>
      <c r="AK26" s="31">
        <f t="shared" si="1"/>
        <v>92.062065243485833</v>
      </c>
      <c r="AL26" s="26">
        <v>42746</v>
      </c>
      <c r="AM26" s="26">
        <v>42748</v>
      </c>
      <c r="AN26" s="25"/>
      <c r="AO26" s="51">
        <f t="shared" si="2"/>
        <v>92.795146904027618</v>
      </c>
      <c r="AP26" s="51">
        <f t="shared" si="10"/>
        <v>7.204853095972382</v>
      </c>
      <c r="AQ26" s="51">
        <f t="shared" si="11"/>
        <v>7.2358339642850629</v>
      </c>
      <c r="AR26" s="31">
        <f t="shared" si="3"/>
        <v>92.062065243485833</v>
      </c>
      <c r="AT26" s="51"/>
    </row>
    <row r="27" spans="1:46">
      <c r="A27" t="s">
        <v>30</v>
      </c>
      <c r="B27" t="s">
        <v>9</v>
      </c>
      <c r="C27" t="s">
        <v>13</v>
      </c>
      <c r="D27" s="8">
        <v>2</v>
      </c>
      <c r="E27">
        <v>30</v>
      </c>
      <c r="F27" t="s">
        <v>386</v>
      </c>
      <c r="G27" t="s">
        <v>778</v>
      </c>
      <c r="H27" s="36">
        <v>146.26</v>
      </c>
      <c r="I27" s="38">
        <v>2.67</v>
      </c>
      <c r="J27" s="42">
        <f t="shared" si="4"/>
        <v>143.59</v>
      </c>
      <c r="K27" s="38">
        <v>1.45</v>
      </c>
      <c r="L27" s="38" t="s">
        <v>469</v>
      </c>
      <c r="M27" s="38">
        <v>0.08</v>
      </c>
      <c r="N27" s="44">
        <v>3.38</v>
      </c>
      <c r="O27" s="44">
        <v>3.59</v>
      </c>
      <c r="P27" s="44">
        <v>3.41</v>
      </c>
      <c r="Q27" s="44">
        <f t="shared" si="5"/>
        <v>0.32999999999999963</v>
      </c>
      <c r="R27" s="44">
        <v>427.85</v>
      </c>
      <c r="S27" s="44">
        <v>286.72000000000003</v>
      </c>
      <c r="T27" s="36">
        <f t="shared" si="6"/>
        <v>141.13</v>
      </c>
      <c r="U27" s="36">
        <f t="shared" si="12"/>
        <v>0.6000000000000083</v>
      </c>
      <c r="V27" s="26">
        <v>42746</v>
      </c>
      <c r="W27" s="25"/>
      <c r="X27" s="31">
        <v>5.3019999999999996</v>
      </c>
      <c r="Y27" s="26">
        <v>42746</v>
      </c>
      <c r="AA27" s="31">
        <v>3.54</v>
      </c>
      <c r="AB27" s="31">
        <v>77.540999999999997</v>
      </c>
      <c r="AC27" s="31">
        <f t="shared" si="0"/>
        <v>74.000999999999991</v>
      </c>
      <c r="AD27" s="31">
        <v>74.043999999999997</v>
      </c>
      <c r="AE27" s="31">
        <v>0.11549999999999901</v>
      </c>
      <c r="AF27" s="31">
        <f t="shared" si="13"/>
        <v>70.619499999999988</v>
      </c>
      <c r="AG27" s="31">
        <f t="shared" si="14"/>
        <v>4.7883374988494722</v>
      </c>
      <c r="AH27" s="31">
        <f t="shared" si="7"/>
        <v>95.430467155849243</v>
      </c>
      <c r="AI27" s="31">
        <f t="shared" si="8"/>
        <v>4.569532844150757</v>
      </c>
      <c r="AJ27" s="31">
        <f t="shared" si="9"/>
        <v>6.4951339846758867</v>
      </c>
      <c r="AK27" s="31">
        <f t="shared" si="1"/>
        <v>134.68101829705003</v>
      </c>
      <c r="AL27" s="26">
        <v>42746</v>
      </c>
      <c r="AM27" s="26">
        <v>42748</v>
      </c>
      <c r="AN27" s="25"/>
      <c r="AO27" s="51">
        <f t="shared" si="2"/>
        <v>95.430467155849243</v>
      </c>
      <c r="AP27" s="51">
        <f t="shared" si="10"/>
        <v>4.569532844150757</v>
      </c>
      <c r="AQ27" s="51">
        <f t="shared" si="11"/>
        <v>6.4951339846758867</v>
      </c>
      <c r="AR27" s="31">
        <f t="shared" si="3"/>
        <v>134.68101829705003</v>
      </c>
      <c r="AT27" s="51"/>
    </row>
    <row r="28" spans="1:46">
      <c r="A28" t="s">
        <v>31</v>
      </c>
      <c r="B28" t="s">
        <v>9</v>
      </c>
      <c r="C28" t="s">
        <v>13</v>
      </c>
      <c r="D28" s="8">
        <v>3</v>
      </c>
      <c r="E28">
        <v>5</v>
      </c>
      <c r="F28" t="s">
        <v>386</v>
      </c>
      <c r="G28" t="s">
        <v>778</v>
      </c>
      <c r="H28" s="36">
        <v>92.98</v>
      </c>
      <c r="I28" s="36">
        <v>2.8</v>
      </c>
      <c r="J28" s="42">
        <f t="shared" si="4"/>
        <v>90.18</v>
      </c>
      <c r="K28" s="44">
        <v>0.76</v>
      </c>
      <c r="L28" s="44">
        <v>0</v>
      </c>
      <c r="M28" s="44">
        <v>0.46</v>
      </c>
      <c r="N28" s="44">
        <v>0</v>
      </c>
      <c r="O28" s="44">
        <v>12.17</v>
      </c>
      <c r="P28" s="44">
        <v>0</v>
      </c>
      <c r="Q28" s="44">
        <f t="shared" si="5"/>
        <v>8.82</v>
      </c>
      <c r="R28" s="44">
        <v>364.45</v>
      </c>
      <c r="S28" s="44">
        <v>286</v>
      </c>
      <c r="T28" s="36">
        <f t="shared" si="6"/>
        <v>78.449999999999989</v>
      </c>
      <c r="U28" s="36">
        <f t="shared" si="12"/>
        <v>1.6900000000000179</v>
      </c>
      <c r="V28" s="26">
        <v>42791</v>
      </c>
      <c r="X28" s="31">
        <v>5.1689999999999996</v>
      </c>
      <c r="Y28" s="26">
        <v>42791</v>
      </c>
      <c r="AA28" s="31">
        <v>2.431</v>
      </c>
      <c r="AB28" s="31">
        <v>39.774000000000001</v>
      </c>
      <c r="AC28" s="31">
        <f t="shared" si="0"/>
        <v>37.343000000000004</v>
      </c>
      <c r="AD28" s="31">
        <v>25.132000000000001</v>
      </c>
      <c r="AE28" s="31">
        <v>9.2666666666666828E-2</v>
      </c>
      <c r="AF28" s="31">
        <f t="shared" si="13"/>
        <v>22.793666666666667</v>
      </c>
      <c r="AG28" s="31">
        <f t="shared" si="14"/>
        <v>63.83059621824777</v>
      </c>
      <c r="AH28" s="31">
        <f t="shared" si="7"/>
        <v>61.038659632773651</v>
      </c>
      <c r="AI28" s="31">
        <f t="shared" si="8"/>
        <v>38.961340367226349</v>
      </c>
      <c r="AJ28" s="31">
        <f t="shared" si="9"/>
        <v>34.839230556373799</v>
      </c>
      <c r="AK28" s="31">
        <f t="shared" si="1"/>
        <v>47.884828481910922</v>
      </c>
      <c r="AL28" s="26">
        <v>42795</v>
      </c>
      <c r="AM28" s="26">
        <v>42797</v>
      </c>
      <c r="AN28" s="25"/>
      <c r="AO28" s="51">
        <f t="shared" si="2"/>
        <v>61.038659632773651</v>
      </c>
      <c r="AP28" s="51">
        <f t="shared" si="10"/>
        <v>38.961340367226349</v>
      </c>
      <c r="AQ28" s="51">
        <f t="shared" si="11"/>
        <v>34.839230556373799</v>
      </c>
      <c r="AR28" s="31">
        <f t="shared" si="3"/>
        <v>47.884828481910922</v>
      </c>
      <c r="AT28" s="51"/>
    </row>
    <row r="29" spans="1:46">
      <c r="A29" t="s">
        <v>32</v>
      </c>
      <c r="B29" t="s">
        <v>9</v>
      </c>
      <c r="C29" t="s">
        <v>13</v>
      </c>
      <c r="D29" s="8">
        <v>3</v>
      </c>
      <c r="E29">
        <v>20</v>
      </c>
      <c r="F29" t="s">
        <v>386</v>
      </c>
      <c r="G29" t="s">
        <v>778</v>
      </c>
      <c r="H29" s="36">
        <v>107.01</v>
      </c>
      <c r="I29" s="36">
        <v>2.73</v>
      </c>
      <c r="J29" s="42">
        <f t="shared" si="4"/>
        <v>104.28</v>
      </c>
      <c r="K29" s="44">
        <v>1.03</v>
      </c>
      <c r="L29" s="44">
        <v>0</v>
      </c>
      <c r="M29" s="44">
        <v>0</v>
      </c>
      <c r="N29" s="44">
        <v>0</v>
      </c>
      <c r="O29" s="44">
        <v>4.99</v>
      </c>
      <c r="P29" s="44">
        <v>0</v>
      </c>
      <c r="Q29" s="44">
        <f t="shared" si="5"/>
        <v>1.6400000000000001</v>
      </c>
      <c r="R29" s="44">
        <v>386.55</v>
      </c>
      <c r="S29" s="44">
        <v>286</v>
      </c>
      <c r="T29" s="36">
        <f t="shared" si="6"/>
        <v>100.55000000000001</v>
      </c>
      <c r="U29" s="36">
        <f t="shared" si="12"/>
        <v>1.0599999999999896</v>
      </c>
      <c r="V29" s="26">
        <v>42791</v>
      </c>
      <c r="X29" s="31">
        <v>5.5270000000000001</v>
      </c>
      <c r="Y29" s="26">
        <v>42791</v>
      </c>
      <c r="AA29" s="31">
        <v>2.4529999999999998</v>
      </c>
      <c r="AB29" s="31">
        <v>48.066000000000003</v>
      </c>
      <c r="AC29" s="31">
        <f t="shared" si="0"/>
        <v>45.613</v>
      </c>
      <c r="AD29" s="31">
        <v>36.530999999999999</v>
      </c>
      <c r="AE29" s="31">
        <v>9.2666666666666828E-2</v>
      </c>
      <c r="AF29" s="31">
        <f t="shared" si="13"/>
        <v>34.170666666666662</v>
      </c>
      <c r="AG29" s="31">
        <f t="shared" si="14"/>
        <v>33.485835804588753</v>
      </c>
      <c r="AH29" s="31">
        <f t="shared" si="7"/>
        <v>74.914315363310152</v>
      </c>
      <c r="AI29" s="31">
        <f t="shared" si="8"/>
        <v>25.085684636689848</v>
      </c>
      <c r="AJ29" s="31">
        <f t="shared" si="9"/>
        <v>25.900969387382268</v>
      </c>
      <c r="AK29" s="31">
        <f t="shared" si="1"/>
        <v>75.326344097808359</v>
      </c>
      <c r="AL29" s="26">
        <v>42795</v>
      </c>
      <c r="AM29" s="26">
        <v>42797</v>
      </c>
      <c r="AN29" s="25"/>
      <c r="AO29" s="51">
        <f t="shared" si="2"/>
        <v>74.914315363310152</v>
      </c>
      <c r="AP29" s="51">
        <f t="shared" si="10"/>
        <v>25.085684636689848</v>
      </c>
      <c r="AQ29" s="51">
        <f t="shared" si="11"/>
        <v>25.900969387382268</v>
      </c>
      <c r="AR29" s="31">
        <f t="shared" si="3"/>
        <v>75.326344097808359</v>
      </c>
      <c r="AT29" s="51"/>
    </row>
    <row r="30" spans="1:46">
      <c r="A30" t="s">
        <v>33</v>
      </c>
      <c r="B30" t="s">
        <v>9</v>
      </c>
      <c r="C30" t="s">
        <v>13</v>
      </c>
      <c r="D30" s="8">
        <v>3</v>
      </c>
      <c r="E30">
        <v>30</v>
      </c>
      <c r="F30" t="s">
        <v>386</v>
      </c>
      <c r="G30" t="s">
        <v>778</v>
      </c>
      <c r="H30" s="36">
        <v>144.05000000000001</v>
      </c>
      <c r="I30" s="36">
        <v>2.82</v>
      </c>
      <c r="J30" s="42">
        <f t="shared" si="4"/>
        <v>141.23000000000002</v>
      </c>
      <c r="K30" s="44">
        <v>14.62</v>
      </c>
      <c r="L30" s="44">
        <v>0</v>
      </c>
      <c r="M30" s="44">
        <v>0</v>
      </c>
      <c r="N30" s="44">
        <v>3.41</v>
      </c>
      <c r="O30" s="44">
        <v>4.03</v>
      </c>
      <c r="P30" s="44">
        <v>0</v>
      </c>
      <c r="Q30" s="44">
        <f t="shared" si="5"/>
        <v>0.74000000000000021</v>
      </c>
      <c r="R30" s="44">
        <v>411.23</v>
      </c>
      <c r="S30" s="44">
        <v>286</v>
      </c>
      <c r="T30" s="36">
        <f t="shared" si="6"/>
        <v>125.23000000000002</v>
      </c>
      <c r="U30" s="36">
        <f t="shared" si="12"/>
        <v>0.64000000000000057</v>
      </c>
      <c r="V30" s="26">
        <v>42791</v>
      </c>
      <c r="X30" s="31">
        <v>5.7060000000000004</v>
      </c>
      <c r="Y30" s="26">
        <v>42791</v>
      </c>
      <c r="AA30" s="31">
        <v>2.4239999999999999</v>
      </c>
      <c r="AB30" s="31">
        <v>63.064</v>
      </c>
      <c r="AC30" s="31">
        <f t="shared" si="0"/>
        <v>60.64</v>
      </c>
      <c r="AD30" s="31">
        <v>55.091999999999999</v>
      </c>
      <c r="AE30" s="31">
        <v>9.2666666666666828E-2</v>
      </c>
      <c r="AF30" s="31">
        <f t="shared" si="13"/>
        <v>52.760666666666665</v>
      </c>
      <c r="AG30" s="31">
        <f t="shared" si="14"/>
        <v>14.934104951921258</v>
      </c>
      <c r="AH30" s="31">
        <f t="shared" si="7"/>
        <v>87.006376429199648</v>
      </c>
      <c r="AI30" s="31">
        <f t="shared" si="8"/>
        <v>12.993623570800352</v>
      </c>
      <c r="AJ30" s="31">
        <f t="shared" si="9"/>
        <v>16.45122680299033</v>
      </c>
      <c r="AK30" s="31">
        <f t="shared" si="1"/>
        <v>108.95808520228674</v>
      </c>
      <c r="AL30" s="26">
        <v>42795</v>
      </c>
      <c r="AM30" s="26">
        <v>42797</v>
      </c>
      <c r="AN30" s="25"/>
      <c r="AO30" s="51">
        <f t="shared" si="2"/>
        <v>87.006376429199648</v>
      </c>
      <c r="AP30" s="51">
        <f t="shared" si="10"/>
        <v>12.993623570800352</v>
      </c>
      <c r="AQ30" s="51">
        <f t="shared" si="11"/>
        <v>16.45122680299033</v>
      </c>
      <c r="AR30" s="31">
        <f t="shared" si="3"/>
        <v>108.95808520228674</v>
      </c>
      <c r="AT30" s="51"/>
    </row>
    <row r="31" spans="1:46">
      <c r="A31" t="s">
        <v>34</v>
      </c>
      <c r="B31" t="s">
        <v>9</v>
      </c>
      <c r="C31" t="s">
        <v>13</v>
      </c>
      <c r="D31" s="8">
        <v>4</v>
      </c>
      <c r="E31">
        <v>5</v>
      </c>
      <c r="F31" t="s">
        <v>386</v>
      </c>
      <c r="G31" t="s">
        <v>778</v>
      </c>
      <c r="H31" s="36">
        <v>120.22</v>
      </c>
      <c r="I31" s="38">
        <v>2.73</v>
      </c>
      <c r="J31" s="42">
        <f t="shared" si="4"/>
        <v>117.49</v>
      </c>
      <c r="K31" s="38">
        <v>4.24</v>
      </c>
      <c r="L31" s="38" t="s">
        <v>469</v>
      </c>
      <c r="M31" s="38">
        <v>0.28000000000000003</v>
      </c>
      <c r="N31" s="38">
        <v>0</v>
      </c>
      <c r="O31" s="44">
        <v>5.18</v>
      </c>
      <c r="P31" s="44">
        <v>0</v>
      </c>
      <c r="Q31" s="44">
        <f t="shared" si="5"/>
        <v>1.8299999999999996</v>
      </c>
      <c r="R31" s="44">
        <v>394.45</v>
      </c>
      <c r="S31" s="44">
        <v>286.72000000000003</v>
      </c>
      <c r="T31" s="36">
        <f t="shared" si="6"/>
        <v>107.72999999999996</v>
      </c>
      <c r="U31" s="36">
        <f t="shared" si="12"/>
        <v>3.410000000000033</v>
      </c>
      <c r="V31" s="26">
        <v>42746</v>
      </c>
      <c r="W31" s="25"/>
      <c r="X31" s="31">
        <v>5.24</v>
      </c>
      <c r="Y31" s="26">
        <v>42746</v>
      </c>
      <c r="AA31" s="31">
        <v>3.4630000000000001</v>
      </c>
      <c r="AB31" s="31">
        <v>52.534999999999997</v>
      </c>
      <c r="AC31" s="31">
        <f t="shared" si="0"/>
        <v>49.071999999999996</v>
      </c>
      <c r="AD31" s="31">
        <v>37.042000000000002</v>
      </c>
      <c r="AE31" s="31">
        <v>0.11549999999999901</v>
      </c>
      <c r="AF31" s="31">
        <f t="shared" si="13"/>
        <v>33.694499999999998</v>
      </c>
      <c r="AG31" s="31">
        <f t="shared" si="14"/>
        <v>45.638012138479567</v>
      </c>
      <c r="AH31" s="31">
        <f t="shared" si="7"/>
        <v>68.663392566025436</v>
      </c>
      <c r="AI31" s="31">
        <f t="shared" si="8"/>
        <v>31.336607433974564</v>
      </c>
      <c r="AJ31" s="31">
        <f t="shared" si="9"/>
        <v>35.488707918976196</v>
      </c>
      <c r="AK31" s="31">
        <f t="shared" si="1"/>
        <v>73.971072811379173</v>
      </c>
      <c r="AL31" s="26">
        <v>42746</v>
      </c>
      <c r="AM31" s="26">
        <v>42748</v>
      </c>
      <c r="AN31" s="25"/>
      <c r="AO31" s="51">
        <f t="shared" si="2"/>
        <v>68.663392566025436</v>
      </c>
      <c r="AP31" s="51">
        <f t="shared" si="10"/>
        <v>31.336607433974564</v>
      </c>
      <c r="AQ31" s="51">
        <f t="shared" si="11"/>
        <v>35.488707918976196</v>
      </c>
      <c r="AR31" s="31">
        <f t="shared" si="3"/>
        <v>73.971072811379173</v>
      </c>
      <c r="AT31" s="51"/>
    </row>
    <row r="32" spans="1:46">
      <c r="A32" t="s">
        <v>35</v>
      </c>
      <c r="B32" t="s">
        <v>9</v>
      </c>
      <c r="C32" t="s">
        <v>13</v>
      </c>
      <c r="D32" s="8">
        <v>4</v>
      </c>
      <c r="E32">
        <v>20</v>
      </c>
      <c r="F32" t="s">
        <v>386</v>
      </c>
      <c r="G32" t="s">
        <v>778</v>
      </c>
      <c r="H32" s="36">
        <v>102.73</v>
      </c>
      <c r="I32" s="38">
        <v>2.88</v>
      </c>
      <c r="J32" s="42">
        <f t="shared" si="4"/>
        <v>99.850000000000009</v>
      </c>
      <c r="K32" s="38">
        <v>1.03</v>
      </c>
      <c r="L32" s="38" t="s">
        <v>469</v>
      </c>
      <c r="M32" s="38">
        <v>0.46</v>
      </c>
      <c r="N32" s="44">
        <v>0</v>
      </c>
      <c r="O32" s="44">
        <v>3.74</v>
      </c>
      <c r="P32" s="44">
        <v>0</v>
      </c>
      <c r="Q32" s="44">
        <f t="shared" si="5"/>
        <v>0.39000000000000012</v>
      </c>
      <c r="R32" s="44">
        <v>383.44</v>
      </c>
      <c r="S32" s="44">
        <v>286.73</v>
      </c>
      <c r="T32" s="36">
        <f t="shared" si="6"/>
        <v>96.70999999999998</v>
      </c>
      <c r="U32" s="36">
        <f t="shared" si="12"/>
        <v>1.2600000000000289</v>
      </c>
      <c r="V32" s="26">
        <v>42746</v>
      </c>
      <c r="W32" s="25"/>
      <c r="X32" s="31">
        <v>5.53</v>
      </c>
      <c r="Y32" s="26">
        <v>42746</v>
      </c>
      <c r="AA32" s="31">
        <v>3.4889999999999999</v>
      </c>
      <c r="AB32" s="31">
        <v>50.917999999999999</v>
      </c>
      <c r="AC32" s="31">
        <f t="shared" si="0"/>
        <v>47.429000000000002</v>
      </c>
      <c r="AD32" s="31">
        <v>37.502000000000002</v>
      </c>
      <c r="AE32" s="31">
        <v>0.11549999999999901</v>
      </c>
      <c r="AF32" s="31">
        <f t="shared" si="13"/>
        <v>34.128500000000003</v>
      </c>
      <c r="AG32" s="31">
        <f t="shared" si="14"/>
        <v>38.971827065355932</v>
      </c>
      <c r="AH32" s="31">
        <f t="shared" si="7"/>
        <v>71.957030508760468</v>
      </c>
      <c r="AI32" s="31">
        <f t="shared" si="8"/>
        <v>28.042969491239532</v>
      </c>
      <c r="AJ32" s="31">
        <f t="shared" si="9"/>
        <v>27.712062451242907</v>
      </c>
      <c r="AK32" s="31">
        <f t="shared" si="1"/>
        <v>69.589644205022239</v>
      </c>
      <c r="AL32" s="26">
        <v>42746</v>
      </c>
      <c r="AM32" s="26">
        <v>42748</v>
      </c>
      <c r="AN32" s="25"/>
      <c r="AO32" s="51">
        <f t="shared" si="2"/>
        <v>71.957030508760468</v>
      </c>
      <c r="AP32" s="51">
        <f t="shared" si="10"/>
        <v>28.042969491239532</v>
      </c>
      <c r="AQ32" s="51">
        <f t="shared" si="11"/>
        <v>27.712062451242907</v>
      </c>
      <c r="AR32" s="31">
        <f t="shared" si="3"/>
        <v>69.589644205022239</v>
      </c>
      <c r="AT32" s="51"/>
    </row>
    <row r="33" spans="1:51">
      <c r="A33" t="s">
        <v>36</v>
      </c>
      <c r="B33" t="s">
        <v>9</v>
      </c>
      <c r="C33" t="s">
        <v>13</v>
      </c>
      <c r="D33" s="8">
        <v>4</v>
      </c>
      <c r="E33">
        <v>30</v>
      </c>
      <c r="F33" t="s">
        <v>386</v>
      </c>
      <c r="G33" t="s">
        <v>778</v>
      </c>
      <c r="H33" s="36">
        <v>110.75</v>
      </c>
      <c r="I33" s="38">
        <v>2.7</v>
      </c>
      <c r="J33" s="42">
        <f t="shared" si="4"/>
        <v>108.05</v>
      </c>
      <c r="K33" s="38">
        <v>0.56999999999999995</v>
      </c>
      <c r="L33" s="38" t="s">
        <v>469</v>
      </c>
      <c r="M33" s="38">
        <v>0.15</v>
      </c>
      <c r="N33" s="44">
        <v>0</v>
      </c>
      <c r="O33" s="44">
        <v>3.45</v>
      </c>
      <c r="P33" s="44">
        <v>0</v>
      </c>
      <c r="Q33" s="44">
        <f t="shared" si="5"/>
        <v>0.10000000000000009</v>
      </c>
      <c r="R33" s="44">
        <v>392.92</v>
      </c>
      <c r="S33" s="44">
        <v>286.73</v>
      </c>
      <c r="T33" s="36">
        <f t="shared" si="6"/>
        <v>106.19</v>
      </c>
      <c r="U33" s="36">
        <f t="shared" si="12"/>
        <v>1.0399999999999996</v>
      </c>
      <c r="V33" s="26">
        <v>42746</v>
      </c>
      <c r="W33" s="25"/>
      <c r="X33" s="31">
        <v>5.7069999999999999</v>
      </c>
      <c r="Y33" s="26">
        <v>42746</v>
      </c>
      <c r="AA33" s="31">
        <v>3.5430000000000001</v>
      </c>
      <c r="AB33" s="31">
        <v>56.139000000000003</v>
      </c>
      <c r="AC33" s="31">
        <f t="shared" si="0"/>
        <v>52.596000000000004</v>
      </c>
      <c r="AD33" s="31">
        <v>45.048000000000002</v>
      </c>
      <c r="AE33" s="31">
        <v>0.11549999999999901</v>
      </c>
      <c r="AF33" s="31">
        <f t="shared" si="13"/>
        <v>41.6205</v>
      </c>
      <c r="AG33" s="31">
        <f t="shared" si="14"/>
        <v>26.370418423613373</v>
      </c>
      <c r="AH33" s="31">
        <f t="shared" si="7"/>
        <v>79.132443531827505</v>
      </c>
      <c r="AI33" s="31">
        <f t="shared" si="8"/>
        <v>20.867556468172495</v>
      </c>
      <c r="AJ33" s="31">
        <f t="shared" si="9"/>
        <v>22.428449691991798</v>
      </c>
      <c r="AK33" s="31">
        <f t="shared" si="1"/>
        <v>84.030741786447621</v>
      </c>
      <c r="AL33" s="26">
        <v>42746</v>
      </c>
      <c r="AM33" s="26">
        <v>42748</v>
      </c>
      <c r="AN33" s="25"/>
      <c r="AO33" s="51">
        <f t="shared" si="2"/>
        <v>79.132443531827505</v>
      </c>
      <c r="AP33" s="51">
        <f t="shared" si="10"/>
        <v>20.867556468172495</v>
      </c>
      <c r="AQ33" s="51">
        <f t="shared" si="11"/>
        <v>22.428449691991798</v>
      </c>
      <c r="AR33" s="31">
        <f t="shared" si="3"/>
        <v>84.030741786447621</v>
      </c>
      <c r="AT33" s="51"/>
    </row>
    <row r="34" spans="1:51">
      <c r="A34" t="s">
        <v>37</v>
      </c>
      <c r="B34" t="s">
        <v>9</v>
      </c>
      <c r="C34" t="s">
        <v>13</v>
      </c>
      <c r="D34" s="8">
        <v>5</v>
      </c>
      <c r="E34">
        <v>5</v>
      </c>
      <c r="F34" t="s">
        <v>386</v>
      </c>
      <c r="G34" t="s">
        <v>778</v>
      </c>
      <c r="H34" s="36">
        <v>88.16</v>
      </c>
      <c r="I34" s="36">
        <v>2.72</v>
      </c>
      <c r="J34" s="42">
        <f t="shared" si="4"/>
        <v>85.44</v>
      </c>
      <c r="K34" s="44">
        <v>7.0000000000000007E-2</v>
      </c>
      <c r="L34" s="44">
        <v>1.26</v>
      </c>
      <c r="M34" s="44">
        <v>0.3</v>
      </c>
      <c r="N34" s="44">
        <v>3.44</v>
      </c>
      <c r="O34" s="44">
        <v>4.53</v>
      </c>
      <c r="P34" s="44">
        <v>0</v>
      </c>
      <c r="Q34" s="44">
        <f t="shared" si="5"/>
        <v>1.27</v>
      </c>
      <c r="R34" s="44">
        <v>367.39</v>
      </c>
      <c r="S34" s="44">
        <v>285.94</v>
      </c>
      <c r="T34" s="36">
        <f t="shared" si="6"/>
        <v>81.449999999999989</v>
      </c>
      <c r="U34" s="36">
        <f t="shared" si="12"/>
        <v>2.3500000000000094</v>
      </c>
      <c r="V34" s="26">
        <v>42797</v>
      </c>
      <c r="X34" s="31">
        <v>5.3380000000000001</v>
      </c>
      <c r="Y34" s="26">
        <v>42797</v>
      </c>
      <c r="AA34" s="31">
        <v>2.4129999999999998</v>
      </c>
      <c r="AB34" s="31">
        <v>42.612000000000002</v>
      </c>
      <c r="AC34" s="31">
        <f t="shared" si="0"/>
        <v>40.199000000000005</v>
      </c>
      <c r="AD34" s="31">
        <v>34.167999999999999</v>
      </c>
      <c r="AE34" s="31">
        <v>8.3000000000000004E-2</v>
      </c>
      <c r="AF34" s="31">
        <f t="shared" si="13"/>
        <v>31.837999999999997</v>
      </c>
      <c r="AG34" s="31">
        <f t="shared" si="14"/>
        <v>26.261071675356519</v>
      </c>
      <c r="AH34" s="31">
        <f t="shared" si="7"/>
        <v>79.200975148635521</v>
      </c>
      <c r="AI34" s="31">
        <f t="shared" si="8"/>
        <v>20.799024851364479</v>
      </c>
      <c r="AJ34" s="31">
        <f t="shared" si="9"/>
        <v>17.756127515609855</v>
      </c>
      <c r="AK34" s="31">
        <f t="shared" si="1"/>
        <v>64.509194258563625</v>
      </c>
      <c r="AL34" s="26">
        <v>42797</v>
      </c>
      <c r="AM34" s="26">
        <v>42799</v>
      </c>
      <c r="AN34" s="25"/>
      <c r="AO34" s="51">
        <f t="shared" si="2"/>
        <v>79.200975148635521</v>
      </c>
      <c r="AP34" s="51">
        <f t="shared" si="10"/>
        <v>20.799024851364479</v>
      </c>
      <c r="AQ34" s="51">
        <f t="shared" si="11"/>
        <v>17.756127515609855</v>
      </c>
      <c r="AR34" s="31">
        <f t="shared" si="3"/>
        <v>64.509194258563625</v>
      </c>
      <c r="AT34" s="51"/>
    </row>
    <row r="35" spans="1:51">
      <c r="A35" t="s">
        <v>38</v>
      </c>
      <c r="B35" t="s">
        <v>9</v>
      </c>
      <c r="C35" t="s">
        <v>13</v>
      </c>
      <c r="D35" s="8">
        <v>5</v>
      </c>
      <c r="E35">
        <v>20</v>
      </c>
      <c r="F35" t="s">
        <v>386</v>
      </c>
      <c r="G35" t="s">
        <v>778</v>
      </c>
      <c r="H35" s="36">
        <v>85.39</v>
      </c>
      <c r="I35" s="36">
        <v>2.7</v>
      </c>
      <c r="J35" s="42">
        <f t="shared" si="4"/>
        <v>82.69</v>
      </c>
      <c r="K35" s="44">
        <v>0.11</v>
      </c>
      <c r="L35" s="44">
        <v>0.68</v>
      </c>
      <c r="M35" s="44">
        <v>0</v>
      </c>
      <c r="N35" s="44">
        <v>3.35</v>
      </c>
      <c r="O35" s="44">
        <v>4.26</v>
      </c>
      <c r="P35" s="44">
        <v>0</v>
      </c>
      <c r="Q35" s="44">
        <f t="shared" si="5"/>
        <v>0.9099999999999997</v>
      </c>
      <c r="R35" s="44">
        <v>366.31</v>
      </c>
      <c r="S35" s="44">
        <v>285.94</v>
      </c>
      <c r="T35" s="36">
        <f t="shared" si="6"/>
        <v>80.37</v>
      </c>
      <c r="U35" s="36">
        <f t="shared" si="12"/>
        <v>1.2999999999999934</v>
      </c>
      <c r="V35" s="26">
        <v>42797</v>
      </c>
      <c r="X35" s="31">
        <v>5.452</v>
      </c>
      <c r="Y35" s="26">
        <v>42797</v>
      </c>
      <c r="AA35" s="31">
        <v>2.4060000000000001</v>
      </c>
      <c r="AB35" s="31">
        <v>39.945</v>
      </c>
      <c r="AC35" s="31">
        <f t="shared" si="0"/>
        <v>37.539000000000001</v>
      </c>
      <c r="AD35" s="31">
        <v>31.251000000000001</v>
      </c>
      <c r="AE35" s="31">
        <v>8.3000000000000004E-2</v>
      </c>
      <c r="AF35" s="31">
        <f t="shared" si="13"/>
        <v>28.928000000000001</v>
      </c>
      <c r="AG35" s="31">
        <f t="shared" si="14"/>
        <v>29.767007743362832</v>
      </c>
      <c r="AH35" s="31">
        <f t="shared" si="7"/>
        <v>77.061189696049439</v>
      </c>
      <c r="AI35" s="31">
        <f t="shared" si="8"/>
        <v>22.938810303950561</v>
      </c>
      <c r="AJ35" s="31">
        <f t="shared" si="9"/>
        <v>18.942869549002374</v>
      </c>
      <c r="AK35" s="31">
        <f t="shared" si="1"/>
        <v>61.934078158714939</v>
      </c>
      <c r="AL35" s="26">
        <v>42797</v>
      </c>
      <c r="AM35" s="26">
        <v>42799</v>
      </c>
      <c r="AN35" s="25"/>
      <c r="AO35" s="51">
        <f t="shared" si="2"/>
        <v>77.061189696049439</v>
      </c>
      <c r="AP35" s="51">
        <f t="shared" si="10"/>
        <v>22.938810303950561</v>
      </c>
      <c r="AQ35" s="51">
        <f t="shared" si="11"/>
        <v>18.942869549002374</v>
      </c>
      <c r="AR35" s="31">
        <f t="shared" si="3"/>
        <v>61.934078158714939</v>
      </c>
      <c r="AT35" s="51"/>
    </row>
    <row r="36" spans="1:51">
      <c r="A36" t="s">
        <v>39</v>
      </c>
      <c r="B36" t="s">
        <v>9</v>
      </c>
      <c r="C36" t="s">
        <v>13</v>
      </c>
      <c r="D36" s="8">
        <v>6</v>
      </c>
      <c r="E36">
        <v>5</v>
      </c>
      <c r="F36" t="s">
        <v>386</v>
      </c>
      <c r="G36" t="s">
        <v>778</v>
      </c>
      <c r="H36" s="36">
        <v>51.86</v>
      </c>
      <c r="I36" s="36">
        <v>1.89</v>
      </c>
      <c r="J36" s="42">
        <f t="shared" si="4"/>
        <v>49.97</v>
      </c>
      <c r="K36" s="44">
        <v>0</v>
      </c>
      <c r="L36" s="44">
        <v>0</v>
      </c>
      <c r="M36" s="44">
        <v>1.1499999999999999</v>
      </c>
      <c r="N36" s="44">
        <v>3.35</v>
      </c>
      <c r="O36" s="44">
        <v>4.05</v>
      </c>
      <c r="P36" s="44">
        <v>0</v>
      </c>
      <c r="Q36" s="44">
        <f t="shared" ref="Q36:Q67" si="15">(IF(N36&gt;0,N36-P$2,0))+(IF(O36&gt;0,O36-P$2,0))+(IF(P36&gt;0,P36-P$2,0))</f>
        <v>0.69999999999999973</v>
      </c>
      <c r="R36" s="44">
        <v>333.49</v>
      </c>
      <c r="S36" s="36">
        <v>286</v>
      </c>
      <c r="T36" s="36">
        <f t="shared" si="6"/>
        <v>47.490000000000009</v>
      </c>
      <c r="U36" s="36">
        <f t="shared" si="12"/>
        <v>0.62999999999999012</v>
      </c>
      <c r="V36" s="26">
        <v>42790</v>
      </c>
      <c r="X36" s="31">
        <v>6.7320000000000002</v>
      </c>
      <c r="Y36" s="26">
        <v>42790</v>
      </c>
      <c r="AA36" s="31">
        <v>2.3820000000000001</v>
      </c>
      <c r="AB36" s="31">
        <v>23.013000000000002</v>
      </c>
      <c r="AC36" s="31">
        <f t="shared" si="0"/>
        <v>20.631</v>
      </c>
      <c r="AD36" s="31">
        <v>14.836</v>
      </c>
      <c r="AE36" s="31">
        <v>8.6666666666666295E-2</v>
      </c>
      <c r="AF36" s="31">
        <f t="shared" si="13"/>
        <v>12.540666666666667</v>
      </c>
      <c r="AG36" s="31">
        <f t="shared" si="14"/>
        <v>64.512785072563929</v>
      </c>
      <c r="AH36" s="31">
        <f t="shared" si="7"/>
        <v>60.78554925435833</v>
      </c>
      <c r="AI36" s="31">
        <f t="shared" si="8"/>
        <v>39.21445074564167</v>
      </c>
      <c r="AJ36" s="31">
        <f t="shared" si="9"/>
        <v>19.595461037597143</v>
      </c>
      <c r="AK36" s="31">
        <f t="shared" ref="AK36:AK67" si="16">T36*AH36%</f>
        <v>28.867057340894775</v>
      </c>
      <c r="AL36" s="26">
        <v>42790</v>
      </c>
      <c r="AM36" s="26">
        <v>42792</v>
      </c>
      <c r="AN36" s="25"/>
      <c r="AO36" s="51">
        <f t="shared" ref="AO36:AO67" si="17">AH36</f>
        <v>60.78554925435833</v>
      </c>
      <c r="AP36" s="51">
        <f t="shared" si="10"/>
        <v>39.21445074564167</v>
      </c>
      <c r="AQ36" s="51">
        <f t="shared" si="11"/>
        <v>19.595461037597143</v>
      </c>
      <c r="AR36" s="31">
        <f t="shared" ref="AR36:AR67" si="18">T36*AO36%</f>
        <v>28.867057340894775</v>
      </c>
      <c r="AT36" s="51"/>
    </row>
    <row r="37" spans="1:51">
      <c r="A37" t="s">
        <v>40</v>
      </c>
      <c r="B37" t="s">
        <v>9</v>
      </c>
      <c r="C37" t="s">
        <v>13</v>
      </c>
      <c r="D37" s="8">
        <v>6</v>
      </c>
      <c r="E37">
        <v>20</v>
      </c>
      <c r="F37" t="s">
        <v>386</v>
      </c>
      <c r="G37" t="s">
        <v>778</v>
      </c>
      <c r="H37" s="36">
        <v>105.2</v>
      </c>
      <c r="I37" s="36">
        <v>1.88</v>
      </c>
      <c r="J37" s="42">
        <f t="shared" si="4"/>
        <v>103.32000000000001</v>
      </c>
      <c r="K37" s="44">
        <v>4.7699999999999996</v>
      </c>
      <c r="L37" s="44">
        <v>0</v>
      </c>
      <c r="M37" s="44">
        <v>0.25</v>
      </c>
      <c r="N37" s="44">
        <v>0</v>
      </c>
      <c r="O37" s="44">
        <v>4.09</v>
      </c>
      <c r="P37" s="44">
        <v>0</v>
      </c>
      <c r="Q37" s="44">
        <f t="shared" si="15"/>
        <v>0.73999999999999977</v>
      </c>
      <c r="R37" s="44">
        <v>383.08</v>
      </c>
      <c r="S37" s="36">
        <v>286</v>
      </c>
      <c r="T37" s="36">
        <f t="shared" si="6"/>
        <v>97.079999999999984</v>
      </c>
      <c r="U37" s="36">
        <f t="shared" si="12"/>
        <v>0.48000000000002352</v>
      </c>
      <c r="V37" s="26">
        <v>42790</v>
      </c>
      <c r="X37" s="31">
        <v>7.4370000000000003</v>
      </c>
      <c r="Y37" s="26">
        <v>42790</v>
      </c>
      <c r="AA37" s="31">
        <v>2.3820000000000001</v>
      </c>
      <c r="AB37" s="31">
        <v>47.308999999999997</v>
      </c>
      <c r="AC37" s="31">
        <f t="shared" si="0"/>
        <v>44.927</v>
      </c>
      <c r="AD37" s="31">
        <v>43.072000000000003</v>
      </c>
      <c r="AE37" s="31">
        <v>8.6666666666666295E-2</v>
      </c>
      <c r="AF37" s="31">
        <f t="shared" si="13"/>
        <v>40.776666666666671</v>
      </c>
      <c r="AG37" s="31">
        <f t="shared" si="14"/>
        <v>10.17820649064006</v>
      </c>
      <c r="AH37" s="31">
        <f t="shared" si="7"/>
        <v>90.762051030931673</v>
      </c>
      <c r="AI37" s="31">
        <f t="shared" si="8"/>
        <v>9.2379489690683272</v>
      </c>
      <c r="AJ37" s="31">
        <f t="shared" si="9"/>
        <v>9.1039987090168371</v>
      </c>
      <c r="AK37" s="31">
        <f t="shared" si="16"/>
        <v>88.111799140828452</v>
      </c>
      <c r="AL37" s="26">
        <v>42790</v>
      </c>
      <c r="AM37" s="26">
        <v>42792</v>
      </c>
      <c r="AN37" s="25"/>
      <c r="AO37" s="51">
        <f t="shared" si="17"/>
        <v>90.762051030931673</v>
      </c>
      <c r="AP37" s="51">
        <f t="shared" si="10"/>
        <v>9.2379489690683272</v>
      </c>
      <c r="AQ37" s="51">
        <f t="shared" si="11"/>
        <v>9.1039987090168371</v>
      </c>
      <c r="AR37" s="31">
        <f t="shared" si="18"/>
        <v>88.111799140828452</v>
      </c>
      <c r="AT37" s="51"/>
    </row>
    <row r="38" spans="1:51" s="4" customFormat="1">
      <c r="A38" s="4" t="s">
        <v>41</v>
      </c>
      <c r="B38" s="4" t="s">
        <v>9</v>
      </c>
      <c r="C38" s="4" t="s">
        <v>13</v>
      </c>
      <c r="D38" s="4">
        <v>6</v>
      </c>
      <c r="E38" s="4">
        <v>30</v>
      </c>
      <c r="F38" s="4" t="s">
        <v>386</v>
      </c>
      <c r="G38" t="s">
        <v>778</v>
      </c>
      <c r="H38" s="37">
        <v>150.99</v>
      </c>
      <c r="I38" s="37">
        <v>2.87</v>
      </c>
      <c r="J38" s="43">
        <f t="shared" si="4"/>
        <v>148.12</v>
      </c>
      <c r="K38" s="37">
        <v>7.45</v>
      </c>
      <c r="L38" s="37">
        <v>0</v>
      </c>
      <c r="M38" s="37">
        <v>0.13</v>
      </c>
      <c r="N38" s="37">
        <v>0</v>
      </c>
      <c r="O38" s="37">
        <v>3.83</v>
      </c>
      <c r="P38" s="37">
        <v>0</v>
      </c>
      <c r="Q38" s="37">
        <f t="shared" si="15"/>
        <v>0.48</v>
      </c>
      <c r="R38" s="37">
        <v>425.54</v>
      </c>
      <c r="S38" s="37">
        <v>286</v>
      </c>
      <c r="T38" s="37">
        <f t="shared" si="6"/>
        <v>139.54000000000002</v>
      </c>
      <c r="U38" s="36">
        <f t="shared" si="12"/>
        <v>0.51999999999998359</v>
      </c>
      <c r="V38" s="26">
        <v>42790</v>
      </c>
      <c r="W38" s="3"/>
      <c r="X38" s="32">
        <v>8.1669999999999998</v>
      </c>
      <c r="Y38" s="26">
        <v>42790</v>
      </c>
      <c r="Z38" s="5"/>
      <c r="AA38" s="32">
        <v>2.3839999999999999</v>
      </c>
      <c r="AB38" s="32">
        <v>66.834999999999994</v>
      </c>
      <c r="AC38" s="32">
        <f t="shared" si="0"/>
        <v>64.450999999999993</v>
      </c>
      <c r="AD38" s="32">
        <v>63.252000000000002</v>
      </c>
      <c r="AE38" s="31">
        <v>8.6666666666666295E-2</v>
      </c>
      <c r="AF38" s="31">
        <f t="shared" si="13"/>
        <v>60.954666666666668</v>
      </c>
      <c r="AG38" s="31">
        <f t="shared" si="14"/>
        <v>5.7359567766208635</v>
      </c>
      <c r="AH38" s="31">
        <f t="shared" si="7"/>
        <v>94.575207004804696</v>
      </c>
      <c r="AI38" s="31">
        <f t="shared" si="8"/>
        <v>5.424792995195304</v>
      </c>
      <c r="AJ38" s="31">
        <f t="shared" si="9"/>
        <v>7.6310563063412342</v>
      </c>
      <c r="AK38" s="31">
        <f t="shared" si="16"/>
        <v>131.9702438545045</v>
      </c>
      <c r="AL38" s="26">
        <v>42790</v>
      </c>
      <c r="AM38" s="26">
        <v>42792</v>
      </c>
      <c r="AN38" s="25"/>
      <c r="AO38" s="51">
        <f t="shared" si="17"/>
        <v>94.575207004804696</v>
      </c>
      <c r="AP38" s="51">
        <f t="shared" si="10"/>
        <v>5.424792995195304</v>
      </c>
      <c r="AQ38" s="51">
        <f t="shared" si="11"/>
        <v>7.6310563063412342</v>
      </c>
      <c r="AR38" s="31">
        <f t="shared" si="18"/>
        <v>131.9702438545045</v>
      </c>
      <c r="AS38" s="8"/>
      <c r="AT38" s="51"/>
      <c r="AU38" s="8"/>
      <c r="AV38" s="8"/>
      <c r="AW38" s="8"/>
      <c r="AX38" s="8"/>
      <c r="AY38" s="8"/>
    </row>
    <row r="39" spans="1:51">
      <c r="A39" s="6" t="s">
        <v>43</v>
      </c>
      <c r="B39" s="6" t="s">
        <v>196</v>
      </c>
      <c r="C39" t="s">
        <v>12</v>
      </c>
      <c r="D39" s="8">
        <v>1</v>
      </c>
      <c r="E39">
        <v>5</v>
      </c>
      <c r="F39" t="s">
        <v>376</v>
      </c>
      <c r="G39">
        <v>2016</v>
      </c>
      <c r="H39" s="36">
        <v>116.85</v>
      </c>
      <c r="I39" s="36">
        <v>2.65</v>
      </c>
      <c r="J39" s="42">
        <f t="shared" si="4"/>
        <v>114.19999999999999</v>
      </c>
      <c r="K39" s="38">
        <v>0</v>
      </c>
      <c r="L39" s="38">
        <v>0</v>
      </c>
      <c r="M39" s="38">
        <v>4.41</v>
      </c>
      <c r="N39" s="38">
        <v>3.52</v>
      </c>
      <c r="O39" s="38">
        <v>7.73</v>
      </c>
      <c r="P39" s="38">
        <v>0</v>
      </c>
      <c r="Q39" s="44">
        <f t="shared" si="15"/>
        <v>4.5500000000000007</v>
      </c>
      <c r="R39" s="44">
        <v>385.51</v>
      </c>
      <c r="S39" s="44">
        <v>286.20999999999998</v>
      </c>
      <c r="T39" s="36">
        <f t="shared" si="6"/>
        <v>99.300000000000011</v>
      </c>
      <c r="U39" s="36">
        <f t="shared" si="12"/>
        <v>5.9399999999999764</v>
      </c>
      <c r="V39" s="26">
        <v>42768</v>
      </c>
      <c r="X39" s="31" t="s">
        <v>469</v>
      </c>
      <c r="Y39" s="8" t="s">
        <v>469</v>
      </c>
      <c r="AA39" s="31">
        <v>2.363</v>
      </c>
      <c r="AB39" s="31">
        <v>51.448999999999998</v>
      </c>
      <c r="AC39" s="31">
        <f t="shared" si="0"/>
        <v>49.085999999999999</v>
      </c>
      <c r="AD39" s="31">
        <v>24.710999999999999</v>
      </c>
      <c r="AE39" s="31">
        <v>7.4833333333333599E-2</v>
      </c>
      <c r="AF39" s="31">
        <f t="shared" si="13"/>
        <v>22.422833333333333</v>
      </c>
      <c r="AG39" s="31">
        <f t="shared" si="14"/>
        <v>118.91078290730431</v>
      </c>
      <c r="AH39" s="31">
        <f t="shared" si="7"/>
        <v>45.680710046313273</v>
      </c>
      <c r="AI39" s="31">
        <f t="shared" si="8"/>
        <v>54.319289953686727</v>
      </c>
      <c r="AJ39" s="31">
        <f t="shared" si="9"/>
        <v>62.032629127110241</v>
      </c>
      <c r="AK39" s="31">
        <f t="shared" si="16"/>
        <v>45.360945075989086</v>
      </c>
      <c r="AL39" s="26">
        <v>42770</v>
      </c>
      <c r="AM39" s="26">
        <v>42772</v>
      </c>
      <c r="AN39" s="25"/>
      <c r="AO39" s="51">
        <f t="shared" si="17"/>
        <v>45.680710046313273</v>
      </c>
      <c r="AP39" s="51">
        <f t="shared" si="10"/>
        <v>54.319289953686727</v>
      </c>
      <c r="AQ39" s="51">
        <f t="shared" si="11"/>
        <v>62.032629127110241</v>
      </c>
      <c r="AR39" s="31">
        <f t="shared" si="18"/>
        <v>45.360945075989086</v>
      </c>
      <c r="AT39" s="51"/>
    </row>
    <row r="40" spans="1:51">
      <c r="A40" s="6" t="s">
        <v>44</v>
      </c>
      <c r="B40" s="6" t="s">
        <v>196</v>
      </c>
      <c r="C40" t="s">
        <v>12</v>
      </c>
      <c r="D40" s="8">
        <v>1</v>
      </c>
      <c r="E40">
        <v>10</v>
      </c>
      <c r="G40">
        <v>2016</v>
      </c>
      <c r="H40" s="36">
        <v>64.19</v>
      </c>
      <c r="I40" s="36">
        <v>2.64</v>
      </c>
      <c r="J40" s="42">
        <f t="shared" si="4"/>
        <v>61.55</v>
      </c>
      <c r="K40" s="38">
        <v>0</v>
      </c>
      <c r="L40" s="38">
        <v>0</v>
      </c>
      <c r="M40" s="44">
        <v>1.66</v>
      </c>
      <c r="N40" s="44">
        <v>3.46</v>
      </c>
      <c r="O40" s="44">
        <v>6.32</v>
      </c>
      <c r="P40" s="44">
        <v>0</v>
      </c>
      <c r="Q40" s="44">
        <f t="shared" si="15"/>
        <v>3.08</v>
      </c>
      <c r="R40" s="44">
        <v>339.48</v>
      </c>
      <c r="S40" s="44">
        <v>286.20999999999998</v>
      </c>
      <c r="T40" s="36">
        <f t="shared" si="6"/>
        <v>53.270000000000039</v>
      </c>
      <c r="U40" s="36">
        <f t="shared" si="12"/>
        <v>3.5399999999999583</v>
      </c>
      <c r="V40" s="26">
        <v>42768</v>
      </c>
      <c r="X40" s="31">
        <v>5.149</v>
      </c>
      <c r="Y40" s="26">
        <v>42769</v>
      </c>
      <c r="AA40" s="31">
        <v>2.3540000000000001</v>
      </c>
      <c r="AB40" s="31">
        <v>28.021000000000001</v>
      </c>
      <c r="AC40" s="31">
        <f t="shared" si="0"/>
        <v>25.667000000000002</v>
      </c>
      <c r="AD40" s="31">
        <v>14.127000000000001</v>
      </c>
      <c r="AE40" s="31">
        <v>7.4833333333333599E-2</v>
      </c>
      <c r="AF40" s="31">
        <f t="shared" si="13"/>
        <v>11.847833333333334</v>
      </c>
      <c r="AG40" s="31">
        <f t="shared" si="14"/>
        <v>116.63876658179414</v>
      </c>
      <c r="AH40" s="31">
        <f t="shared" si="7"/>
        <v>46.159790132595681</v>
      </c>
      <c r="AI40" s="31">
        <f t="shared" si="8"/>
        <v>53.840209867404319</v>
      </c>
      <c r="AJ40" s="31">
        <f t="shared" si="9"/>
        <v>33.138649173387357</v>
      </c>
      <c r="AK40" s="31">
        <f t="shared" si="16"/>
        <v>24.589320203633736</v>
      </c>
      <c r="AL40" s="26">
        <v>42770</v>
      </c>
      <c r="AM40" s="26">
        <v>42772</v>
      </c>
      <c r="AN40" s="25"/>
      <c r="AO40" s="51">
        <f t="shared" si="17"/>
        <v>46.159790132595681</v>
      </c>
      <c r="AP40" s="51">
        <f t="shared" si="10"/>
        <v>53.840209867404319</v>
      </c>
      <c r="AQ40" s="51">
        <f t="shared" si="11"/>
        <v>33.138649173387357</v>
      </c>
      <c r="AR40" s="31">
        <f t="shared" si="18"/>
        <v>24.589320203633736</v>
      </c>
      <c r="AT40" s="51"/>
    </row>
    <row r="41" spans="1:51">
      <c r="A41" s="6" t="s">
        <v>45</v>
      </c>
      <c r="B41" s="6" t="s">
        <v>196</v>
      </c>
      <c r="C41" t="s">
        <v>12</v>
      </c>
      <c r="D41" s="8">
        <v>1</v>
      </c>
      <c r="E41">
        <v>20</v>
      </c>
      <c r="G41">
        <v>2016</v>
      </c>
      <c r="H41" s="36">
        <v>94.59</v>
      </c>
      <c r="I41" s="36">
        <v>2.66</v>
      </c>
      <c r="J41" s="42">
        <f t="shared" si="4"/>
        <v>91.93</v>
      </c>
      <c r="K41" s="38">
        <v>0.6</v>
      </c>
      <c r="L41" s="38">
        <v>0</v>
      </c>
      <c r="M41" s="38">
        <v>1.61</v>
      </c>
      <c r="N41" s="38">
        <v>3.36</v>
      </c>
      <c r="O41" s="38">
        <v>4.22</v>
      </c>
      <c r="P41" s="38">
        <v>0</v>
      </c>
      <c r="Q41" s="44">
        <f t="shared" si="15"/>
        <v>0.87999999999999945</v>
      </c>
      <c r="R41" s="44">
        <v>373.7</v>
      </c>
      <c r="S41" s="44">
        <v>286.20999999999998</v>
      </c>
      <c r="T41" s="36">
        <f t="shared" si="6"/>
        <v>87.490000000000009</v>
      </c>
      <c r="U41" s="36">
        <f t="shared" si="12"/>
        <v>1.3499999999999983</v>
      </c>
      <c r="V41" s="26">
        <v>42768</v>
      </c>
      <c r="X41" s="31">
        <v>6.1459999999999999</v>
      </c>
      <c r="Y41" s="26">
        <v>42769</v>
      </c>
      <c r="AA41" s="31">
        <v>2.3849999999999998</v>
      </c>
      <c r="AB41" s="31">
        <v>45.415999999999997</v>
      </c>
      <c r="AC41" s="31">
        <f t="shared" si="0"/>
        <v>43.030999999999999</v>
      </c>
      <c r="AD41" s="31">
        <v>29.111000000000001</v>
      </c>
      <c r="AE41" s="31">
        <v>7.4833333333333599E-2</v>
      </c>
      <c r="AF41" s="31">
        <f t="shared" si="13"/>
        <v>26.800833333333333</v>
      </c>
      <c r="AG41" s="31">
        <f t="shared" si="14"/>
        <v>60.558440347004137</v>
      </c>
      <c r="AH41" s="31">
        <f t="shared" si="7"/>
        <v>62.282617957596464</v>
      </c>
      <c r="AI41" s="31">
        <f t="shared" si="8"/>
        <v>37.717382042403536</v>
      </c>
      <c r="AJ41" s="31">
        <f t="shared" si="9"/>
        <v>34.447285019327154</v>
      </c>
      <c r="AK41" s="31">
        <f t="shared" si="16"/>
        <v>54.491062451101151</v>
      </c>
      <c r="AL41" s="26">
        <v>42770</v>
      </c>
      <c r="AM41" s="26">
        <v>42772</v>
      </c>
      <c r="AN41" s="25"/>
      <c r="AO41" s="51">
        <f t="shared" si="17"/>
        <v>62.282617957596464</v>
      </c>
      <c r="AP41" s="51">
        <f t="shared" si="10"/>
        <v>37.717382042403536</v>
      </c>
      <c r="AQ41" s="51">
        <f t="shared" si="11"/>
        <v>34.447285019327154</v>
      </c>
      <c r="AR41" s="31">
        <f t="shared" si="18"/>
        <v>54.491062451101151</v>
      </c>
      <c r="AT41" s="51"/>
    </row>
    <row r="42" spans="1:51">
      <c r="A42" s="6" t="s">
        <v>46</v>
      </c>
      <c r="B42" s="6" t="s">
        <v>196</v>
      </c>
      <c r="C42" t="s">
        <v>12</v>
      </c>
      <c r="D42" s="8">
        <v>1</v>
      </c>
      <c r="E42">
        <v>30</v>
      </c>
      <c r="G42">
        <v>2016</v>
      </c>
      <c r="H42" s="36">
        <v>138.93</v>
      </c>
      <c r="I42" s="36">
        <v>2.77</v>
      </c>
      <c r="J42" s="42">
        <f t="shared" si="4"/>
        <v>136.16</v>
      </c>
      <c r="K42" s="38">
        <v>3.05</v>
      </c>
      <c r="L42" s="38">
        <v>0</v>
      </c>
      <c r="M42" s="38">
        <v>0.2</v>
      </c>
      <c r="N42" s="44">
        <v>0</v>
      </c>
      <c r="O42" s="44">
        <v>4.18</v>
      </c>
      <c r="P42" s="44">
        <v>0</v>
      </c>
      <c r="Q42" s="44">
        <f t="shared" si="15"/>
        <v>0.82999999999999963</v>
      </c>
      <c r="R42" s="44">
        <v>417.4</v>
      </c>
      <c r="S42" s="44">
        <v>286.20999999999998</v>
      </c>
      <c r="T42" s="36">
        <f t="shared" si="6"/>
        <v>131.19</v>
      </c>
      <c r="U42" s="36">
        <f t="shared" si="12"/>
        <v>0.88999999999999879</v>
      </c>
      <c r="V42" s="26">
        <v>42768</v>
      </c>
      <c r="X42" s="31">
        <v>6.157</v>
      </c>
      <c r="Y42" s="26">
        <v>42769</v>
      </c>
      <c r="AA42" s="31">
        <v>2.3940000000000001</v>
      </c>
      <c r="AB42" s="31">
        <v>65.679000000000002</v>
      </c>
      <c r="AC42" s="31">
        <f t="shared" si="0"/>
        <v>63.285000000000004</v>
      </c>
      <c r="AD42" s="31">
        <v>51.518000000000001</v>
      </c>
      <c r="AE42" s="31">
        <v>7.4833333333333599E-2</v>
      </c>
      <c r="AF42" s="31">
        <f t="shared" si="13"/>
        <v>49.198833333333333</v>
      </c>
      <c r="AG42" s="31">
        <f t="shared" si="14"/>
        <v>28.631098975924232</v>
      </c>
      <c r="AH42" s="31">
        <f t="shared" si="7"/>
        <v>77.741697611334956</v>
      </c>
      <c r="AI42" s="31">
        <f t="shared" si="8"/>
        <v>22.258302388665044</v>
      </c>
      <c r="AJ42" s="31">
        <f t="shared" si="9"/>
        <v>29.628026309552038</v>
      </c>
      <c r="AK42" s="31">
        <f t="shared" si="16"/>
        <v>101.98933309631033</v>
      </c>
      <c r="AL42" s="26">
        <v>42770</v>
      </c>
      <c r="AM42" s="26">
        <v>42772</v>
      </c>
      <c r="AN42" s="25"/>
      <c r="AO42" s="51">
        <f t="shared" si="17"/>
        <v>77.741697611334956</v>
      </c>
      <c r="AP42" s="51">
        <f t="shared" si="10"/>
        <v>22.258302388665044</v>
      </c>
      <c r="AQ42" s="51">
        <f t="shared" si="11"/>
        <v>29.628026309552038</v>
      </c>
      <c r="AR42" s="31">
        <f t="shared" si="18"/>
        <v>101.98933309631033</v>
      </c>
      <c r="AT42" s="51"/>
    </row>
    <row r="43" spans="1:51">
      <c r="A43" s="6" t="s">
        <v>47</v>
      </c>
      <c r="B43" s="6" t="s">
        <v>196</v>
      </c>
      <c r="C43" t="s">
        <v>12</v>
      </c>
      <c r="D43" s="8">
        <v>2</v>
      </c>
      <c r="E43">
        <v>5</v>
      </c>
      <c r="G43">
        <v>2016</v>
      </c>
      <c r="H43" s="36">
        <v>53.81</v>
      </c>
      <c r="I43" s="36">
        <v>2.71</v>
      </c>
      <c r="J43" s="42">
        <f t="shared" si="4"/>
        <v>51.1</v>
      </c>
      <c r="K43" s="44">
        <v>0.94</v>
      </c>
      <c r="L43" s="44">
        <v>0</v>
      </c>
      <c r="M43" s="44">
        <v>1.71</v>
      </c>
      <c r="N43" s="44">
        <v>3.47</v>
      </c>
      <c r="O43" s="44">
        <v>5.51</v>
      </c>
      <c r="P43" s="44">
        <v>0</v>
      </c>
      <c r="Q43" s="44">
        <f t="shared" si="15"/>
        <v>2.2799999999999998</v>
      </c>
      <c r="R43" s="44">
        <v>330.72</v>
      </c>
      <c r="S43" s="44">
        <v>285.94</v>
      </c>
      <c r="T43" s="36">
        <f t="shared" si="6"/>
        <v>44.78000000000003</v>
      </c>
      <c r="U43" s="36">
        <f t="shared" si="12"/>
        <v>1.3899999999999726</v>
      </c>
      <c r="V43" s="26">
        <v>42797</v>
      </c>
      <c r="X43" s="31">
        <v>4.8680000000000003</v>
      </c>
      <c r="Y43" s="26">
        <v>42797</v>
      </c>
      <c r="AA43" s="31">
        <v>2.4159999999999999</v>
      </c>
      <c r="AB43" s="31">
        <v>19.32</v>
      </c>
      <c r="AC43" s="31">
        <f t="shared" si="0"/>
        <v>16.904</v>
      </c>
      <c r="AD43" s="31">
        <v>13.638</v>
      </c>
      <c r="AE43" s="31">
        <v>8.3000000000000004E-2</v>
      </c>
      <c r="AF43" s="31">
        <f t="shared" si="13"/>
        <v>11.305</v>
      </c>
      <c r="AG43" s="31">
        <f t="shared" si="14"/>
        <v>49.526758071649709</v>
      </c>
      <c r="AH43" s="31">
        <f t="shared" si="7"/>
        <v>66.877662091812581</v>
      </c>
      <c r="AI43" s="31">
        <f t="shared" si="8"/>
        <v>33.122337908187419</v>
      </c>
      <c r="AJ43" s="31">
        <f t="shared" si="9"/>
        <v>16.614164694746812</v>
      </c>
      <c r="AK43" s="31">
        <f t="shared" si="16"/>
        <v>29.947817084713694</v>
      </c>
      <c r="AL43" s="26">
        <v>42797</v>
      </c>
      <c r="AM43" s="26">
        <v>42799</v>
      </c>
      <c r="AN43" s="25"/>
      <c r="AO43" s="51">
        <f t="shared" si="17"/>
        <v>66.877662091812581</v>
      </c>
      <c r="AP43" s="51">
        <f t="shared" si="10"/>
        <v>33.122337908187419</v>
      </c>
      <c r="AQ43" s="51">
        <f t="shared" si="11"/>
        <v>16.614164694746812</v>
      </c>
      <c r="AR43" s="31">
        <f t="shared" si="18"/>
        <v>29.947817084713694</v>
      </c>
      <c r="AT43" s="51"/>
    </row>
    <row r="44" spans="1:51">
      <c r="A44" s="6" t="s">
        <v>48</v>
      </c>
      <c r="B44" s="6" t="s">
        <v>196</v>
      </c>
      <c r="C44" t="s">
        <v>12</v>
      </c>
      <c r="D44" s="8">
        <v>2</v>
      </c>
      <c r="E44">
        <v>10</v>
      </c>
      <c r="G44">
        <v>2016</v>
      </c>
      <c r="H44" s="36">
        <v>76.010000000000005</v>
      </c>
      <c r="I44" s="36">
        <v>2.73</v>
      </c>
      <c r="J44" s="42">
        <f t="shared" si="4"/>
        <v>73.28</v>
      </c>
      <c r="K44" s="44">
        <v>2.37</v>
      </c>
      <c r="L44" s="44">
        <v>0</v>
      </c>
      <c r="M44" s="44">
        <v>5.14</v>
      </c>
      <c r="N44" s="44">
        <v>0</v>
      </c>
      <c r="O44" s="44">
        <v>3.83</v>
      </c>
      <c r="P44" s="44">
        <v>0</v>
      </c>
      <c r="Q44" s="44">
        <f t="shared" si="15"/>
        <v>0.48</v>
      </c>
      <c r="R44" s="44">
        <v>350.08</v>
      </c>
      <c r="S44" s="44">
        <v>285.94</v>
      </c>
      <c r="T44" s="36">
        <f t="shared" si="6"/>
        <v>64.139999999999986</v>
      </c>
      <c r="U44" s="36">
        <f t="shared" si="12"/>
        <v>1.1500000000000146</v>
      </c>
      <c r="V44" s="26">
        <v>42797</v>
      </c>
      <c r="W44" s="3" t="s">
        <v>690</v>
      </c>
      <c r="X44" s="31">
        <v>6.5019999999999998</v>
      </c>
      <c r="Y44" s="26">
        <v>42797</v>
      </c>
      <c r="AA44" s="31">
        <v>2.423</v>
      </c>
      <c r="AB44" s="31">
        <v>31.622</v>
      </c>
      <c r="AC44" s="31">
        <f t="shared" si="0"/>
        <v>29.198999999999998</v>
      </c>
      <c r="AD44" s="31">
        <v>21.565999999999999</v>
      </c>
      <c r="AE44" s="31">
        <v>8.3000000000000004E-2</v>
      </c>
      <c r="AF44" s="31">
        <f t="shared" si="13"/>
        <v>19.225999999999999</v>
      </c>
      <c r="AG44" s="31">
        <f t="shared" si="14"/>
        <v>51.87246437116405</v>
      </c>
      <c r="AH44" s="31">
        <f t="shared" si="7"/>
        <v>65.844720709613341</v>
      </c>
      <c r="AI44" s="31">
        <f t="shared" si="8"/>
        <v>34.155279290386659</v>
      </c>
      <c r="AJ44" s="31">
        <f t="shared" si="9"/>
        <v>24.219508544813177</v>
      </c>
      <c r="AK44" s="31">
        <f t="shared" si="16"/>
        <v>42.232803863145982</v>
      </c>
      <c r="AL44" s="26">
        <v>42797</v>
      </c>
      <c r="AM44" s="26">
        <v>42799</v>
      </c>
      <c r="AN44" s="25"/>
      <c r="AO44" s="51">
        <f t="shared" si="17"/>
        <v>65.844720709613341</v>
      </c>
      <c r="AP44" s="51">
        <f t="shared" si="10"/>
        <v>34.155279290386659</v>
      </c>
      <c r="AQ44" s="51">
        <f t="shared" si="11"/>
        <v>24.219508544813177</v>
      </c>
      <c r="AR44" s="31">
        <f t="shared" si="18"/>
        <v>42.232803863145982</v>
      </c>
      <c r="AT44" s="51"/>
    </row>
    <row r="45" spans="1:51">
      <c r="A45" s="6" t="s">
        <v>49</v>
      </c>
      <c r="B45" s="6" t="s">
        <v>196</v>
      </c>
      <c r="C45" t="s">
        <v>12</v>
      </c>
      <c r="D45" s="8">
        <v>2</v>
      </c>
      <c r="E45">
        <v>20</v>
      </c>
      <c r="G45">
        <v>2016</v>
      </c>
      <c r="H45" s="36">
        <v>85.29</v>
      </c>
      <c r="I45" s="36">
        <v>2.71</v>
      </c>
      <c r="J45" s="42">
        <f t="shared" si="4"/>
        <v>82.580000000000013</v>
      </c>
      <c r="K45" s="44">
        <v>1.95</v>
      </c>
      <c r="L45" s="44">
        <v>0</v>
      </c>
      <c r="M45" s="44">
        <v>3.24</v>
      </c>
      <c r="N45" s="44">
        <v>0</v>
      </c>
      <c r="O45" s="44">
        <v>3.78</v>
      </c>
      <c r="P45" s="44">
        <v>0</v>
      </c>
      <c r="Q45" s="44">
        <f t="shared" si="15"/>
        <v>0.42999999999999972</v>
      </c>
      <c r="R45" s="44">
        <v>361.89</v>
      </c>
      <c r="S45" s="44">
        <v>285.94</v>
      </c>
      <c r="T45" s="36">
        <f t="shared" si="6"/>
        <v>75.949999999999989</v>
      </c>
      <c r="U45" s="36">
        <f t="shared" si="12"/>
        <v>1.010000000000024</v>
      </c>
      <c r="V45" s="26">
        <v>42797</v>
      </c>
      <c r="X45" s="31">
        <v>6.4669999999999996</v>
      </c>
      <c r="Y45" s="26">
        <v>42797</v>
      </c>
      <c r="AA45" s="31">
        <v>2.3730000000000002</v>
      </c>
      <c r="AB45" s="31">
        <v>37.735999999999997</v>
      </c>
      <c r="AC45" s="31">
        <f t="shared" si="0"/>
        <v>35.363</v>
      </c>
      <c r="AD45" s="31">
        <v>24.498000000000001</v>
      </c>
      <c r="AE45" s="31">
        <v>8.3000000000000004E-2</v>
      </c>
      <c r="AF45" s="31">
        <f t="shared" si="13"/>
        <v>22.207999999999998</v>
      </c>
      <c r="AG45" s="31">
        <f t="shared" si="14"/>
        <v>59.235410662824215</v>
      </c>
      <c r="AH45" s="31">
        <f t="shared" si="7"/>
        <v>62.800101801317751</v>
      </c>
      <c r="AI45" s="31">
        <f t="shared" si="8"/>
        <v>37.199898198682249</v>
      </c>
      <c r="AJ45" s="31">
        <f t="shared" si="9"/>
        <v>29.994277917597501</v>
      </c>
      <c r="AK45" s="31">
        <f t="shared" si="16"/>
        <v>47.696677318100825</v>
      </c>
      <c r="AL45" s="26">
        <v>42797</v>
      </c>
      <c r="AM45" s="26">
        <v>42799</v>
      </c>
      <c r="AN45" s="25"/>
      <c r="AO45" s="51">
        <f t="shared" si="17"/>
        <v>62.800101801317751</v>
      </c>
      <c r="AP45" s="51">
        <f t="shared" si="10"/>
        <v>37.199898198682249</v>
      </c>
      <c r="AQ45" s="51">
        <f t="shared" si="11"/>
        <v>29.994277917597501</v>
      </c>
      <c r="AR45" s="31">
        <f t="shared" si="18"/>
        <v>47.696677318100825</v>
      </c>
      <c r="AT45" s="51"/>
    </row>
    <row r="46" spans="1:51">
      <c r="A46" s="6" t="s">
        <v>50</v>
      </c>
      <c r="B46" s="6" t="s">
        <v>196</v>
      </c>
      <c r="C46" t="s">
        <v>12</v>
      </c>
      <c r="D46" s="8">
        <v>2</v>
      </c>
      <c r="E46">
        <v>30</v>
      </c>
      <c r="G46">
        <v>2016</v>
      </c>
      <c r="H46" s="36">
        <v>91.61</v>
      </c>
      <c r="I46" s="36">
        <v>2.69</v>
      </c>
      <c r="J46" s="42">
        <f t="shared" si="4"/>
        <v>88.92</v>
      </c>
      <c r="K46" s="44">
        <v>2.94</v>
      </c>
      <c r="L46" s="44">
        <v>0</v>
      </c>
      <c r="M46" s="44">
        <v>2.74</v>
      </c>
      <c r="N46" s="44">
        <v>0</v>
      </c>
      <c r="O46" s="44">
        <v>3.58</v>
      </c>
      <c r="P46" s="44">
        <v>0</v>
      </c>
      <c r="Q46" s="44">
        <f t="shared" si="15"/>
        <v>0.22999999999999998</v>
      </c>
      <c r="R46" s="44">
        <v>367.9</v>
      </c>
      <c r="S46" s="44">
        <v>285.94</v>
      </c>
      <c r="T46" s="36">
        <f t="shared" si="6"/>
        <v>81.95999999999998</v>
      </c>
      <c r="U46" s="36">
        <f t="shared" si="12"/>
        <v>1.0500000000000216</v>
      </c>
      <c r="V46" s="26">
        <v>42797</v>
      </c>
      <c r="X46" s="31">
        <v>6.5350000000000001</v>
      </c>
      <c r="Y46" s="26">
        <v>42797</v>
      </c>
      <c r="AA46" s="31">
        <v>2.4329999999999998</v>
      </c>
      <c r="AB46" s="31">
        <v>43.024999999999999</v>
      </c>
      <c r="AC46" s="31">
        <f t="shared" si="0"/>
        <v>40.591999999999999</v>
      </c>
      <c r="AD46" s="31">
        <v>27.972000000000001</v>
      </c>
      <c r="AE46" s="31">
        <v>8.3000000000000004E-2</v>
      </c>
      <c r="AF46" s="31">
        <f t="shared" si="13"/>
        <v>25.622</v>
      </c>
      <c r="AG46" s="31">
        <f t="shared" si="14"/>
        <v>58.426352353446255</v>
      </c>
      <c r="AH46" s="31">
        <f t="shared" si="7"/>
        <v>63.12081198265669</v>
      </c>
      <c r="AI46" s="31">
        <f t="shared" si="8"/>
        <v>36.87918801734331</v>
      </c>
      <c r="AJ46" s="31">
        <f t="shared" si="9"/>
        <v>31.708725857311777</v>
      </c>
      <c r="AK46" s="31">
        <f t="shared" si="16"/>
        <v>51.73381750098541</v>
      </c>
      <c r="AL46" s="26">
        <v>42797</v>
      </c>
      <c r="AM46" s="26">
        <v>42799</v>
      </c>
      <c r="AN46" s="25"/>
      <c r="AO46" s="51">
        <f t="shared" si="17"/>
        <v>63.12081198265669</v>
      </c>
      <c r="AP46" s="51">
        <f t="shared" si="10"/>
        <v>36.87918801734331</v>
      </c>
      <c r="AQ46" s="51">
        <f t="shared" si="11"/>
        <v>31.708725857311777</v>
      </c>
      <c r="AR46" s="31">
        <f t="shared" si="18"/>
        <v>51.73381750098541</v>
      </c>
      <c r="AT46" s="51"/>
    </row>
    <row r="47" spans="1:51">
      <c r="A47" s="6" t="s">
        <v>51</v>
      </c>
      <c r="B47" s="6" t="s">
        <v>196</v>
      </c>
      <c r="C47" t="s">
        <v>12</v>
      </c>
      <c r="D47" s="8">
        <v>3</v>
      </c>
      <c r="E47">
        <v>5</v>
      </c>
      <c r="F47" t="s">
        <v>376</v>
      </c>
      <c r="G47">
        <v>2016</v>
      </c>
      <c r="H47" s="36">
        <v>38.1</v>
      </c>
      <c r="I47" s="36">
        <v>2.78</v>
      </c>
      <c r="J47" s="42">
        <f t="shared" si="4"/>
        <v>35.32</v>
      </c>
      <c r="K47" s="44">
        <v>0</v>
      </c>
      <c r="L47" s="44">
        <v>0</v>
      </c>
      <c r="M47" s="44">
        <v>1.35</v>
      </c>
      <c r="N47" s="44">
        <v>0</v>
      </c>
      <c r="O47" s="44">
        <f>32.46-P2</f>
        <v>29.11</v>
      </c>
      <c r="P47" s="44">
        <v>0</v>
      </c>
      <c r="Q47" s="44">
        <f t="shared" si="15"/>
        <v>25.759999999999998</v>
      </c>
      <c r="R47" s="44">
        <v>292.10000000000002</v>
      </c>
      <c r="S47" s="44">
        <v>285.89</v>
      </c>
      <c r="T47" s="36">
        <f t="shared" si="6"/>
        <v>6.2100000000000364</v>
      </c>
      <c r="U47" s="36">
        <f t="shared" si="12"/>
        <v>1.9999999999999658</v>
      </c>
      <c r="V47" s="26">
        <v>42821</v>
      </c>
      <c r="X47" s="31" t="s">
        <v>469</v>
      </c>
      <c r="Y47" s="8" t="s">
        <v>469</v>
      </c>
      <c r="AA47" s="31">
        <v>2.4169999999999998</v>
      </c>
      <c r="AB47" s="31">
        <v>8.3970000000000002</v>
      </c>
      <c r="AC47" s="31">
        <f t="shared" si="0"/>
        <v>5.98</v>
      </c>
      <c r="AD47" s="31">
        <v>5.7880000000000003</v>
      </c>
      <c r="AE47" s="31">
        <v>8.9999999999999858E-2</v>
      </c>
      <c r="AF47" s="31">
        <f t="shared" si="13"/>
        <v>3.4610000000000003</v>
      </c>
      <c r="AG47" s="31">
        <f t="shared" si="14"/>
        <v>72.78243282288355</v>
      </c>
      <c r="AH47" s="31">
        <f t="shared" si="7"/>
        <v>57.876254180602004</v>
      </c>
      <c r="AI47" s="31">
        <f t="shared" si="8"/>
        <v>42.123745819397996</v>
      </c>
      <c r="AJ47" s="31">
        <f t="shared" si="9"/>
        <v>14.878107023411372</v>
      </c>
      <c r="AK47" s="31">
        <f t="shared" si="16"/>
        <v>3.5941153846154057</v>
      </c>
      <c r="AL47" s="26">
        <v>42823</v>
      </c>
      <c r="AM47" s="26">
        <v>42825</v>
      </c>
      <c r="AN47" s="25"/>
      <c r="AO47" s="51">
        <f t="shared" si="17"/>
        <v>57.876254180602004</v>
      </c>
      <c r="AP47" s="51">
        <f t="shared" si="10"/>
        <v>42.123745819397996</v>
      </c>
      <c r="AQ47" s="51">
        <f t="shared" si="11"/>
        <v>14.878107023411372</v>
      </c>
      <c r="AR47" s="31">
        <f t="shared" si="18"/>
        <v>3.5941153846154057</v>
      </c>
      <c r="AT47" s="51"/>
    </row>
    <row r="48" spans="1:51">
      <c r="A48" s="6" t="s">
        <v>52</v>
      </c>
      <c r="B48" s="6" t="s">
        <v>196</v>
      </c>
      <c r="C48" t="s">
        <v>12</v>
      </c>
      <c r="D48" s="8">
        <v>4</v>
      </c>
      <c r="E48">
        <v>5</v>
      </c>
      <c r="G48">
        <v>2016</v>
      </c>
      <c r="H48" s="36">
        <v>75.36</v>
      </c>
      <c r="I48" s="36">
        <v>4.3099999999999996</v>
      </c>
      <c r="J48" s="42">
        <f t="shared" si="4"/>
        <v>71.05</v>
      </c>
      <c r="K48" s="38">
        <v>0</v>
      </c>
      <c r="L48" s="44">
        <v>0.2</v>
      </c>
      <c r="M48" s="38">
        <v>8.9700000000000006</v>
      </c>
      <c r="N48" s="44">
        <v>0</v>
      </c>
      <c r="O48" s="44">
        <v>14.76</v>
      </c>
      <c r="P48" s="44">
        <v>0</v>
      </c>
      <c r="Q48" s="44">
        <f t="shared" si="15"/>
        <v>11.41</v>
      </c>
      <c r="R48" s="44">
        <v>331.04</v>
      </c>
      <c r="S48" s="44">
        <v>286.31</v>
      </c>
      <c r="T48" s="36">
        <f t="shared" si="6"/>
        <v>44.730000000000018</v>
      </c>
      <c r="U48" s="36">
        <f t="shared" si="12"/>
        <v>5.9399999999999782</v>
      </c>
      <c r="V48" s="26">
        <v>42765</v>
      </c>
      <c r="W48" s="25"/>
      <c r="X48" s="31">
        <v>6.1449999999999996</v>
      </c>
      <c r="Y48" s="26">
        <v>42765</v>
      </c>
      <c r="AA48" s="31">
        <v>2.4569999999999999</v>
      </c>
      <c r="AB48" s="31">
        <v>19.881</v>
      </c>
      <c r="AC48" s="31">
        <f t="shared" si="0"/>
        <v>17.423999999999999</v>
      </c>
      <c r="AD48" s="31">
        <v>7.266</v>
      </c>
      <c r="AE48" s="31">
        <v>8.3000000000000004E-2</v>
      </c>
      <c r="AF48" s="31">
        <f t="shared" si="13"/>
        <v>4.8920000000000003</v>
      </c>
      <c r="AG48" s="31">
        <f t="shared" si="14"/>
        <v>256.17334423548652</v>
      </c>
      <c r="AH48" s="31">
        <f t="shared" si="7"/>
        <v>28.076216712580354</v>
      </c>
      <c r="AI48" s="31">
        <f t="shared" si="8"/>
        <v>71.923783287419639</v>
      </c>
      <c r="AJ48" s="31">
        <f t="shared" si="9"/>
        <v>51.101848025711654</v>
      </c>
      <c r="AK48" s="31">
        <f t="shared" si="16"/>
        <v>12.558491735537197</v>
      </c>
      <c r="AL48" s="26">
        <v>42765</v>
      </c>
      <c r="AM48" s="26">
        <v>42767</v>
      </c>
      <c r="AN48" s="25" t="s">
        <v>714</v>
      </c>
      <c r="AO48" s="51">
        <f t="shared" si="17"/>
        <v>28.076216712580354</v>
      </c>
      <c r="AP48" s="51">
        <f t="shared" si="10"/>
        <v>71.923783287419639</v>
      </c>
      <c r="AQ48" s="51">
        <f t="shared" si="11"/>
        <v>51.101848025711654</v>
      </c>
      <c r="AR48" s="31">
        <f t="shared" si="18"/>
        <v>12.558491735537197</v>
      </c>
      <c r="AT48" s="51"/>
    </row>
    <row r="49" spans="1:46">
      <c r="A49" s="6" t="s">
        <v>53</v>
      </c>
      <c r="B49" s="6" t="s">
        <v>196</v>
      </c>
      <c r="C49" t="s">
        <v>12</v>
      </c>
      <c r="D49" s="8">
        <v>4</v>
      </c>
      <c r="E49">
        <v>10</v>
      </c>
      <c r="G49">
        <v>2016</v>
      </c>
      <c r="H49" s="36">
        <v>114.74</v>
      </c>
      <c r="I49" s="36">
        <v>4.21</v>
      </c>
      <c r="J49" s="42">
        <f t="shared" si="4"/>
        <v>110.53</v>
      </c>
      <c r="K49" s="38">
        <f>7.73+3.51</f>
        <v>11.24</v>
      </c>
      <c r="L49" s="38">
        <v>0.13</v>
      </c>
      <c r="M49" s="38">
        <v>0.7</v>
      </c>
      <c r="N49" s="44">
        <v>0</v>
      </c>
      <c r="O49" s="44">
        <v>4.78</v>
      </c>
      <c r="P49" s="44">
        <v>0</v>
      </c>
      <c r="Q49" s="44">
        <f t="shared" si="15"/>
        <v>1.4300000000000002</v>
      </c>
      <c r="R49" s="44">
        <v>377.97</v>
      </c>
      <c r="S49" s="44">
        <v>287.06</v>
      </c>
      <c r="T49" s="36">
        <f t="shared" si="6"/>
        <v>90.910000000000025</v>
      </c>
      <c r="U49" s="36">
        <f t="shared" si="12"/>
        <v>6.2499999999999769</v>
      </c>
      <c r="V49" s="26">
        <v>42765</v>
      </c>
      <c r="W49" s="25"/>
      <c r="X49" s="31">
        <v>6.6630000000000003</v>
      </c>
      <c r="Y49" s="26">
        <v>42765</v>
      </c>
      <c r="AA49" s="31">
        <v>2.4209999999999998</v>
      </c>
      <c r="AB49" s="31">
        <v>42.576999999999998</v>
      </c>
      <c r="AC49" s="31">
        <f t="shared" si="0"/>
        <v>40.155999999999999</v>
      </c>
      <c r="AD49" s="31">
        <v>28.478000000000002</v>
      </c>
      <c r="AE49" s="31">
        <v>8.3000000000000004E-2</v>
      </c>
      <c r="AF49" s="31">
        <f t="shared" si="13"/>
        <v>26.14</v>
      </c>
      <c r="AG49" s="31">
        <f t="shared" si="14"/>
        <v>53.618974751338939</v>
      </c>
      <c r="AH49" s="31">
        <f t="shared" si="7"/>
        <v>65.09612511206295</v>
      </c>
      <c r="AI49" s="31">
        <f t="shared" si="8"/>
        <v>34.90387488793705</v>
      </c>
      <c r="AJ49" s="31">
        <f t="shared" si="9"/>
        <v>34.656057376232702</v>
      </c>
      <c r="AK49" s="31">
        <f t="shared" si="16"/>
        <v>59.178887339376445</v>
      </c>
      <c r="AL49" s="26">
        <v>42765</v>
      </c>
      <c r="AM49" s="26">
        <v>42767</v>
      </c>
      <c r="AN49" s="25" t="s">
        <v>714</v>
      </c>
      <c r="AO49" s="51">
        <f t="shared" si="17"/>
        <v>65.09612511206295</v>
      </c>
      <c r="AP49" s="51">
        <f t="shared" si="10"/>
        <v>34.90387488793705</v>
      </c>
      <c r="AQ49" s="51">
        <f t="shared" si="11"/>
        <v>34.656057376232702</v>
      </c>
      <c r="AR49" s="31">
        <f t="shared" si="18"/>
        <v>59.178887339376445</v>
      </c>
      <c r="AT49" s="51"/>
    </row>
    <row r="50" spans="1:46">
      <c r="A50" s="6" t="s">
        <v>54</v>
      </c>
      <c r="B50" s="6" t="s">
        <v>196</v>
      </c>
      <c r="C50" t="s">
        <v>12</v>
      </c>
      <c r="D50" s="8">
        <v>4</v>
      </c>
      <c r="E50">
        <v>20</v>
      </c>
      <c r="G50">
        <v>2016</v>
      </c>
      <c r="H50" s="36">
        <v>140.59</v>
      </c>
      <c r="I50" s="36">
        <v>5.07</v>
      </c>
      <c r="J50" s="42">
        <f t="shared" si="4"/>
        <v>135.52000000000001</v>
      </c>
      <c r="K50" s="38">
        <v>7.66</v>
      </c>
      <c r="L50" s="44">
        <v>0</v>
      </c>
      <c r="M50" s="44">
        <v>0.87</v>
      </c>
      <c r="N50" s="44">
        <v>0</v>
      </c>
      <c r="O50" s="44">
        <v>3.83</v>
      </c>
      <c r="P50" s="44">
        <v>0</v>
      </c>
      <c r="Q50" s="44">
        <f t="shared" si="15"/>
        <v>0.48</v>
      </c>
      <c r="R50" s="44">
        <v>407.37</v>
      </c>
      <c r="S50" s="44">
        <v>286.89999999999998</v>
      </c>
      <c r="T50" s="36">
        <f t="shared" si="6"/>
        <v>120.47000000000003</v>
      </c>
      <c r="U50" s="36">
        <f t="shared" si="12"/>
        <v>6.0399999999999832</v>
      </c>
      <c r="V50" s="26">
        <v>42765</v>
      </c>
      <c r="W50" s="25"/>
      <c r="X50" s="31">
        <v>6.6029999999999998</v>
      </c>
      <c r="Y50" s="26">
        <v>42765</v>
      </c>
      <c r="AA50" s="31">
        <v>2.4420000000000002</v>
      </c>
      <c r="AB50" s="31">
        <v>62.582999999999998</v>
      </c>
      <c r="AC50" s="31">
        <f t="shared" si="0"/>
        <v>60.140999999999998</v>
      </c>
      <c r="AD50" s="31">
        <v>41.262999999999998</v>
      </c>
      <c r="AE50" s="31">
        <v>8.3000000000000004E-2</v>
      </c>
      <c r="AF50" s="31">
        <f t="shared" si="13"/>
        <v>38.903999999999996</v>
      </c>
      <c r="AG50" s="31">
        <f t="shared" si="14"/>
        <v>54.588217149907479</v>
      </c>
      <c r="AH50" s="31">
        <f t="shared" si="7"/>
        <v>64.687983239387435</v>
      </c>
      <c r="AI50" s="31">
        <f t="shared" si="8"/>
        <v>35.312016760612565</v>
      </c>
      <c r="AJ50" s="31">
        <f t="shared" si="9"/>
        <v>45.149944630119229</v>
      </c>
      <c r="AK50" s="31">
        <f t="shared" si="16"/>
        <v>77.929613408490056</v>
      </c>
      <c r="AL50" s="26">
        <v>42765</v>
      </c>
      <c r="AM50" s="26">
        <v>42767</v>
      </c>
      <c r="AN50" s="25" t="s">
        <v>714</v>
      </c>
      <c r="AO50" s="51">
        <f t="shared" si="17"/>
        <v>64.687983239387435</v>
      </c>
      <c r="AP50" s="51">
        <f t="shared" si="10"/>
        <v>35.312016760612565</v>
      </c>
      <c r="AQ50" s="51">
        <f t="shared" si="11"/>
        <v>45.149944630119229</v>
      </c>
      <c r="AR50" s="31">
        <f t="shared" si="18"/>
        <v>77.929613408490056</v>
      </c>
      <c r="AT50" s="51"/>
    </row>
    <row r="51" spans="1:46">
      <c r="A51" s="6" t="s">
        <v>55</v>
      </c>
      <c r="B51" s="6" t="s">
        <v>196</v>
      </c>
      <c r="C51" t="s">
        <v>12</v>
      </c>
      <c r="D51" s="8">
        <v>5</v>
      </c>
      <c r="E51">
        <v>5</v>
      </c>
      <c r="G51">
        <v>2016</v>
      </c>
      <c r="H51" s="36">
        <v>60.37</v>
      </c>
      <c r="I51" s="36">
        <v>4.01</v>
      </c>
      <c r="J51" s="42">
        <f t="shared" si="4"/>
        <v>56.36</v>
      </c>
      <c r="K51" s="44">
        <v>0</v>
      </c>
      <c r="L51" s="44">
        <v>0</v>
      </c>
      <c r="M51" s="44">
        <v>7.98</v>
      </c>
      <c r="N51" s="44">
        <v>3.47</v>
      </c>
      <c r="O51" s="44">
        <v>19.43</v>
      </c>
      <c r="P51" s="44">
        <v>3.41</v>
      </c>
      <c r="Q51" s="44">
        <f t="shared" si="15"/>
        <v>16.259999999999998</v>
      </c>
      <c r="R51" s="44">
        <v>315.52</v>
      </c>
      <c r="S51" s="44">
        <v>286.10000000000002</v>
      </c>
      <c r="T51" s="36">
        <f t="shared" si="6"/>
        <v>29.419999999999959</v>
      </c>
      <c r="U51" s="36">
        <f t="shared" si="12"/>
        <v>2.7000000000000419</v>
      </c>
      <c r="V51" s="26">
        <v>42783</v>
      </c>
      <c r="X51" s="31" t="s">
        <v>469</v>
      </c>
      <c r="Y51" s="26">
        <v>42783</v>
      </c>
      <c r="Z51" s="3" t="s">
        <v>659</v>
      </c>
      <c r="AA51" s="31">
        <v>2.4390000000000001</v>
      </c>
      <c r="AB51" s="31">
        <v>16.841000000000001</v>
      </c>
      <c r="AC51" s="31">
        <f t="shared" si="0"/>
        <v>14.402000000000001</v>
      </c>
      <c r="AD51" s="31">
        <v>7.0119999999999996</v>
      </c>
      <c r="AE51" s="31">
        <v>8.4333333333333371E-2</v>
      </c>
      <c r="AF51" s="31">
        <f t="shared" si="13"/>
        <v>4.6573333333333329</v>
      </c>
      <c r="AG51" s="31">
        <f t="shared" si="14"/>
        <v>209.23275121671918</v>
      </c>
      <c r="AH51" s="31">
        <f t="shared" si="7"/>
        <v>32.338101189649585</v>
      </c>
      <c r="AI51" s="31">
        <f t="shared" si="8"/>
        <v>67.661898810350408</v>
      </c>
      <c r="AJ51" s="31">
        <f t="shared" si="9"/>
        <v>38.134246169513489</v>
      </c>
      <c r="AK51" s="31">
        <f t="shared" si="16"/>
        <v>9.5138693699948949</v>
      </c>
      <c r="AL51" s="26">
        <v>42787</v>
      </c>
      <c r="AM51" s="26">
        <v>42789</v>
      </c>
      <c r="AN51" s="25"/>
      <c r="AO51" s="51">
        <f t="shared" si="17"/>
        <v>32.338101189649585</v>
      </c>
      <c r="AP51" s="51">
        <f t="shared" si="10"/>
        <v>67.661898810350408</v>
      </c>
      <c r="AQ51" s="51">
        <f t="shared" si="11"/>
        <v>38.134246169513489</v>
      </c>
      <c r="AR51" s="31">
        <f t="shared" si="18"/>
        <v>9.5138693699948949</v>
      </c>
      <c r="AT51" s="51"/>
    </row>
    <row r="52" spans="1:46">
      <c r="A52" s="6" t="s">
        <v>56</v>
      </c>
      <c r="B52" s="6" t="s">
        <v>196</v>
      </c>
      <c r="C52" t="s">
        <v>12</v>
      </c>
      <c r="D52" s="8">
        <v>5</v>
      </c>
      <c r="E52">
        <v>10</v>
      </c>
      <c r="G52">
        <v>2016</v>
      </c>
      <c r="H52" s="36">
        <v>82.37</v>
      </c>
      <c r="I52" s="36">
        <v>4.24</v>
      </c>
      <c r="J52" s="42">
        <f t="shared" si="4"/>
        <v>78.13000000000001</v>
      </c>
      <c r="K52" s="44">
        <v>0</v>
      </c>
      <c r="L52" s="44">
        <v>0</v>
      </c>
      <c r="M52" s="44">
        <v>3.31</v>
      </c>
      <c r="N52" s="44">
        <v>0</v>
      </c>
      <c r="O52" s="44">
        <v>11.83</v>
      </c>
      <c r="P52" s="44">
        <v>0</v>
      </c>
      <c r="Q52" s="44">
        <f t="shared" si="15"/>
        <v>8.48</v>
      </c>
      <c r="R52" s="44">
        <v>349.26</v>
      </c>
      <c r="S52" s="44">
        <v>286.10000000000002</v>
      </c>
      <c r="T52" s="36">
        <f t="shared" si="6"/>
        <v>63.159999999999968</v>
      </c>
      <c r="U52" s="36">
        <f t="shared" si="12"/>
        <v>3.180000000000041</v>
      </c>
      <c r="V52" s="26">
        <v>42783</v>
      </c>
      <c r="X52" s="31">
        <v>6.1379999999999999</v>
      </c>
      <c r="Y52" s="26">
        <v>42783</v>
      </c>
      <c r="AA52" s="31">
        <v>2.4140000000000001</v>
      </c>
      <c r="AB52" s="31">
        <v>32.006999999999998</v>
      </c>
      <c r="AC52" s="31">
        <f t="shared" ref="AC52:AC83" si="19">AB52-AA52</f>
        <v>29.592999999999996</v>
      </c>
      <c r="AD52" s="31">
        <v>13.167999999999999</v>
      </c>
      <c r="AE52" s="31">
        <v>8.4333333333333371E-2</v>
      </c>
      <c r="AF52" s="31">
        <f t="shared" si="13"/>
        <v>10.838333333333333</v>
      </c>
      <c r="AG52" s="31">
        <f t="shared" si="14"/>
        <v>173.04013532215899</v>
      </c>
      <c r="AH52" s="31">
        <f t="shared" si="7"/>
        <v>36.624652226314787</v>
      </c>
      <c r="AI52" s="31">
        <f t="shared" si="8"/>
        <v>63.375347773685213</v>
      </c>
      <c r="AJ52" s="31">
        <f t="shared" si="9"/>
        <v>49.515159215580262</v>
      </c>
      <c r="AK52" s="31">
        <f t="shared" si="16"/>
        <v>23.132130346140407</v>
      </c>
      <c r="AL52" s="26">
        <v>42787</v>
      </c>
      <c r="AM52" s="26">
        <v>42789</v>
      </c>
      <c r="AN52" s="25"/>
      <c r="AO52" s="51">
        <f t="shared" si="17"/>
        <v>36.624652226314787</v>
      </c>
      <c r="AP52" s="51">
        <f t="shared" si="10"/>
        <v>63.375347773685213</v>
      </c>
      <c r="AQ52" s="51">
        <f t="shared" si="11"/>
        <v>49.515159215580262</v>
      </c>
      <c r="AR52" s="31">
        <f t="shared" si="18"/>
        <v>23.132130346140407</v>
      </c>
      <c r="AT52" s="51"/>
    </row>
    <row r="53" spans="1:46">
      <c r="A53" s="6" t="s">
        <v>57</v>
      </c>
      <c r="B53" s="6" t="s">
        <v>196</v>
      </c>
      <c r="C53" t="s">
        <v>12</v>
      </c>
      <c r="D53" s="8">
        <v>6</v>
      </c>
      <c r="E53">
        <v>5</v>
      </c>
      <c r="G53">
        <v>2016</v>
      </c>
      <c r="H53" s="36">
        <v>57.11</v>
      </c>
      <c r="I53" s="38">
        <v>3.76</v>
      </c>
      <c r="J53" s="42">
        <f t="shared" si="4"/>
        <v>53.35</v>
      </c>
      <c r="K53" s="38">
        <v>0.23</v>
      </c>
      <c r="L53" s="38">
        <v>0.47</v>
      </c>
      <c r="M53" s="38">
        <v>2.12</v>
      </c>
      <c r="N53" s="44">
        <v>3.44</v>
      </c>
      <c r="O53" s="44">
        <v>8.73</v>
      </c>
      <c r="P53" s="44">
        <v>3.42</v>
      </c>
      <c r="Q53" s="44">
        <f t="shared" si="15"/>
        <v>5.5400000000000009</v>
      </c>
      <c r="R53" s="44">
        <v>328.82</v>
      </c>
      <c r="S53" s="44">
        <v>286.31</v>
      </c>
      <c r="T53" s="36">
        <f t="shared" si="6"/>
        <v>42.509999999999991</v>
      </c>
      <c r="U53" s="36">
        <f t="shared" si="12"/>
        <v>2.9500000000000095</v>
      </c>
      <c r="V53" s="26">
        <v>42765</v>
      </c>
      <c r="W53" s="25"/>
      <c r="X53" s="31">
        <v>5.43</v>
      </c>
      <c r="Y53" s="26">
        <v>42765</v>
      </c>
      <c r="Z53" s="3" t="s">
        <v>473</v>
      </c>
      <c r="AA53" s="31">
        <v>2.4319999999999999</v>
      </c>
      <c r="AB53" s="31">
        <v>18.375</v>
      </c>
      <c r="AC53" s="31">
        <f t="shared" si="19"/>
        <v>15.943</v>
      </c>
      <c r="AD53" s="31">
        <v>10.672000000000001</v>
      </c>
      <c r="AE53" s="31">
        <v>8.3000000000000004E-2</v>
      </c>
      <c r="AF53" s="31">
        <f t="shared" si="13"/>
        <v>8.3230000000000004</v>
      </c>
      <c r="AG53" s="31">
        <f t="shared" si="14"/>
        <v>91.553526372702137</v>
      </c>
      <c r="AH53" s="31">
        <f t="shared" si="7"/>
        <v>52.204729348303339</v>
      </c>
      <c r="AI53" s="31">
        <f t="shared" si="8"/>
        <v>47.795270651696661</v>
      </c>
      <c r="AJ53" s="31">
        <f t="shared" si="9"/>
        <v>25.388847770181268</v>
      </c>
      <c r="AK53" s="31">
        <f t="shared" si="16"/>
        <v>22.192230445963745</v>
      </c>
      <c r="AL53" s="26">
        <v>42765</v>
      </c>
      <c r="AM53" s="26">
        <v>42767</v>
      </c>
      <c r="AN53" s="25" t="s">
        <v>714</v>
      </c>
      <c r="AO53" s="51">
        <f t="shared" si="17"/>
        <v>52.204729348303339</v>
      </c>
      <c r="AP53" s="51">
        <f t="shared" si="10"/>
        <v>47.795270651696661</v>
      </c>
      <c r="AQ53" s="51">
        <f t="shared" si="11"/>
        <v>25.388847770181268</v>
      </c>
      <c r="AR53" s="31">
        <f t="shared" si="18"/>
        <v>22.192230445963745</v>
      </c>
      <c r="AT53" s="51"/>
    </row>
    <row r="54" spans="1:46">
      <c r="A54" s="6" t="s">
        <v>58</v>
      </c>
      <c r="B54" s="6" t="s">
        <v>196</v>
      </c>
      <c r="C54" t="s">
        <v>12</v>
      </c>
      <c r="D54" s="8">
        <v>6</v>
      </c>
      <c r="E54">
        <v>10</v>
      </c>
      <c r="G54">
        <v>2016</v>
      </c>
      <c r="H54" s="36">
        <v>45.95</v>
      </c>
      <c r="I54" s="38">
        <v>3.7</v>
      </c>
      <c r="J54" s="42">
        <f t="shared" si="4"/>
        <v>42.25</v>
      </c>
      <c r="K54" s="38">
        <v>0.12</v>
      </c>
      <c r="L54" s="38">
        <v>0</v>
      </c>
      <c r="M54" s="38">
        <v>3.01</v>
      </c>
      <c r="N54" s="44">
        <v>3.37</v>
      </c>
      <c r="O54" s="44">
        <v>4.66</v>
      </c>
      <c r="P54" s="44">
        <v>0</v>
      </c>
      <c r="Q54" s="44">
        <f t="shared" si="15"/>
        <v>1.33</v>
      </c>
      <c r="R54" s="44">
        <v>321.7</v>
      </c>
      <c r="S54" s="44">
        <v>286.31</v>
      </c>
      <c r="T54" s="36">
        <f t="shared" si="6"/>
        <v>35.389999999999986</v>
      </c>
      <c r="U54" s="36">
        <f t="shared" si="12"/>
        <v>2.4000000000000137</v>
      </c>
      <c r="V54" s="26">
        <v>42765</v>
      </c>
      <c r="W54" s="25"/>
      <c r="X54" s="31">
        <v>5.3840000000000003</v>
      </c>
      <c r="Y54" s="26">
        <v>42765</v>
      </c>
      <c r="AA54" s="31">
        <v>2.4159999999999999</v>
      </c>
      <c r="AB54" s="31">
        <v>15.622</v>
      </c>
      <c r="AC54" s="31">
        <f t="shared" si="19"/>
        <v>13.206</v>
      </c>
      <c r="AD54" s="31">
        <v>9.3420000000000005</v>
      </c>
      <c r="AE54" s="31">
        <v>8.3000000000000004E-2</v>
      </c>
      <c r="AF54" s="31">
        <f t="shared" si="13"/>
        <v>7.0090000000000003</v>
      </c>
      <c r="AG54" s="31">
        <f t="shared" si="14"/>
        <v>88.414895134826637</v>
      </c>
      <c r="AH54" s="31">
        <f t="shared" si="7"/>
        <v>53.074360139330615</v>
      </c>
      <c r="AI54" s="31">
        <f t="shared" si="8"/>
        <v>46.925639860669385</v>
      </c>
      <c r="AJ54" s="31">
        <f t="shared" si="9"/>
        <v>19.769772073300011</v>
      </c>
      <c r="AK54" s="31">
        <f t="shared" si="16"/>
        <v>18.783016053309098</v>
      </c>
      <c r="AL54" s="26">
        <v>42765</v>
      </c>
      <c r="AM54" s="26">
        <v>42767</v>
      </c>
      <c r="AN54" s="25" t="s">
        <v>714</v>
      </c>
      <c r="AO54" s="51">
        <f t="shared" si="17"/>
        <v>53.074360139330615</v>
      </c>
      <c r="AP54" s="51">
        <f t="shared" si="10"/>
        <v>46.925639860669385</v>
      </c>
      <c r="AQ54" s="51">
        <f t="shared" si="11"/>
        <v>19.769772073300011</v>
      </c>
      <c r="AR54" s="31">
        <f t="shared" si="18"/>
        <v>18.783016053309098</v>
      </c>
      <c r="AT54" s="51"/>
    </row>
    <row r="55" spans="1:46">
      <c r="A55" s="6" t="s">
        <v>59</v>
      </c>
      <c r="B55" s="6" t="s">
        <v>196</v>
      </c>
      <c r="C55" t="s">
        <v>12</v>
      </c>
      <c r="D55" s="8">
        <v>6</v>
      </c>
      <c r="E55">
        <v>20</v>
      </c>
      <c r="G55">
        <v>2016</v>
      </c>
      <c r="H55" s="36">
        <v>59.52</v>
      </c>
      <c r="I55" s="38">
        <v>3.79</v>
      </c>
      <c r="J55" s="42">
        <f t="shared" si="4"/>
        <v>55.730000000000004</v>
      </c>
      <c r="K55" s="38">
        <v>0.22</v>
      </c>
      <c r="L55" s="38">
        <v>0</v>
      </c>
      <c r="M55" s="38">
        <v>2.21</v>
      </c>
      <c r="N55" s="38">
        <v>0</v>
      </c>
      <c r="O55" s="38">
        <v>4.38</v>
      </c>
      <c r="P55" s="38">
        <v>0</v>
      </c>
      <c r="Q55" s="44">
        <f t="shared" si="15"/>
        <v>1.0299999999999998</v>
      </c>
      <c r="R55" s="44">
        <v>337.15</v>
      </c>
      <c r="S55" s="44">
        <v>286.31</v>
      </c>
      <c r="T55" s="36">
        <f t="shared" si="6"/>
        <v>50.839999999999975</v>
      </c>
      <c r="U55" s="36">
        <f t="shared" si="12"/>
        <v>1.4300000000000292</v>
      </c>
      <c r="V55" s="26">
        <v>42765</v>
      </c>
      <c r="W55" s="25"/>
      <c r="X55" s="31">
        <v>5.2050000000000001</v>
      </c>
      <c r="Y55" s="26">
        <v>42765</v>
      </c>
      <c r="AA55" s="31">
        <v>2.4319999999999999</v>
      </c>
      <c r="AB55" s="31">
        <v>22.123000000000001</v>
      </c>
      <c r="AC55" s="31">
        <f t="shared" si="19"/>
        <v>19.691000000000003</v>
      </c>
      <c r="AD55" s="31">
        <v>14.314</v>
      </c>
      <c r="AE55" s="31">
        <v>8.3000000000000004E-2</v>
      </c>
      <c r="AF55" s="31">
        <f t="shared" si="13"/>
        <v>11.965</v>
      </c>
      <c r="AG55" s="31">
        <f t="shared" si="14"/>
        <v>64.571667363142524</v>
      </c>
      <c r="AH55" s="31">
        <f t="shared" si="7"/>
        <v>60.763800721141628</v>
      </c>
      <c r="AI55" s="31">
        <f t="shared" si="8"/>
        <v>39.236199278858372</v>
      </c>
      <c r="AJ55" s="31">
        <f t="shared" si="9"/>
        <v>21.780014219694284</v>
      </c>
      <c r="AK55" s="31">
        <f t="shared" si="16"/>
        <v>30.892316286628386</v>
      </c>
      <c r="AL55" s="26">
        <v>42765</v>
      </c>
      <c r="AM55" s="26">
        <v>42767</v>
      </c>
      <c r="AN55" s="25" t="s">
        <v>714</v>
      </c>
      <c r="AO55" s="51">
        <f t="shared" si="17"/>
        <v>60.763800721141628</v>
      </c>
      <c r="AP55" s="51">
        <f t="shared" si="10"/>
        <v>39.236199278858372</v>
      </c>
      <c r="AQ55" s="51">
        <f t="shared" si="11"/>
        <v>21.780014219694284</v>
      </c>
      <c r="AR55" s="31">
        <f t="shared" si="18"/>
        <v>30.892316286628386</v>
      </c>
      <c r="AT55" s="51"/>
    </row>
    <row r="56" spans="1:46">
      <c r="A56" s="6" t="s">
        <v>60</v>
      </c>
      <c r="B56" s="6" t="s">
        <v>196</v>
      </c>
      <c r="C56" t="s">
        <v>13</v>
      </c>
      <c r="D56" s="8">
        <v>1</v>
      </c>
      <c r="E56">
        <v>5</v>
      </c>
      <c r="G56">
        <v>2016</v>
      </c>
      <c r="H56" s="36">
        <v>112.59</v>
      </c>
      <c r="I56" s="36">
        <v>4.59</v>
      </c>
      <c r="J56" s="42">
        <f t="shared" si="4"/>
        <v>108</v>
      </c>
      <c r="K56" s="38">
        <v>0</v>
      </c>
      <c r="L56" s="38">
        <v>0.88</v>
      </c>
      <c r="M56" s="38">
        <v>0.52</v>
      </c>
      <c r="N56" s="38">
        <v>3.77</v>
      </c>
      <c r="O56" s="38">
        <v>12.54</v>
      </c>
      <c r="P56" s="38">
        <v>3.99</v>
      </c>
      <c r="Q56" s="44">
        <f t="shared" si="15"/>
        <v>10.25</v>
      </c>
      <c r="R56" s="44">
        <v>378.46</v>
      </c>
      <c r="S56" s="44">
        <v>286.17</v>
      </c>
      <c r="T56" s="36">
        <f t="shared" si="6"/>
        <v>92.289999999999964</v>
      </c>
      <c r="U56" s="36">
        <f t="shared" si="12"/>
        <v>4.9400000000000368</v>
      </c>
      <c r="V56" s="26">
        <v>42768</v>
      </c>
      <c r="X56" s="31">
        <v>5.9359999999999999</v>
      </c>
      <c r="Y56" s="26">
        <v>42769</v>
      </c>
      <c r="AA56" s="31">
        <v>2.427</v>
      </c>
      <c r="AB56" s="31">
        <v>43.753999999999998</v>
      </c>
      <c r="AC56" s="31">
        <f t="shared" si="19"/>
        <v>41.326999999999998</v>
      </c>
      <c r="AD56" s="31">
        <v>26.585999999999999</v>
      </c>
      <c r="AE56" s="31">
        <v>7.4833333333333599E-2</v>
      </c>
      <c r="AF56" s="31">
        <f t="shared" si="13"/>
        <v>24.233833333333333</v>
      </c>
      <c r="AG56" s="31">
        <f t="shared" si="14"/>
        <v>70.534308095431314</v>
      </c>
      <c r="AH56" s="31">
        <f t="shared" si="7"/>
        <v>58.639226978327329</v>
      </c>
      <c r="AI56" s="31">
        <f t="shared" si="8"/>
        <v>41.360773021672671</v>
      </c>
      <c r="AJ56" s="31">
        <f t="shared" si="9"/>
        <v>44.669634863406486</v>
      </c>
      <c r="AK56" s="31">
        <f t="shared" si="16"/>
        <v>54.118142578298269</v>
      </c>
      <c r="AL56" s="26">
        <v>42770</v>
      </c>
      <c r="AM56" s="26">
        <v>42772</v>
      </c>
      <c r="AN56" s="25"/>
      <c r="AO56" s="51">
        <f t="shared" si="17"/>
        <v>58.639226978327329</v>
      </c>
      <c r="AP56" s="51">
        <f t="shared" si="10"/>
        <v>41.360773021672671</v>
      </c>
      <c r="AQ56" s="51">
        <f t="shared" si="11"/>
        <v>44.669634863406486</v>
      </c>
      <c r="AR56" s="31">
        <f t="shared" si="18"/>
        <v>54.118142578298269</v>
      </c>
      <c r="AT56" s="51"/>
    </row>
    <row r="57" spans="1:46">
      <c r="A57" s="6" t="s">
        <v>61</v>
      </c>
      <c r="B57" s="6" t="s">
        <v>196</v>
      </c>
      <c r="C57" t="s">
        <v>13</v>
      </c>
      <c r="D57" s="8">
        <v>1</v>
      </c>
      <c r="E57">
        <v>10</v>
      </c>
      <c r="G57">
        <v>2016</v>
      </c>
      <c r="H57" s="36">
        <v>116.54</v>
      </c>
      <c r="I57" s="36">
        <v>4.6100000000000003</v>
      </c>
      <c r="J57" s="42">
        <f t="shared" si="4"/>
        <v>111.93</v>
      </c>
      <c r="K57" s="38">
        <v>0.64</v>
      </c>
      <c r="L57" s="38">
        <v>0</v>
      </c>
      <c r="M57" s="38">
        <v>0.34</v>
      </c>
      <c r="N57" s="38">
        <v>3.64</v>
      </c>
      <c r="O57" s="38">
        <v>7.33</v>
      </c>
      <c r="P57" s="38">
        <v>0</v>
      </c>
      <c r="Q57" s="44">
        <f t="shared" si="15"/>
        <v>4.2699999999999996</v>
      </c>
      <c r="R57" s="44">
        <v>388.35</v>
      </c>
      <c r="S57" s="44">
        <v>286.17</v>
      </c>
      <c r="T57" s="36">
        <f t="shared" si="6"/>
        <v>102.18</v>
      </c>
      <c r="U57" s="36">
        <f t="shared" si="12"/>
        <v>4.5000000000000009</v>
      </c>
      <c r="V57" s="26">
        <v>42768</v>
      </c>
      <c r="X57" s="31">
        <v>6.1840000000000002</v>
      </c>
      <c r="Y57" s="26">
        <v>42769</v>
      </c>
      <c r="AA57" s="31">
        <v>2.427</v>
      </c>
      <c r="AB57" s="31">
        <v>44.372</v>
      </c>
      <c r="AC57" s="31">
        <f t="shared" si="19"/>
        <v>41.945</v>
      </c>
      <c r="AD57" s="31">
        <v>34.081000000000003</v>
      </c>
      <c r="AE57" s="31">
        <v>7.4833333333333599E-2</v>
      </c>
      <c r="AF57" s="31">
        <f t="shared" si="13"/>
        <v>31.728833333333338</v>
      </c>
      <c r="AG57" s="31">
        <f t="shared" si="14"/>
        <v>32.198368466116499</v>
      </c>
      <c r="AH57" s="31">
        <f t="shared" si="7"/>
        <v>75.643898756307877</v>
      </c>
      <c r="AI57" s="31">
        <f t="shared" si="8"/>
        <v>24.356101243692123</v>
      </c>
      <c r="AJ57" s="31">
        <f t="shared" si="9"/>
        <v>27.105905074104964</v>
      </c>
      <c r="AK57" s="31">
        <f t="shared" si="16"/>
        <v>77.292935749195394</v>
      </c>
      <c r="AL57" s="26">
        <v>42770</v>
      </c>
      <c r="AM57" s="26">
        <v>42772</v>
      </c>
      <c r="AN57" s="25"/>
      <c r="AO57" s="51">
        <f t="shared" si="17"/>
        <v>75.643898756307877</v>
      </c>
      <c r="AP57" s="51">
        <f t="shared" si="10"/>
        <v>24.356101243692123</v>
      </c>
      <c r="AQ57" s="51">
        <f t="shared" si="11"/>
        <v>27.105905074104964</v>
      </c>
      <c r="AR57" s="31">
        <f t="shared" si="18"/>
        <v>77.292935749195394</v>
      </c>
      <c r="AT57" s="51"/>
    </row>
    <row r="58" spans="1:46">
      <c r="A58" s="6" t="s">
        <v>62</v>
      </c>
      <c r="B58" s="6" t="s">
        <v>196</v>
      </c>
      <c r="C58" t="s">
        <v>13</v>
      </c>
      <c r="D58" s="8">
        <v>1</v>
      </c>
      <c r="E58">
        <v>20</v>
      </c>
      <c r="G58">
        <v>2016</v>
      </c>
      <c r="H58" s="36">
        <v>143.31</v>
      </c>
      <c r="I58" s="36">
        <v>4.37</v>
      </c>
      <c r="J58" s="42">
        <f t="shared" si="4"/>
        <v>138.94</v>
      </c>
      <c r="K58" s="38">
        <v>3.17</v>
      </c>
      <c r="L58" s="38">
        <v>3.79</v>
      </c>
      <c r="M58" s="38">
        <v>0.45</v>
      </c>
      <c r="N58" s="38">
        <v>3.4</v>
      </c>
      <c r="O58" s="38">
        <v>5.94</v>
      </c>
      <c r="P58" s="38">
        <v>0</v>
      </c>
      <c r="Q58" s="44">
        <f t="shared" si="15"/>
        <v>2.64</v>
      </c>
      <c r="R58" s="44">
        <v>410.85</v>
      </c>
      <c r="S58" s="44">
        <v>286.14</v>
      </c>
      <c r="T58" s="36">
        <f t="shared" si="6"/>
        <v>124.71000000000004</v>
      </c>
      <c r="U58" s="36">
        <f t="shared" si="12"/>
        <v>7.9699999999999616</v>
      </c>
      <c r="V58" s="26">
        <v>42768</v>
      </c>
      <c r="X58" s="31">
        <v>6.23</v>
      </c>
      <c r="Y58" s="26">
        <v>42769</v>
      </c>
      <c r="AA58" s="31">
        <v>2.4020000000000001</v>
      </c>
      <c r="AB58" s="31">
        <v>57.680999999999997</v>
      </c>
      <c r="AC58" s="31">
        <f t="shared" si="19"/>
        <v>55.278999999999996</v>
      </c>
      <c r="AD58" s="31">
        <v>46.542000000000002</v>
      </c>
      <c r="AE58" s="31">
        <v>7.4833333333333599E-2</v>
      </c>
      <c r="AF58" s="31">
        <f t="shared" si="13"/>
        <v>44.214833333333331</v>
      </c>
      <c r="AG58" s="31">
        <f t="shared" si="14"/>
        <v>25.023653449634171</v>
      </c>
      <c r="AH58" s="31">
        <f t="shared" si="7"/>
        <v>79.984864656258864</v>
      </c>
      <c r="AI58" s="31">
        <f t="shared" si="8"/>
        <v>20.015135343741136</v>
      </c>
      <c r="AJ58" s="31">
        <f t="shared" si="9"/>
        <v>27.174549256197341</v>
      </c>
      <c r="AK58" s="31">
        <f t="shared" si="16"/>
        <v>99.749124712820461</v>
      </c>
      <c r="AL58" s="26">
        <v>42770</v>
      </c>
      <c r="AM58" s="26">
        <v>42772</v>
      </c>
      <c r="AN58" s="25"/>
      <c r="AO58" s="51">
        <f t="shared" si="17"/>
        <v>79.984864656258864</v>
      </c>
      <c r="AP58" s="51">
        <f t="shared" si="10"/>
        <v>20.015135343741136</v>
      </c>
      <c r="AQ58" s="51">
        <f t="shared" si="11"/>
        <v>27.174549256197341</v>
      </c>
      <c r="AR58" s="31">
        <f t="shared" si="18"/>
        <v>99.749124712820461</v>
      </c>
      <c r="AT58" s="51"/>
    </row>
    <row r="59" spans="1:46">
      <c r="A59" s="6" t="s">
        <v>63</v>
      </c>
      <c r="B59" s="6" t="s">
        <v>196</v>
      </c>
      <c r="C59" t="s">
        <v>13</v>
      </c>
      <c r="D59" s="8">
        <v>2</v>
      </c>
      <c r="E59">
        <v>5</v>
      </c>
      <c r="G59">
        <v>2016</v>
      </c>
      <c r="H59" s="36">
        <v>48</v>
      </c>
      <c r="I59" s="36">
        <v>3.75</v>
      </c>
      <c r="J59" s="42">
        <f t="shared" si="4"/>
        <v>44.25</v>
      </c>
      <c r="K59" s="38">
        <v>0</v>
      </c>
      <c r="L59" s="44">
        <v>0.62</v>
      </c>
      <c r="M59" s="38">
        <v>5.64</v>
      </c>
      <c r="N59" s="44">
        <v>3.41</v>
      </c>
      <c r="O59" s="44">
        <v>19.920000000000002</v>
      </c>
      <c r="P59" s="44">
        <v>3.4</v>
      </c>
      <c r="Q59" s="44">
        <f t="shared" si="15"/>
        <v>16.68</v>
      </c>
      <c r="R59" s="44">
        <v>304.49</v>
      </c>
      <c r="S59" s="44">
        <v>286.31</v>
      </c>
      <c r="T59" s="36">
        <f t="shared" si="6"/>
        <v>18.180000000000007</v>
      </c>
      <c r="U59" s="36">
        <f t="shared" si="12"/>
        <v>3.7499999999999938</v>
      </c>
      <c r="V59" s="26">
        <v>42765</v>
      </c>
      <c r="W59" s="25"/>
      <c r="X59" s="78" t="s">
        <v>469</v>
      </c>
      <c r="Y59" s="26">
        <v>42765</v>
      </c>
      <c r="AA59" s="31">
        <v>2.395</v>
      </c>
      <c r="AB59" s="31">
        <v>15.132</v>
      </c>
      <c r="AC59" s="31">
        <f t="shared" si="19"/>
        <v>12.737</v>
      </c>
      <c r="AD59" s="31">
        <v>5.9889999999999999</v>
      </c>
      <c r="AE59" s="31">
        <v>8.3000000000000004E-2</v>
      </c>
      <c r="AF59" s="31">
        <f t="shared" si="13"/>
        <v>3.677</v>
      </c>
      <c r="AG59" s="31">
        <f t="shared" si="14"/>
        <v>246.3965189012782</v>
      </c>
      <c r="AH59" s="31">
        <f t="shared" si="7"/>
        <v>28.868650388631544</v>
      </c>
      <c r="AI59" s="31">
        <f t="shared" si="8"/>
        <v>71.131349611368449</v>
      </c>
      <c r="AJ59" s="31">
        <f t="shared" si="9"/>
        <v>31.475622203030539</v>
      </c>
      <c r="AK59" s="31">
        <f t="shared" si="16"/>
        <v>5.2483206406532172</v>
      </c>
      <c r="AL59" s="26">
        <v>42765</v>
      </c>
      <c r="AM59" s="26">
        <v>42767</v>
      </c>
      <c r="AN59" s="25" t="s">
        <v>714</v>
      </c>
      <c r="AO59" s="51">
        <f t="shared" si="17"/>
        <v>28.868650388631544</v>
      </c>
      <c r="AP59" s="51">
        <f t="shared" si="10"/>
        <v>71.131349611368449</v>
      </c>
      <c r="AQ59" s="51">
        <f t="shared" si="11"/>
        <v>31.475622203030539</v>
      </c>
      <c r="AR59" s="31">
        <f t="shared" si="18"/>
        <v>5.2483206406532172</v>
      </c>
      <c r="AT59" s="51"/>
    </row>
    <row r="60" spans="1:46">
      <c r="A60" s="6" t="s">
        <v>64</v>
      </c>
      <c r="B60" s="6" t="s">
        <v>196</v>
      </c>
      <c r="C60" t="s">
        <v>13</v>
      </c>
      <c r="D60" s="8">
        <v>2</v>
      </c>
      <c r="E60">
        <v>10</v>
      </c>
      <c r="G60">
        <v>2016</v>
      </c>
      <c r="H60" s="36">
        <v>97.02</v>
      </c>
      <c r="I60" s="36">
        <v>3.91</v>
      </c>
      <c r="J60" s="42">
        <f t="shared" si="4"/>
        <v>93.11</v>
      </c>
      <c r="K60" s="38">
        <v>0.68</v>
      </c>
      <c r="L60" s="38">
        <v>0.22</v>
      </c>
      <c r="M60" s="38">
        <v>0.27</v>
      </c>
      <c r="N60" s="38">
        <v>3.45</v>
      </c>
      <c r="O60" s="38">
        <v>3.93</v>
      </c>
      <c r="P60" s="44">
        <v>3.45</v>
      </c>
      <c r="Q60" s="44">
        <f t="shared" si="15"/>
        <v>0.78000000000000025</v>
      </c>
      <c r="R60" s="44">
        <v>371.05</v>
      </c>
      <c r="S60" s="44">
        <v>286.31</v>
      </c>
      <c r="T60" s="36">
        <f t="shared" si="6"/>
        <v>84.740000000000009</v>
      </c>
      <c r="U60" s="36">
        <f t="shared" si="12"/>
        <v>6.6399999999999899</v>
      </c>
      <c r="V60" s="26">
        <v>42765</v>
      </c>
      <c r="W60" s="25"/>
      <c r="X60" s="31">
        <v>5.4039999999999999</v>
      </c>
      <c r="Y60" s="26">
        <v>42765</v>
      </c>
      <c r="AA60" s="31">
        <v>2.431</v>
      </c>
      <c r="AB60" s="31">
        <v>42.654000000000003</v>
      </c>
      <c r="AC60" s="31">
        <f t="shared" si="19"/>
        <v>40.223000000000006</v>
      </c>
      <c r="AD60" s="31">
        <v>31.481999999999999</v>
      </c>
      <c r="AE60" s="31">
        <v>8.3000000000000004E-2</v>
      </c>
      <c r="AF60" s="31">
        <f t="shared" si="13"/>
        <v>29.133999999999997</v>
      </c>
      <c r="AG60" s="31">
        <f t="shared" si="14"/>
        <v>38.062058076474258</v>
      </c>
      <c r="AH60" s="31">
        <f t="shared" si="7"/>
        <v>72.431196081843709</v>
      </c>
      <c r="AI60" s="31">
        <f t="shared" si="8"/>
        <v>27.568803918156291</v>
      </c>
      <c r="AJ60" s="31">
        <f t="shared" si="9"/>
        <v>25.481845461551856</v>
      </c>
      <c r="AK60" s="31">
        <f t="shared" si="16"/>
        <v>61.378195559754367</v>
      </c>
      <c r="AL60" s="26">
        <v>42765</v>
      </c>
      <c r="AM60" s="26">
        <v>42767</v>
      </c>
      <c r="AN60" s="25" t="s">
        <v>714</v>
      </c>
      <c r="AO60" s="51">
        <f t="shared" si="17"/>
        <v>72.431196081843709</v>
      </c>
      <c r="AP60" s="51">
        <f t="shared" si="10"/>
        <v>27.568803918156291</v>
      </c>
      <c r="AQ60" s="51">
        <f t="shared" si="11"/>
        <v>25.481845461551856</v>
      </c>
      <c r="AR60" s="31">
        <f t="shared" si="18"/>
        <v>61.378195559754367</v>
      </c>
      <c r="AT60" s="51"/>
    </row>
    <row r="61" spans="1:46">
      <c r="A61" s="6" t="s">
        <v>65</v>
      </c>
      <c r="B61" s="6" t="s">
        <v>196</v>
      </c>
      <c r="C61" t="s">
        <v>13</v>
      </c>
      <c r="D61" s="8">
        <v>2</v>
      </c>
      <c r="E61">
        <v>20</v>
      </c>
      <c r="G61">
        <v>2016</v>
      </c>
      <c r="H61" s="36">
        <v>162.78</v>
      </c>
      <c r="I61" s="36">
        <v>3.88</v>
      </c>
      <c r="J61" s="42">
        <f t="shared" si="4"/>
        <v>158.9</v>
      </c>
      <c r="K61" s="38">
        <v>3.42</v>
      </c>
      <c r="L61" s="38">
        <v>0.08</v>
      </c>
      <c r="M61" s="38">
        <v>0.56000000000000005</v>
      </c>
      <c r="N61" s="44">
        <f>2.55-2.49+P2</f>
        <v>3.4099999999999997</v>
      </c>
      <c r="O61" s="44">
        <f>3.32-2.51+P2</f>
        <v>4.16</v>
      </c>
      <c r="P61" s="44">
        <f>2.71-2.51+P2</f>
        <v>3.5500000000000003</v>
      </c>
      <c r="Q61" s="44">
        <f t="shared" si="15"/>
        <v>1.0699999999999998</v>
      </c>
      <c r="R61" s="44">
        <v>433.59</v>
      </c>
      <c r="S61" s="44">
        <v>286.31</v>
      </c>
      <c r="T61" s="36">
        <f t="shared" si="6"/>
        <v>147.27999999999997</v>
      </c>
      <c r="U61" s="36">
        <f t="shared" si="12"/>
        <v>6.5700000000000323</v>
      </c>
      <c r="V61" s="26">
        <v>42765</v>
      </c>
      <c r="W61" s="25"/>
      <c r="X61" s="31">
        <v>6.0910000000000002</v>
      </c>
      <c r="Y61" s="26">
        <v>42765</v>
      </c>
      <c r="AA61" s="31">
        <v>2.4159999999999999</v>
      </c>
      <c r="AB61" s="31">
        <v>77.091999999999999</v>
      </c>
      <c r="AC61" s="31">
        <f t="shared" si="19"/>
        <v>74.676000000000002</v>
      </c>
      <c r="AD61" s="31">
        <v>66.061999999999998</v>
      </c>
      <c r="AE61" s="31">
        <v>8.3000000000000004E-2</v>
      </c>
      <c r="AF61" s="31">
        <f t="shared" si="13"/>
        <v>63.728999999999999</v>
      </c>
      <c r="AG61" s="31">
        <f t="shared" si="14"/>
        <v>17.177423151155679</v>
      </c>
      <c r="AH61" s="31">
        <f t="shared" si="7"/>
        <v>85.34067170175156</v>
      </c>
      <c r="AI61" s="31">
        <f t="shared" si="8"/>
        <v>14.65932829824844</v>
      </c>
      <c r="AJ61" s="31">
        <f t="shared" si="9"/>
        <v>22.792323638116677</v>
      </c>
      <c r="AK61" s="31">
        <f t="shared" si="16"/>
        <v>125.68974128233967</v>
      </c>
      <c r="AL61" s="26">
        <v>42765</v>
      </c>
      <c r="AM61" s="26">
        <v>42767</v>
      </c>
      <c r="AN61" s="25" t="s">
        <v>714</v>
      </c>
      <c r="AO61" s="51">
        <f t="shared" si="17"/>
        <v>85.34067170175156</v>
      </c>
      <c r="AP61" s="51">
        <f t="shared" si="10"/>
        <v>14.65932829824844</v>
      </c>
      <c r="AQ61" s="51">
        <f t="shared" si="11"/>
        <v>22.792323638116677</v>
      </c>
      <c r="AR61" s="31">
        <f t="shared" si="18"/>
        <v>125.68974128233967</v>
      </c>
      <c r="AT61" s="51"/>
    </row>
    <row r="62" spans="1:46">
      <c r="A62" s="6" t="s">
        <v>66</v>
      </c>
      <c r="B62" s="6" t="s">
        <v>196</v>
      </c>
      <c r="C62" t="s">
        <v>13</v>
      </c>
      <c r="D62" s="8">
        <v>3</v>
      </c>
      <c r="E62">
        <v>5</v>
      </c>
      <c r="G62">
        <v>2016</v>
      </c>
      <c r="H62" s="36">
        <v>53.52</v>
      </c>
      <c r="I62" s="36">
        <v>3.84</v>
      </c>
      <c r="J62" s="42">
        <f t="shared" si="4"/>
        <v>49.680000000000007</v>
      </c>
      <c r="K62" s="44">
        <v>0</v>
      </c>
      <c r="L62" s="44">
        <v>2.34</v>
      </c>
      <c r="M62" s="44">
        <v>3.11</v>
      </c>
      <c r="N62" s="44">
        <v>3.54</v>
      </c>
      <c r="O62" s="44">
        <v>22.31</v>
      </c>
      <c r="P62" s="44">
        <v>0</v>
      </c>
      <c r="Q62" s="44">
        <f t="shared" si="15"/>
        <v>19.149999999999999</v>
      </c>
      <c r="R62" s="44">
        <v>308.23</v>
      </c>
      <c r="S62" s="44">
        <v>285.94</v>
      </c>
      <c r="T62" s="36">
        <f t="shared" si="6"/>
        <v>22.29000000000002</v>
      </c>
      <c r="U62" s="36">
        <f t="shared" si="12"/>
        <v>5.1299999999999883</v>
      </c>
      <c r="V62" s="26">
        <v>42797</v>
      </c>
      <c r="X62" s="31" t="s">
        <v>469</v>
      </c>
      <c r="Y62" s="26">
        <v>42797</v>
      </c>
      <c r="Z62" s="3" t="s">
        <v>475</v>
      </c>
      <c r="AA62" s="31">
        <v>2.41</v>
      </c>
      <c r="AB62" s="31">
        <v>14.42</v>
      </c>
      <c r="AC62" s="31">
        <f t="shared" si="19"/>
        <v>12.01</v>
      </c>
      <c r="AD62" s="31">
        <v>5.8929999999999998</v>
      </c>
      <c r="AE62" s="31">
        <v>8.3000000000000004E-2</v>
      </c>
      <c r="AF62" s="31">
        <f t="shared" si="13"/>
        <v>3.5659999999999998</v>
      </c>
      <c r="AG62" s="31">
        <f t="shared" si="14"/>
        <v>236.79192372406055</v>
      </c>
      <c r="AH62" s="31">
        <f t="shared" si="7"/>
        <v>29.691923397169024</v>
      </c>
      <c r="AI62" s="31">
        <f t="shared" si="8"/>
        <v>70.30807660283098</v>
      </c>
      <c r="AJ62" s="31">
        <f t="shared" si="9"/>
        <v>34.929052456286435</v>
      </c>
      <c r="AK62" s="31">
        <f t="shared" si="16"/>
        <v>6.618329725228981</v>
      </c>
      <c r="AL62" s="26">
        <v>42797</v>
      </c>
      <c r="AM62" s="26">
        <v>42799</v>
      </c>
      <c r="AN62" s="25"/>
      <c r="AO62" s="51">
        <f t="shared" si="17"/>
        <v>29.691923397169024</v>
      </c>
      <c r="AP62" s="51">
        <f t="shared" si="10"/>
        <v>70.30807660283098</v>
      </c>
      <c r="AQ62" s="51">
        <f t="shared" si="11"/>
        <v>34.929052456286435</v>
      </c>
      <c r="AR62" s="31">
        <f t="shared" si="18"/>
        <v>6.618329725228981</v>
      </c>
      <c r="AT62" s="51"/>
    </row>
    <row r="63" spans="1:46">
      <c r="A63" s="6" t="s">
        <v>67</v>
      </c>
      <c r="B63" s="6" t="s">
        <v>196</v>
      </c>
      <c r="C63" t="s">
        <v>13</v>
      </c>
      <c r="D63" s="8">
        <v>3</v>
      </c>
      <c r="E63">
        <v>10</v>
      </c>
      <c r="G63">
        <v>2016</v>
      </c>
      <c r="H63" s="36">
        <v>104.65</v>
      </c>
      <c r="I63" s="36">
        <v>4.47</v>
      </c>
      <c r="J63" s="42">
        <f t="shared" si="4"/>
        <v>100.18</v>
      </c>
      <c r="K63" s="44">
        <v>0.75</v>
      </c>
      <c r="L63" s="44">
        <v>0</v>
      </c>
      <c r="M63" s="44">
        <v>0</v>
      </c>
      <c r="N63" s="44">
        <v>3.41</v>
      </c>
      <c r="O63" s="44">
        <v>10.45</v>
      </c>
      <c r="P63" s="44">
        <v>3.35</v>
      </c>
      <c r="Q63" s="44">
        <f t="shared" si="15"/>
        <v>7.16</v>
      </c>
      <c r="R63" s="44">
        <v>372.44</v>
      </c>
      <c r="S63" s="44">
        <v>285.94</v>
      </c>
      <c r="T63" s="36">
        <f t="shared" si="6"/>
        <v>86.5</v>
      </c>
      <c r="U63" s="36">
        <f t="shared" si="12"/>
        <v>5.7700000000000067</v>
      </c>
      <c r="V63" s="26">
        <v>42797</v>
      </c>
      <c r="X63" s="31">
        <v>5.1619999999999999</v>
      </c>
      <c r="Y63" s="26">
        <v>42797</v>
      </c>
      <c r="AA63" s="31">
        <v>2.4220000000000002</v>
      </c>
      <c r="AB63" s="31">
        <v>44.694000000000003</v>
      </c>
      <c r="AC63" s="31">
        <f t="shared" si="19"/>
        <v>42.272000000000006</v>
      </c>
      <c r="AD63" s="31">
        <v>20.747</v>
      </c>
      <c r="AE63" s="31">
        <v>8.3000000000000004E-2</v>
      </c>
      <c r="AF63" s="31">
        <f t="shared" si="13"/>
        <v>18.407999999999998</v>
      </c>
      <c r="AG63" s="31">
        <f t="shared" si="14"/>
        <v>129.63928726640597</v>
      </c>
      <c r="AH63" s="31">
        <f t="shared" si="7"/>
        <v>43.546555639666906</v>
      </c>
      <c r="AI63" s="31">
        <f t="shared" si="8"/>
        <v>56.453444360333094</v>
      </c>
      <c r="AJ63" s="31">
        <f t="shared" si="9"/>
        <v>56.131659727479203</v>
      </c>
      <c r="AK63" s="31">
        <f t="shared" si="16"/>
        <v>37.667770628311871</v>
      </c>
      <c r="AL63" s="26">
        <v>42797</v>
      </c>
      <c r="AM63" s="26">
        <v>42799</v>
      </c>
      <c r="AN63" s="25"/>
      <c r="AO63" s="51">
        <f t="shared" si="17"/>
        <v>43.546555639666906</v>
      </c>
      <c r="AP63" s="51">
        <f t="shared" si="10"/>
        <v>56.453444360333094</v>
      </c>
      <c r="AQ63" s="51">
        <f t="shared" si="11"/>
        <v>56.131659727479203</v>
      </c>
      <c r="AR63" s="31">
        <f t="shared" si="18"/>
        <v>37.667770628311871</v>
      </c>
      <c r="AT63" s="51"/>
    </row>
    <row r="64" spans="1:46">
      <c r="A64" s="6" t="s">
        <v>68</v>
      </c>
      <c r="B64" s="6" t="s">
        <v>196</v>
      </c>
      <c r="C64" t="s">
        <v>13</v>
      </c>
      <c r="D64" s="8">
        <v>3</v>
      </c>
      <c r="E64">
        <v>20</v>
      </c>
      <c r="G64">
        <v>2016</v>
      </c>
      <c r="H64" s="36">
        <v>116.57</v>
      </c>
      <c r="I64" s="36">
        <v>7.99</v>
      </c>
      <c r="J64" s="42">
        <f t="shared" si="4"/>
        <v>108.58</v>
      </c>
      <c r="K64" s="44">
        <v>0.52</v>
      </c>
      <c r="L64" s="44">
        <v>0</v>
      </c>
      <c r="M64" s="44">
        <v>0</v>
      </c>
      <c r="N64" s="44">
        <v>3.39</v>
      </c>
      <c r="O64" s="44">
        <v>6.38</v>
      </c>
      <c r="P64" s="44">
        <v>0</v>
      </c>
      <c r="Q64" s="44">
        <f t="shared" si="15"/>
        <v>3.07</v>
      </c>
      <c r="R64" s="44">
        <v>385.82</v>
      </c>
      <c r="S64" s="44">
        <v>285.94</v>
      </c>
      <c r="T64" s="36">
        <f t="shared" si="6"/>
        <v>99.88</v>
      </c>
      <c r="U64" s="36">
        <f t="shared" si="12"/>
        <v>5.110000000000003</v>
      </c>
      <c r="V64" s="26">
        <v>42797</v>
      </c>
      <c r="W64" s="3" t="s">
        <v>691</v>
      </c>
      <c r="X64" s="31">
        <v>5.1059999999999999</v>
      </c>
      <c r="Y64" s="26">
        <v>42797</v>
      </c>
      <c r="AA64" s="31">
        <v>2.4049999999999998</v>
      </c>
      <c r="AB64" s="31">
        <v>51.625999999999998</v>
      </c>
      <c r="AC64" s="31">
        <f t="shared" si="19"/>
        <v>49.220999999999997</v>
      </c>
      <c r="AD64" s="31">
        <v>23.061</v>
      </c>
      <c r="AE64" s="31">
        <v>8.3000000000000004E-2</v>
      </c>
      <c r="AF64" s="31">
        <f t="shared" si="13"/>
        <v>20.738999999999997</v>
      </c>
      <c r="AG64" s="31">
        <f t="shared" si="14"/>
        <v>137.33545493996817</v>
      </c>
      <c r="AH64" s="31">
        <f t="shared" si="7"/>
        <v>42.134454805875535</v>
      </c>
      <c r="AI64" s="31">
        <f t="shared" si="8"/>
        <v>57.865545194124465</v>
      </c>
      <c r="AJ64" s="31">
        <f t="shared" si="9"/>
        <v>62.5295081367709</v>
      </c>
      <c r="AK64" s="31">
        <f t="shared" si="16"/>
        <v>42.083893460108484</v>
      </c>
      <c r="AL64" s="26">
        <v>42797</v>
      </c>
      <c r="AM64" s="26">
        <v>42799</v>
      </c>
      <c r="AN64" s="25"/>
      <c r="AO64" s="51">
        <f t="shared" si="17"/>
        <v>42.134454805875535</v>
      </c>
      <c r="AP64" s="51">
        <f t="shared" si="10"/>
        <v>57.865545194124465</v>
      </c>
      <c r="AQ64" s="51">
        <f t="shared" si="11"/>
        <v>62.5295081367709</v>
      </c>
      <c r="AR64" s="31">
        <f t="shared" si="18"/>
        <v>42.083893460108484</v>
      </c>
      <c r="AT64" s="51"/>
    </row>
    <row r="65" spans="1:51">
      <c r="A65" s="6" t="s">
        <v>69</v>
      </c>
      <c r="B65" s="6" t="s">
        <v>196</v>
      </c>
      <c r="C65" t="s">
        <v>13</v>
      </c>
      <c r="D65" s="8">
        <v>4</v>
      </c>
      <c r="E65">
        <v>30</v>
      </c>
      <c r="G65">
        <v>2016</v>
      </c>
      <c r="H65" s="36">
        <v>87.07</v>
      </c>
      <c r="I65" s="36">
        <v>4.12</v>
      </c>
      <c r="J65" s="42">
        <f t="shared" si="4"/>
        <v>82.949999999999989</v>
      </c>
      <c r="K65" s="38">
        <v>0.17</v>
      </c>
      <c r="L65" s="44">
        <v>0.19</v>
      </c>
      <c r="M65" s="38">
        <v>0.43</v>
      </c>
      <c r="N65" s="44">
        <v>3.44</v>
      </c>
      <c r="O65" s="44">
        <v>6.72</v>
      </c>
      <c r="P65" s="44">
        <v>0</v>
      </c>
      <c r="Q65" s="44">
        <f t="shared" si="15"/>
        <v>3.4599999999999995</v>
      </c>
      <c r="R65" s="44">
        <v>361.67</v>
      </c>
      <c r="S65" s="44">
        <v>286.27</v>
      </c>
      <c r="T65" s="36">
        <f t="shared" si="6"/>
        <v>75.400000000000034</v>
      </c>
      <c r="U65" s="36">
        <f t="shared" si="12"/>
        <v>3.4899999999999554</v>
      </c>
      <c r="V65" s="26">
        <v>42768</v>
      </c>
      <c r="W65" s="3" t="s">
        <v>517</v>
      </c>
      <c r="X65" s="31">
        <v>5.351</v>
      </c>
      <c r="Y65" s="26">
        <v>42769</v>
      </c>
      <c r="AA65" s="31">
        <v>2.379</v>
      </c>
      <c r="AB65" s="31">
        <v>34.561999999999998</v>
      </c>
      <c r="AC65" s="31">
        <f t="shared" si="19"/>
        <v>32.183</v>
      </c>
      <c r="AD65" s="31">
        <v>17.265000000000001</v>
      </c>
      <c r="AE65" s="31">
        <v>7.4833333333333599E-2</v>
      </c>
      <c r="AF65" s="31">
        <f t="shared" si="13"/>
        <v>14.960833333333335</v>
      </c>
      <c r="AG65" s="31">
        <f t="shared" si="14"/>
        <v>115.11502255890379</v>
      </c>
      <c r="AH65" s="31">
        <f t="shared" si="7"/>
        <v>46.486758019244121</v>
      </c>
      <c r="AI65" s="31">
        <f t="shared" si="8"/>
        <v>53.513241980755879</v>
      </c>
      <c r="AJ65" s="31">
        <f t="shared" si="9"/>
        <v>44.29826171166971</v>
      </c>
      <c r="AK65" s="31">
        <f t="shared" si="16"/>
        <v>35.051015546510087</v>
      </c>
      <c r="AL65" s="26">
        <v>42770</v>
      </c>
      <c r="AM65" s="26">
        <v>42772</v>
      </c>
      <c r="AN65" s="25"/>
      <c r="AO65" s="51">
        <f t="shared" si="17"/>
        <v>46.486758019244121</v>
      </c>
      <c r="AP65" s="51">
        <f t="shared" si="10"/>
        <v>53.513241980755879</v>
      </c>
      <c r="AQ65" s="51">
        <f t="shared" si="11"/>
        <v>44.29826171166971</v>
      </c>
      <c r="AR65" s="31">
        <f t="shared" si="18"/>
        <v>35.051015546510087</v>
      </c>
      <c r="AT65" s="51"/>
    </row>
    <row r="66" spans="1:51">
      <c r="A66" s="6" t="s">
        <v>70</v>
      </c>
      <c r="B66" s="6" t="s">
        <v>196</v>
      </c>
      <c r="C66" t="s">
        <v>13</v>
      </c>
      <c r="D66" s="8">
        <v>4</v>
      </c>
      <c r="E66">
        <v>10</v>
      </c>
      <c r="G66">
        <v>2016</v>
      </c>
      <c r="H66" s="36">
        <v>64.900000000000006</v>
      </c>
      <c r="I66" s="36">
        <v>3.7</v>
      </c>
      <c r="J66" s="42">
        <f t="shared" si="4"/>
        <v>61.2</v>
      </c>
      <c r="K66" s="38">
        <v>0</v>
      </c>
      <c r="L66" s="38">
        <v>0</v>
      </c>
      <c r="M66" s="44">
        <v>7.88</v>
      </c>
      <c r="N66" s="38">
        <v>3.43</v>
      </c>
      <c r="O66" s="38">
        <v>7.84</v>
      </c>
      <c r="P66" s="44">
        <v>0</v>
      </c>
      <c r="Q66" s="44">
        <f t="shared" si="15"/>
        <v>4.57</v>
      </c>
      <c r="R66" s="44">
        <v>332.63</v>
      </c>
      <c r="S66" s="44">
        <v>286.20999999999998</v>
      </c>
      <c r="T66" s="36">
        <f t="shared" si="6"/>
        <v>46.420000000000016</v>
      </c>
      <c r="U66" s="36">
        <f t="shared" si="12"/>
        <v>2.3299999999999867</v>
      </c>
      <c r="V66" s="26">
        <v>42768</v>
      </c>
      <c r="W66" s="3" t="s">
        <v>477</v>
      </c>
      <c r="X66" s="31">
        <v>4.9009999999999998</v>
      </c>
      <c r="Y66" s="26">
        <v>42769</v>
      </c>
      <c r="AA66" s="31">
        <v>2.3919999999999999</v>
      </c>
      <c r="AB66" s="31">
        <v>19.808</v>
      </c>
      <c r="AC66" s="31">
        <f t="shared" si="19"/>
        <v>17.416</v>
      </c>
      <c r="AD66" s="31">
        <v>8.6980000000000004</v>
      </c>
      <c r="AE66" s="31">
        <v>7.4833333333333599E-2</v>
      </c>
      <c r="AF66" s="31">
        <f t="shared" si="13"/>
        <v>6.3808333333333342</v>
      </c>
      <c r="AG66" s="31">
        <f t="shared" si="14"/>
        <v>172.94240564189624</v>
      </c>
      <c r="AH66" s="31">
        <f t="shared" si="7"/>
        <v>36.637766038891442</v>
      </c>
      <c r="AI66" s="31">
        <f t="shared" si="8"/>
        <v>63.362233961108558</v>
      </c>
      <c r="AJ66" s="31">
        <f t="shared" si="9"/>
        <v>38.777687184198435</v>
      </c>
      <c r="AK66" s="31">
        <f t="shared" si="16"/>
        <v>17.007250995253411</v>
      </c>
      <c r="AL66" s="26">
        <v>42770</v>
      </c>
      <c r="AM66" s="26">
        <v>42772</v>
      </c>
      <c r="AN66" s="25"/>
      <c r="AO66" s="51">
        <f t="shared" si="17"/>
        <v>36.637766038891442</v>
      </c>
      <c r="AP66" s="51">
        <f t="shared" si="10"/>
        <v>63.362233961108558</v>
      </c>
      <c r="AQ66" s="51">
        <f t="shared" si="11"/>
        <v>38.777687184198435</v>
      </c>
      <c r="AR66" s="31">
        <f t="shared" si="18"/>
        <v>17.007250995253411</v>
      </c>
      <c r="AT66" s="51"/>
    </row>
    <row r="67" spans="1:51">
      <c r="A67" s="6" t="s">
        <v>71</v>
      </c>
      <c r="B67" s="6" t="s">
        <v>196</v>
      </c>
      <c r="C67" t="s">
        <v>13</v>
      </c>
      <c r="D67" s="8">
        <v>4</v>
      </c>
      <c r="E67">
        <v>20</v>
      </c>
      <c r="G67">
        <v>2016</v>
      </c>
      <c r="H67" s="36">
        <v>74.81</v>
      </c>
      <c r="I67" s="36">
        <v>4.1100000000000003</v>
      </c>
      <c r="J67" s="42">
        <f t="shared" si="4"/>
        <v>70.7</v>
      </c>
      <c r="K67" s="38">
        <v>0.21</v>
      </c>
      <c r="L67" s="38">
        <v>0.11</v>
      </c>
      <c r="M67" s="44">
        <v>1.01</v>
      </c>
      <c r="N67" s="44">
        <v>3.42</v>
      </c>
      <c r="O67" s="44">
        <v>5.94</v>
      </c>
      <c r="P67" s="44">
        <v>0</v>
      </c>
      <c r="Q67" s="44">
        <f t="shared" si="15"/>
        <v>2.66</v>
      </c>
      <c r="R67" s="44">
        <v>350</v>
      </c>
      <c r="S67" s="44">
        <v>286.20999999999998</v>
      </c>
      <c r="T67" s="36">
        <f t="shared" si="6"/>
        <v>63.79000000000002</v>
      </c>
      <c r="U67" s="36">
        <f t="shared" si="12"/>
        <v>3.0299999999999825</v>
      </c>
      <c r="V67" s="26">
        <v>42768</v>
      </c>
      <c r="X67" s="31">
        <v>5.1520000000000001</v>
      </c>
      <c r="Y67" s="26">
        <v>42769</v>
      </c>
      <c r="AA67" s="31">
        <v>2.4169999999999998</v>
      </c>
      <c r="AB67" s="31">
        <v>31.599</v>
      </c>
      <c r="AC67" s="31">
        <f t="shared" si="19"/>
        <v>29.182000000000002</v>
      </c>
      <c r="AD67" s="31">
        <v>16.696999999999999</v>
      </c>
      <c r="AE67" s="31">
        <v>7.4833333333333599E-2</v>
      </c>
      <c r="AF67" s="31">
        <f t="shared" si="13"/>
        <v>14.354833333333334</v>
      </c>
      <c r="AG67" s="31">
        <f t="shared" si="14"/>
        <v>103.29041321738325</v>
      </c>
      <c r="AH67" s="31">
        <f t="shared" si="7"/>
        <v>49.190711168985445</v>
      </c>
      <c r="AI67" s="31">
        <f t="shared" si="8"/>
        <v>50.809288831014555</v>
      </c>
      <c r="AJ67" s="31">
        <f t="shared" si="9"/>
        <v>35.815467696982161</v>
      </c>
      <c r="AK67" s="31">
        <f t="shared" si="16"/>
        <v>31.378754654695825</v>
      </c>
      <c r="AL67" s="26">
        <v>42770</v>
      </c>
      <c r="AM67" s="26">
        <v>42772</v>
      </c>
      <c r="AN67" s="25"/>
      <c r="AO67" s="51">
        <f t="shared" si="17"/>
        <v>49.190711168985445</v>
      </c>
      <c r="AP67" s="51">
        <f t="shared" si="10"/>
        <v>50.809288831014555</v>
      </c>
      <c r="AQ67" s="51">
        <f t="shared" si="11"/>
        <v>35.815467696982161</v>
      </c>
      <c r="AR67" s="31">
        <f t="shared" si="18"/>
        <v>31.378754654695825</v>
      </c>
      <c r="AT67" s="51"/>
    </row>
    <row r="68" spans="1:51">
      <c r="A68" s="6" t="s">
        <v>72</v>
      </c>
      <c r="B68" s="6" t="s">
        <v>196</v>
      </c>
      <c r="C68" t="s">
        <v>13</v>
      </c>
      <c r="D68" s="8">
        <v>4</v>
      </c>
      <c r="E68">
        <v>5</v>
      </c>
      <c r="G68">
        <v>2016</v>
      </c>
      <c r="H68" s="36">
        <v>38.4</v>
      </c>
      <c r="I68" s="36">
        <v>3.68</v>
      </c>
      <c r="J68" s="42">
        <f t="shared" si="4"/>
        <v>34.72</v>
      </c>
      <c r="K68" s="38">
        <v>0</v>
      </c>
      <c r="L68" s="44">
        <v>0.12</v>
      </c>
      <c r="M68" s="38">
        <v>4.1100000000000003</v>
      </c>
      <c r="N68" s="38">
        <v>3.54</v>
      </c>
      <c r="O68" s="38">
        <v>8.4</v>
      </c>
      <c r="P68" s="44">
        <v>3.91</v>
      </c>
      <c r="Q68" s="44">
        <f t="shared" ref="Q68:Q99" si="20">(IF(N68&gt;0,N68-P$2,0))+(IF(O68&gt;0,O68-P$2,0))+(IF(P68&gt;0,P68-P$2,0))</f>
        <v>5.8000000000000007</v>
      </c>
      <c r="R68" s="44">
        <v>308.93</v>
      </c>
      <c r="S68" s="44">
        <v>286.20999999999998</v>
      </c>
      <c r="T68" s="36">
        <f t="shared" si="6"/>
        <v>22.720000000000027</v>
      </c>
      <c r="U68" s="36">
        <f t="shared" si="12"/>
        <v>2.0899999999999705</v>
      </c>
      <c r="V68" s="26">
        <v>42768</v>
      </c>
      <c r="W68" s="3" t="s">
        <v>518</v>
      </c>
      <c r="X68" s="31" t="s">
        <v>469</v>
      </c>
      <c r="Y68" s="8" t="s">
        <v>469</v>
      </c>
      <c r="Z68" s="3" t="s">
        <v>516</v>
      </c>
      <c r="AA68" s="31">
        <v>2.4390000000000001</v>
      </c>
      <c r="AB68" s="31">
        <v>13.555</v>
      </c>
      <c r="AC68" s="31">
        <f t="shared" si="19"/>
        <v>11.116</v>
      </c>
      <c r="AD68" s="31">
        <v>6.6619999999999999</v>
      </c>
      <c r="AE68" s="31">
        <v>7.4833333333333599E-2</v>
      </c>
      <c r="AF68" s="31">
        <f t="shared" si="13"/>
        <v>4.2978333333333332</v>
      </c>
      <c r="AG68" s="31">
        <f t="shared" si="14"/>
        <v>158.64195137084576</v>
      </c>
      <c r="AH68" s="31">
        <f t="shared" si="7"/>
        <v>38.663488065251286</v>
      </c>
      <c r="AI68" s="31">
        <f t="shared" si="8"/>
        <v>61.336511934748714</v>
      </c>
      <c r="AJ68" s="31">
        <f t="shared" si="9"/>
        <v>21.296036943744753</v>
      </c>
      <c r="AK68" s="31">
        <f t="shared" ref="AK68:AK99" si="21">T68*AH68%</f>
        <v>8.7843444884251021</v>
      </c>
      <c r="AL68" s="26">
        <v>42770</v>
      </c>
      <c r="AM68" s="26">
        <v>42772</v>
      </c>
      <c r="AN68" s="25"/>
      <c r="AO68" s="51">
        <f t="shared" ref="AO68:AO99" si="22">AH68</f>
        <v>38.663488065251286</v>
      </c>
      <c r="AP68" s="51">
        <f t="shared" si="10"/>
        <v>61.336511934748714</v>
      </c>
      <c r="AQ68" s="51">
        <f t="shared" si="11"/>
        <v>21.296036943744753</v>
      </c>
      <c r="AR68" s="31">
        <f t="shared" ref="AR68:AR99" si="23">T68*AO68%</f>
        <v>8.7843444884251021</v>
      </c>
      <c r="AT68" s="51"/>
    </row>
    <row r="69" spans="1:51">
      <c r="A69" s="6" t="s">
        <v>73</v>
      </c>
      <c r="B69" s="6" t="s">
        <v>196</v>
      </c>
      <c r="C69" t="s">
        <v>13</v>
      </c>
      <c r="D69" s="8">
        <v>5</v>
      </c>
      <c r="E69">
        <v>5</v>
      </c>
      <c r="G69">
        <v>2016</v>
      </c>
      <c r="H69" s="36">
        <v>39.47</v>
      </c>
      <c r="I69" s="36">
        <v>2.61</v>
      </c>
      <c r="J69" s="42">
        <f t="shared" ref="J69:J133" si="24">H69-I69</f>
        <v>36.86</v>
      </c>
      <c r="K69" s="44">
        <v>0</v>
      </c>
      <c r="L69" s="44">
        <v>0.02</v>
      </c>
      <c r="M69" s="44">
        <v>1.58</v>
      </c>
      <c r="N69" s="44">
        <v>3.63</v>
      </c>
      <c r="O69" s="44">
        <v>6.47</v>
      </c>
      <c r="P69" s="44">
        <v>0</v>
      </c>
      <c r="Q69" s="44">
        <f t="shared" si="20"/>
        <v>3.3999999999999995</v>
      </c>
      <c r="R69" s="44">
        <v>316.63</v>
      </c>
      <c r="S69" s="44">
        <v>285.91000000000003</v>
      </c>
      <c r="T69" s="36">
        <f t="shared" ref="T69:T133" si="25">R69-S69</f>
        <v>30.71999999999997</v>
      </c>
      <c r="U69" s="36">
        <f t="shared" si="12"/>
        <v>1.1600000000000295</v>
      </c>
      <c r="V69" s="26">
        <v>42821</v>
      </c>
      <c r="X69" s="31">
        <v>5.4080000000000004</v>
      </c>
      <c r="Y69" s="26">
        <v>42821</v>
      </c>
      <c r="AA69" s="31">
        <v>2.4279999999999999</v>
      </c>
      <c r="AB69" s="31">
        <v>15.117000000000001</v>
      </c>
      <c r="AC69" s="31">
        <f t="shared" si="19"/>
        <v>12.689</v>
      </c>
      <c r="AD69" s="31">
        <v>7.8520000000000003</v>
      </c>
      <c r="AE69" s="31">
        <v>8.9999999999999858E-2</v>
      </c>
      <c r="AF69" s="31">
        <f t="shared" si="13"/>
        <v>5.5140000000000002</v>
      </c>
      <c r="AG69" s="31">
        <f t="shared" si="14"/>
        <v>130.12332245194051</v>
      </c>
      <c r="AH69" s="31">
        <f t="shared" ref="AH69:AH131" si="26">(AF69/AC69)*100</f>
        <v>43.454960989833715</v>
      </c>
      <c r="AI69" s="31">
        <f t="shared" ref="AI69:AI131" si="27">100-AH69</f>
        <v>56.545039010166285</v>
      </c>
      <c r="AJ69" s="31">
        <f t="shared" ref="AJ69:AJ131" si="28">AI69*(J69-K69)%</f>
        <v>20.84250137914729</v>
      </c>
      <c r="AK69" s="31">
        <f t="shared" si="21"/>
        <v>13.349364016076903</v>
      </c>
      <c r="AL69" s="26">
        <v>42823</v>
      </c>
      <c r="AM69" s="26">
        <v>42825</v>
      </c>
      <c r="AN69" s="25"/>
      <c r="AO69" s="51">
        <f t="shared" si="22"/>
        <v>43.454960989833715</v>
      </c>
      <c r="AP69" s="51">
        <f t="shared" ref="AP69:AP132" si="29">100-AO69</f>
        <v>56.545039010166285</v>
      </c>
      <c r="AQ69" s="51">
        <f t="shared" ref="AQ69:AQ131" si="30">AJ69</f>
        <v>20.84250137914729</v>
      </c>
      <c r="AR69" s="31">
        <f t="shared" si="23"/>
        <v>13.349364016076903</v>
      </c>
      <c r="AT69" s="51"/>
    </row>
    <row r="70" spans="1:51">
      <c r="A70" s="6" t="s">
        <v>74</v>
      </c>
      <c r="B70" s="6" t="s">
        <v>196</v>
      </c>
      <c r="C70" t="s">
        <v>13</v>
      </c>
      <c r="D70" s="8">
        <v>5</v>
      </c>
      <c r="E70">
        <v>10</v>
      </c>
      <c r="G70">
        <v>2016</v>
      </c>
      <c r="H70" s="36">
        <v>71.260000000000005</v>
      </c>
      <c r="I70" s="36">
        <v>2.69</v>
      </c>
      <c r="J70" s="42">
        <f t="shared" si="24"/>
        <v>68.570000000000007</v>
      </c>
      <c r="K70" s="44">
        <v>0.3</v>
      </c>
      <c r="L70" s="44">
        <v>0</v>
      </c>
      <c r="M70" s="44">
        <v>0.23</v>
      </c>
      <c r="N70" s="44">
        <v>3.37</v>
      </c>
      <c r="O70" s="44">
        <v>7.19</v>
      </c>
      <c r="P70" s="44">
        <v>0</v>
      </c>
      <c r="Q70" s="44">
        <f t="shared" si="20"/>
        <v>3.8600000000000003</v>
      </c>
      <c r="R70" s="44">
        <v>349</v>
      </c>
      <c r="S70" s="44">
        <v>285.91000000000003</v>
      </c>
      <c r="T70" s="36">
        <f t="shared" si="25"/>
        <v>63.089999999999975</v>
      </c>
      <c r="U70" s="36">
        <f t="shared" ref="U70:U133" si="31">J70-T70-Q70-M70-(IF(L70="none",0))-K70</f>
        <v>1.0900000000000321</v>
      </c>
      <c r="V70" s="26">
        <v>42821</v>
      </c>
      <c r="X70" s="31">
        <v>5.6310000000000002</v>
      </c>
      <c r="Y70" s="26">
        <v>42821</v>
      </c>
      <c r="AA70" s="31">
        <v>2.4510000000000001</v>
      </c>
      <c r="AB70" s="31">
        <v>31.108000000000001</v>
      </c>
      <c r="AC70" s="31">
        <f t="shared" si="19"/>
        <v>28.657</v>
      </c>
      <c r="AD70" s="31">
        <v>16.887</v>
      </c>
      <c r="AE70" s="31">
        <v>8.9999999999999858E-2</v>
      </c>
      <c r="AF70" s="31">
        <f t="shared" ref="AF70:AF133" si="32">AD70-AA70+AE70</f>
        <v>14.526</v>
      </c>
      <c r="AG70" s="31">
        <f t="shared" si="14"/>
        <v>97.280737987057691</v>
      </c>
      <c r="AH70" s="31">
        <f t="shared" si="26"/>
        <v>50.689185888264646</v>
      </c>
      <c r="AI70" s="31">
        <f t="shared" si="27"/>
        <v>49.310814111735354</v>
      </c>
      <c r="AJ70" s="31">
        <f t="shared" si="28"/>
        <v>33.664492794081731</v>
      </c>
      <c r="AK70" s="31">
        <f t="shared" si="21"/>
        <v>31.979807376906152</v>
      </c>
      <c r="AL70" s="26">
        <v>42823</v>
      </c>
      <c r="AM70" s="26">
        <v>42825</v>
      </c>
      <c r="AN70" s="25"/>
      <c r="AO70" s="51">
        <f t="shared" si="22"/>
        <v>50.689185888264646</v>
      </c>
      <c r="AP70" s="51">
        <f t="shared" si="29"/>
        <v>49.310814111735354</v>
      </c>
      <c r="AQ70" s="51">
        <f t="shared" si="30"/>
        <v>33.664492794081731</v>
      </c>
      <c r="AR70" s="31">
        <f t="shared" si="23"/>
        <v>31.979807376906152</v>
      </c>
      <c r="AT70" s="51"/>
    </row>
    <row r="71" spans="1:51">
      <c r="A71" s="6" t="s">
        <v>75</v>
      </c>
      <c r="B71" s="6" t="s">
        <v>196</v>
      </c>
      <c r="C71" t="s">
        <v>13</v>
      </c>
      <c r="D71" s="8">
        <v>5</v>
      </c>
      <c r="E71">
        <v>20</v>
      </c>
      <c r="G71">
        <v>2016</v>
      </c>
      <c r="H71" s="36">
        <v>91.93</v>
      </c>
      <c r="I71" s="36">
        <v>2.68</v>
      </c>
      <c r="J71" s="42">
        <f t="shared" si="24"/>
        <v>89.25</v>
      </c>
      <c r="K71" s="44">
        <v>1.03</v>
      </c>
      <c r="L71" s="44">
        <v>0</v>
      </c>
      <c r="M71" s="44">
        <v>0.6</v>
      </c>
      <c r="N71" s="44">
        <v>3.47</v>
      </c>
      <c r="O71" s="44">
        <v>7.58</v>
      </c>
      <c r="P71" s="44">
        <v>0</v>
      </c>
      <c r="Q71" s="44">
        <f t="shared" si="20"/>
        <v>4.3500000000000005</v>
      </c>
      <c r="R71" s="44">
        <v>368.08</v>
      </c>
      <c r="S71" s="44">
        <v>285.91000000000003</v>
      </c>
      <c r="T71" s="36">
        <f t="shared" si="25"/>
        <v>82.169999999999959</v>
      </c>
      <c r="U71" s="36">
        <f t="shared" si="31"/>
        <v>1.1000000000000403</v>
      </c>
      <c r="V71" s="26">
        <v>42821</v>
      </c>
      <c r="X71" s="31">
        <v>5.5880000000000001</v>
      </c>
      <c r="Y71" s="26">
        <v>42821</v>
      </c>
      <c r="AA71" s="31">
        <v>2.4279999999999999</v>
      </c>
      <c r="AB71" s="31">
        <v>39.872</v>
      </c>
      <c r="AC71" s="31">
        <f t="shared" si="19"/>
        <v>37.444000000000003</v>
      </c>
      <c r="AD71" s="31">
        <v>24.1</v>
      </c>
      <c r="AE71" s="31">
        <v>8.9999999999999858E-2</v>
      </c>
      <c r="AF71" s="31">
        <f t="shared" si="32"/>
        <v>21.762</v>
      </c>
      <c r="AG71" s="31">
        <f t="shared" ref="AG71:AG134" si="33">((AC71-AF71)*100)/AF71</f>
        <v>72.061391416230137</v>
      </c>
      <c r="AH71" s="31">
        <f t="shared" si="26"/>
        <v>58.118790727486378</v>
      </c>
      <c r="AI71" s="31">
        <f t="shared" si="27"/>
        <v>41.881209272513622</v>
      </c>
      <c r="AJ71" s="31">
        <f t="shared" si="28"/>
        <v>36.947602820211515</v>
      </c>
      <c r="AK71" s="31">
        <f t="shared" si="21"/>
        <v>47.756210340775532</v>
      </c>
      <c r="AL71" s="26">
        <v>42823</v>
      </c>
      <c r="AM71" s="26">
        <v>42825</v>
      </c>
      <c r="AN71" s="25"/>
      <c r="AO71" s="51">
        <f t="shared" si="22"/>
        <v>58.118790727486378</v>
      </c>
      <c r="AP71" s="51">
        <f t="shared" si="29"/>
        <v>41.881209272513622</v>
      </c>
      <c r="AQ71" s="51">
        <f t="shared" si="30"/>
        <v>36.947602820211515</v>
      </c>
      <c r="AR71" s="31">
        <f t="shared" si="23"/>
        <v>47.756210340775532</v>
      </c>
      <c r="AT71" s="51"/>
    </row>
    <row r="72" spans="1:51">
      <c r="A72" s="6" t="s">
        <v>76</v>
      </c>
      <c r="B72" s="6" t="s">
        <v>196</v>
      </c>
      <c r="C72" t="s">
        <v>13</v>
      </c>
      <c r="D72" s="8">
        <v>5</v>
      </c>
      <c r="E72">
        <v>30</v>
      </c>
      <c r="G72">
        <v>2016</v>
      </c>
      <c r="H72" s="36">
        <v>131.38999999999999</v>
      </c>
      <c r="I72" s="36">
        <v>2.72</v>
      </c>
      <c r="J72" s="42">
        <f t="shared" si="24"/>
        <v>128.66999999999999</v>
      </c>
      <c r="K72" s="44">
        <v>5.6</v>
      </c>
      <c r="L72" s="44">
        <v>0</v>
      </c>
      <c r="M72" s="44">
        <v>0.13</v>
      </c>
      <c r="N72" s="44">
        <v>3.36</v>
      </c>
      <c r="O72" s="44">
        <v>3.46</v>
      </c>
      <c r="P72" s="44">
        <v>0</v>
      </c>
      <c r="Q72" s="44">
        <f t="shared" si="20"/>
        <v>0.11999999999999966</v>
      </c>
      <c r="R72" s="44">
        <v>408.32</v>
      </c>
      <c r="S72" s="44">
        <v>285.91000000000003</v>
      </c>
      <c r="T72" s="36">
        <f t="shared" si="25"/>
        <v>122.40999999999997</v>
      </c>
      <c r="U72" s="36">
        <f t="shared" si="31"/>
        <v>0.41000000000002057</v>
      </c>
      <c r="V72" s="26">
        <v>42821</v>
      </c>
      <c r="X72" s="8">
        <v>5.5679999999999996</v>
      </c>
      <c r="Y72" s="26">
        <v>42821</v>
      </c>
      <c r="AA72" s="31">
        <v>2.4319999999999999</v>
      </c>
      <c r="AB72" s="31">
        <v>63.417000000000002</v>
      </c>
      <c r="AC72" s="31">
        <f t="shared" si="19"/>
        <v>60.984999999999999</v>
      </c>
      <c r="AD72" s="31">
        <v>60.37</v>
      </c>
      <c r="AE72" s="31">
        <v>8.9999999999999858E-2</v>
      </c>
      <c r="AF72" s="31">
        <f t="shared" si="32"/>
        <v>58.027999999999992</v>
      </c>
      <c r="AG72" s="31">
        <f t="shared" si="33"/>
        <v>5.09581581305578</v>
      </c>
      <c r="AH72" s="31">
        <f t="shared" si="26"/>
        <v>95.151266704927423</v>
      </c>
      <c r="AI72" s="31">
        <f t="shared" si="27"/>
        <v>4.8487332950725772</v>
      </c>
      <c r="AJ72" s="31">
        <f t="shared" si="28"/>
        <v>5.9673360662458199</v>
      </c>
      <c r="AK72" s="31">
        <f t="shared" si="21"/>
        <v>116.47466557350162</v>
      </c>
      <c r="AL72" s="26">
        <v>42823</v>
      </c>
      <c r="AM72" s="26">
        <v>42825</v>
      </c>
      <c r="AN72" s="25"/>
      <c r="AO72" s="51">
        <f t="shared" si="22"/>
        <v>95.151266704927423</v>
      </c>
      <c r="AP72" s="51">
        <f t="shared" si="29"/>
        <v>4.8487332950725772</v>
      </c>
      <c r="AQ72" s="51">
        <f t="shared" si="30"/>
        <v>5.9673360662458199</v>
      </c>
      <c r="AR72" s="31">
        <f t="shared" si="23"/>
        <v>116.47466557350162</v>
      </c>
      <c r="AT72" s="51"/>
    </row>
    <row r="73" spans="1:51">
      <c r="A73" s="6" t="s">
        <v>77</v>
      </c>
      <c r="B73" s="6" t="s">
        <v>196</v>
      </c>
      <c r="C73" t="s">
        <v>13</v>
      </c>
      <c r="D73" s="8">
        <v>6</v>
      </c>
      <c r="E73">
        <v>5</v>
      </c>
      <c r="G73">
        <v>2016</v>
      </c>
      <c r="H73" s="36">
        <v>108.48</v>
      </c>
      <c r="I73" s="36">
        <v>3.01</v>
      </c>
      <c r="J73" s="42">
        <f t="shared" si="24"/>
        <v>105.47</v>
      </c>
      <c r="K73" s="44">
        <v>23.6</v>
      </c>
      <c r="L73" s="44">
        <v>1.1499999999999999</v>
      </c>
      <c r="M73" s="44">
        <v>5.17</v>
      </c>
      <c r="N73" s="44">
        <v>6.35</v>
      </c>
      <c r="O73" s="44">
        <v>27</v>
      </c>
      <c r="P73" s="44">
        <v>3.76</v>
      </c>
      <c r="Q73" s="44">
        <f t="shared" si="20"/>
        <v>27.06</v>
      </c>
      <c r="R73" s="44">
        <v>329.68</v>
      </c>
      <c r="S73" s="44">
        <v>286</v>
      </c>
      <c r="T73" s="36">
        <f t="shared" si="25"/>
        <v>43.680000000000007</v>
      </c>
      <c r="U73" s="36">
        <f t="shared" si="31"/>
        <v>5.9599999999999866</v>
      </c>
      <c r="V73" s="26">
        <v>42783</v>
      </c>
      <c r="X73" s="31">
        <v>6.8150000000000004</v>
      </c>
      <c r="Y73" s="26">
        <v>42783</v>
      </c>
      <c r="AA73" s="31">
        <v>2.399</v>
      </c>
      <c r="AB73" s="31">
        <v>20.207000000000001</v>
      </c>
      <c r="AC73" s="31">
        <f t="shared" si="19"/>
        <v>17.808</v>
      </c>
      <c r="AD73" s="31">
        <v>17.565000000000001</v>
      </c>
      <c r="AE73" s="31">
        <v>8.4333333333333371E-2</v>
      </c>
      <c r="AF73" s="31">
        <f t="shared" si="32"/>
        <v>15.250333333333334</v>
      </c>
      <c r="AG73" s="31">
        <f t="shared" si="33"/>
        <v>16.771218115451024</v>
      </c>
      <c r="AH73" s="31">
        <f t="shared" si="26"/>
        <v>85.637541179994017</v>
      </c>
      <c r="AI73" s="31">
        <f t="shared" si="27"/>
        <v>14.362458820005983</v>
      </c>
      <c r="AJ73" s="31">
        <f t="shared" si="28"/>
        <v>11.7585450359389</v>
      </c>
      <c r="AK73" s="31">
        <f t="shared" si="21"/>
        <v>37.40647798742139</v>
      </c>
      <c r="AL73" s="26">
        <v>42787</v>
      </c>
      <c r="AM73" s="26">
        <v>42789</v>
      </c>
      <c r="AN73" s="25"/>
      <c r="AO73" s="51">
        <f t="shared" si="22"/>
        <v>85.637541179994017</v>
      </c>
      <c r="AP73" s="51">
        <f t="shared" si="29"/>
        <v>14.362458820005983</v>
      </c>
      <c r="AQ73" s="51">
        <f t="shared" si="30"/>
        <v>11.7585450359389</v>
      </c>
      <c r="AR73" s="31">
        <f t="shared" si="23"/>
        <v>37.40647798742139</v>
      </c>
      <c r="AT73" s="51"/>
    </row>
    <row r="74" spans="1:51">
      <c r="A74" s="6" t="s">
        <v>78</v>
      </c>
      <c r="B74" s="6" t="s">
        <v>196</v>
      </c>
      <c r="C74" t="s">
        <v>13</v>
      </c>
      <c r="D74" s="8">
        <v>6</v>
      </c>
      <c r="E74">
        <v>10</v>
      </c>
      <c r="G74">
        <v>2016</v>
      </c>
      <c r="H74" s="36">
        <v>143.69999999999999</v>
      </c>
      <c r="I74" s="36">
        <v>2.91</v>
      </c>
      <c r="J74" s="42">
        <f t="shared" si="24"/>
        <v>140.79</v>
      </c>
      <c r="K74" s="44">
        <v>65.62</v>
      </c>
      <c r="L74" s="44">
        <v>0</v>
      </c>
      <c r="M74" s="44">
        <v>0</v>
      </c>
      <c r="N74" s="44">
        <v>4.97</v>
      </c>
      <c r="O74" s="44">
        <v>6.13</v>
      </c>
      <c r="P74" s="44">
        <v>0</v>
      </c>
      <c r="Q74" s="44">
        <f t="shared" si="20"/>
        <v>4.3999999999999995</v>
      </c>
      <c r="R74" s="44">
        <v>351.92</v>
      </c>
      <c r="S74" s="44">
        <v>286.02999999999997</v>
      </c>
      <c r="T74" s="36">
        <f t="shared" si="25"/>
        <v>65.890000000000043</v>
      </c>
      <c r="U74" s="36">
        <f t="shared" si="31"/>
        <v>4.8799999999999386</v>
      </c>
      <c r="V74" s="26">
        <v>42783</v>
      </c>
      <c r="W74" s="3" t="s">
        <v>656</v>
      </c>
      <c r="X74" s="31">
        <v>7.1369999999999996</v>
      </c>
      <c r="Y74" s="26">
        <v>42783</v>
      </c>
      <c r="AA74" s="31">
        <v>2.3809999999999998</v>
      </c>
      <c r="AB74" s="31">
        <v>30.466000000000001</v>
      </c>
      <c r="AC74" s="31">
        <f t="shared" si="19"/>
        <v>28.085000000000001</v>
      </c>
      <c r="AD74" s="31">
        <v>28.488</v>
      </c>
      <c r="AE74" s="31">
        <v>8.4333333333333371E-2</v>
      </c>
      <c r="AF74" s="31">
        <f t="shared" si="32"/>
        <v>26.191333333333333</v>
      </c>
      <c r="AG74" s="31">
        <f t="shared" si="33"/>
        <v>7.2301270140250011</v>
      </c>
      <c r="AH74" s="31">
        <f t="shared" si="26"/>
        <v>93.257373449646892</v>
      </c>
      <c r="AI74" s="31">
        <f t="shared" si="27"/>
        <v>6.7426265503531084</v>
      </c>
      <c r="AJ74" s="31">
        <f t="shared" si="28"/>
        <v>5.0684323779004314</v>
      </c>
      <c r="AK74" s="31">
        <f t="shared" si="21"/>
        <v>61.447283365972382</v>
      </c>
      <c r="AL74" s="26">
        <v>42787</v>
      </c>
      <c r="AM74" s="26">
        <v>42789</v>
      </c>
      <c r="AN74" s="25"/>
      <c r="AO74" s="51">
        <f t="shared" si="22"/>
        <v>93.257373449646892</v>
      </c>
      <c r="AP74" s="51">
        <f t="shared" si="29"/>
        <v>6.7426265503531084</v>
      </c>
      <c r="AQ74" s="51">
        <f t="shared" si="30"/>
        <v>5.0684323779004314</v>
      </c>
      <c r="AR74" s="31">
        <f t="shared" si="23"/>
        <v>61.447283365972382</v>
      </c>
      <c r="AT74" s="51"/>
    </row>
    <row r="75" spans="1:51">
      <c r="A75" s="6" t="s">
        <v>79</v>
      </c>
      <c r="B75" s="6" t="s">
        <v>196</v>
      </c>
      <c r="C75" t="s">
        <v>13</v>
      </c>
      <c r="D75" s="8">
        <v>6</v>
      </c>
      <c r="E75">
        <v>20</v>
      </c>
      <c r="G75">
        <v>2016</v>
      </c>
      <c r="H75" s="36">
        <v>149.13</v>
      </c>
      <c r="I75" s="36">
        <v>2.84</v>
      </c>
      <c r="J75" s="42">
        <f t="shared" si="24"/>
        <v>146.29</v>
      </c>
      <c r="K75" s="44">
        <v>17.2</v>
      </c>
      <c r="L75" s="44">
        <v>0</v>
      </c>
      <c r="M75" s="44">
        <v>0</v>
      </c>
      <c r="N75" s="44">
        <v>4.97</v>
      </c>
      <c r="O75" s="44">
        <v>6.02</v>
      </c>
      <c r="P75" s="44">
        <v>0</v>
      </c>
      <c r="Q75" s="44">
        <f t="shared" si="20"/>
        <v>4.2899999999999991</v>
      </c>
      <c r="R75" s="44">
        <v>403.8</v>
      </c>
      <c r="S75" s="44">
        <v>286.47000000000003</v>
      </c>
      <c r="T75" s="36">
        <f t="shared" si="25"/>
        <v>117.32999999999998</v>
      </c>
      <c r="U75" s="36">
        <f t="shared" si="31"/>
        <v>7.4700000000000095</v>
      </c>
      <c r="V75" s="26">
        <v>42783</v>
      </c>
      <c r="W75" s="3" t="s">
        <v>655</v>
      </c>
      <c r="X75" s="31">
        <v>7.2850000000000001</v>
      </c>
      <c r="Y75" s="26">
        <v>42783</v>
      </c>
      <c r="AA75" s="31">
        <v>2.387</v>
      </c>
      <c r="AB75" s="31">
        <v>49.485999999999997</v>
      </c>
      <c r="AC75" s="31">
        <f t="shared" si="19"/>
        <v>47.098999999999997</v>
      </c>
      <c r="AD75" s="31">
        <v>44.042000000000002</v>
      </c>
      <c r="AE75" s="31">
        <v>8.4333333333333371E-2</v>
      </c>
      <c r="AF75" s="31">
        <f t="shared" si="32"/>
        <v>41.739333333333335</v>
      </c>
      <c r="AG75" s="31">
        <f t="shared" si="33"/>
        <v>12.840805634972597</v>
      </c>
      <c r="AH75" s="31">
        <f t="shared" si="26"/>
        <v>88.620423646645023</v>
      </c>
      <c r="AI75" s="31">
        <f t="shared" si="27"/>
        <v>11.379576353354977</v>
      </c>
      <c r="AJ75" s="31">
        <f t="shared" si="28"/>
        <v>14.689895114545939</v>
      </c>
      <c r="AK75" s="31">
        <f t="shared" si="21"/>
        <v>103.97834306460858</v>
      </c>
      <c r="AL75" s="26">
        <v>42787</v>
      </c>
      <c r="AM75" s="26">
        <v>42789</v>
      </c>
      <c r="AN75" s="25"/>
      <c r="AO75" s="51">
        <f t="shared" si="22"/>
        <v>88.620423646645023</v>
      </c>
      <c r="AP75" s="51">
        <f t="shared" si="29"/>
        <v>11.379576353354977</v>
      </c>
      <c r="AQ75" s="51">
        <f t="shared" si="30"/>
        <v>14.689895114545939</v>
      </c>
      <c r="AR75" s="31">
        <f t="shared" si="23"/>
        <v>103.97834306460858</v>
      </c>
      <c r="AT75" s="51"/>
    </row>
    <row r="76" spans="1:51" s="4" customFormat="1">
      <c r="A76" s="7" t="s">
        <v>80</v>
      </c>
      <c r="B76" s="7" t="s">
        <v>196</v>
      </c>
      <c r="C76" s="4" t="s">
        <v>13</v>
      </c>
      <c r="D76" s="4">
        <v>6</v>
      </c>
      <c r="E76" s="4">
        <v>30</v>
      </c>
      <c r="G76">
        <v>2016</v>
      </c>
      <c r="H76" s="37">
        <v>174.78</v>
      </c>
      <c r="I76" s="37">
        <v>3.17</v>
      </c>
      <c r="J76" s="43">
        <f t="shared" si="24"/>
        <v>171.61</v>
      </c>
      <c r="K76" s="37">
        <v>53.32</v>
      </c>
      <c r="L76" s="37">
        <v>0</v>
      </c>
      <c r="M76" s="37">
        <v>0.33</v>
      </c>
      <c r="N76" s="37">
        <v>5.03</v>
      </c>
      <c r="O76" s="37">
        <v>5.64</v>
      </c>
      <c r="P76" s="37">
        <v>0</v>
      </c>
      <c r="Q76" s="37">
        <f t="shared" si="20"/>
        <v>3.9699999999999998</v>
      </c>
      <c r="R76" s="37">
        <v>391.42</v>
      </c>
      <c r="S76" s="44">
        <v>286.10000000000002</v>
      </c>
      <c r="T76" s="37">
        <f t="shared" si="25"/>
        <v>105.32</v>
      </c>
      <c r="U76" s="36">
        <f t="shared" si="31"/>
        <v>8.670000000000023</v>
      </c>
      <c r="V76" s="26">
        <v>42783</v>
      </c>
      <c r="W76" s="3" t="s">
        <v>655</v>
      </c>
      <c r="X76" s="32">
        <v>7.1769999999999996</v>
      </c>
      <c r="Y76" s="26">
        <v>42783</v>
      </c>
      <c r="Z76" s="5"/>
      <c r="AA76" s="32">
        <v>2.3650000000000002</v>
      </c>
      <c r="AB76" s="32">
        <v>52.015999999999998</v>
      </c>
      <c r="AC76" s="32">
        <f t="shared" si="19"/>
        <v>49.650999999999996</v>
      </c>
      <c r="AD76" s="32">
        <v>45.58</v>
      </c>
      <c r="AE76" s="31">
        <v>8.4333333333333371E-2</v>
      </c>
      <c r="AF76" s="31">
        <f t="shared" si="32"/>
        <v>43.29933333333333</v>
      </c>
      <c r="AG76" s="31">
        <f t="shared" si="33"/>
        <v>14.669201989253107</v>
      </c>
      <c r="AH76" s="31">
        <f t="shared" si="26"/>
        <v>87.207374138150968</v>
      </c>
      <c r="AI76" s="31">
        <f t="shared" si="27"/>
        <v>12.792625861849032</v>
      </c>
      <c r="AJ76" s="31">
        <f t="shared" si="28"/>
        <v>15.132397131981223</v>
      </c>
      <c r="AK76" s="31">
        <f t="shared" si="21"/>
        <v>91.846806442300604</v>
      </c>
      <c r="AL76" s="26">
        <v>42787</v>
      </c>
      <c r="AM76" s="26">
        <v>42789</v>
      </c>
      <c r="AN76" s="25"/>
      <c r="AO76" s="51">
        <f t="shared" si="22"/>
        <v>87.207374138150968</v>
      </c>
      <c r="AP76" s="51">
        <f t="shared" si="29"/>
        <v>12.792625861849032</v>
      </c>
      <c r="AQ76" s="51">
        <f t="shared" si="30"/>
        <v>15.132397131981223</v>
      </c>
      <c r="AR76" s="31">
        <f t="shared" si="23"/>
        <v>91.846806442300604</v>
      </c>
      <c r="AS76" s="8"/>
      <c r="AT76" s="51"/>
      <c r="AU76" s="8"/>
      <c r="AV76" s="8"/>
      <c r="AW76" s="8"/>
      <c r="AX76" s="8"/>
      <c r="AY76" s="8"/>
    </row>
    <row r="77" spans="1:51">
      <c r="A77" s="6" t="s">
        <v>81</v>
      </c>
      <c r="B77" s="6" t="s">
        <v>197</v>
      </c>
      <c r="C77" t="s">
        <v>12</v>
      </c>
      <c r="D77" s="8">
        <v>1</v>
      </c>
      <c r="E77">
        <v>5</v>
      </c>
      <c r="F77" t="s">
        <v>384</v>
      </c>
      <c r="G77" s="24">
        <v>42596</v>
      </c>
      <c r="H77" s="36">
        <v>52.62</v>
      </c>
      <c r="I77" s="36">
        <v>3.77</v>
      </c>
      <c r="J77" s="42">
        <f>H77-I77</f>
        <v>48.849999999999994</v>
      </c>
      <c r="K77" s="44">
        <v>8.9700000000000006</v>
      </c>
      <c r="L77" s="44">
        <v>0</v>
      </c>
      <c r="M77" s="44">
        <v>3.31</v>
      </c>
      <c r="N77" s="44">
        <v>3.37</v>
      </c>
      <c r="O77" s="44">
        <v>4.95</v>
      </c>
      <c r="P77" s="44">
        <v>0</v>
      </c>
      <c r="Q77" s="44">
        <f t="shared" si="20"/>
        <v>1.62</v>
      </c>
      <c r="R77" s="44">
        <v>319.39</v>
      </c>
      <c r="S77" s="44">
        <v>286.10000000000002</v>
      </c>
      <c r="T77" s="36">
        <f t="shared" si="25"/>
        <v>33.289999999999964</v>
      </c>
      <c r="U77" s="36">
        <f t="shared" si="31"/>
        <v>1.6600000000000286</v>
      </c>
      <c r="V77" s="26">
        <v>42783</v>
      </c>
      <c r="X77" s="31">
        <v>4.6719999999999997</v>
      </c>
      <c r="Y77" s="26">
        <v>42783</v>
      </c>
      <c r="AA77" s="31">
        <v>2.4049999999999998</v>
      </c>
      <c r="AB77" s="31">
        <v>15.589</v>
      </c>
      <c r="AC77" s="31">
        <f t="shared" si="19"/>
        <v>13.184000000000001</v>
      </c>
      <c r="AD77" s="31">
        <v>8.9779999999999998</v>
      </c>
      <c r="AE77" s="31">
        <v>8.4333333333333371E-2</v>
      </c>
      <c r="AF77" s="31">
        <f t="shared" si="32"/>
        <v>6.6573333333333338</v>
      </c>
      <c r="AG77" s="31">
        <f t="shared" si="33"/>
        <v>98.037252153014222</v>
      </c>
      <c r="AH77" s="31">
        <f t="shared" si="26"/>
        <v>50.495550161812297</v>
      </c>
      <c r="AI77" s="31">
        <f t="shared" si="27"/>
        <v>49.504449838187703</v>
      </c>
      <c r="AJ77" s="31">
        <f t="shared" si="28"/>
        <v>19.742374595469254</v>
      </c>
      <c r="AK77" s="31">
        <f t="shared" si="21"/>
        <v>16.809968648867294</v>
      </c>
      <c r="AL77" s="26">
        <v>42787</v>
      </c>
      <c r="AM77" s="26">
        <v>42789</v>
      </c>
      <c r="AN77" s="25"/>
      <c r="AO77" s="51">
        <f t="shared" si="22"/>
        <v>50.495550161812297</v>
      </c>
      <c r="AP77" s="51">
        <f t="shared" si="29"/>
        <v>49.504449838187703</v>
      </c>
      <c r="AQ77" s="51">
        <f t="shared" si="30"/>
        <v>19.742374595469254</v>
      </c>
      <c r="AR77" s="31">
        <f t="shared" si="23"/>
        <v>16.809968648867294</v>
      </c>
      <c r="AT77" s="51"/>
    </row>
    <row r="78" spans="1:51">
      <c r="A78" s="6" t="s">
        <v>82</v>
      </c>
      <c r="B78" s="6" t="s">
        <v>197</v>
      </c>
      <c r="C78" t="s">
        <v>12</v>
      </c>
      <c r="D78" s="8">
        <v>1</v>
      </c>
      <c r="E78">
        <v>10</v>
      </c>
      <c r="G78" s="24">
        <v>42596</v>
      </c>
      <c r="H78" s="36">
        <v>59.34</v>
      </c>
      <c r="I78" s="36">
        <v>3.8</v>
      </c>
      <c r="J78" s="42">
        <f t="shared" si="24"/>
        <v>55.540000000000006</v>
      </c>
      <c r="K78" s="44">
        <v>0.74</v>
      </c>
      <c r="L78" s="44">
        <v>0</v>
      </c>
      <c r="M78" s="44">
        <v>7.71</v>
      </c>
      <c r="N78" s="44">
        <v>3.48</v>
      </c>
      <c r="O78" s="44">
        <v>5.99</v>
      </c>
      <c r="P78" s="44">
        <v>0</v>
      </c>
      <c r="Q78" s="44">
        <f t="shared" si="20"/>
        <v>2.77</v>
      </c>
      <c r="R78" s="44">
        <v>328.91</v>
      </c>
      <c r="S78" s="44">
        <v>286.10000000000002</v>
      </c>
      <c r="T78" s="36">
        <f t="shared" si="25"/>
        <v>42.81</v>
      </c>
      <c r="U78" s="36">
        <f t="shared" si="31"/>
        <v>1.5100000000000044</v>
      </c>
      <c r="V78" s="26">
        <v>42783</v>
      </c>
      <c r="W78" s="3" t="s">
        <v>654</v>
      </c>
      <c r="X78" s="31">
        <v>6.5960000000000001</v>
      </c>
      <c r="Y78" s="26">
        <v>42783</v>
      </c>
      <c r="Z78" s="3" t="s">
        <v>657</v>
      </c>
      <c r="AA78" s="31">
        <v>2.4119999999999999</v>
      </c>
      <c r="AB78" s="31">
        <v>21.262</v>
      </c>
      <c r="AC78" s="31">
        <f t="shared" si="19"/>
        <v>18.850000000000001</v>
      </c>
      <c r="AD78" s="31">
        <v>12.612</v>
      </c>
      <c r="AE78" s="31">
        <v>8.4333333333333371E-2</v>
      </c>
      <c r="AF78" s="31">
        <f t="shared" si="32"/>
        <v>10.284333333333333</v>
      </c>
      <c r="AG78" s="31">
        <f t="shared" si="33"/>
        <v>83.288497066735829</v>
      </c>
      <c r="AH78" s="31">
        <f t="shared" si="26"/>
        <v>54.558797524314762</v>
      </c>
      <c r="AI78" s="31">
        <f t="shared" si="27"/>
        <v>45.441202475685238</v>
      </c>
      <c r="AJ78" s="31">
        <f t="shared" si="28"/>
        <v>24.901778956675511</v>
      </c>
      <c r="AK78" s="31">
        <f t="shared" si="21"/>
        <v>23.356621220159152</v>
      </c>
      <c r="AL78" s="26">
        <v>42787</v>
      </c>
      <c r="AM78" s="26">
        <v>42789</v>
      </c>
      <c r="AN78" s="25"/>
      <c r="AO78" s="51">
        <f t="shared" si="22"/>
        <v>54.558797524314762</v>
      </c>
      <c r="AP78" s="51">
        <f t="shared" si="29"/>
        <v>45.441202475685238</v>
      </c>
      <c r="AQ78" s="51">
        <f t="shared" si="30"/>
        <v>24.901778956675511</v>
      </c>
      <c r="AR78" s="31">
        <f t="shared" si="23"/>
        <v>23.356621220159152</v>
      </c>
      <c r="AT78" s="51"/>
    </row>
    <row r="79" spans="1:51">
      <c r="A79" s="6" t="s">
        <v>83</v>
      </c>
      <c r="B79" s="6" t="s">
        <v>197</v>
      </c>
      <c r="C79" t="s">
        <v>12</v>
      </c>
      <c r="D79" s="8">
        <v>1</v>
      </c>
      <c r="E79">
        <v>20</v>
      </c>
      <c r="G79" s="24">
        <v>42596</v>
      </c>
      <c r="H79" s="36">
        <v>63.46</v>
      </c>
      <c r="I79" s="36">
        <v>3.74</v>
      </c>
      <c r="J79" s="42">
        <f>H79-I79</f>
        <v>59.72</v>
      </c>
      <c r="K79" s="44">
        <v>4.6399999999999997</v>
      </c>
      <c r="L79" s="44">
        <v>0</v>
      </c>
      <c r="M79" s="44">
        <v>2.33</v>
      </c>
      <c r="N79" s="44">
        <v>0</v>
      </c>
      <c r="O79" s="44">
        <v>4.71</v>
      </c>
      <c r="P79" s="44">
        <v>0</v>
      </c>
      <c r="Q79" s="44">
        <f t="shared" si="20"/>
        <v>1.3599999999999999</v>
      </c>
      <c r="R79" s="44">
        <v>336.42</v>
      </c>
      <c r="S79" s="44">
        <v>286.10000000000002</v>
      </c>
      <c r="T79" s="36">
        <f t="shared" si="25"/>
        <v>50.319999999999993</v>
      </c>
      <c r="U79" s="36">
        <f t="shared" si="31"/>
        <v>1.0700000000000065</v>
      </c>
      <c r="V79" s="26">
        <v>42783</v>
      </c>
      <c r="X79" s="31">
        <v>5.0890000000000004</v>
      </c>
      <c r="Y79" s="26">
        <v>42783</v>
      </c>
      <c r="AA79" s="31">
        <v>2.4369999999999998</v>
      </c>
      <c r="AB79" s="31">
        <v>22.702000000000002</v>
      </c>
      <c r="AC79" s="31">
        <f t="shared" si="19"/>
        <v>20.265000000000001</v>
      </c>
      <c r="AD79" s="31">
        <v>14.851000000000001</v>
      </c>
      <c r="AE79" s="31">
        <v>8.4333333333333371E-2</v>
      </c>
      <c r="AF79" s="31">
        <f t="shared" si="32"/>
        <v>12.498333333333335</v>
      </c>
      <c r="AG79" s="31">
        <f t="shared" si="33"/>
        <v>62.141618882517648</v>
      </c>
      <c r="AH79" s="31">
        <f t="shared" si="26"/>
        <v>61.674479809194835</v>
      </c>
      <c r="AI79" s="31">
        <f t="shared" si="27"/>
        <v>38.325520190805165</v>
      </c>
      <c r="AJ79" s="31">
        <f t="shared" si="28"/>
        <v>21.109696521095483</v>
      </c>
      <c r="AK79" s="31">
        <f t="shared" si="21"/>
        <v>31.034598239986838</v>
      </c>
      <c r="AL79" s="26">
        <v>42787</v>
      </c>
      <c r="AM79" s="26">
        <v>42789</v>
      </c>
      <c r="AN79" s="25"/>
      <c r="AO79" s="51">
        <f t="shared" si="22"/>
        <v>61.674479809194835</v>
      </c>
      <c r="AP79" s="51">
        <f t="shared" si="29"/>
        <v>38.325520190805165</v>
      </c>
      <c r="AQ79" s="51">
        <f t="shared" si="30"/>
        <v>21.109696521095483</v>
      </c>
      <c r="AR79" s="31">
        <f t="shared" si="23"/>
        <v>31.034598239986838</v>
      </c>
      <c r="AT79" s="51"/>
    </row>
    <row r="80" spans="1:51">
      <c r="A80" s="6" t="s">
        <v>84</v>
      </c>
      <c r="B80" s="6" t="s">
        <v>197</v>
      </c>
      <c r="C80" t="s">
        <v>12</v>
      </c>
      <c r="D80" s="8">
        <v>2</v>
      </c>
      <c r="E80">
        <v>5</v>
      </c>
      <c r="G80" s="24">
        <v>42596</v>
      </c>
      <c r="H80" s="36">
        <v>53.61</v>
      </c>
      <c r="I80" s="36">
        <v>4.07</v>
      </c>
      <c r="J80" s="42">
        <f t="shared" si="24"/>
        <v>49.54</v>
      </c>
      <c r="K80" s="44">
        <v>0</v>
      </c>
      <c r="L80" s="44">
        <v>0</v>
      </c>
      <c r="M80" s="44">
        <v>4.09</v>
      </c>
      <c r="N80" s="44">
        <v>3.37</v>
      </c>
      <c r="O80" s="44">
        <v>4.99</v>
      </c>
      <c r="P80" s="44">
        <v>0</v>
      </c>
      <c r="Q80" s="44">
        <f t="shared" si="20"/>
        <v>1.6600000000000001</v>
      </c>
      <c r="R80" s="44">
        <v>328.17</v>
      </c>
      <c r="S80" s="44">
        <v>286.10000000000002</v>
      </c>
      <c r="T80" s="36">
        <f t="shared" si="25"/>
        <v>42.069999999999993</v>
      </c>
      <c r="U80" s="36">
        <f t="shared" si="31"/>
        <v>1.720000000000006</v>
      </c>
      <c r="V80" s="26">
        <v>42783</v>
      </c>
      <c r="X80" s="31">
        <v>4.7370000000000001</v>
      </c>
      <c r="Y80" s="26">
        <v>42783</v>
      </c>
      <c r="AA80" s="31">
        <v>2.4249999999999998</v>
      </c>
      <c r="AB80" s="31">
        <v>18.474</v>
      </c>
      <c r="AC80" s="31">
        <f t="shared" si="19"/>
        <v>16.048999999999999</v>
      </c>
      <c r="AD80" s="31">
        <v>10.263999999999999</v>
      </c>
      <c r="AE80" s="31">
        <v>8.4333333333333371E-2</v>
      </c>
      <c r="AF80" s="31">
        <f t="shared" si="32"/>
        <v>7.9233333333333329</v>
      </c>
      <c r="AG80" s="31">
        <f t="shared" si="33"/>
        <v>102.55363904080775</v>
      </c>
      <c r="AH80" s="31">
        <f t="shared" si="26"/>
        <v>49.369638814464032</v>
      </c>
      <c r="AI80" s="31">
        <f t="shared" si="27"/>
        <v>50.630361185535968</v>
      </c>
      <c r="AJ80" s="31">
        <f t="shared" si="28"/>
        <v>25.082280931314518</v>
      </c>
      <c r="AK80" s="31">
        <f t="shared" si="21"/>
        <v>20.769807049245017</v>
      </c>
      <c r="AL80" s="26">
        <v>42787</v>
      </c>
      <c r="AM80" s="26">
        <v>42789</v>
      </c>
      <c r="AN80" s="25"/>
      <c r="AO80" s="51">
        <f t="shared" si="22"/>
        <v>49.369638814464032</v>
      </c>
      <c r="AP80" s="51">
        <f t="shared" si="29"/>
        <v>50.630361185535968</v>
      </c>
      <c r="AQ80" s="51">
        <f t="shared" si="30"/>
        <v>25.082280931314518</v>
      </c>
      <c r="AR80" s="31">
        <f t="shared" si="23"/>
        <v>20.769807049245017</v>
      </c>
      <c r="AT80" s="51"/>
    </row>
    <row r="81" spans="1:46">
      <c r="A81" s="6" t="s">
        <v>85</v>
      </c>
      <c r="B81" s="6" t="s">
        <v>197</v>
      </c>
      <c r="C81" t="s">
        <v>12</v>
      </c>
      <c r="D81" s="8">
        <v>2</v>
      </c>
      <c r="E81">
        <v>10</v>
      </c>
      <c r="G81" s="24">
        <v>42596</v>
      </c>
      <c r="H81" s="36">
        <v>70.94</v>
      </c>
      <c r="I81" s="36">
        <v>3.93</v>
      </c>
      <c r="J81" s="42">
        <f t="shared" si="24"/>
        <v>67.009999999999991</v>
      </c>
      <c r="K81" s="44">
        <v>0.43</v>
      </c>
      <c r="L81" s="44">
        <v>0</v>
      </c>
      <c r="M81" s="44">
        <v>4.92</v>
      </c>
      <c r="N81" s="44">
        <v>3.61</v>
      </c>
      <c r="O81" s="44">
        <v>6.9</v>
      </c>
      <c r="P81" s="44">
        <v>0</v>
      </c>
      <c r="Q81" s="44">
        <f t="shared" si="20"/>
        <v>3.81</v>
      </c>
      <c r="R81" s="44">
        <v>341.99</v>
      </c>
      <c r="S81" s="44">
        <v>286.10000000000002</v>
      </c>
      <c r="T81" s="36">
        <f t="shared" si="25"/>
        <v>55.889999999999986</v>
      </c>
      <c r="U81" s="36">
        <f t="shared" si="31"/>
        <v>1.9600000000000042</v>
      </c>
      <c r="V81" s="26">
        <v>42783</v>
      </c>
      <c r="X81" s="31">
        <v>4.7279999999999998</v>
      </c>
      <c r="Y81" s="26">
        <v>42783</v>
      </c>
      <c r="AA81" s="31">
        <v>2.42</v>
      </c>
      <c r="AB81" s="31">
        <v>26.556999999999999</v>
      </c>
      <c r="AC81" s="31">
        <f t="shared" si="19"/>
        <v>24.137</v>
      </c>
      <c r="AD81" s="31">
        <v>14.346</v>
      </c>
      <c r="AE81" s="31">
        <v>8.4333333333333371E-2</v>
      </c>
      <c r="AF81" s="31">
        <f t="shared" si="32"/>
        <v>12.010333333333334</v>
      </c>
      <c r="AG81" s="31">
        <f t="shared" si="33"/>
        <v>100.96861036329828</v>
      </c>
      <c r="AH81" s="31">
        <f t="shared" si="26"/>
        <v>49.759014514369362</v>
      </c>
      <c r="AI81" s="31">
        <f t="shared" si="27"/>
        <v>50.240985485630638</v>
      </c>
      <c r="AJ81" s="31">
        <f t="shared" si="28"/>
        <v>33.450448136332874</v>
      </c>
      <c r="AK81" s="31">
        <f t="shared" si="21"/>
        <v>27.810313212081027</v>
      </c>
      <c r="AL81" s="26">
        <v>42787</v>
      </c>
      <c r="AM81" s="26">
        <v>42789</v>
      </c>
      <c r="AN81" s="25"/>
      <c r="AO81" s="51">
        <f t="shared" si="22"/>
        <v>49.759014514369362</v>
      </c>
      <c r="AP81" s="51">
        <f t="shared" si="29"/>
        <v>50.240985485630638</v>
      </c>
      <c r="AQ81" s="51">
        <f t="shared" si="30"/>
        <v>33.450448136332874</v>
      </c>
      <c r="AR81" s="31">
        <f t="shared" si="23"/>
        <v>27.810313212081027</v>
      </c>
      <c r="AT81" s="51"/>
    </row>
    <row r="82" spans="1:46">
      <c r="A82" s="6" t="s">
        <v>86</v>
      </c>
      <c r="B82" s="6" t="s">
        <v>197</v>
      </c>
      <c r="C82" t="s">
        <v>12</v>
      </c>
      <c r="D82" s="8">
        <v>2</v>
      </c>
      <c r="E82">
        <v>20</v>
      </c>
      <c r="G82" s="24">
        <v>42596</v>
      </c>
      <c r="H82" s="36">
        <v>77.930000000000007</v>
      </c>
      <c r="I82" s="36">
        <v>3.99</v>
      </c>
      <c r="J82" s="42">
        <f t="shared" si="24"/>
        <v>73.940000000000012</v>
      </c>
      <c r="K82" s="44">
        <v>0.59</v>
      </c>
      <c r="L82" s="44">
        <v>0</v>
      </c>
      <c r="M82" s="44">
        <v>1.83</v>
      </c>
      <c r="N82" s="44">
        <v>3.67</v>
      </c>
      <c r="O82" s="44">
        <v>7.18</v>
      </c>
      <c r="P82" s="44">
        <v>0</v>
      </c>
      <c r="Q82" s="44">
        <f t="shared" si="20"/>
        <v>4.1499999999999995</v>
      </c>
      <c r="R82" s="44">
        <v>352.16</v>
      </c>
      <c r="S82" s="44">
        <v>286.10000000000002</v>
      </c>
      <c r="T82" s="36">
        <f t="shared" si="25"/>
        <v>66.06</v>
      </c>
      <c r="U82" s="36">
        <f t="shared" si="31"/>
        <v>1.3100000000000103</v>
      </c>
      <c r="V82" s="26">
        <v>42783</v>
      </c>
      <c r="X82" s="31">
        <v>4.726</v>
      </c>
      <c r="Y82" s="26">
        <v>42783</v>
      </c>
      <c r="AA82" s="31">
        <v>2.4020000000000001</v>
      </c>
      <c r="AB82" s="31">
        <v>31.943999999999999</v>
      </c>
      <c r="AC82" s="31">
        <f t="shared" si="19"/>
        <v>29.541999999999998</v>
      </c>
      <c r="AD82" s="31">
        <v>16.442</v>
      </c>
      <c r="AE82" s="31">
        <v>8.4333333333333371E-2</v>
      </c>
      <c r="AF82" s="31">
        <f t="shared" si="32"/>
        <v>14.124333333333333</v>
      </c>
      <c r="AG82" s="31">
        <f t="shared" si="33"/>
        <v>109.15677436103179</v>
      </c>
      <c r="AH82" s="31">
        <f t="shared" si="26"/>
        <v>47.811026109719492</v>
      </c>
      <c r="AI82" s="31">
        <f t="shared" si="27"/>
        <v>52.188973890280508</v>
      </c>
      <c r="AJ82" s="31">
        <f t="shared" si="28"/>
        <v>38.280612348520755</v>
      </c>
      <c r="AK82" s="31">
        <f t="shared" si="21"/>
        <v>31.583963848080696</v>
      </c>
      <c r="AL82" s="26">
        <v>42787</v>
      </c>
      <c r="AM82" s="26">
        <v>42789</v>
      </c>
      <c r="AN82" s="25"/>
      <c r="AO82" s="51">
        <f t="shared" si="22"/>
        <v>47.811026109719492</v>
      </c>
      <c r="AP82" s="51">
        <f t="shared" si="29"/>
        <v>52.188973890280508</v>
      </c>
      <c r="AQ82" s="51">
        <f t="shared" si="30"/>
        <v>38.280612348520755</v>
      </c>
      <c r="AR82" s="31">
        <f t="shared" si="23"/>
        <v>31.583963848080696</v>
      </c>
      <c r="AT82" s="51"/>
    </row>
    <row r="83" spans="1:46">
      <c r="A83" s="6" t="s">
        <v>87</v>
      </c>
      <c r="B83" s="6" t="s">
        <v>197</v>
      </c>
      <c r="C83" t="s">
        <v>12</v>
      </c>
      <c r="D83" s="8">
        <v>3</v>
      </c>
      <c r="E83">
        <v>5</v>
      </c>
      <c r="G83" s="24">
        <v>42596</v>
      </c>
      <c r="H83" s="36">
        <v>40.380000000000003</v>
      </c>
      <c r="I83" s="36">
        <v>3.82</v>
      </c>
      <c r="J83" s="42">
        <f t="shared" si="24"/>
        <v>36.56</v>
      </c>
      <c r="K83" s="38">
        <v>3.12</v>
      </c>
      <c r="L83" s="44">
        <v>0</v>
      </c>
      <c r="M83" s="44">
        <v>10.38</v>
      </c>
      <c r="N83" s="38">
        <v>0</v>
      </c>
      <c r="O83" s="38">
        <v>4</v>
      </c>
      <c r="P83" s="44">
        <v>3.94</v>
      </c>
      <c r="Q83" s="44">
        <f t="shared" si="20"/>
        <v>1.2399999999999998</v>
      </c>
      <c r="R83" s="44">
        <v>306.51</v>
      </c>
      <c r="S83" s="44">
        <v>286.20999999999998</v>
      </c>
      <c r="T83" s="36">
        <f t="shared" si="25"/>
        <v>20.300000000000011</v>
      </c>
      <c r="U83" s="36">
        <f t="shared" si="31"/>
        <v>1.5199999999999898</v>
      </c>
      <c r="V83" s="26">
        <v>42768</v>
      </c>
      <c r="W83" s="3" t="s">
        <v>478</v>
      </c>
      <c r="X83" s="31">
        <v>4.8899999999999997</v>
      </c>
      <c r="Y83" s="26">
        <v>42769</v>
      </c>
      <c r="Z83" s="3" t="s">
        <v>507</v>
      </c>
      <c r="AA83" s="31">
        <v>2.3839999999999999</v>
      </c>
      <c r="AB83" s="31">
        <v>11.978999999999999</v>
      </c>
      <c r="AC83" s="31">
        <f t="shared" si="19"/>
        <v>9.5949999999999989</v>
      </c>
      <c r="AD83" s="31">
        <v>6.5110000000000001</v>
      </c>
      <c r="AE83" s="31">
        <v>7.4833333333333599E-2</v>
      </c>
      <c r="AF83" s="31">
        <f t="shared" si="32"/>
        <v>4.201833333333334</v>
      </c>
      <c r="AG83" s="31">
        <f t="shared" si="33"/>
        <v>128.35270318511755</v>
      </c>
      <c r="AH83" s="31">
        <f t="shared" si="26"/>
        <v>43.791905506340115</v>
      </c>
      <c r="AI83" s="31">
        <f t="shared" si="27"/>
        <v>56.208094493659885</v>
      </c>
      <c r="AJ83" s="31">
        <f t="shared" si="28"/>
        <v>18.795986798679866</v>
      </c>
      <c r="AK83" s="31">
        <f t="shared" si="21"/>
        <v>8.8897568177870472</v>
      </c>
      <c r="AL83" s="26">
        <v>42770</v>
      </c>
      <c r="AM83" s="26">
        <v>42772</v>
      </c>
      <c r="AN83" s="25"/>
      <c r="AO83" s="51">
        <f t="shared" si="22"/>
        <v>43.791905506340115</v>
      </c>
      <c r="AP83" s="51">
        <f t="shared" si="29"/>
        <v>56.208094493659885</v>
      </c>
      <c r="AQ83" s="51">
        <f t="shared" si="30"/>
        <v>18.795986798679866</v>
      </c>
      <c r="AR83" s="31">
        <f t="shared" si="23"/>
        <v>8.8897568177870472</v>
      </c>
      <c r="AT83" s="51"/>
    </row>
    <row r="84" spans="1:46">
      <c r="A84" s="6" t="s">
        <v>88</v>
      </c>
      <c r="B84" s="6" t="s">
        <v>197</v>
      </c>
      <c r="C84" t="s">
        <v>12</v>
      </c>
      <c r="D84" s="8">
        <v>3</v>
      </c>
      <c r="E84">
        <v>10</v>
      </c>
      <c r="G84" s="24">
        <v>42596</v>
      </c>
      <c r="H84" s="36">
        <v>162.49</v>
      </c>
      <c r="I84" s="36">
        <v>3.88</v>
      </c>
      <c r="J84" s="42">
        <f t="shared" si="24"/>
        <v>158.61000000000001</v>
      </c>
      <c r="K84" s="38">
        <v>55.19</v>
      </c>
      <c r="L84" s="38">
        <v>0</v>
      </c>
      <c r="M84" s="44">
        <v>0.35</v>
      </c>
      <c r="N84" s="38">
        <v>0</v>
      </c>
      <c r="O84" s="38">
        <v>3.67</v>
      </c>
      <c r="P84" s="44">
        <v>3.59</v>
      </c>
      <c r="Q84" s="44">
        <f t="shared" si="20"/>
        <v>0.55999999999999961</v>
      </c>
      <c r="R84" s="44">
        <v>388.15</v>
      </c>
      <c r="S84" s="44">
        <v>286.20999999999998</v>
      </c>
      <c r="T84" s="36">
        <f t="shared" si="25"/>
        <v>101.94</v>
      </c>
      <c r="U84" s="36">
        <f t="shared" si="31"/>
        <v>0.5700000000000145</v>
      </c>
      <c r="V84" s="26">
        <v>42768</v>
      </c>
      <c r="X84" s="31">
        <v>6.4870000000000001</v>
      </c>
      <c r="Y84" s="26">
        <v>42769</v>
      </c>
      <c r="Z84" s="3" t="s">
        <v>507</v>
      </c>
      <c r="AA84" s="31">
        <v>2.3849999999999998</v>
      </c>
      <c r="AB84" s="31">
        <v>47.427</v>
      </c>
      <c r="AC84" s="31">
        <f t="shared" ref="AC84:AC115" si="34">AB84-AA84</f>
        <v>45.042000000000002</v>
      </c>
      <c r="AD84" s="31">
        <v>45.171999999999997</v>
      </c>
      <c r="AE84" s="31">
        <v>7.4833333333333599E-2</v>
      </c>
      <c r="AF84" s="31">
        <f t="shared" si="32"/>
        <v>42.86183333333333</v>
      </c>
      <c r="AG84" s="31">
        <f t="shared" si="33"/>
        <v>5.0864988665129554</v>
      </c>
      <c r="AH84" s="31">
        <f t="shared" si="26"/>
        <v>95.159702795908998</v>
      </c>
      <c r="AI84" s="31">
        <f t="shared" si="27"/>
        <v>4.8402972040910015</v>
      </c>
      <c r="AJ84" s="31">
        <f t="shared" si="28"/>
        <v>5.0058353684709145</v>
      </c>
      <c r="AK84" s="31">
        <f t="shared" si="21"/>
        <v>97.005801030149627</v>
      </c>
      <c r="AL84" s="26">
        <v>42770</v>
      </c>
      <c r="AM84" s="26">
        <v>42772</v>
      </c>
      <c r="AN84" s="25"/>
      <c r="AO84" s="51">
        <f t="shared" si="22"/>
        <v>95.159702795908998</v>
      </c>
      <c r="AP84" s="51">
        <f t="shared" si="29"/>
        <v>4.8402972040910015</v>
      </c>
      <c r="AQ84" s="51">
        <f t="shared" si="30"/>
        <v>5.0058353684709145</v>
      </c>
      <c r="AR84" s="31">
        <f t="shared" si="23"/>
        <v>97.005801030149627</v>
      </c>
      <c r="AT84" s="51"/>
    </row>
    <row r="85" spans="1:46">
      <c r="A85" s="6" t="s">
        <v>89</v>
      </c>
      <c r="B85" s="6" t="s">
        <v>197</v>
      </c>
      <c r="C85" t="s">
        <v>12</v>
      </c>
      <c r="D85" s="8">
        <v>3</v>
      </c>
      <c r="E85">
        <v>20</v>
      </c>
      <c r="G85" s="24">
        <v>42596</v>
      </c>
      <c r="H85" s="36">
        <v>140.36000000000001</v>
      </c>
      <c r="I85" s="36">
        <v>3.84</v>
      </c>
      <c r="J85" s="42">
        <f t="shared" si="24"/>
        <v>136.52000000000001</v>
      </c>
      <c r="K85" s="38">
        <v>51.77</v>
      </c>
      <c r="L85" s="44">
        <v>0</v>
      </c>
      <c r="M85" s="44">
        <v>1.8</v>
      </c>
      <c r="N85" s="38">
        <v>0</v>
      </c>
      <c r="O85" s="38">
        <v>3.72</v>
      </c>
      <c r="P85" s="44">
        <v>3.77</v>
      </c>
      <c r="Q85" s="44">
        <f t="shared" si="20"/>
        <v>0.79</v>
      </c>
      <c r="R85" s="44">
        <v>367.49</v>
      </c>
      <c r="S85" s="44">
        <v>286.14999999999998</v>
      </c>
      <c r="T85" s="36">
        <f t="shared" si="25"/>
        <v>81.340000000000032</v>
      </c>
      <c r="U85" s="36">
        <f t="shared" si="31"/>
        <v>0.81999999999997897</v>
      </c>
      <c r="V85" s="26">
        <v>42768</v>
      </c>
      <c r="X85" s="31">
        <v>6.157</v>
      </c>
      <c r="Y85" s="26">
        <v>42769</v>
      </c>
      <c r="AA85" s="31">
        <v>2.3809999999999998</v>
      </c>
      <c r="AB85" s="31">
        <v>39.470999999999997</v>
      </c>
      <c r="AC85" s="31">
        <f t="shared" si="34"/>
        <v>37.089999999999996</v>
      </c>
      <c r="AD85" s="31">
        <v>35.584000000000003</v>
      </c>
      <c r="AE85" s="31">
        <v>7.4833333333333599E-2</v>
      </c>
      <c r="AF85" s="31">
        <f t="shared" si="32"/>
        <v>33.277833333333334</v>
      </c>
      <c r="AG85" s="31">
        <f t="shared" si="33"/>
        <v>11.455573529927316</v>
      </c>
      <c r="AH85" s="31">
        <f t="shared" si="26"/>
        <v>89.721847757706485</v>
      </c>
      <c r="AI85" s="31">
        <f t="shared" si="27"/>
        <v>10.278152242293515</v>
      </c>
      <c r="AJ85" s="31">
        <f t="shared" si="28"/>
        <v>8.7107340253437542</v>
      </c>
      <c r="AK85" s="31">
        <f t="shared" si="21"/>
        <v>72.979750966118488</v>
      </c>
      <c r="AL85" s="26">
        <v>42770</v>
      </c>
      <c r="AM85" s="26">
        <v>42772</v>
      </c>
      <c r="AN85" s="25"/>
      <c r="AO85" s="51">
        <f t="shared" si="22"/>
        <v>89.721847757706485</v>
      </c>
      <c r="AP85" s="51">
        <f t="shared" si="29"/>
        <v>10.278152242293515</v>
      </c>
      <c r="AQ85" s="51">
        <f t="shared" si="30"/>
        <v>8.7107340253437542</v>
      </c>
      <c r="AR85" s="31">
        <f t="shared" si="23"/>
        <v>72.979750966118488</v>
      </c>
      <c r="AT85" s="51"/>
    </row>
    <row r="86" spans="1:46">
      <c r="A86" s="6" t="s">
        <v>90</v>
      </c>
      <c r="B86" s="6" t="s">
        <v>197</v>
      </c>
      <c r="C86" t="s">
        <v>12</v>
      </c>
      <c r="D86" s="8">
        <v>3</v>
      </c>
      <c r="E86">
        <v>30</v>
      </c>
      <c r="G86" s="24">
        <v>42596</v>
      </c>
      <c r="H86" s="36">
        <v>239.38</v>
      </c>
      <c r="I86" s="36">
        <v>3.73</v>
      </c>
      <c r="J86" s="42">
        <f t="shared" si="24"/>
        <v>235.65</v>
      </c>
      <c r="K86" s="38">
        <v>72.23</v>
      </c>
      <c r="L86" s="38">
        <v>0</v>
      </c>
      <c r="M86" s="38">
        <v>0.34</v>
      </c>
      <c r="N86" s="38">
        <v>0</v>
      </c>
      <c r="O86" s="38">
        <v>3.41</v>
      </c>
      <c r="P86" s="38">
        <v>0</v>
      </c>
      <c r="Q86" s="44">
        <f t="shared" si="20"/>
        <v>6.0000000000000053E-2</v>
      </c>
      <c r="R86" s="44">
        <v>448.55</v>
      </c>
      <c r="S86" s="44">
        <v>286.14999999999998</v>
      </c>
      <c r="T86" s="36">
        <f t="shared" si="25"/>
        <v>162.40000000000003</v>
      </c>
      <c r="U86" s="36">
        <f t="shared" si="31"/>
        <v>0.61999999999996191</v>
      </c>
      <c r="V86" s="26">
        <v>42768</v>
      </c>
      <c r="X86" s="31">
        <v>6.6840000000000002</v>
      </c>
      <c r="Y86" s="26">
        <v>42769</v>
      </c>
      <c r="AA86" s="31">
        <v>2.387</v>
      </c>
      <c r="AB86" s="31">
        <v>87.74</v>
      </c>
      <c r="AC86" s="31">
        <f t="shared" si="34"/>
        <v>85.352999999999994</v>
      </c>
      <c r="AD86" s="31">
        <v>84.147999999999996</v>
      </c>
      <c r="AE86" s="31">
        <v>7.4833333333333599E-2</v>
      </c>
      <c r="AF86" s="31">
        <f t="shared" si="32"/>
        <v>81.835833333333326</v>
      </c>
      <c r="AG86" s="31">
        <f t="shared" si="33"/>
        <v>4.2978320417909863</v>
      </c>
      <c r="AH86" s="31">
        <f t="shared" si="26"/>
        <v>95.879270011989419</v>
      </c>
      <c r="AI86" s="31">
        <f t="shared" si="27"/>
        <v>4.1207299880105808</v>
      </c>
      <c r="AJ86" s="31">
        <f t="shared" si="28"/>
        <v>6.7340969464068916</v>
      </c>
      <c r="AK86" s="31">
        <f t="shared" si="21"/>
        <v>155.70793449947084</v>
      </c>
      <c r="AL86" s="26">
        <v>42770</v>
      </c>
      <c r="AM86" s="26">
        <v>42772</v>
      </c>
      <c r="AN86" s="25"/>
      <c r="AO86" s="51">
        <f t="shared" si="22"/>
        <v>95.879270011989419</v>
      </c>
      <c r="AP86" s="51">
        <f t="shared" si="29"/>
        <v>4.1207299880105808</v>
      </c>
      <c r="AQ86" s="51">
        <f t="shared" si="30"/>
        <v>6.7340969464068916</v>
      </c>
      <c r="AR86" s="31">
        <f t="shared" si="23"/>
        <v>155.70793449947084</v>
      </c>
      <c r="AT86" s="51"/>
    </row>
    <row r="87" spans="1:46">
      <c r="A87" s="6" t="s">
        <v>91</v>
      </c>
      <c r="B87" s="6" t="s">
        <v>197</v>
      </c>
      <c r="C87" t="s">
        <v>12</v>
      </c>
      <c r="D87" s="8">
        <v>4</v>
      </c>
      <c r="E87">
        <v>5</v>
      </c>
      <c r="G87" s="24">
        <v>42596</v>
      </c>
      <c r="H87" s="36">
        <v>61.44</v>
      </c>
      <c r="I87" s="36">
        <v>3.83</v>
      </c>
      <c r="J87" s="42">
        <f t="shared" si="24"/>
        <v>57.61</v>
      </c>
      <c r="K87" s="44">
        <v>10.9</v>
      </c>
      <c r="L87" s="44">
        <v>0</v>
      </c>
      <c r="M87" s="44">
        <v>2.27</v>
      </c>
      <c r="N87" s="44">
        <v>3.49</v>
      </c>
      <c r="O87" s="44">
        <v>4.5999999999999996</v>
      </c>
      <c r="P87" s="44">
        <v>4.51</v>
      </c>
      <c r="Q87" s="44">
        <f t="shared" si="20"/>
        <v>2.5499999999999994</v>
      </c>
      <c r="R87" s="44">
        <v>327.07</v>
      </c>
      <c r="S87" s="44">
        <v>286</v>
      </c>
      <c r="T87" s="36">
        <f t="shared" si="25"/>
        <v>41.069999999999993</v>
      </c>
      <c r="U87" s="36">
        <f t="shared" si="31"/>
        <v>0.82000000000000739</v>
      </c>
      <c r="V87" s="26">
        <v>42790</v>
      </c>
      <c r="W87" s="3" t="s">
        <v>668</v>
      </c>
      <c r="X87" s="31">
        <v>6.4630000000000001</v>
      </c>
      <c r="Y87" s="26">
        <v>42790</v>
      </c>
      <c r="AA87" s="31">
        <v>2.4060000000000001</v>
      </c>
      <c r="AB87" s="31">
        <v>19.114999999999998</v>
      </c>
      <c r="AC87" s="31">
        <f t="shared" si="34"/>
        <v>16.709</v>
      </c>
      <c r="AD87" s="31">
        <v>14.938000000000001</v>
      </c>
      <c r="AE87" s="31">
        <v>8.6666666666666295E-2</v>
      </c>
      <c r="AF87" s="31">
        <f t="shared" si="32"/>
        <v>12.618666666666666</v>
      </c>
      <c r="AG87" s="31">
        <f t="shared" si="33"/>
        <v>32.414940828402372</v>
      </c>
      <c r="AH87" s="31">
        <f t="shared" si="26"/>
        <v>75.520178745985206</v>
      </c>
      <c r="AI87" s="31">
        <f t="shared" si="27"/>
        <v>24.479821254014794</v>
      </c>
      <c r="AJ87" s="31">
        <f t="shared" si="28"/>
        <v>11.434524507750311</v>
      </c>
      <c r="AK87" s="31">
        <f t="shared" si="21"/>
        <v>31.016137410976118</v>
      </c>
      <c r="AL87" s="26">
        <v>42790</v>
      </c>
      <c r="AM87" s="26">
        <v>42792</v>
      </c>
      <c r="AN87" s="25"/>
      <c r="AO87" s="51">
        <f t="shared" si="22"/>
        <v>75.520178745985206</v>
      </c>
      <c r="AP87" s="51">
        <f t="shared" si="29"/>
        <v>24.479821254014794</v>
      </c>
      <c r="AQ87" s="51">
        <f t="shared" si="30"/>
        <v>11.434524507750311</v>
      </c>
      <c r="AR87" s="31">
        <f t="shared" si="23"/>
        <v>31.016137410976118</v>
      </c>
      <c r="AT87" s="51"/>
    </row>
    <row r="88" spans="1:46">
      <c r="A88" s="6" t="s">
        <v>92</v>
      </c>
      <c r="B88" s="6" t="s">
        <v>197</v>
      </c>
      <c r="C88" t="s">
        <v>12</v>
      </c>
      <c r="D88" s="8">
        <v>4</v>
      </c>
      <c r="E88">
        <v>10</v>
      </c>
      <c r="G88" s="24">
        <v>42596</v>
      </c>
      <c r="H88" s="36">
        <v>99.16</v>
      </c>
      <c r="I88" s="36">
        <v>3.78</v>
      </c>
      <c r="J88" s="42">
        <f t="shared" si="24"/>
        <v>95.38</v>
      </c>
      <c r="K88" s="44">
        <v>24.36</v>
      </c>
      <c r="L88" s="44">
        <v>0.65</v>
      </c>
      <c r="M88" s="44">
        <v>3.76</v>
      </c>
      <c r="N88" s="44">
        <v>3.35</v>
      </c>
      <c r="O88" s="44">
        <v>4.2300000000000004</v>
      </c>
      <c r="P88" s="44">
        <v>3.5</v>
      </c>
      <c r="Q88" s="44">
        <f t="shared" si="20"/>
        <v>1.0300000000000002</v>
      </c>
      <c r="R88" s="44">
        <v>350.08</v>
      </c>
      <c r="S88" s="44">
        <v>286</v>
      </c>
      <c r="T88" s="36">
        <f t="shared" si="25"/>
        <v>64.079999999999984</v>
      </c>
      <c r="U88" s="36">
        <f t="shared" si="31"/>
        <v>2.1500000000000128</v>
      </c>
      <c r="V88" s="26">
        <v>42790</v>
      </c>
      <c r="W88" s="3" t="s">
        <v>667</v>
      </c>
      <c r="X88" s="31">
        <v>6.9050000000000002</v>
      </c>
      <c r="Y88" s="26">
        <v>42790</v>
      </c>
      <c r="AA88" s="31">
        <v>2.3740000000000001</v>
      </c>
      <c r="AB88" s="31">
        <v>30.678999999999998</v>
      </c>
      <c r="AC88" s="31">
        <f t="shared" si="34"/>
        <v>28.305</v>
      </c>
      <c r="AD88" s="31">
        <v>24.058</v>
      </c>
      <c r="AE88" s="31">
        <v>8.6666666666666295E-2</v>
      </c>
      <c r="AF88" s="31">
        <f t="shared" si="32"/>
        <v>21.770666666666667</v>
      </c>
      <c r="AG88" s="31">
        <f t="shared" si="33"/>
        <v>30.014392454679076</v>
      </c>
      <c r="AH88" s="31">
        <f t="shared" si="26"/>
        <v>76.914561620443976</v>
      </c>
      <c r="AI88" s="31">
        <f t="shared" si="27"/>
        <v>23.085438379556024</v>
      </c>
      <c r="AJ88" s="31">
        <f t="shared" si="28"/>
        <v>16.395278337160686</v>
      </c>
      <c r="AK88" s="31">
        <f t="shared" si="21"/>
        <v>49.286851086380487</v>
      </c>
      <c r="AL88" s="26">
        <v>42790</v>
      </c>
      <c r="AM88" s="26">
        <v>42792</v>
      </c>
      <c r="AN88" s="25"/>
      <c r="AO88" s="51">
        <f t="shared" si="22"/>
        <v>76.914561620443976</v>
      </c>
      <c r="AP88" s="51">
        <f t="shared" si="29"/>
        <v>23.085438379556024</v>
      </c>
      <c r="AQ88" s="51">
        <f t="shared" si="30"/>
        <v>16.395278337160686</v>
      </c>
      <c r="AR88" s="31">
        <f t="shared" si="23"/>
        <v>49.286851086380487</v>
      </c>
      <c r="AT88" s="51"/>
    </row>
    <row r="89" spans="1:46">
      <c r="A89" s="6" t="s">
        <v>93</v>
      </c>
      <c r="B89" s="6" t="s">
        <v>197</v>
      </c>
      <c r="C89" t="s">
        <v>12</v>
      </c>
      <c r="D89" s="8">
        <v>4</v>
      </c>
      <c r="E89">
        <v>20</v>
      </c>
      <c r="G89" s="24">
        <v>42596</v>
      </c>
      <c r="H89" s="36">
        <v>103.59</v>
      </c>
      <c r="I89" s="36">
        <v>3.85</v>
      </c>
      <c r="J89" s="42">
        <f t="shared" si="24"/>
        <v>99.740000000000009</v>
      </c>
      <c r="K89" s="44">
        <v>16.3</v>
      </c>
      <c r="L89" s="44">
        <v>0</v>
      </c>
      <c r="M89" s="44">
        <v>12.27</v>
      </c>
      <c r="N89" s="44">
        <v>3.39</v>
      </c>
      <c r="O89" s="44">
        <v>3.75</v>
      </c>
      <c r="P89" s="44">
        <v>4</v>
      </c>
      <c r="Q89" s="44">
        <f t="shared" si="20"/>
        <v>1.0899999999999999</v>
      </c>
      <c r="R89" s="44">
        <v>354.77</v>
      </c>
      <c r="S89" s="44">
        <v>286</v>
      </c>
      <c r="T89" s="36">
        <f t="shared" si="25"/>
        <v>68.769999999999982</v>
      </c>
      <c r="U89" s="36">
        <f t="shared" si="31"/>
        <v>1.3100000000000271</v>
      </c>
      <c r="V89" s="26">
        <v>42790</v>
      </c>
      <c r="W89" s="3" t="s">
        <v>666</v>
      </c>
      <c r="X89" s="31">
        <v>6.93</v>
      </c>
      <c r="Y89" s="26">
        <v>42790</v>
      </c>
      <c r="AA89" s="31">
        <v>2.3940000000000001</v>
      </c>
      <c r="AB89" s="31">
        <v>31.64</v>
      </c>
      <c r="AC89" s="31">
        <f t="shared" si="34"/>
        <v>29.246000000000002</v>
      </c>
      <c r="AD89" s="31">
        <v>24.052</v>
      </c>
      <c r="AE89" s="31">
        <v>8.6666666666666295E-2</v>
      </c>
      <c r="AF89" s="31">
        <f t="shared" si="32"/>
        <v>21.744666666666667</v>
      </c>
      <c r="AG89" s="31">
        <f t="shared" si="33"/>
        <v>34.497348008707121</v>
      </c>
      <c r="AH89" s="31">
        <f t="shared" si="26"/>
        <v>74.350908386332023</v>
      </c>
      <c r="AI89" s="31">
        <f t="shared" si="27"/>
        <v>25.649091613667977</v>
      </c>
      <c r="AJ89" s="31">
        <f t="shared" si="28"/>
        <v>21.401602042444562</v>
      </c>
      <c r="AK89" s="31">
        <f t="shared" si="21"/>
        <v>51.131119697280518</v>
      </c>
      <c r="AL89" s="26">
        <v>42790</v>
      </c>
      <c r="AM89" s="26">
        <v>42792</v>
      </c>
      <c r="AN89" s="25"/>
      <c r="AO89" s="51">
        <f t="shared" si="22"/>
        <v>74.350908386332023</v>
      </c>
      <c r="AP89" s="51">
        <f t="shared" si="29"/>
        <v>25.649091613667977</v>
      </c>
      <c r="AQ89" s="51">
        <f t="shared" si="30"/>
        <v>21.401602042444562</v>
      </c>
      <c r="AR89" s="31">
        <f t="shared" si="23"/>
        <v>51.131119697280518</v>
      </c>
      <c r="AT89" s="51"/>
    </row>
    <row r="90" spans="1:46">
      <c r="A90" s="6" t="s">
        <v>94</v>
      </c>
      <c r="B90" s="6" t="s">
        <v>197</v>
      </c>
      <c r="C90" t="s">
        <v>12</v>
      </c>
      <c r="D90" s="8">
        <v>5</v>
      </c>
      <c r="E90">
        <v>5</v>
      </c>
      <c r="G90" s="24">
        <v>42596</v>
      </c>
      <c r="H90" s="36">
        <v>59.18</v>
      </c>
      <c r="I90" s="38">
        <v>3.78</v>
      </c>
      <c r="J90" s="42">
        <f t="shared" si="24"/>
        <v>55.4</v>
      </c>
      <c r="K90" s="38">
        <v>0</v>
      </c>
      <c r="L90" s="44">
        <v>0.63</v>
      </c>
      <c r="M90" s="44">
        <v>3.83</v>
      </c>
      <c r="N90" s="44">
        <v>3.48</v>
      </c>
      <c r="O90" s="44">
        <v>4.45</v>
      </c>
      <c r="P90" s="44">
        <v>3.94</v>
      </c>
      <c r="Q90" s="44">
        <f t="shared" si="20"/>
        <v>1.8199999999999998</v>
      </c>
      <c r="R90" s="44">
        <v>332.55</v>
      </c>
      <c r="S90" s="44">
        <v>286.33999999999997</v>
      </c>
      <c r="T90" s="36">
        <f t="shared" si="25"/>
        <v>46.210000000000036</v>
      </c>
      <c r="U90" s="36">
        <f t="shared" si="31"/>
        <v>3.5399999999999618</v>
      </c>
      <c r="V90" s="26">
        <v>42765</v>
      </c>
      <c r="W90" s="25"/>
      <c r="X90" s="31">
        <v>5.7220000000000004</v>
      </c>
      <c r="Y90" s="26">
        <v>42765</v>
      </c>
      <c r="AA90" s="31">
        <v>2.4209999999999998</v>
      </c>
      <c r="AB90" s="31">
        <v>21.027000000000001</v>
      </c>
      <c r="AC90" s="31">
        <f t="shared" si="34"/>
        <v>18.606000000000002</v>
      </c>
      <c r="AD90" s="31">
        <v>11.602</v>
      </c>
      <c r="AE90" s="31">
        <v>8.3000000000000004E-2</v>
      </c>
      <c r="AF90" s="31">
        <f t="shared" si="32"/>
        <v>9.2640000000000011</v>
      </c>
      <c r="AG90" s="31">
        <f t="shared" si="33"/>
        <v>100.84196891191709</v>
      </c>
      <c r="AH90" s="31">
        <f t="shared" si="26"/>
        <v>49.790390196710739</v>
      </c>
      <c r="AI90" s="31">
        <f t="shared" si="27"/>
        <v>50.209609803289261</v>
      </c>
      <c r="AJ90" s="31">
        <f t="shared" si="28"/>
        <v>27.816123831022246</v>
      </c>
      <c r="AK90" s="31">
        <f t="shared" si="21"/>
        <v>23.008139309900049</v>
      </c>
      <c r="AL90" s="26">
        <v>42765</v>
      </c>
      <c r="AM90" s="26">
        <v>42767</v>
      </c>
      <c r="AN90" s="25" t="s">
        <v>714</v>
      </c>
      <c r="AO90" s="51">
        <f t="shared" si="22"/>
        <v>49.790390196710739</v>
      </c>
      <c r="AP90" s="51">
        <f t="shared" si="29"/>
        <v>50.209609803289261</v>
      </c>
      <c r="AQ90" s="51">
        <f t="shared" si="30"/>
        <v>27.816123831022246</v>
      </c>
      <c r="AR90" s="31">
        <f t="shared" si="23"/>
        <v>23.008139309900049</v>
      </c>
      <c r="AT90" s="51"/>
    </row>
    <row r="91" spans="1:46">
      <c r="A91" s="6" t="s">
        <v>95</v>
      </c>
      <c r="B91" s="6" t="s">
        <v>197</v>
      </c>
      <c r="C91" t="s">
        <v>12</v>
      </c>
      <c r="D91" s="8">
        <v>5</v>
      </c>
      <c r="E91">
        <v>10</v>
      </c>
      <c r="G91" s="24">
        <v>42596</v>
      </c>
      <c r="H91" s="36">
        <v>61.38</v>
      </c>
      <c r="I91" s="38">
        <v>3.8</v>
      </c>
      <c r="J91" s="42">
        <f t="shared" si="24"/>
        <v>57.580000000000005</v>
      </c>
      <c r="K91" s="38">
        <v>0.41</v>
      </c>
      <c r="L91" s="38">
        <v>0</v>
      </c>
      <c r="M91" s="44">
        <v>12.27</v>
      </c>
      <c r="N91" s="44">
        <v>3.4</v>
      </c>
      <c r="O91" s="44">
        <v>5.15</v>
      </c>
      <c r="P91" s="44">
        <v>3.86</v>
      </c>
      <c r="Q91" s="44">
        <f t="shared" si="20"/>
        <v>2.36</v>
      </c>
      <c r="R91" s="44">
        <v>327.72</v>
      </c>
      <c r="S91" s="44">
        <v>286.33999999999997</v>
      </c>
      <c r="T91" s="36">
        <f t="shared" si="25"/>
        <v>41.380000000000052</v>
      </c>
      <c r="U91" s="36">
        <f t="shared" si="31"/>
        <v>1.1599999999999542</v>
      </c>
      <c r="V91" s="26">
        <v>42765</v>
      </c>
      <c r="W91" s="3" t="s">
        <v>472</v>
      </c>
      <c r="X91" s="31">
        <v>6.0970000000000004</v>
      </c>
      <c r="Y91" s="26">
        <v>42765</v>
      </c>
      <c r="AA91" s="31">
        <v>2.41</v>
      </c>
      <c r="AB91" s="31">
        <v>18.693999999999999</v>
      </c>
      <c r="AC91" s="31">
        <f t="shared" si="34"/>
        <v>16.283999999999999</v>
      </c>
      <c r="AD91" s="31">
        <v>12.303000000000001</v>
      </c>
      <c r="AE91" s="31">
        <v>8.3000000000000004E-2</v>
      </c>
      <c r="AF91" s="31">
        <f t="shared" si="32"/>
        <v>9.9760000000000009</v>
      </c>
      <c r="AG91" s="31">
        <f t="shared" si="33"/>
        <v>63.231756214915777</v>
      </c>
      <c r="AH91" s="31">
        <f t="shared" si="26"/>
        <v>61.262589044460825</v>
      </c>
      <c r="AI91" s="31">
        <f t="shared" si="27"/>
        <v>38.737410955539175</v>
      </c>
      <c r="AJ91" s="31">
        <f t="shared" si="28"/>
        <v>22.146177843281752</v>
      </c>
      <c r="AK91" s="31">
        <f t="shared" si="21"/>
        <v>25.350459346597923</v>
      </c>
      <c r="AL91" s="26">
        <v>42765</v>
      </c>
      <c r="AM91" s="26">
        <v>42767</v>
      </c>
      <c r="AN91" s="25" t="s">
        <v>714</v>
      </c>
      <c r="AO91" s="51">
        <f t="shared" si="22"/>
        <v>61.262589044460825</v>
      </c>
      <c r="AP91" s="51">
        <f t="shared" si="29"/>
        <v>38.737410955539175</v>
      </c>
      <c r="AQ91" s="51">
        <f t="shared" si="30"/>
        <v>22.146177843281752</v>
      </c>
      <c r="AR91" s="31">
        <f t="shared" si="23"/>
        <v>25.350459346597923</v>
      </c>
      <c r="AT91" s="51"/>
    </row>
    <row r="92" spans="1:46">
      <c r="A92" s="6" t="s">
        <v>96</v>
      </c>
      <c r="B92" s="6" t="s">
        <v>197</v>
      </c>
      <c r="C92" t="s">
        <v>12</v>
      </c>
      <c r="D92" s="8">
        <v>5</v>
      </c>
      <c r="E92">
        <v>20</v>
      </c>
      <c r="G92" s="24">
        <v>42596</v>
      </c>
      <c r="H92" s="36">
        <v>55.42</v>
      </c>
      <c r="I92" s="38">
        <v>3.78</v>
      </c>
      <c r="J92" s="42">
        <f t="shared" si="24"/>
        <v>51.64</v>
      </c>
      <c r="K92" s="38">
        <v>0</v>
      </c>
      <c r="L92" s="38">
        <v>0</v>
      </c>
      <c r="M92" s="44">
        <v>14.56</v>
      </c>
      <c r="N92" s="44">
        <v>3.37</v>
      </c>
      <c r="O92" s="44">
        <v>4.13</v>
      </c>
      <c r="P92" s="44">
        <v>3.51</v>
      </c>
      <c r="Q92" s="44">
        <f t="shared" si="20"/>
        <v>0.95999999999999952</v>
      </c>
      <c r="R92" s="44">
        <v>321.58</v>
      </c>
      <c r="S92" s="44">
        <v>286.33999999999997</v>
      </c>
      <c r="T92" s="36">
        <f t="shared" si="25"/>
        <v>35.240000000000009</v>
      </c>
      <c r="U92" s="36">
        <f t="shared" si="31"/>
        <v>0.8799999999999919</v>
      </c>
      <c r="V92" s="26">
        <v>42765</v>
      </c>
      <c r="W92" s="3" t="s">
        <v>472</v>
      </c>
      <c r="X92" s="31">
        <v>6.4349999999999996</v>
      </c>
      <c r="Y92" s="26">
        <v>42765</v>
      </c>
      <c r="AA92" s="31">
        <v>2.4</v>
      </c>
      <c r="AB92" s="31">
        <v>14.792</v>
      </c>
      <c r="AC92" s="31">
        <f t="shared" si="34"/>
        <v>12.391999999999999</v>
      </c>
      <c r="AD92" s="31">
        <v>10.161</v>
      </c>
      <c r="AE92" s="31">
        <v>8.3000000000000004E-2</v>
      </c>
      <c r="AF92" s="31">
        <f t="shared" si="32"/>
        <v>7.8439999999999994</v>
      </c>
      <c r="AG92" s="31">
        <f t="shared" si="33"/>
        <v>57.980622131565532</v>
      </c>
      <c r="AH92" s="31">
        <f t="shared" si="26"/>
        <v>63.298902517753383</v>
      </c>
      <c r="AI92" s="31">
        <f t="shared" si="27"/>
        <v>36.701097482246617</v>
      </c>
      <c r="AJ92" s="31">
        <f t="shared" si="28"/>
        <v>18.952446739832151</v>
      </c>
      <c r="AK92" s="31">
        <f t="shared" si="21"/>
        <v>22.306533247256301</v>
      </c>
      <c r="AL92" s="26">
        <v>42765</v>
      </c>
      <c r="AM92" s="26">
        <v>42767</v>
      </c>
      <c r="AN92" s="25" t="s">
        <v>714</v>
      </c>
      <c r="AO92" s="51">
        <f t="shared" si="22"/>
        <v>63.298902517753383</v>
      </c>
      <c r="AP92" s="51">
        <f t="shared" si="29"/>
        <v>36.701097482246617</v>
      </c>
      <c r="AQ92" s="51">
        <f t="shared" si="30"/>
        <v>18.952446739832151</v>
      </c>
      <c r="AR92" s="31">
        <f t="shared" si="23"/>
        <v>22.306533247256301</v>
      </c>
      <c r="AT92" s="51"/>
    </row>
    <row r="93" spans="1:46">
      <c r="A93" s="6" t="s">
        <v>97</v>
      </c>
      <c r="B93" s="6" t="s">
        <v>197</v>
      </c>
      <c r="C93" t="s">
        <v>12</v>
      </c>
      <c r="D93" s="8">
        <v>6</v>
      </c>
      <c r="E93">
        <v>5</v>
      </c>
      <c r="G93" s="24">
        <v>42596</v>
      </c>
      <c r="H93" s="36">
        <v>60.28</v>
      </c>
      <c r="I93" s="36">
        <v>3.94</v>
      </c>
      <c r="J93" s="42">
        <f t="shared" si="24"/>
        <v>56.34</v>
      </c>
      <c r="K93" s="44">
        <v>0.22</v>
      </c>
      <c r="L93" s="44">
        <v>0</v>
      </c>
      <c r="M93" s="44">
        <v>5.54</v>
      </c>
      <c r="N93" s="44">
        <v>3.39</v>
      </c>
      <c r="O93" s="44">
        <v>7.68</v>
      </c>
      <c r="P93" s="44">
        <v>5.3</v>
      </c>
      <c r="Q93" s="44">
        <f t="shared" si="20"/>
        <v>6.32</v>
      </c>
      <c r="R93" s="44">
        <v>327.67</v>
      </c>
      <c r="S93" s="44">
        <v>285.92</v>
      </c>
      <c r="T93" s="36">
        <f t="shared" si="25"/>
        <v>41.75</v>
      </c>
      <c r="U93" s="36">
        <f t="shared" si="31"/>
        <v>2.5100000000000029</v>
      </c>
      <c r="V93" s="26">
        <v>42818</v>
      </c>
      <c r="X93" s="31">
        <v>4.78</v>
      </c>
      <c r="Y93" s="26">
        <v>42818</v>
      </c>
      <c r="AA93" s="31">
        <v>2.4020000000000001</v>
      </c>
      <c r="AB93" s="31">
        <v>21.106999999999999</v>
      </c>
      <c r="AC93" s="31">
        <f t="shared" si="34"/>
        <v>18.704999999999998</v>
      </c>
      <c r="AD93" s="31">
        <v>12.093</v>
      </c>
      <c r="AE93" s="31">
        <v>8.4833333333333094E-2</v>
      </c>
      <c r="AF93" s="31">
        <f t="shared" si="32"/>
        <v>9.7758333333333312</v>
      </c>
      <c r="AG93" s="31">
        <f t="shared" si="33"/>
        <v>91.339186770096347</v>
      </c>
      <c r="AH93" s="31">
        <f t="shared" si="26"/>
        <v>52.263209480531046</v>
      </c>
      <c r="AI93" s="31">
        <f t="shared" si="27"/>
        <v>47.736790519468954</v>
      </c>
      <c r="AJ93" s="31">
        <f t="shared" si="28"/>
        <v>26.789886839525977</v>
      </c>
      <c r="AK93" s="31">
        <f t="shared" si="21"/>
        <v>21.819889958121713</v>
      </c>
      <c r="AL93" s="26">
        <v>42818</v>
      </c>
      <c r="AM93" s="26">
        <v>42820</v>
      </c>
      <c r="AN93" s="25"/>
      <c r="AO93" s="51">
        <f t="shared" si="22"/>
        <v>52.263209480531046</v>
      </c>
      <c r="AP93" s="51">
        <f t="shared" si="29"/>
        <v>47.736790519468954</v>
      </c>
      <c r="AQ93" s="51">
        <f t="shared" si="30"/>
        <v>26.789886839525977</v>
      </c>
      <c r="AR93" s="31">
        <f t="shared" si="23"/>
        <v>21.819889958121713</v>
      </c>
      <c r="AT93" s="51"/>
    </row>
    <row r="94" spans="1:46">
      <c r="A94" s="6" t="s">
        <v>98</v>
      </c>
      <c r="B94" s="6" t="s">
        <v>197</v>
      </c>
      <c r="C94" t="s">
        <v>12</v>
      </c>
      <c r="D94" s="8">
        <v>6</v>
      </c>
      <c r="E94">
        <v>10</v>
      </c>
      <c r="G94" s="24">
        <v>42596</v>
      </c>
      <c r="H94" s="36">
        <v>74.430000000000007</v>
      </c>
      <c r="I94" s="36">
        <v>3.8</v>
      </c>
      <c r="J94" s="42">
        <f t="shared" si="24"/>
        <v>70.63000000000001</v>
      </c>
      <c r="K94" s="44">
        <v>0.81</v>
      </c>
      <c r="L94" s="44">
        <v>0</v>
      </c>
      <c r="M94" s="44">
        <v>1.4</v>
      </c>
      <c r="N94" s="44">
        <v>0</v>
      </c>
      <c r="O94" s="44">
        <f>4.95-3.3+3.35</f>
        <v>5</v>
      </c>
      <c r="P94" s="44">
        <f>3.88-3.27+3.35</f>
        <v>3.96</v>
      </c>
      <c r="Q94" s="44">
        <f t="shared" si="20"/>
        <v>2.2599999999999998</v>
      </c>
      <c r="R94" s="44">
        <v>350.58</v>
      </c>
      <c r="S94" s="44">
        <v>285.92</v>
      </c>
      <c r="T94" s="36">
        <f t="shared" si="25"/>
        <v>64.659999999999968</v>
      </c>
      <c r="U94" s="36">
        <f t="shared" si="31"/>
        <v>1.5000000000000417</v>
      </c>
      <c r="V94" s="26">
        <v>42818</v>
      </c>
      <c r="X94" s="31">
        <v>5.2089999999999996</v>
      </c>
      <c r="Y94" s="26">
        <v>42818</v>
      </c>
      <c r="AA94" s="31">
        <v>2.3570000000000002</v>
      </c>
      <c r="AB94" s="31">
        <v>32.868000000000002</v>
      </c>
      <c r="AC94" s="31">
        <f t="shared" si="34"/>
        <v>30.511000000000003</v>
      </c>
      <c r="AD94" s="31">
        <v>20.094000000000001</v>
      </c>
      <c r="AE94" s="31">
        <v>8.4833333333333094E-2</v>
      </c>
      <c r="AF94" s="31">
        <f t="shared" si="32"/>
        <v>17.821833333333334</v>
      </c>
      <c r="AG94" s="31">
        <f t="shared" si="33"/>
        <v>71.20011970336013</v>
      </c>
      <c r="AH94" s="31">
        <f t="shared" si="26"/>
        <v>58.411174112068863</v>
      </c>
      <c r="AI94" s="31">
        <f t="shared" si="27"/>
        <v>41.588825887931137</v>
      </c>
      <c r="AJ94" s="31">
        <f t="shared" si="28"/>
        <v>29.037318234953521</v>
      </c>
      <c r="AK94" s="31">
        <f t="shared" si="21"/>
        <v>37.768665180863707</v>
      </c>
      <c r="AL94" s="26">
        <v>42818</v>
      </c>
      <c r="AM94" s="26">
        <v>42820</v>
      </c>
      <c r="AN94" s="25"/>
      <c r="AO94" s="51">
        <f t="shared" si="22"/>
        <v>58.411174112068863</v>
      </c>
      <c r="AP94" s="51">
        <f t="shared" si="29"/>
        <v>41.588825887931137</v>
      </c>
      <c r="AQ94" s="51">
        <f t="shared" si="30"/>
        <v>29.037318234953521</v>
      </c>
      <c r="AR94" s="31">
        <f t="shared" si="23"/>
        <v>37.768665180863707</v>
      </c>
      <c r="AT94" s="51"/>
    </row>
    <row r="95" spans="1:46">
      <c r="A95" s="6" t="s">
        <v>99</v>
      </c>
      <c r="B95" s="6" t="s">
        <v>197</v>
      </c>
      <c r="C95" t="s">
        <v>12</v>
      </c>
      <c r="D95" s="8">
        <v>6</v>
      </c>
      <c r="E95">
        <v>20</v>
      </c>
      <c r="G95" s="24">
        <v>42596</v>
      </c>
      <c r="H95" s="36">
        <v>74.260000000000005</v>
      </c>
      <c r="I95" s="36">
        <v>3.86</v>
      </c>
      <c r="J95" s="42">
        <f t="shared" si="24"/>
        <v>70.400000000000006</v>
      </c>
      <c r="K95" s="44">
        <v>1.5</v>
      </c>
      <c r="L95" s="44">
        <v>0</v>
      </c>
      <c r="M95" s="44">
        <v>1.64</v>
      </c>
      <c r="N95" s="44">
        <f>3.33-3.28+3.35</f>
        <v>3.4000000000000004</v>
      </c>
      <c r="O95" s="44">
        <f>4.69-3.28+3.35</f>
        <v>4.7600000000000007</v>
      </c>
      <c r="P95" s="44">
        <f>3.78-3.3+3.35</f>
        <v>3.83</v>
      </c>
      <c r="Q95" s="44">
        <f t="shared" si="20"/>
        <v>1.9400000000000008</v>
      </c>
      <c r="R95" s="44">
        <v>350.12</v>
      </c>
      <c r="S95" s="44">
        <v>285.92</v>
      </c>
      <c r="T95" s="36">
        <f t="shared" si="25"/>
        <v>64.199999999999989</v>
      </c>
      <c r="U95" s="36">
        <f t="shared" si="31"/>
        <v>1.1200000000000161</v>
      </c>
      <c r="V95" s="26">
        <v>42818</v>
      </c>
      <c r="X95" s="31">
        <v>5.4189999999999996</v>
      </c>
      <c r="Y95" s="26">
        <v>42818</v>
      </c>
      <c r="AA95" s="31">
        <v>2.415</v>
      </c>
      <c r="AB95" s="31">
        <v>29.414000000000001</v>
      </c>
      <c r="AC95" s="31">
        <f t="shared" si="34"/>
        <v>26.999000000000002</v>
      </c>
      <c r="AD95" s="31">
        <v>16.242000000000001</v>
      </c>
      <c r="AE95" s="31">
        <v>8.4833333333333094E-2</v>
      </c>
      <c r="AF95" s="31">
        <f t="shared" si="32"/>
        <v>13.911833333333334</v>
      </c>
      <c r="AG95" s="31">
        <f t="shared" si="33"/>
        <v>94.072192737597504</v>
      </c>
      <c r="AH95" s="31">
        <f t="shared" si="26"/>
        <v>51.527217057421879</v>
      </c>
      <c r="AI95" s="31">
        <f t="shared" si="27"/>
        <v>48.472782942578121</v>
      </c>
      <c r="AJ95" s="31">
        <f t="shared" si="28"/>
        <v>33.397747447436331</v>
      </c>
      <c r="AK95" s="31">
        <f t="shared" si="21"/>
        <v>33.080473350864843</v>
      </c>
      <c r="AL95" s="26">
        <v>42818</v>
      </c>
      <c r="AM95" s="26">
        <v>42820</v>
      </c>
      <c r="AN95" s="25"/>
      <c r="AO95" s="51">
        <f t="shared" si="22"/>
        <v>51.527217057421879</v>
      </c>
      <c r="AP95" s="51">
        <f t="shared" si="29"/>
        <v>48.472782942578121</v>
      </c>
      <c r="AQ95" s="51">
        <f t="shared" si="30"/>
        <v>33.397747447436331</v>
      </c>
      <c r="AR95" s="31">
        <f t="shared" si="23"/>
        <v>33.080473350864843</v>
      </c>
      <c r="AT95" s="51"/>
    </row>
    <row r="96" spans="1:46">
      <c r="A96" s="6" t="s">
        <v>100</v>
      </c>
      <c r="B96" s="6" t="s">
        <v>197</v>
      </c>
      <c r="C96" t="s">
        <v>12</v>
      </c>
      <c r="D96" s="8">
        <v>6</v>
      </c>
      <c r="E96">
        <v>30</v>
      </c>
      <c r="G96" s="24">
        <v>42596</v>
      </c>
      <c r="H96" s="36">
        <v>101.34</v>
      </c>
      <c r="I96" s="36">
        <v>3.99</v>
      </c>
      <c r="J96" s="42">
        <f t="shared" si="24"/>
        <v>97.350000000000009</v>
      </c>
      <c r="K96" s="44">
        <v>2.25</v>
      </c>
      <c r="L96" s="44">
        <v>0</v>
      </c>
      <c r="M96" s="44">
        <v>1.29</v>
      </c>
      <c r="N96" s="44">
        <v>0</v>
      </c>
      <c r="O96" s="44">
        <v>3.85</v>
      </c>
      <c r="P96" s="44">
        <v>3.36</v>
      </c>
      <c r="Q96" s="44">
        <f t="shared" si="20"/>
        <v>0.50999999999999979</v>
      </c>
      <c r="R96" s="44">
        <v>377.98</v>
      </c>
      <c r="S96" s="44">
        <v>285.92</v>
      </c>
      <c r="T96" s="36">
        <f t="shared" si="25"/>
        <v>92.06</v>
      </c>
      <c r="U96" s="36">
        <f t="shared" si="31"/>
        <v>1.2400000000000064</v>
      </c>
      <c r="V96" s="26">
        <v>42818</v>
      </c>
      <c r="X96" s="31">
        <v>6.05</v>
      </c>
      <c r="Y96" s="26">
        <v>42818</v>
      </c>
      <c r="AA96" s="31">
        <v>2.3969999999999998</v>
      </c>
      <c r="AB96" s="31">
        <v>45.954999999999998</v>
      </c>
      <c r="AC96" s="31">
        <f t="shared" si="34"/>
        <v>43.558</v>
      </c>
      <c r="AD96" s="31">
        <v>25.811</v>
      </c>
      <c r="AE96" s="31">
        <v>8.4833333333333094E-2</v>
      </c>
      <c r="AF96" s="31">
        <f t="shared" si="32"/>
        <v>23.498833333333334</v>
      </c>
      <c r="AG96" s="31">
        <f t="shared" si="33"/>
        <v>85.362393877710232</v>
      </c>
      <c r="AH96" s="31">
        <f t="shared" si="26"/>
        <v>53.948375346281587</v>
      </c>
      <c r="AI96" s="31">
        <f t="shared" si="27"/>
        <v>46.051624653718413</v>
      </c>
      <c r="AJ96" s="31">
        <f t="shared" si="28"/>
        <v>43.795095045686217</v>
      </c>
      <c r="AK96" s="31">
        <f t="shared" si="21"/>
        <v>49.664874343786828</v>
      </c>
      <c r="AL96" s="26">
        <v>42818</v>
      </c>
      <c r="AM96" s="26">
        <v>42820</v>
      </c>
      <c r="AN96" s="25"/>
      <c r="AO96" s="51">
        <f t="shared" si="22"/>
        <v>53.948375346281587</v>
      </c>
      <c r="AP96" s="51">
        <f t="shared" si="29"/>
        <v>46.051624653718413</v>
      </c>
      <c r="AQ96" s="51">
        <f t="shared" si="30"/>
        <v>43.795095045686217</v>
      </c>
      <c r="AR96" s="31">
        <f t="shared" si="23"/>
        <v>49.664874343786828</v>
      </c>
      <c r="AT96" s="51"/>
    </row>
    <row r="97" spans="1:46">
      <c r="A97" s="6" t="s">
        <v>101</v>
      </c>
      <c r="B97" s="6" t="s">
        <v>197</v>
      </c>
      <c r="C97" t="s">
        <v>13</v>
      </c>
      <c r="D97" s="8">
        <v>1</v>
      </c>
      <c r="E97">
        <v>5</v>
      </c>
      <c r="G97" t="s">
        <v>399</v>
      </c>
      <c r="H97" s="36">
        <v>27.26</v>
      </c>
      <c r="I97" s="36">
        <v>2.65</v>
      </c>
      <c r="J97" s="42">
        <f t="shared" si="24"/>
        <v>24.610000000000003</v>
      </c>
      <c r="K97" s="44">
        <v>0</v>
      </c>
      <c r="L97" s="44">
        <v>0</v>
      </c>
      <c r="M97" s="44">
        <v>5.23</v>
      </c>
      <c r="N97" s="44">
        <v>3.43</v>
      </c>
      <c r="O97" s="44">
        <v>5.39</v>
      </c>
      <c r="P97" s="44">
        <v>0</v>
      </c>
      <c r="Q97" s="44">
        <f t="shared" si="20"/>
        <v>2.1199999999999997</v>
      </c>
      <c r="R97" s="44">
        <v>302.08999999999997</v>
      </c>
      <c r="S97" s="44">
        <v>286.10000000000002</v>
      </c>
      <c r="T97" s="36">
        <f t="shared" si="25"/>
        <v>15.989999999999952</v>
      </c>
      <c r="U97" s="36">
        <f t="shared" si="31"/>
        <v>1.2700000000000511</v>
      </c>
      <c r="V97" s="26">
        <v>42783</v>
      </c>
      <c r="W97" s="3" t="s">
        <v>653</v>
      </c>
      <c r="X97" s="31" t="s">
        <v>469</v>
      </c>
      <c r="Y97" s="26">
        <v>42783</v>
      </c>
      <c r="Z97" s="3" t="s">
        <v>658</v>
      </c>
      <c r="AA97" s="31">
        <v>2.403</v>
      </c>
      <c r="AB97" s="31">
        <v>10.326000000000001</v>
      </c>
      <c r="AC97" s="31">
        <f t="shared" si="34"/>
        <v>7.923</v>
      </c>
      <c r="AD97" s="31">
        <v>6.0940000000000003</v>
      </c>
      <c r="AE97" s="31">
        <v>8.4333333333333371E-2</v>
      </c>
      <c r="AF97" s="31">
        <f t="shared" si="32"/>
        <v>3.7753333333333337</v>
      </c>
      <c r="AG97" s="31">
        <f t="shared" si="33"/>
        <v>109.8622638177644</v>
      </c>
      <c r="AH97" s="31">
        <f t="shared" si="26"/>
        <v>47.650300811982</v>
      </c>
      <c r="AI97" s="31">
        <f t="shared" si="27"/>
        <v>52.349699188018</v>
      </c>
      <c r="AJ97" s="31">
        <f t="shared" si="28"/>
        <v>12.883260970171232</v>
      </c>
      <c r="AK97" s="31">
        <f t="shared" si="21"/>
        <v>7.6192830998358989</v>
      </c>
      <c r="AL97" s="26">
        <v>42787</v>
      </c>
      <c r="AM97" s="26">
        <v>42789</v>
      </c>
      <c r="AN97" s="25"/>
      <c r="AO97" s="51">
        <f t="shared" si="22"/>
        <v>47.650300811982</v>
      </c>
      <c r="AP97" s="51">
        <f t="shared" si="29"/>
        <v>52.349699188018</v>
      </c>
      <c r="AQ97" s="51">
        <f t="shared" si="30"/>
        <v>12.883260970171232</v>
      </c>
      <c r="AR97" s="31">
        <f t="shared" si="23"/>
        <v>7.6192830998358989</v>
      </c>
      <c r="AT97" s="51"/>
    </row>
    <row r="98" spans="1:46">
      <c r="A98" s="6" t="s">
        <v>102</v>
      </c>
      <c r="B98" s="6" t="s">
        <v>197</v>
      </c>
      <c r="C98" t="s">
        <v>13</v>
      </c>
      <c r="D98" s="8">
        <v>1</v>
      </c>
      <c r="E98">
        <v>10</v>
      </c>
      <c r="G98" t="s">
        <v>399</v>
      </c>
      <c r="H98" s="36">
        <v>40.57</v>
      </c>
      <c r="I98" s="36">
        <v>2.62</v>
      </c>
      <c r="J98" s="42">
        <f t="shared" si="24"/>
        <v>37.950000000000003</v>
      </c>
      <c r="K98" s="44">
        <v>0.14000000000000001</v>
      </c>
      <c r="L98" s="44">
        <v>0.36</v>
      </c>
      <c r="M98" s="44">
        <v>0.18</v>
      </c>
      <c r="N98" s="44">
        <v>3.38</v>
      </c>
      <c r="O98" s="44">
        <v>5</v>
      </c>
      <c r="P98" s="44">
        <v>0</v>
      </c>
      <c r="Q98" s="44">
        <f t="shared" si="20"/>
        <v>1.6799999999999997</v>
      </c>
      <c r="R98" s="44">
        <v>321.11</v>
      </c>
      <c r="S98" s="44">
        <v>286.10000000000002</v>
      </c>
      <c r="T98" s="36">
        <f t="shared" si="25"/>
        <v>35.009999999999991</v>
      </c>
      <c r="U98" s="36">
        <f t="shared" si="31"/>
        <v>0.94000000000001227</v>
      </c>
      <c r="V98" s="26">
        <v>42783</v>
      </c>
      <c r="X98" s="31">
        <v>4.899</v>
      </c>
      <c r="Y98" s="26">
        <v>42783</v>
      </c>
      <c r="AA98" s="31">
        <v>2.41</v>
      </c>
      <c r="AB98" s="31">
        <v>14.298</v>
      </c>
      <c r="AC98" s="31">
        <f t="shared" si="34"/>
        <v>11.888</v>
      </c>
      <c r="AD98" s="31">
        <v>9.0449999999999999</v>
      </c>
      <c r="AE98" s="31">
        <v>8.4333333333333371E-2</v>
      </c>
      <c r="AF98" s="31">
        <f t="shared" si="32"/>
        <v>6.7193333333333332</v>
      </c>
      <c r="AG98" s="31">
        <f t="shared" si="33"/>
        <v>76.922313721599366</v>
      </c>
      <c r="AH98" s="31">
        <f t="shared" si="26"/>
        <v>56.521982951996407</v>
      </c>
      <c r="AI98" s="31">
        <f t="shared" si="27"/>
        <v>43.478017048003593</v>
      </c>
      <c r="AJ98" s="31">
        <f t="shared" si="28"/>
        <v>16.43903824585016</v>
      </c>
      <c r="AK98" s="31">
        <f t="shared" si="21"/>
        <v>19.788346231493936</v>
      </c>
      <c r="AL98" s="26">
        <v>42787</v>
      </c>
      <c r="AM98" s="26">
        <v>42789</v>
      </c>
      <c r="AN98" s="25"/>
      <c r="AO98" s="51">
        <f t="shared" si="22"/>
        <v>56.521982951996407</v>
      </c>
      <c r="AP98" s="51">
        <f t="shared" si="29"/>
        <v>43.478017048003593</v>
      </c>
      <c r="AQ98" s="51">
        <f t="shared" si="30"/>
        <v>16.43903824585016</v>
      </c>
      <c r="AR98" s="31">
        <f t="shared" si="23"/>
        <v>19.788346231493936</v>
      </c>
      <c r="AT98" s="51"/>
    </row>
    <row r="99" spans="1:46">
      <c r="A99" s="6" t="s">
        <v>103</v>
      </c>
      <c r="B99" s="6" t="s">
        <v>197</v>
      </c>
      <c r="C99" t="s">
        <v>13</v>
      </c>
      <c r="D99" s="8">
        <v>1</v>
      </c>
      <c r="E99">
        <v>20</v>
      </c>
      <c r="G99" t="s">
        <v>399</v>
      </c>
      <c r="H99" s="36">
        <v>56.1</v>
      </c>
      <c r="I99" s="36">
        <v>2.62</v>
      </c>
      <c r="J99" s="42">
        <f t="shared" si="24"/>
        <v>53.480000000000004</v>
      </c>
      <c r="K99" s="44">
        <v>1.96</v>
      </c>
      <c r="L99" s="44">
        <v>0.4</v>
      </c>
      <c r="M99" s="44">
        <v>0.33</v>
      </c>
      <c r="N99" s="44">
        <v>3.65</v>
      </c>
      <c r="O99" s="44">
        <v>3.69</v>
      </c>
      <c r="P99" s="44">
        <v>0</v>
      </c>
      <c r="Q99" s="44">
        <f t="shared" si="20"/>
        <v>0.63999999999999968</v>
      </c>
      <c r="R99" s="44">
        <v>335.75</v>
      </c>
      <c r="S99" s="44">
        <v>286.10000000000002</v>
      </c>
      <c r="T99" s="36">
        <f t="shared" si="25"/>
        <v>49.649999999999977</v>
      </c>
      <c r="U99" s="36">
        <f t="shared" si="31"/>
        <v>0.900000000000027</v>
      </c>
      <c r="V99" s="26">
        <v>42783</v>
      </c>
      <c r="X99" s="31">
        <v>4.9020000000000001</v>
      </c>
      <c r="Y99" s="26">
        <v>42783</v>
      </c>
      <c r="AA99" s="31">
        <v>2.4289999999999998</v>
      </c>
      <c r="AB99" s="31">
        <v>21.369</v>
      </c>
      <c r="AC99" s="31">
        <f t="shared" si="34"/>
        <v>18.940000000000001</v>
      </c>
      <c r="AD99" s="31">
        <v>13.497999999999999</v>
      </c>
      <c r="AE99" s="31">
        <v>8.4333333333333371E-2</v>
      </c>
      <c r="AF99" s="31">
        <f t="shared" si="32"/>
        <v>11.153333333333332</v>
      </c>
      <c r="AG99" s="31">
        <f t="shared" si="33"/>
        <v>69.814704124327577</v>
      </c>
      <c r="AH99" s="31">
        <f t="shared" si="26"/>
        <v>58.887715593101007</v>
      </c>
      <c r="AI99" s="31">
        <f t="shared" si="27"/>
        <v>41.112284406898993</v>
      </c>
      <c r="AJ99" s="31">
        <f t="shared" si="28"/>
        <v>21.181048926434361</v>
      </c>
      <c r="AK99" s="31">
        <f t="shared" si="21"/>
        <v>29.237750791974637</v>
      </c>
      <c r="AL99" s="26">
        <v>42787</v>
      </c>
      <c r="AM99" s="26">
        <v>42789</v>
      </c>
      <c r="AN99" s="25"/>
      <c r="AO99" s="51">
        <f t="shared" si="22"/>
        <v>58.887715593101007</v>
      </c>
      <c r="AP99" s="51">
        <f t="shared" si="29"/>
        <v>41.112284406898993</v>
      </c>
      <c r="AQ99" s="51">
        <f t="shared" si="30"/>
        <v>21.181048926434361</v>
      </c>
      <c r="AR99" s="31">
        <f t="shared" si="23"/>
        <v>29.237750791974637</v>
      </c>
      <c r="AT99" s="51"/>
    </row>
    <row r="100" spans="1:46">
      <c r="A100" s="6" t="s">
        <v>104</v>
      </c>
      <c r="B100" s="6" t="s">
        <v>197</v>
      </c>
      <c r="C100" t="s">
        <v>13</v>
      </c>
      <c r="D100" s="8">
        <v>2</v>
      </c>
      <c r="E100">
        <v>5</v>
      </c>
      <c r="G100" s="24">
        <v>42596</v>
      </c>
      <c r="H100" s="36">
        <v>38.99</v>
      </c>
      <c r="I100" s="36">
        <v>3.76</v>
      </c>
      <c r="J100" s="42">
        <f t="shared" si="24"/>
        <v>35.230000000000004</v>
      </c>
      <c r="K100" s="44">
        <v>0</v>
      </c>
      <c r="L100" s="44">
        <v>0.53</v>
      </c>
      <c r="M100" s="44">
        <v>0.67</v>
      </c>
      <c r="N100" s="44">
        <v>3.35</v>
      </c>
      <c r="O100" s="44">
        <v>9.5299999999999994</v>
      </c>
      <c r="P100" s="44">
        <v>0</v>
      </c>
      <c r="Q100" s="44">
        <f t="shared" ref="Q100:Q132" si="35">(IF(N100&gt;0,N100-P$2,0))+(IF(O100&gt;0,O100-P$2,0))+(IF(P100&gt;0,P100-P$2,0))</f>
        <v>6.18</v>
      </c>
      <c r="R100" s="44">
        <v>312.83999999999997</v>
      </c>
      <c r="S100" s="44">
        <v>285.93</v>
      </c>
      <c r="T100" s="36">
        <f t="shared" si="25"/>
        <v>26.909999999999968</v>
      </c>
      <c r="U100" s="36">
        <f t="shared" si="31"/>
        <v>1.4700000000000362</v>
      </c>
      <c r="V100" s="26">
        <v>42797</v>
      </c>
      <c r="X100" s="31" t="s">
        <v>469</v>
      </c>
      <c r="Y100" s="26">
        <v>42797</v>
      </c>
      <c r="Z100" s="3" t="s">
        <v>475</v>
      </c>
      <c r="AA100" s="31">
        <v>2.423</v>
      </c>
      <c r="AB100" s="31">
        <v>15.821</v>
      </c>
      <c r="AC100" s="31">
        <f t="shared" si="34"/>
        <v>13.398</v>
      </c>
      <c r="AD100" s="31">
        <v>10.337999999999999</v>
      </c>
      <c r="AE100" s="31">
        <v>8.3000000000000004E-2</v>
      </c>
      <c r="AF100" s="31">
        <f t="shared" si="32"/>
        <v>7.9979999999999993</v>
      </c>
      <c r="AG100" s="31">
        <f t="shared" si="33"/>
        <v>67.516879219804963</v>
      </c>
      <c r="AH100" s="31">
        <f t="shared" si="26"/>
        <v>59.695476936856238</v>
      </c>
      <c r="AI100" s="31">
        <f t="shared" si="27"/>
        <v>40.304523063143762</v>
      </c>
      <c r="AJ100" s="31">
        <f t="shared" si="28"/>
        <v>14.199283475145549</v>
      </c>
      <c r="AK100" s="31">
        <f t="shared" ref="AK100:AK123" si="36">T100*AH100%</f>
        <v>16.064052843707994</v>
      </c>
      <c r="AL100" s="26">
        <v>42797</v>
      </c>
      <c r="AM100" s="26">
        <v>42799</v>
      </c>
      <c r="AN100" s="25"/>
      <c r="AO100" s="51">
        <f t="shared" ref="AO100:AO131" si="37">AH100</f>
        <v>59.695476936856238</v>
      </c>
      <c r="AP100" s="51">
        <f t="shared" si="29"/>
        <v>40.304523063143762</v>
      </c>
      <c r="AQ100" s="51">
        <f t="shared" si="30"/>
        <v>14.199283475145549</v>
      </c>
      <c r="AR100" s="31">
        <f t="shared" ref="AR100:AR131" si="38">T100*AO100%</f>
        <v>16.064052843707994</v>
      </c>
      <c r="AT100" s="51"/>
    </row>
    <row r="101" spans="1:46">
      <c r="A101" s="6" t="s">
        <v>105</v>
      </c>
      <c r="B101" s="6" t="s">
        <v>197</v>
      </c>
      <c r="C101" t="s">
        <v>13</v>
      </c>
      <c r="D101" s="8">
        <v>2</v>
      </c>
      <c r="E101">
        <v>10</v>
      </c>
      <c r="G101" s="24">
        <v>42596</v>
      </c>
      <c r="H101" s="36">
        <v>44.21</v>
      </c>
      <c r="I101" s="36">
        <v>3.81</v>
      </c>
      <c r="J101" s="42">
        <f t="shared" si="24"/>
        <v>40.4</v>
      </c>
      <c r="K101" s="44">
        <v>0</v>
      </c>
      <c r="L101" s="44">
        <v>0.14000000000000001</v>
      </c>
      <c r="M101" s="44">
        <v>0.45</v>
      </c>
      <c r="N101" s="44">
        <v>3.35</v>
      </c>
      <c r="O101" s="44">
        <v>4.6500000000000004</v>
      </c>
      <c r="P101" s="44">
        <v>0</v>
      </c>
      <c r="Q101" s="44">
        <f t="shared" si="35"/>
        <v>1.3000000000000003</v>
      </c>
      <c r="R101" s="44">
        <v>323.58</v>
      </c>
      <c r="S101" s="44">
        <v>285.93</v>
      </c>
      <c r="T101" s="36">
        <f t="shared" si="25"/>
        <v>37.649999999999977</v>
      </c>
      <c r="U101" s="36">
        <f t="shared" si="31"/>
        <v>1.0000000000000211</v>
      </c>
      <c r="V101" s="26">
        <v>42797</v>
      </c>
      <c r="X101" s="31">
        <v>4.6479999999999997</v>
      </c>
      <c r="Y101" s="26">
        <v>42797</v>
      </c>
      <c r="AA101" s="31">
        <v>2.4420000000000002</v>
      </c>
      <c r="AB101" s="31">
        <v>17.597999999999999</v>
      </c>
      <c r="AC101" s="31">
        <f t="shared" si="34"/>
        <v>15.155999999999999</v>
      </c>
      <c r="AD101" s="31">
        <v>12.238</v>
      </c>
      <c r="AE101" s="31">
        <v>8.3000000000000004E-2</v>
      </c>
      <c r="AF101" s="31">
        <f t="shared" si="32"/>
        <v>9.8789999999999996</v>
      </c>
      <c r="AG101" s="31">
        <f t="shared" si="33"/>
        <v>53.416337686000603</v>
      </c>
      <c r="AH101" s="31">
        <f t="shared" si="26"/>
        <v>65.182106096595405</v>
      </c>
      <c r="AI101" s="31">
        <f t="shared" si="27"/>
        <v>34.817893903404595</v>
      </c>
      <c r="AJ101" s="31">
        <f t="shared" si="28"/>
        <v>14.066429136975456</v>
      </c>
      <c r="AK101" s="31">
        <f t="shared" si="36"/>
        <v>24.541062945368154</v>
      </c>
      <c r="AL101" s="26">
        <v>42797</v>
      </c>
      <c r="AM101" s="26">
        <v>42799</v>
      </c>
      <c r="AN101" s="25"/>
      <c r="AO101" s="51">
        <f t="shared" si="37"/>
        <v>65.182106096595405</v>
      </c>
      <c r="AP101" s="51">
        <f t="shared" si="29"/>
        <v>34.817893903404595</v>
      </c>
      <c r="AQ101" s="51">
        <f t="shared" si="30"/>
        <v>14.066429136975456</v>
      </c>
      <c r="AR101" s="31">
        <f t="shared" si="38"/>
        <v>24.541062945368154</v>
      </c>
      <c r="AT101" s="51"/>
    </row>
    <row r="102" spans="1:46">
      <c r="A102" s="6" t="s">
        <v>106</v>
      </c>
      <c r="B102" s="6" t="s">
        <v>197</v>
      </c>
      <c r="C102" t="s">
        <v>13</v>
      </c>
      <c r="D102" s="8">
        <v>2</v>
      </c>
      <c r="E102">
        <v>20</v>
      </c>
      <c r="G102" s="24">
        <v>42596</v>
      </c>
      <c r="H102" s="36">
        <v>52.74</v>
      </c>
      <c r="I102" s="36">
        <v>3.73</v>
      </c>
      <c r="J102" s="42">
        <f t="shared" si="24"/>
        <v>49.010000000000005</v>
      </c>
      <c r="K102" s="44">
        <v>0</v>
      </c>
      <c r="L102" s="44">
        <v>0.12</v>
      </c>
      <c r="M102" s="44">
        <v>1.1100000000000001</v>
      </c>
      <c r="N102" s="44">
        <v>3.49</v>
      </c>
      <c r="O102" s="44">
        <v>3.97</v>
      </c>
      <c r="P102" s="44">
        <v>0</v>
      </c>
      <c r="Q102" s="44">
        <f t="shared" si="35"/>
        <v>0.76000000000000023</v>
      </c>
      <c r="R102" s="44">
        <v>332.31</v>
      </c>
      <c r="S102" s="44">
        <v>285.93</v>
      </c>
      <c r="T102" s="36">
        <f t="shared" si="25"/>
        <v>46.379999999999995</v>
      </c>
      <c r="U102" s="36">
        <f t="shared" si="31"/>
        <v>0.76000000000000933</v>
      </c>
      <c r="V102" s="26">
        <v>42797</v>
      </c>
      <c r="X102" s="31">
        <v>4.8760000000000003</v>
      </c>
      <c r="Y102" s="26">
        <v>42797</v>
      </c>
      <c r="AA102" s="31">
        <v>2.3980000000000001</v>
      </c>
      <c r="AB102" s="31">
        <v>22.335000000000001</v>
      </c>
      <c r="AC102" s="31">
        <f t="shared" si="34"/>
        <v>19.937000000000001</v>
      </c>
      <c r="AD102" s="31">
        <v>14.241</v>
      </c>
      <c r="AE102" s="31">
        <v>8.3000000000000004E-2</v>
      </c>
      <c r="AF102" s="31">
        <f t="shared" si="32"/>
        <v>11.926</v>
      </c>
      <c r="AG102" s="31">
        <f t="shared" si="33"/>
        <v>67.172564145564323</v>
      </c>
      <c r="AH102" s="31">
        <f t="shared" si="26"/>
        <v>59.81842804835231</v>
      </c>
      <c r="AI102" s="31">
        <f t="shared" si="27"/>
        <v>40.18157195164769</v>
      </c>
      <c r="AJ102" s="31">
        <f t="shared" si="28"/>
        <v>19.692988413502533</v>
      </c>
      <c r="AK102" s="31">
        <f t="shared" si="36"/>
        <v>27.743786928825799</v>
      </c>
      <c r="AL102" s="26">
        <v>42797</v>
      </c>
      <c r="AM102" s="26">
        <v>42799</v>
      </c>
      <c r="AN102" s="25"/>
      <c r="AO102" s="51">
        <f t="shared" si="37"/>
        <v>59.81842804835231</v>
      </c>
      <c r="AP102" s="51">
        <f t="shared" si="29"/>
        <v>40.18157195164769</v>
      </c>
      <c r="AQ102" s="51">
        <f t="shared" si="30"/>
        <v>19.692988413502533</v>
      </c>
      <c r="AR102" s="31">
        <f t="shared" si="38"/>
        <v>27.743786928825799</v>
      </c>
      <c r="AT102" s="51"/>
    </row>
    <row r="103" spans="1:46">
      <c r="A103" s="6" t="s">
        <v>107</v>
      </c>
      <c r="B103" s="6" t="s">
        <v>197</v>
      </c>
      <c r="C103" t="s">
        <v>13</v>
      </c>
      <c r="D103" s="8">
        <v>2</v>
      </c>
      <c r="E103">
        <v>30</v>
      </c>
      <c r="G103" s="24">
        <v>42596</v>
      </c>
      <c r="H103" s="36">
        <v>66.260000000000005</v>
      </c>
      <c r="I103" s="36">
        <v>3.77</v>
      </c>
      <c r="J103" s="42">
        <f t="shared" si="24"/>
        <v>62.49</v>
      </c>
      <c r="K103" s="44">
        <v>0.62</v>
      </c>
      <c r="L103" s="44">
        <v>0</v>
      </c>
      <c r="M103" s="44">
        <v>0.89</v>
      </c>
      <c r="N103" s="44">
        <v>3.49</v>
      </c>
      <c r="O103" s="44">
        <v>3.67</v>
      </c>
      <c r="P103" s="44">
        <v>0</v>
      </c>
      <c r="Q103" s="44">
        <f t="shared" si="35"/>
        <v>0.45999999999999996</v>
      </c>
      <c r="R103" s="44">
        <v>346.1</v>
      </c>
      <c r="S103" s="44">
        <v>285.93</v>
      </c>
      <c r="T103" s="36">
        <f t="shared" si="25"/>
        <v>60.170000000000016</v>
      </c>
      <c r="U103" s="36">
        <f t="shared" si="31"/>
        <v>0.3499999999999861</v>
      </c>
      <c r="V103" s="26">
        <v>42797</v>
      </c>
      <c r="X103" s="31">
        <v>5.1379999999999999</v>
      </c>
      <c r="Y103" s="26">
        <v>42797</v>
      </c>
      <c r="AA103" s="31">
        <v>2.4380000000000002</v>
      </c>
      <c r="AB103" s="31">
        <v>30.555</v>
      </c>
      <c r="AC103" s="31">
        <f t="shared" si="34"/>
        <v>28.117000000000001</v>
      </c>
      <c r="AD103" s="31">
        <v>22.065000000000001</v>
      </c>
      <c r="AE103" s="31">
        <v>8.3000000000000004E-2</v>
      </c>
      <c r="AF103" s="31">
        <f t="shared" si="32"/>
        <v>19.71</v>
      </c>
      <c r="AG103" s="31">
        <f t="shared" si="33"/>
        <v>42.653475393201418</v>
      </c>
      <c r="AH103" s="31">
        <f t="shared" si="26"/>
        <v>70.099939538357575</v>
      </c>
      <c r="AI103" s="31">
        <f t="shared" si="27"/>
        <v>29.900060461642425</v>
      </c>
      <c r="AJ103" s="31">
        <f t="shared" si="28"/>
        <v>18.49916740761817</v>
      </c>
      <c r="AK103" s="31">
        <f t="shared" si="36"/>
        <v>42.179133620229763</v>
      </c>
      <c r="AL103" s="26">
        <v>42797</v>
      </c>
      <c r="AM103" s="26">
        <v>42799</v>
      </c>
      <c r="AN103" s="25"/>
      <c r="AO103" s="51">
        <f t="shared" si="37"/>
        <v>70.099939538357575</v>
      </c>
      <c r="AP103" s="51">
        <f t="shared" si="29"/>
        <v>29.900060461642425</v>
      </c>
      <c r="AQ103" s="51">
        <f t="shared" si="30"/>
        <v>18.49916740761817</v>
      </c>
      <c r="AR103" s="31">
        <f t="shared" si="38"/>
        <v>42.179133620229763</v>
      </c>
      <c r="AT103" s="51"/>
    </row>
    <row r="104" spans="1:46">
      <c r="A104" s="6" t="s">
        <v>108</v>
      </c>
      <c r="B104" s="6" t="s">
        <v>197</v>
      </c>
      <c r="C104" t="s">
        <v>13</v>
      </c>
      <c r="D104" s="8">
        <v>3</v>
      </c>
      <c r="E104">
        <v>5</v>
      </c>
      <c r="G104" t="s">
        <v>399</v>
      </c>
      <c r="H104" s="36">
        <v>29.11</v>
      </c>
      <c r="I104" s="36">
        <v>2.64</v>
      </c>
      <c r="J104" s="42">
        <f t="shared" si="24"/>
        <v>26.47</v>
      </c>
      <c r="K104" s="44">
        <v>0</v>
      </c>
      <c r="L104" s="44">
        <v>0</v>
      </c>
      <c r="M104" s="44">
        <v>0.54</v>
      </c>
      <c r="N104" s="44">
        <v>3.4</v>
      </c>
      <c r="O104" s="44">
        <v>4.24</v>
      </c>
      <c r="P104" s="44">
        <v>0</v>
      </c>
      <c r="Q104" s="44">
        <f t="shared" si="35"/>
        <v>0.94</v>
      </c>
      <c r="R104" s="44">
        <v>309.48</v>
      </c>
      <c r="S104" s="44">
        <v>285.92</v>
      </c>
      <c r="T104" s="36">
        <f t="shared" si="25"/>
        <v>23.560000000000002</v>
      </c>
      <c r="U104" s="36">
        <f t="shared" si="31"/>
        <v>1.4299999999999966</v>
      </c>
      <c r="V104" s="26">
        <v>42818</v>
      </c>
      <c r="X104" s="31">
        <v>5.27</v>
      </c>
      <c r="Y104" s="26">
        <v>42818</v>
      </c>
      <c r="Z104" s="3" t="s">
        <v>701</v>
      </c>
      <c r="AA104" s="31">
        <v>2.415</v>
      </c>
      <c r="AB104" s="31">
        <v>10.891999999999999</v>
      </c>
      <c r="AC104" s="31">
        <f t="shared" si="34"/>
        <v>8.4770000000000003</v>
      </c>
      <c r="AD104" s="31">
        <v>6.33</v>
      </c>
      <c r="AE104" s="31">
        <v>8.4833333333333094E-2</v>
      </c>
      <c r="AF104" s="31">
        <f t="shared" si="32"/>
        <v>3.9998333333333331</v>
      </c>
      <c r="AG104" s="31">
        <f t="shared" si="33"/>
        <v>111.93383057627402</v>
      </c>
      <c r="AH104" s="31">
        <f t="shared" si="26"/>
        <v>47.18453855530651</v>
      </c>
      <c r="AI104" s="31">
        <f t="shared" si="27"/>
        <v>52.81546144469349</v>
      </c>
      <c r="AJ104" s="31">
        <f t="shared" si="28"/>
        <v>13.980252644410367</v>
      </c>
      <c r="AK104" s="31">
        <f t="shared" si="36"/>
        <v>11.116677283630215</v>
      </c>
      <c r="AL104" s="26">
        <v>42818</v>
      </c>
      <c r="AM104" s="26">
        <v>42820</v>
      </c>
      <c r="AN104" s="25"/>
      <c r="AO104" s="51">
        <f t="shared" si="37"/>
        <v>47.18453855530651</v>
      </c>
      <c r="AP104" s="51">
        <f t="shared" si="29"/>
        <v>52.81546144469349</v>
      </c>
      <c r="AQ104" s="51">
        <f t="shared" si="30"/>
        <v>13.980252644410367</v>
      </c>
      <c r="AR104" s="31">
        <f t="shared" si="38"/>
        <v>11.116677283630215</v>
      </c>
      <c r="AT104" s="51"/>
    </row>
    <row r="105" spans="1:46">
      <c r="A105" s="6" t="s">
        <v>109</v>
      </c>
      <c r="B105" s="6" t="s">
        <v>197</v>
      </c>
      <c r="C105" t="s">
        <v>13</v>
      </c>
      <c r="D105" s="8">
        <v>3</v>
      </c>
      <c r="E105">
        <v>10</v>
      </c>
      <c r="G105" t="s">
        <v>399</v>
      </c>
      <c r="H105" s="36">
        <v>25.39</v>
      </c>
      <c r="I105" s="36">
        <v>2.59</v>
      </c>
      <c r="J105" s="42">
        <f t="shared" si="24"/>
        <v>22.8</v>
      </c>
      <c r="K105" s="44">
        <v>0</v>
      </c>
      <c r="L105" s="44">
        <v>0</v>
      </c>
      <c r="M105" s="44">
        <v>0.74</v>
      </c>
      <c r="N105" s="44">
        <f>3.24-3.24+3.35</f>
        <v>3.35</v>
      </c>
      <c r="O105" s="44">
        <f>3.94-3.23+3.35</f>
        <v>4.0600000000000005</v>
      </c>
      <c r="P105" s="44">
        <v>0</v>
      </c>
      <c r="Q105" s="44">
        <f t="shared" si="35"/>
        <v>0.71000000000000041</v>
      </c>
      <c r="R105" s="44">
        <v>306.56</v>
      </c>
      <c r="S105" s="44">
        <v>285.92</v>
      </c>
      <c r="T105" s="36">
        <f t="shared" si="25"/>
        <v>20.639999999999986</v>
      </c>
      <c r="U105" s="36">
        <f t="shared" si="31"/>
        <v>0.71000000000001395</v>
      </c>
      <c r="V105" s="26">
        <v>42818</v>
      </c>
      <c r="X105" s="31" t="s">
        <v>469</v>
      </c>
      <c r="Y105" s="8" t="s">
        <v>469</v>
      </c>
      <c r="Z105" s="3" t="s">
        <v>475</v>
      </c>
      <c r="AA105" s="31">
        <v>2.391</v>
      </c>
      <c r="AB105" s="31">
        <v>12.483000000000001</v>
      </c>
      <c r="AC105" s="31">
        <f t="shared" si="34"/>
        <v>10.092000000000001</v>
      </c>
      <c r="AD105" s="31">
        <v>7.9939999999999998</v>
      </c>
      <c r="AE105" s="31">
        <v>8.4833333333333094E-2</v>
      </c>
      <c r="AF105" s="31">
        <f t="shared" si="32"/>
        <v>5.6878333333333329</v>
      </c>
      <c r="AG105" s="31">
        <f t="shared" si="33"/>
        <v>77.431359334251496</v>
      </c>
      <c r="AH105" s="31">
        <f t="shared" si="26"/>
        <v>56.359822962082177</v>
      </c>
      <c r="AI105" s="31">
        <f t="shared" si="27"/>
        <v>43.640177037917823</v>
      </c>
      <c r="AJ105" s="31">
        <f t="shared" si="28"/>
        <v>9.9499603646452641</v>
      </c>
      <c r="AK105" s="31">
        <f t="shared" si="36"/>
        <v>11.632667459373753</v>
      </c>
      <c r="AL105" s="26">
        <v>42818</v>
      </c>
      <c r="AM105" s="26">
        <v>42820</v>
      </c>
      <c r="AN105" s="25"/>
      <c r="AO105" s="51">
        <f t="shared" si="37"/>
        <v>56.359822962082177</v>
      </c>
      <c r="AP105" s="51">
        <f t="shared" si="29"/>
        <v>43.640177037917823</v>
      </c>
      <c r="AQ105" s="51">
        <f t="shared" si="30"/>
        <v>9.9499603646452641</v>
      </c>
      <c r="AR105" s="31">
        <f t="shared" si="38"/>
        <v>11.632667459373753</v>
      </c>
      <c r="AT105" s="51"/>
    </row>
    <row r="106" spans="1:46">
      <c r="A106" s="6" t="s">
        <v>110</v>
      </c>
      <c r="B106" s="6" t="s">
        <v>197</v>
      </c>
      <c r="C106" t="s">
        <v>13</v>
      </c>
      <c r="D106" s="8">
        <v>3</v>
      </c>
      <c r="E106">
        <v>20</v>
      </c>
      <c r="G106" t="s">
        <v>399</v>
      </c>
      <c r="H106" s="36">
        <v>67.400000000000006</v>
      </c>
      <c r="I106" s="36">
        <v>2.62</v>
      </c>
      <c r="J106" s="42">
        <f t="shared" si="24"/>
        <v>64.78</v>
      </c>
      <c r="K106" s="44">
        <v>0.53</v>
      </c>
      <c r="L106" s="44">
        <v>0</v>
      </c>
      <c r="M106" s="44">
        <v>0.43</v>
      </c>
      <c r="N106" s="44">
        <f>3.29-3.21+3.35</f>
        <v>3.43</v>
      </c>
      <c r="O106" s="44">
        <f>3.7-3.3+3.35</f>
        <v>3.7500000000000004</v>
      </c>
      <c r="P106" s="44">
        <v>0</v>
      </c>
      <c r="Q106" s="44">
        <f t="shared" si="35"/>
        <v>0.48000000000000043</v>
      </c>
      <c r="R106" s="44">
        <v>348.74</v>
      </c>
      <c r="S106" s="44">
        <v>285.92</v>
      </c>
      <c r="T106" s="36">
        <f t="shared" si="25"/>
        <v>62.819999999999993</v>
      </c>
      <c r="U106" s="36">
        <f t="shared" si="31"/>
        <v>0.52000000000000757</v>
      </c>
      <c r="V106" s="26">
        <v>42818</v>
      </c>
      <c r="X106" s="31">
        <v>5.3230000000000004</v>
      </c>
      <c r="Y106" s="26">
        <v>42818</v>
      </c>
      <c r="AA106" s="31">
        <v>2.3969999999999998</v>
      </c>
      <c r="AB106" s="31">
        <v>31.266999999999999</v>
      </c>
      <c r="AC106" s="31">
        <f t="shared" si="34"/>
        <v>28.87</v>
      </c>
      <c r="AD106" s="31">
        <v>22.902000000000001</v>
      </c>
      <c r="AE106" s="31">
        <v>8.4833333333333094E-2</v>
      </c>
      <c r="AF106" s="31">
        <f t="shared" si="32"/>
        <v>20.589833333333335</v>
      </c>
      <c r="AG106" s="31">
        <f t="shared" si="33"/>
        <v>40.214830944074336</v>
      </c>
      <c r="AH106" s="31">
        <f t="shared" si="26"/>
        <v>71.319131739983845</v>
      </c>
      <c r="AI106" s="31">
        <f t="shared" si="27"/>
        <v>28.680868260016155</v>
      </c>
      <c r="AJ106" s="31">
        <f t="shared" si="28"/>
        <v>18.427457857060379</v>
      </c>
      <c r="AK106" s="31">
        <f t="shared" si="36"/>
        <v>44.802678559057846</v>
      </c>
      <c r="AL106" s="26">
        <v>42818</v>
      </c>
      <c r="AM106" s="26">
        <v>42820</v>
      </c>
      <c r="AN106" s="25"/>
      <c r="AO106" s="51">
        <f t="shared" si="37"/>
        <v>71.319131739983845</v>
      </c>
      <c r="AP106" s="51">
        <f t="shared" si="29"/>
        <v>28.680868260016155</v>
      </c>
      <c r="AQ106" s="51">
        <f t="shared" si="30"/>
        <v>18.427457857060379</v>
      </c>
      <c r="AR106" s="31">
        <f t="shared" si="38"/>
        <v>44.802678559057846</v>
      </c>
      <c r="AT106" s="51"/>
    </row>
    <row r="107" spans="1:46">
      <c r="A107" s="6" t="s">
        <v>111</v>
      </c>
      <c r="B107" s="6" t="s">
        <v>197</v>
      </c>
      <c r="C107" t="s">
        <v>13</v>
      </c>
      <c r="D107" s="8">
        <v>3</v>
      </c>
      <c r="E107">
        <v>30</v>
      </c>
      <c r="G107">
        <v>2016</v>
      </c>
      <c r="H107" s="36">
        <v>75.06</v>
      </c>
      <c r="I107" s="36">
        <v>2.7</v>
      </c>
      <c r="J107" s="42">
        <f t="shared" si="24"/>
        <v>72.36</v>
      </c>
      <c r="K107" s="44">
        <v>1.1399999999999999</v>
      </c>
      <c r="L107" s="44">
        <v>0</v>
      </c>
      <c r="M107" s="44">
        <v>0.15</v>
      </c>
      <c r="N107" s="44">
        <v>0</v>
      </c>
      <c r="O107" s="44">
        <f>3.27-3.26+3.35</f>
        <v>3.3600000000000003</v>
      </c>
      <c r="P107" s="44">
        <v>0</v>
      </c>
      <c r="Q107" s="44">
        <f t="shared" si="35"/>
        <v>1.0000000000000231E-2</v>
      </c>
      <c r="R107" s="44">
        <v>356.57</v>
      </c>
      <c r="S107" s="44">
        <v>285.92</v>
      </c>
      <c r="T107" s="36">
        <f t="shared" si="25"/>
        <v>70.649999999999977</v>
      </c>
      <c r="U107" s="36">
        <f t="shared" si="31"/>
        <v>0.41000000000002212</v>
      </c>
      <c r="V107" s="26">
        <v>42818</v>
      </c>
      <c r="X107" s="31">
        <v>4.96</v>
      </c>
      <c r="Y107" s="26">
        <v>42818</v>
      </c>
      <c r="AA107" s="31">
        <v>2.3940000000000001</v>
      </c>
      <c r="AB107" s="31">
        <v>34.984999999999999</v>
      </c>
      <c r="AC107" s="31">
        <f t="shared" si="34"/>
        <v>32.591000000000001</v>
      </c>
      <c r="AD107" s="31">
        <v>22.532</v>
      </c>
      <c r="AE107" s="31">
        <v>8.4833333333333094E-2</v>
      </c>
      <c r="AF107" s="31">
        <f t="shared" si="32"/>
        <v>20.22283333333333</v>
      </c>
      <c r="AG107" s="31">
        <f t="shared" si="33"/>
        <v>61.159415512168614</v>
      </c>
      <c r="AH107" s="31">
        <f t="shared" si="26"/>
        <v>62.050361551757625</v>
      </c>
      <c r="AI107" s="31">
        <f t="shared" si="27"/>
        <v>37.949638448242375</v>
      </c>
      <c r="AJ107" s="31">
        <f t="shared" si="28"/>
        <v>27.027732502838216</v>
      </c>
      <c r="AK107" s="31">
        <f t="shared" si="36"/>
        <v>43.838580436316747</v>
      </c>
      <c r="AL107" s="26">
        <v>42818</v>
      </c>
      <c r="AM107" s="26">
        <v>42820</v>
      </c>
      <c r="AN107" s="25"/>
      <c r="AO107" s="51">
        <f t="shared" si="37"/>
        <v>62.050361551757625</v>
      </c>
      <c r="AP107" s="51">
        <f t="shared" si="29"/>
        <v>37.949638448242375</v>
      </c>
      <c r="AQ107" s="51">
        <f t="shared" si="30"/>
        <v>27.027732502838216</v>
      </c>
      <c r="AR107" s="31">
        <f t="shared" si="38"/>
        <v>43.838580436316747</v>
      </c>
      <c r="AT107" s="51"/>
    </row>
    <row r="108" spans="1:46">
      <c r="A108" s="6" t="s">
        <v>112</v>
      </c>
      <c r="B108" s="6" t="s">
        <v>197</v>
      </c>
      <c r="C108" t="s">
        <v>13</v>
      </c>
      <c r="D108" s="8">
        <v>4</v>
      </c>
      <c r="E108">
        <v>5</v>
      </c>
      <c r="G108" t="s">
        <v>399</v>
      </c>
      <c r="H108" s="36">
        <v>27.99</v>
      </c>
      <c r="I108" s="36">
        <v>2.4500000000000002</v>
      </c>
      <c r="J108" s="42">
        <f t="shared" si="24"/>
        <v>25.54</v>
      </c>
      <c r="K108" s="38">
        <v>0</v>
      </c>
      <c r="L108" s="44">
        <v>0</v>
      </c>
      <c r="M108" s="44">
        <v>7.25</v>
      </c>
      <c r="N108" s="44">
        <v>0</v>
      </c>
      <c r="O108" s="44">
        <v>11.97</v>
      </c>
      <c r="P108" s="44">
        <v>0</v>
      </c>
      <c r="Q108" s="44">
        <f t="shared" si="35"/>
        <v>8.620000000000001</v>
      </c>
      <c r="R108" s="44">
        <v>295.52999999999997</v>
      </c>
      <c r="S108" s="44">
        <v>287.51</v>
      </c>
      <c r="T108" s="36">
        <f t="shared" si="25"/>
        <v>8.0199999999999818</v>
      </c>
      <c r="U108" s="36">
        <f t="shared" si="31"/>
        <v>1.6500000000000163</v>
      </c>
      <c r="V108" s="26">
        <v>42766</v>
      </c>
      <c r="W108" s="25" t="s">
        <v>512</v>
      </c>
      <c r="X108" s="31" t="s">
        <v>469</v>
      </c>
      <c r="Y108" s="8" t="s">
        <v>469</v>
      </c>
      <c r="AA108" s="31">
        <v>2.3889999999999998</v>
      </c>
      <c r="AB108" s="31">
        <v>10.539</v>
      </c>
      <c r="AC108" s="31">
        <f t="shared" si="34"/>
        <v>8.15</v>
      </c>
      <c r="AD108" s="31">
        <v>5.4409999999999998</v>
      </c>
      <c r="AE108" s="31">
        <v>7.4833333333333599E-2</v>
      </c>
      <c r="AF108" s="31">
        <f t="shared" si="32"/>
        <v>3.1268333333333338</v>
      </c>
      <c r="AG108" s="31">
        <f t="shared" si="33"/>
        <v>160.64708704226851</v>
      </c>
      <c r="AH108" s="31">
        <f t="shared" si="26"/>
        <v>38.366053169734151</v>
      </c>
      <c r="AI108" s="31">
        <f t="shared" si="27"/>
        <v>61.633946830265849</v>
      </c>
      <c r="AJ108" s="31">
        <f t="shared" si="28"/>
        <v>15.741310020449898</v>
      </c>
      <c r="AK108" s="31">
        <f t="shared" si="36"/>
        <v>3.0769574642126716</v>
      </c>
      <c r="AL108" s="26">
        <v>42770</v>
      </c>
      <c r="AM108" s="26">
        <v>42772</v>
      </c>
      <c r="AN108" s="25"/>
      <c r="AO108" s="51">
        <f t="shared" si="37"/>
        <v>38.366053169734151</v>
      </c>
      <c r="AP108" s="51">
        <f t="shared" si="29"/>
        <v>61.633946830265849</v>
      </c>
      <c r="AQ108" s="51">
        <f t="shared" si="30"/>
        <v>15.741310020449898</v>
      </c>
      <c r="AR108" s="31">
        <f t="shared" si="38"/>
        <v>3.0769574642126716</v>
      </c>
      <c r="AT108" s="51"/>
    </row>
    <row r="109" spans="1:46">
      <c r="A109" s="6" t="s">
        <v>113</v>
      </c>
      <c r="B109" s="6" t="s">
        <v>197</v>
      </c>
      <c r="C109" t="s">
        <v>13</v>
      </c>
      <c r="D109" s="8">
        <v>4</v>
      </c>
      <c r="E109">
        <v>10</v>
      </c>
      <c r="G109" t="s">
        <v>399</v>
      </c>
      <c r="H109" s="36">
        <v>43.6</v>
      </c>
      <c r="I109" s="36">
        <v>2.64</v>
      </c>
      <c r="J109" s="42">
        <f t="shared" si="24"/>
        <v>40.96</v>
      </c>
      <c r="K109" s="38">
        <v>2.36</v>
      </c>
      <c r="L109" s="38">
        <v>0</v>
      </c>
      <c r="M109" s="38">
        <v>1.63</v>
      </c>
      <c r="N109" s="38">
        <v>3.34</v>
      </c>
      <c r="O109" s="38">
        <v>7.79</v>
      </c>
      <c r="P109" s="38">
        <v>0</v>
      </c>
      <c r="Q109" s="44">
        <f t="shared" si="35"/>
        <v>4.43</v>
      </c>
      <c r="R109" s="44">
        <v>318.29000000000002</v>
      </c>
      <c r="S109" s="44">
        <v>286.94</v>
      </c>
      <c r="T109" s="36">
        <f t="shared" si="25"/>
        <v>31.350000000000023</v>
      </c>
      <c r="U109" s="36">
        <f t="shared" si="31"/>
        <v>1.1899999999999786</v>
      </c>
      <c r="V109" s="26">
        <v>42766</v>
      </c>
      <c r="W109" s="25"/>
      <c r="X109" s="31">
        <v>4.8150000000000004</v>
      </c>
      <c r="Y109" s="26">
        <v>42767</v>
      </c>
      <c r="AA109" s="31">
        <v>2.3570000000000002</v>
      </c>
      <c r="AB109" s="31">
        <v>15.305</v>
      </c>
      <c r="AC109" s="31">
        <f t="shared" si="34"/>
        <v>12.948</v>
      </c>
      <c r="AD109" s="31">
        <v>8.1609999999999996</v>
      </c>
      <c r="AE109" s="31">
        <v>7.9833333333333645E-2</v>
      </c>
      <c r="AF109" s="31">
        <f t="shared" si="32"/>
        <v>5.8838333333333335</v>
      </c>
      <c r="AG109" s="31">
        <f t="shared" si="33"/>
        <v>120.06061807778377</v>
      </c>
      <c r="AH109" s="31">
        <f t="shared" si="26"/>
        <v>45.44202450828957</v>
      </c>
      <c r="AI109" s="31">
        <f t="shared" si="27"/>
        <v>54.55797549171043</v>
      </c>
      <c r="AJ109" s="31">
        <f t="shared" si="28"/>
        <v>21.059378539800225</v>
      </c>
      <c r="AK109" s="31">
        <f t="shared" si="36"/>
        <v>14.246074683348791</v>
      </c>
      <c r="AL109" s="26">
        <v>42768</v>
      </c>
      <c r="AM109" s="26">
        <v>42770</v>
      </c>
      <c r="AN109" s="25"/>
      <c r="AO109" s="51">
        <f t="shared" si="37"/>
        <v>45.44202450828957</v>
      </c>
      <c r="AP109" s="51">
        <f t="shared" si="29"/>
        <v>54.55797549171043</v>
      </c>
      <c r="AQ109" s="51">
        <f t="shared" si="30"/>
        <v>21.059378539800225</v>
      </c>
      <c r="AR109" s="31">
        <f t="shared" si="38"/>
        <v>14.246074683348791</v>
      </c>
      <c r="AT109" s="51"/>
    </row>
    <row r="110" spans="1:46">
      <c r="A110" s="6" t="s">
        <v>114</v>
      </c>
      <c r="B110" s="6" t="s">
        <v>197</v>
      </c>
      <c r="C110" t="s">
        <v>13</v>
      </c>
      <c r="D110" s="8">
        <v>4</v>
      </c>
      <c r="E110">
        <v>20</v>
      </c>
      <c r="G110" s="24">
        <v>42598</v>
      </c>
      <c r="H110" s="36">
        <v>81.540000000000006</v>
      </c>
      <c r="I110" s="36">
        <v>2.61</v>
      </c>
      <c r="J110" s="42">
        <f t="shared" si="24"/>
        <v>78.930000000000007</v>
      </c>
      <c r="K110" s="38">
        <v>4.07</v>
      </c>
      <c r="L110" s="38">
        <v>0</v>
      </c>
      <c r="M110" s="38">
        <v>0.73</v>
      </c>
      <c r="N110" s="44">
        <v>3.45</v>
      </c>
      <c r="O110" s="38">
        <v>4.37</v>
      </c>
      <c r="P110" s="44">
        <v>0</v>
      </c>
      <c r="Q110" s="44">
        <f t="shared" si="35"/>
        <v>1.1200000000000001</v>
      </c>
      <c r="R110" s="44">
        <v>359.16</v>
      </c>
      <c r="S110" s="44">
        <v>286.86</v>
      </c>
      <c r="T110" s="36">
        <f t="shared" si="25"/>
        <v>72.300000000000011</v>
      </c>
      <c r="U110" s="36">
        <f t="shared" si="31"/>
        <v>0.70999999999999552</v>
      </c>
      <c r="V110" s="26">
        <v>42766</v>
      </c>
      <c r="W110" s="25"/>
      <c r="X110" s="31">
        <v>5.0730000000000004</v>
      </c>
      <c r="Y110" s="26">
        <v>42767</v>
      </c>
      <c r="AA110" s="31">
        <v>2.375</v>
      </c>
      <c r="AB110" s="31">
        <v>34.203000000000003</v>
      </c>
      <c r="AC110" s="31">
        <f t="shared" si="34"/>
        <v>31.828000000000003</v>
      </c>
      <c r="AD110" s="31">
        <v>24.096</v>
      </c>
      <c r="AE110" s="31">
        <v>7.9833333333333645E-2</v>
      </c>
      <c r="AF110" s="31">
        <f t="shared" si="32"/>
        <v>21.800833333333333</v>
      </c>
      <c r="AG110" s="31">
        <f t="shared" si="33"/>
        <v>45.994419173579004</v>
      </c>
      <c r="AH110" s="31">
        <f t="shared" si="26"/>
        <v>68.495768924636579</v>
      </c>
      <c r="AI110" s="31">
        <f t="shared" si="27"/>
        <v>31.504231075363421</v>
      </c>
      <c r="AJ110" s="31">
        <f t="shared" si="28"/>
        <v>23.584067383017061</v>
      </c>
      <c r="AK110" s="31">
        <f t="shared" si="36"/>
        <v>49.522440932512254</v>
      </c>
      <c r="AL110" s="26">
        <v>42768</v>
      </c>
      <c r="AM110" s="26">
        <v>42770</v>
      </c>
      <c r="AN110" s="25"/>
      <c r="AO110" s="51">
        <f t="shared" si="37"/>
        <v>68.495768924636579</v>
      </c>
      <c r="AP110" s="51">
        <f t="shared" si="29"/>
        <v>31.504231075363421</v>
      </c>
      <c r="AQ110" s="51">
        <f t="shared" si="30"/>
        <v>23.584067383017061</v>
      </c>
      <c r="AR110" s="31">
        <f t="shared" si="38"/>
        <v>49.522440932512254</v>
      </c>
      <c r="AT110" s="51"/>
    </row>
    <row r="111" spans="1:46">
      <c r="A111" s="6" t="s">
        <v>115</v>
      </c>
      <c r="B111" s="6" t="s">
        <v>197</v>
      </c>
      <c r="C111" t="s">
        <v>13</v>
      </c>
      <c r="D111" s="8">
        <v>4</v>
      </c>
      <c r="E111">
        <v>30</v>
      </c>
      <c r="F111" t="s">
        <v>383</v>
      </c>
      <c r="G111" s="24">
        <v>42598</v>
      </c>
      <c r="H111" s="36">
        <v>82.85</v>
      </c>
      <c r="I111" s="36">
        <v>2.65</v>
      </c>
      <c r="J111" s="42">
        <f t="shared" si="24"/>
        <v>80.199999999999989</v>
      </c>
      <c r="K111" s="38">
        <v>13.9</v>
      </c>
      <c r="L111" s="38">
        <v>0</v>
      </c>
      <c r="M111" s="38">
        <v>0.38</v>
      </c>
      <c r="N111" s="44">
        <v>3.48</v>
      </c>
      <c r="O111" s="44">
        <v>4.08</v>
      </c>
      <c r="P111" s="44">
        <v>0</v>
      </c>
      <c r="Q111" s="44">
        <f t="shared" si="35"/>
        <v>0.85999999999999988</v>
      </c>
      <c r="R111" s="44">
        <v>351.13</v>
      </c>
      <c r="S111" s="44">
        <v>286.86</v>
      </c>
      <c r="T111" s="36">
        <f t="shared" si="25"/>
        <v>64.269999999999982</v>
      </c>
      <c r="U111" s="36">
        <f t="shared" si="31"/>
        <v>0.79000000000000625</v>
      </c>
      <c r="V111" s="26">
        <v>42766</v>
      </c>
      <c r="W111" s="25"/>
      <c r="X111" s="31">
        <v>5.2089999999999996</v>
      </c>
      <c r="Y111" s="26">
        <v>42767</v>
      </c>
      <c r="AA111" s="31">
        <v>2.3980000000000001</v>
      </c>
      <c r="AB111" s="31">
        <v>26.257999999999999</v>
      </c>
      <c r="AC111" s="31">
        <f t="shared" si="34"/>
        <v>23.86</v>
      </c>
      <c r="AD111" s="31">
        <v>19.513999999999999</v>
      </c>
      <c r="AE111" s="31">
        <v>7.9833333333333645E-2</v>
      </c>
      <c r="AF111" s="31">
        <f t="shared" si="32"/>
        <v>17.195833333333333</v>
      </c>
      <c r="AG111" s="31">
        <f t="shared" si="33"/>
        <v>38.754543251756722</v>
      </c>
      <c r="AH111" s="31">
        <f t="shared" si="26"/>
        <v>72.06971221011456</v>
      </c>
      <c r="AI111" s="31">
        <f t="shared" si="27"/>
        <v>27.93028778988544</v>
      </c>
      <c r="AJ111" s="31">
        <f t="shared" si="28"/>
        <v>18.517780804694041</v>
      </c>
      <c r="AK111" s="31">
        <f t="shared" si="36"/>
        <v>46.319204037440613</v>
      </c>
      <c r="AL111" s="26">
        <v>42768</v>
      </c>
      <c r="AM111" s="26">
        <v>42770</v>
      </c>
      <c r="AN111" s="25"/>
      <c r="AO111" s="51">
        <f t="shared" si="37"/>
        <v>72.06971221011456</v>
      </c>
      <c r="AP111" s="51">
        <f t="shared" si="29"/>
        <v>27.93028778988544</v>
      </c>
      <c r="AQ111" s="51">
        <f t="shared" si="30"/>
        <v>18.517780804694041</v>
      </c>
      <c r="AR111" s="31">
        <f t="shared" si="38"/>
        <v>46.319204037440613</v>
      </c>
      <c r="AT111" s="51"/>
    </row>
    <row r="112" spans="1:46">
      <c r="A112" s="6" t="s">
        <v>116</v>
      </c>
      <c r="B112" s="6" t="s">
        <v>197</v>
      </c>
      <c r="C112" t="s">
        <v>13</v>
      </c>
      <c r="D112" s="8">
        <v>5</v>
      </c>
      <c r="E112">
        <v>5</v>
      </c>
      <c r="G112" s="24">
        <v>42598</v>
      </c>
      <c r="H112" s="36">
        <v>38.61</v>
      </c>
      <c r="I112" s="38">
        <v>2.6</v>
      </c>
      <c r="J112" s="42">
        <f t="shared" si="24"/>
        <v>36.01</v>
      </c>
      <c r="K112" s="38">
        <v>0.32</v>
      </c>
      <c r="L112" s="38" t="s">
        <v>469</v>
      </c>
      <c r="M112" s="38">
        <v>2.8</v>
      </c>
      <c r="N112" s="44">
        <v>3.37</v>
      </c>
      <c r="O112" s="44">
        <v>3.66</v>
      </c>
      <c r="P112" s="44">
        <v>0</v>
      </c>
      <c r="Q112" s="44">
        <f t="shared" si="35"/>
        <v>0.33000000000000007</v>
      </c>
      <c r="R112" s="44">
        <v>317.14</v>
      </c>
      <c r="S112" s="44">
        <v>286.72000000000003</v>
      </c>
      <c r="T112" s="36">
        <f t="shared" si="25"/>
        <v>30.419999999999959</v>
      </c>
      <c r="U112" s="36">
        <f t="shared" si="31"/>
        <v>2.1400000000000392</v>
      </c>
      <c r="V112" s="26">
        <v>42746</v>
      </c>
      <c r="W112" s="25"/>
      <c r="X112" s="31">
        <v>4.9169999999999998</v>
      </c>
      <c r="Y112" s="26">
        <v>42746</v>
      </c>
      <c r="AA112" s="31">
        <v>3.53</v>
      </c>
      <c r="AB112" s="31">
        <v>13.948</v>
      </c>
      <c r="AC112" s="31">
        <f t="shared" si="34"/>
        <v>10.418000000000001</v>
      </c>
      <c r="AD112" s="31">
        <v>7.8819999999999997</v>
      </c>
      <c r="AE112" s="31">
        <v>0.11549999999999901</v>
      </c>
      <c r="AF112" s="31">
        <f t="shared" si="32"/>
        <v>4.4674999999999994</v>
      </c>
      <c r="AG112" s="31">
        <f t="shared" si="33"/>
        <v>133.19529938444327</v>
      </c>
      <c r="AH112" s="31">
        <f t="shared" si="26"/>
        <v>42.882511038587054</v>
      </c>
      <c r="AI112" s="31">
        <f t="shared" si="27"/>
        <v>57.117488961412946</v>
      </c>
      <c r="AJ112" s="31">
        <f t="shared" si="28"/>
        <v>20.385231810328278</v>
      </c>
      <c r="AK112" s="31">
        <f t="shared" si="36"/>
        <v>13.044859857938166</v>
      </c>
      <c r="AL112" s="26">
        <v>42746</v>
      </c>
      <c r="AM112" s="26">
        <v>42748</v>
      </c>
      <c r="AN112" s="25"/>
      <c r="AO112" s="51">
        <f t="shared" si="37"/>
        <v>42.882511038587054</v>
      </c>
      <c r="AP112" s="51">
        <f t="shared" si="29"/>
        <v>57.117488961412946</v>
      </c>
      <c r="AQ112" s="51">
        <f t="shared" si="30"/>
        <v>20.385231810328278</v>
      </c>
      <c r="AR112" s="31">
        <f t="shared" si="38"/>
        <v>13.044859857938166</v>
      </c>
      <c r="AT112" s="51"/>
    </row>
    <row r="113" spans="1:51">
      <c r="A113" s="6" t="s">
        <v>117</v>
      </c>
      <c r="B113" s="6" t="s">
        <v>197</v>
      </c>
      <c r="C113" t="s">
        <v>13</v>
      </c>
      <c r="D113" s="8">
        <v>5</v>
      </c>
      <c r="E113">
        <v>10</v>
      </c>
      <c r="G113" s="24">
        <v>42598</v>
      </c>
      <c r="H113" s="36">
        <v>60.84</v>
      </c>
      <c r="I113" s="38">
        <v>2.7</v>
      </c>
      <c r="J113" s="42">
        <f t="shared" si="24"/>
        <v>58.14</v>
      </c>
      <c r="K113" s="38">
        <v>4.1100000000000003</v>
      </c>
      <c r="L113" s="38" t="s">
        <v>469</v>
      </c>
      <c r="M113" s="38">
        <v>0.73</v>
      </c>
      <c r="N113" s="38">
        <v>3.43</v>
      </c>
      <c r="O113" s="44">
        <v>3.68</v>
      </c>
      <c r="P113" s="44">
        <v>0</v>
      </c>
      <c r="Q113" s="44">
        <f t="shared" si="35"/>
        <v>0.41000000000000014</v>
      </c>
      <c r="R113" s="44">
        <v>338.23</v>
      </c>
      <c r="S113" s="44">
        <v>286.72000000000003</v>
      </c>
      <c r="T113" s="36">
        <f t="shared" si="25"/>
        <v>51.509999999999991</v>
      </c>
      <c r="U113" s="36">
        <f t="shared" si="31"/>
        <v>1.3800000000000088</v>
      </c>
      <c r="V113" s="26">
        <v>42746</v>
      </c>
      <c r="W113" s="25"/>
      <c r="X113" s="31">
        <v>5.0940000000000003</v>
      </c>
      <c r="Y113" s="26">
        <v>42746</v>
      </c>
      <c r="AA113" s="31">
        <v>3.5219999999999998</v>
      </c>
      <c r="AB113" s="31">
        <v>23.419</v>
      </c>
      <c r="AC113" s="31">
        <f t="shared" si="34"/>
        <v>19.897000000000002</v>
      </c>
      <c r="AD113" s="31">
        <v>11.513999999999999</v>
      </c>
      <c r="AE113" s="31">
        <v>0.11549999999999901</v>
      </c>
      <c r="AF113" s="31">
        <f t="shared" si="32"/>
        <v>8.1074999999999982</v>
      </c>
      <c r="AG113" s="31">
        <f t="shared" si="33"/>
        <v>145.41473943879132</v>
      </c>
      <c r="AH113" s="31">
        <f t="shared" si="26"/>
        <v>40.747348846559774</v>
      </c>
      <c r="AI113" s="31">
        <f t="shared" si="27"/>
        <v>59.252651153440226</v>
      </c>
      <c r="AJ113" s="31">
        <f t="shared" si="28"/>
        <v>32.014207418203753</v>
      </c>
      <c r="AK113" s="31">
        <f t="shared" si="36"/>
        <v>20.988959390862934</v>
      </c>
      <c r="AL113" s="26">
        <v>42746</v>
      </c>
      <c r="AM113" s="26">
        <v>42748</v>
      </c>
      <c r="AN113" s="25"/>
      <c r="AO113" s="51">
        <f t="shared" si="37"/>
        <v>40.747348846559774</v>
      </c>
      <c r="AP113" s="51">
        <f t="shared" si="29"/>
        <v>59.252651153440226</v>
      </c>
      <c r="AQ113" s="51">
        <f t="shared" si="30"/>
        <v>32.014207418203753</v>
      </c>
      <c r="AR113" s="31">
        <f t="shared" si="38"/>
        <v>20.988959390862934</v>
      </c>
      <c r="AT113" s="51"/>
    </row>
    <row r="114" spans="1:51">
      <c r="A114" s="6" t="s">
        <v>118</v>
      </c>
      <c r="B114" s="6" t="s">
        <v>197</v>
      </c>
      <c r="C114" t="s">
        <v>13</v>
      </c>
      <c r="D114" s="8">
        <v>5</v>
      </c>
      <c r="E114">
        <v>20</v>
      </c>
      <c r="G114" s="24">
        <v>42598</v>
      </c>
      <c r="H114" s="36">
        <v>79.09</v>
      </c>
      <c r="I114" s="38">
        <v>2.75</v>
      </c>
      <c r="J114" s="42">
        <f t="shared" si="24"/>
        <v>76.34</v>
      </c>
      <c r="K114" s="38">
        <v>0.61</v>
      </c>
      <c r="L114" s="38" t="s">
        <v>469</v>
      </c>
      <c r="M114" s="38">
        <v>4.08</v>
      </c>
      <c r="N114" s="44">
        <v>3.4</v>
      </c>
      <c r="O114" s="44">
        <v>3.52</v>
      </c>
      <c r="P114" s="44">
        <v>0</v>
      </c>
      <c r="Q114" s="44">
        <f t="shared" si="35"/>
        <v>0.21999999999999975</v>
      </c>
      <c r="R114" s="44">
        <v>357.47</v>
      </c>
      <c r="S114" s="44">
        <v>286.72000000000003</v>
      </c>
      <c r="T114" s="36">
        <f t="shared" si="25"/>
        <v>70.75</v>
      </c>
      <c r="U114" s="36">
        <f t="shared" si="31"/>
        <v>0.6800000000000036</v>
      </c>
      <c r="V114" s="26">
        <v>42746</v>
      </c>
      <c r="W114" s="25"/>
      <c r="X114" s="31">
        <v>5.3369999999999997</v>
      </c>
      <c r="Y114" s="26">
        <v>42746</v>
      </c>
      <c r="AA114" s="31">
        <v>3.4870000000000001</v>
      </c>
      <c r="AB114" s="31">
        <v>36.026000000000003</v>
      </c>
      <c r="AC114" s="31">
        <f t="shared" si="34"/>
        <v>32.539000000000001</v>
      </c>
      <c r="AD114" s="31">
        <v>20.864999999999998</v>
      </c>
      <c r="AE114" s="31">
        <v>0.11549999999999901</v>
      </c>
      <c r="AF114" s="31">
        <f t="shared" si="32"/>
        <v>17.493499999999997</v>
      </c>
      <c r="AG114" s="31">
        <f t="shared" si="33"/>
        <v>86.006230885757603</v>
      </c>
      <c r="AH114" s="31">
        <f t="shared" si="26"/>
        <v>53.761639878299874</v>
      </c>
      <c r="AI114" s="31">
        <f t="shared" si="27"/>
        <v>46.238360121700126</v>
      </c>
      <c r="AJ114" s="31">
        <f t="shared" si="28"/>
        <v>35.01631012016351</v>
      </c>
      <c r="AK114" s="31">
        <f t="shared" si="36"/>
        <v>38.036360213897161</v>
      </c>
      <c r="AL114" s="26">
        <v>42746</v>
      </c>
      <c r="AM114" s="26">
        <v>42748</v>
      </c>
      <c r="AN114" s="25"/>
      <c r="AO114" s="51">
        <f t="shared" si="37"/>
        <v>53.761639878299874</v>
      </c>
      <c r="AP114" s="51">
        <f t="shared" si="29"/>
        <v>46.238360121700126</v>
      </c>
      <c r="AQ114" s="51">
        <f t="shared" si="30"/>
        <v>35.01631012016351</v>
      </c>
      <c r="AR114" s="31">
        <f t="shared" si="38"/>
        <v>38.036360213897161</v>
      </c>
      <c r="AT114" s="51"/>
    </row>
    <row r="115" spans="1:51">
      <c r="A115" s="6" t="s">
        <v>119</v>
      </c>
      <c r="B115" s="6" t="s">
        <v>197</v>
      </c>
      <c r="C115" t="s">
        <v>13</v>
      </c>
      <c r="D115" s="8">
        <v>5</v>
      </c>
      <c r="E115">
        <v>30</v>
      </c>
      <c r="F115" t="s">
        <v>383</v>
      </c>
      <c r="G115" s="24">
        <v>42598</v>
      </c>
      <c r="H115" s="38">
        <v>86.73</v>
      </c>
      <c r="I115" s="38">
        <v>2.67</v>
      </c>
      <c r="J115" s="42">
        <f t="shared" si="24"/>
        <v>84.06</v>
      </c>
      <c r="K115" s="38">
        <v>10.45</v>
      </c>
      <c r="L115" s="38" t="s">
        <v>469</v>
      </c>
      <c r="M115" s="38">
        <v>0.42</v>
      </c>
      <c r="N115" s="44">
        <v>0</v>
      </c>
      <c r="O115" s="44">
        <v>3.43</v>
      </c>
      <c r="P115" s="44">
        <v>0</v>
      </c>
      <c r="Q115" s="44">
        <f t="shared" si="35"/>
        <v>8.0000000000000071E-2</v>
      </c>
      <c r="R115" s="44">
        <v>359.26</v>
      </c>
      <c r="S115" s="44">
        <v>286.72000000000003</v>
      </c>
      <c r="T115" s="36">
        <f t="shared" si="25"/>
        <v>72.539999999999964</v>
      </c>
      <c r="U115" s="36">
        <f t="shared" si="31"/>
        <v>0.57000000000003936</v>
      </c>
      <c r="V115" s="26">
        <v>42746</v>
      </c>
      <c r="W115" s="25"/>
      <c r="X115" s="31">
        <v>5.5609999999999999</v>
      </c>
      <c r="Y115" s="26">
        <v>42746</v>
      </c>
      <c r="AA115" s="31">
        <v>3.5670000000000002</v>
      </c>
      <c r="AB115" s="31">
        <v>36.951999999999998</v>
      </c>
      <c r="AC115" s="31">
        <f t="shared" si="34"/>
        <v>33.384999999999998</v>
      </c>
      <c r="AD115" s="31">
        <v>29.939</v>
      </c>
      <c r="AE115" s="31">
        <v>0.11549999999999901</v>
      </c>
      <c r="AF115" s="31">
        <f t="shared" si="32"/>
        <v>26.487499999999997</v>
      </c>
      <c r="AG115" s="31">
        <f t="shared" si="33"/>
        <v>26.040585181689483</v>
      </c>
      <c r="AH115" s="31">
        <f t="shared" si="26"/>
        <v>79.33952373820577</v>
      </c>
      <c r="AI115" s="31">
        <f t="shared" si="27"/>
        <v>20.66047626179423</v>
      </c>
      <c r="AJ115" s="31">
        <f t="shared" si="28"/>
        <v>15.208176576306732</v>
      </c>
      <c r="AK115" s="31">
        <f t="shared" si="36"/>
        <v>57.552890519694444</v>
      </c>
      <c r="AL115" s="26">
        <v>42746</v>
      </c>
      <c r="AM115" s="26">
        <v>42748</v>
      </c>
      <c r="AN115" s="25"/>
      <c r="AO115" s="51">
        <f t="shared" si="37"/>
        <v>79.33952373820577</v>
      </c>
      <c r="AP115" s="51">
        <f t="shared" si="29"/>
        <v>20.66047626179423</v>
      </c>
      <c r="AQ115" s="51">
        <f t="shared" si="30"/>
        <v>15.208176576306732</v>
      </c>
      <c r="AR115" s="31">
        <f t="shared" si="38"/>
        <v>57.552890519694444</v>
      </c>
      <c r="AT115" s="51"/>
    </row>
    <row r="116" spans="1:51">
      <c r="A116" s="6" t="s">
        <v>120</v>
      </c>
      <c r="B116" s="6" t="s">
        <v>197</v>
      </c>
      <c r="C116" t="s">
        <v>13</v>
      </c>
      <c r="D116" s="8">
        <v>6</v>
      </c>
      <c r="E116">
        <v>5</v>
      </c>
      <c r="G116" t="s">
        <v>399</v>
      </c>
      <c r="H116" s="38">
        <v>27.24</v>
      </c>
      <c r="I116" s="38">
        <v>2.63</v>
      </c>
      <c r="J116" s="42">
        <f t="shared" si="24"/>
        <v>24.61</v>
      </c>
      <c r="K116" s="38">
        <v>0</v>
      </c>
      <c r="L116" s="44">
        <v>0</v>
      </c>
      <c r="M116" s="38">
        <v>1.89</v>
      </c>
      <c r="N116" s="44">
        <v>3.48</v>
      </c>
      <c r="O116" s="44">
        <v>6.75</v>
      </c>
      <c r="P116" s="44">
        <v>0</v>
      </c>
      <c r="Q116" s="44">
        <f t="shared" si="35"/>
        <v>3.53</v>
      </c>
      <c r="R116" s="44">
        <v>304.77</v>
      </c>
      <c r="S116" s="44">
        <v>286.33999999999997</v>
      </c>
      <c r="T116" s="36">
        <f t="shared" si="25"/>
        <v>18.430000000000007</v>
      </c>
      <c r="U116" s="36">
        <f t="shared" si="31"/>
        <v>0.7599999999999929</v>
      </c>
      <c r="V116" s="26">
        <v>42765</v>
      </c>
      <c r="W116" s="25"/>
      <c r="X116" s="31">
        <v>5.6520000000000001</v>
      </c>
      <c r="Y116" s="26">
        <v>42765</v>
      </c>
      <c r="Z116" s="3" t="s">
        <v>473</v>
      </c>
      <c r="AA116" s="31">
        <v>2.3959999999999999</v>
      </c>
      <c r="AB116" s="31">
        <v>7.742</v>
      </c>
      <c r="AC116" s="31">
        <f t="shared" ref="AC116:AC148" si="39">AB116-AA116</f>
        <v>5.3460000000000001</v>
      </c>
      <c r="AD116" s="31">
        <v>4.5350000000000001</v>
      </c>
      <c r="AE116" s="31">
        <v>8.3000000000000004E-2</v>
      </c>
      <c r="AF116" s="31">
        <f t="shared" si="32"/>
        <v>2.2220000000000004</v>
      </c>
      <c r="AG116" s="31">
        <f t="shared" si="33"/>
        <v>140.59405940594056</v>
      </c>
      <c r="AH116" s="31">
        <f t="shared" si="26"/>
        <v>41.563786008230458</v>
      </c>
      <c r="AI116" s="31">
        <f t="shared" si="27"/>
        <v>58.436213991769542</v>
      </c>
      <c r="AJ116" s="31">
        <f t="shared" si="28"/>
        <v>14.381152263374483</v>
      </c>
      <c r="AK116" s="31">
        <f t="shared" si="36"/>
        <v>7.6602057613168766</v>
      </c>
      <c r="AL116" s="26">
        <v>42765</v>
      </c>
      <c r="AM116" s="26">
        <v>42767</v>
      </c>
      <c r="AN116" s="25" t="s">
        <v>714</v>
      </c>
      <c r="AO116" s="51">
        <f t="shared" si="37"/>
        <v>41.563786008230458</v>
      </c>
      <c r="AP116" s="51">
        <f t="shared" si="29"/>
        <v>58.436213991769542</v>
      </c>
      <c r="AQ116" s="51">
        <f t="shared" si="30"/>
        <v>14.381152263374483</v>
      </c>
      <c r="AR116" s="31">
        <f t="shared" si="38"/>
        <v>7.6602057613168766</v>
      </c>
      <c r="AT116" s="51"/>
    </row>
    <row r="117" spans="1:51">
      <c r="A117" s="6" t="s">
        <v>121</v>
      </c>
      <c r="B117" s="6" t="s">
        <v>197</v>
      </c>
      <c r="C117" t="s">
        <v>13</v>
      </c>
      <c r="D117" s="8">
        <v>6</v>
      </c>
      <c r="E117">
        <v>10</v>
      </c>
      <c r="G117" s="24">
        <v>42598</v>
      </c>
      <c r="H117" s="38">
        <v>54.3</v>
      </c>
      <c r="I117" s="38">
        <v>2.66</v>
      </c>
      <c r="J117" s="42">
        <f t="shared" si="24"/>
        <v>51.64</v>
      </c>
      <c r="K117" s="38">
        <v>0.22</v>
      </c>
      <c r="L117" s="44">
        <v>0</v>
      </c>
      <c r="M117" s="38">
        <v>2.06</v>
      </c>
      <c r="N117" s="44">
        <v>3.43</v>
      </c>
      <c r="O117" s="44">
        <v>4.41</v>
      </c>
      <c r="P117" s="44">
        <v>0</v>
      </c>
      <c r="Q117" s="44">
        <f t="shared" si="35"/>
        <v>1.1400000000000001</v>
      </c>
      <c r="R117" s="44">
        <v>333.91</v>
      </c>
      <c r="S117" s="44">
        <v>286.33999999999997</v>
      </c>
      <c r="T117" s="36">
        <f t="shared" si="25"/>
        <v>47.57000000000005</v>
      </c>
      <c r="U117" s="36">
        <f t="shared" si="31"/>
        <v>0.6499999999999504</v>
      </c>
      <c r="V117" s="26">
        <v>42765</v>
      </c>
      <c r="W117" s="25"/>
      <c r="X117" s="31">
        <v>4.6859999999999999</v>
      </c>
      <c r="Y117" s="26">
        <v>42765</v>
      </c>
      <c r="AA117" s="31">
        <v>2.41</v>
      </c>
      <c r="AB117" s="31">
        <v>19.591999999999999</v>
      </c>
      <c r="AC117" s="31">
        <f t="shared" si="39"/>
        <v>17.181999999999999</v>
      </c>
      <c r="AD117" s="31">
        <v>10.363</v>
      </c>
      <c r="AE117" s="31">
        <v>8.3000000000000004E-2</v>
      </c>
      <c r="AF117" s="31">
        <f t="shared" si="32"/>
        <v>8.0359999999999996</v>
      </c>
      <c r="AG117" s="31">
        <f t="shared" si="33"/>
        <v>113.81284221005475</v>
      </c>
      <c r="AH117" s="31">
        <f t="shared" si="26"/>
        <v>46.76987545105343</v>
      </c>
      <c r="AI117" s="31">
        <f t="shared" si="27"/>
        <v>53.23012454894657</v>
      </c>
      <c r="AJ117" s="31">
        <f t="shared" si="28"/>
        <v>27.370930043068327</v>
      </c>
      <c r="AK117" s="31">
        <f t="shared" si="36"/>
        <v>22.248429752066137</v>
      </c>
      <c r="AL117" s="26">
        <v>42765</v>
      </c>
      <c r="AM117" s="26">
        <v>42767</v>
      </c>
      <c r="AN117" s="25" t="s">
        <v>714</v>
      </c>
      <c r="AO117" s="51">
        <f t="shared" si="37"/>
        <v>46.76987545105343</v>
      </c>
      <c r="AP117" s="51">
        <f t="shared" si="29"/>
        <v>53.23012454894657</v>
      </c>
      <c r="AQ117" s="51">
        <f t="shared" si="30"/>
        <v>27.370930043068327</v>
      </c>
      <c r="AR117" s="31">
        <f t="shared" si="38"/>
        <v>22.248429752066137</v>
      </c>
      <c r="AT117" s="51"/>
    </row>
    <row r="118" spans="1:51" s="4" customFormat="1">
      <c r="A118" s="7" t="s">
        <v>122</v>
      </c>
      <c r="B118" s="7" t="s">
        <v>197</v>
      </c>
      <c r="C118" s="4" t="s">
        <v>13</v>
      </c>
      <c r="D118" s="4">
        <v>6</v>
      </c>
      <c r="E118" s="4">
        <v>20</v>
      </c>
      <c r="G118" s="4" t="s">
        <v>399</v>
      </c>
      <c r="H118" s="37">
        <v>128.15</v>
      </c>
      <c r="I118" s="37">
        <v>2.67</v>
      </c>
      <c r="J118" s="43">
        <f t="shared" si="24"/>
        <v>125.48</v>
      </c>
      <c r="K118" s="37">
        <v>0.65</v>
      </c>
      <c r="L118" s="37">
        <v>0</v>
      </c>
      <c r="M118" s="37">
        <v>0</v>
      </c>
      <c r="N118" s="37">
        <v>3.58</v>
      </c>
      <c r="O118" s="37">
        <v>0</v>
      </c>
      <c r="P118" s="37">
        <v>0</v>
      </c>
      <c r="Q118" s="37">
        <f t="shared" si="35"/>
        <v>0.22999999999999998</v>
      </c>
      <c r="R118" s="37">
        <v>410.56</v>
      </c>
      <c r="S118" s="44">
        <v>286.33999999999997</v>
      </c>
      <c r="T118" s="37">
        <f t="shared" si="25"/>
        <v>124.22000000000003</v>
      </c>
      <c r="U118" s="36">
        <f t="shared" si="31"/>
        <v>0.37999999999997669</v>
      </c>
      <c r="V118" s="26">
        <v>42765</v>
      </c>
      <c r="W118" s="25"/>
      <c r="X118" s="32">
        <v>5.4390000000000001</v>
      </c>
      <c r="Y118" s="26">
        <v>42765</v>
      </c>
      <c r="Z118" s="5"/>
      <c r="AA118" s="32">
        <v>2.4089999999999998</v>
      </c>
      <c r="AB118" s="32">
        <v>74.102999999999994</v>
      </c>
      <c r="AC118" s="32">
        <f t="shared" si="39"/>
        <v>71.693999999999988</v>
      </c>
      <c r="AD118" s="32">
        <v>70.391000000000005</v>
      </c>
      <c r="AE118" s="31">
        <v>8.3000000000000004E-2</v>
      </c>
      <c r="AF118" s="31">
        <f t="shared" si="32"/>
        <v>68.064999999999998</v>
      </c>
      <c r="AG118" s="31">
        <f t="shared" si="33"/>
        <v>5.3316682582825106</v>
      </c>
      <c r="AH118" s="31">
        <f t="shared" si="26"/>
        <v>94.938209613077817</v>
      </c>
      <c r="AI118" s="31">
        <f t="shared" si="27"/>
        <v>5.0617903869221834</v>
      </c>
      <c r="AJ118" s="31">
        <f t="shared" si="28"/>
        <v>6.318632939994961</v>
      </c>
      <c r="AK118" s="31">
        <f t="shared" si="36"/>
        <v>117.93224398136529</v>
      </c>
      <c r="AL118" s="26">
        <v>42765</v>
      </c>
      <c r="AM118" s="26">
        <v>42767</v>
      </c>
      <c r="AN118" s="25" t="s">
        <v>714</v>
      </c>
      <c r="AO118" s="51">
        <f t="shared" si="37"/>
        <v>94.938209613077817</v>
      </c>
      <c r="AP118" s="51">
        <f t="shared" si="29"/>
        <v>5.0617903869221834</v>
      </c>
      <c r="AQ118" s="51">
        <f t="shared" si="30"/>
        <v>6.318632939994961</v>
      </c>
      <c r="AR118" s="31">
        <f t="shared" si="38"/>
        <v>117.93224398136529</v>
      </c>
      <c r="AS118" s="8"/>
      <c r="AT118" s="51"/>
      <c r="AU118" s="8"/>
      <c r="AV118" s="8"/>
      <c r="AW118" s="8"/>
      <c r="AX118" s="8"/>
      <c r="AY118" s="8"/>
    </row>
    <row r="119" spans="1:51">
      <c r="A119" s="6" t="s">
        <v>123</v>
      </c>
      <c r="B119" s="6" t="s">
        <v>198</v>
      </c>
      <c r="C119" t="s">
        <v>12</v>
      </c>
      <c r="D119" s="8">
        <v>1</v>
      </c>
      <c r="E119">
        <v>5</v>
      </c>
      <c r="F119" s="13" t="s">
        <v>379</v>
      </c>
      <c r="G119" s="13" t="s">
        <v>780</v>
      </c>
      <c r="H119" s="36">
        <v>62.98</v>
      </c>
      <c r="I119" s="36">
        <v>2.7</v>
      </c>
      <c r="J119" s="42">
        <f t="shared" si="24"/>
        <v>60.279999999999994</v>
      </c>
      <c r="K119" s="44">
        <v>0</v>
      </c>
      <c r="L119" s="44">
        <v>0</v>
      </c>
      <c r="M119" s="44">
        <v>1.68</v>
      </c>
      <c r="N119" s="44">
        <v>0</v>
      </c>
      <c r="O119" s="44">
        <v>9.64</v>
      </c>
      <c r="P119" s="44">
        <v>3.73</v>
      </c>
      <c r="Q119" s="44">
        <f t="shared" si="35"/>
        <v>6.6700000000000008</v>
      </c>
      <c r="R119" s="44">
        <v>335.51</v>
      </c>
      <c r="S119" s="44">
        <v>286</v>
      </c>
      <c r="T119" s="36">
        <f t="shared" si="25"/>
        <v>49.509999999999991</v>
      </c>
      <c r="U119" s="36">
        <f t="shared" si="31"/>
        <v>2.4200000000000026</v>
      </c>
      <c r="V119" s="26">
        <v>42790</v>
      </c>
      <c r="X119" s="31">
        <v>4.415</v>
      </c>
      <c r="Y119" s="26">
        <v>42790</v>
      </c>
      <c r="AA119" s="31">
        <v>2.371</v>
      </c>
      <c r="AB119" s="31">
        <v>24.606999999999999</v>
      </c>
      <c r="AC119" s="31">
        <f t="shared" si="39"/>
        <v>22.236000000000001</v>
      </c>
      <c r="AD119" s="31">
        <v>10.657</v>
      </c>
      <c r="AE119" s="31">
        <v>8.6666666666666295E-2</v>
      </c>
      <c r="AF119" s="31">
        <f t="shared" si="32"/>
        <v>8.3726666666666656</v>
      </c>
      <c r="AG119" s="31">
        <f t="shared" si="33"/>
        <v>165.57846962337769</v>
      </c>
      <c r="AH119" s="31">
        <f t="shared" si="26"/>
        <v>37.653654734064872</v>
      </c>
      <c r="AI119" s="31">
        <f t="shared" si="27"/>
        <v>62.346345265935128</v>
      </c>
      <c r="AJ119" s="31">
        <f t="shared" si="28"/>
        <v>37.582376926305685</v>
      </c>
      <c r="AK119" s="31">
        <f t="shared" si="36"/>
        <v>18.642324458835514</v>
      </c>
      <c r="AL119" s="26">
        <v>42790</v>
      </c>
      <c r="AM119" s="26">
        <v>42792</v>
      </c>
      <c r="AN119" s="25"/>
      <c r="AO119" s="51">
        <f t="shared" si="37"/>
        <v>37.653654734064872</v>
      </c>
      <c r="AP119" s="51">
        <f t="shared" si="29"/>
        <v>62.346345265935128</v>
      </c>
      <c r="AQ119" s="51">
        <f t="shared" si="30"/>
        <v>37.582376926305685</v>
      </c>
      <c r="AR119" s="31">
        <f t="shared" si="38"/>
        <v>18.642324458835514</v>
      </c>
      <c r="AT119" s="51"/>
    </row>
    <row r="120" spans="1:51">
      <c r="A120" s="6" t="s">
        <v>124</v>
      </c>
      <c r="B120" s="6" t="s">
        <v>198</v>
      </c>
      <c r="C120" t="s">
        <v>12</v>
      </c>
      <c r="D120" s="8">
        <v>1</v>
      </c>
      <c r="E120">
        <v>10</v>
      </c>
      <c r="F120" s="14" t="s">
        <v>380</v>
      </c>
      <c r="G120" s="14" t="s">
        <v>780</v>
      </c>
      <c r="H120" s="36">
        <v>98.02</v>
      </c>
      <c r="I120" s="36">
        <v>2.92</v>
      </c>
      <c r="J120" s="42">
        <f t="shared" si="24"/>
        <v>95.1</v>
      </c>
      <c r="K120" s="44">
        <v>6.48</v>
      </c>
      <c r="L120" s="44">
        <v>0</v>
      </c>
      <c r="M120" s="44">
        <v>0.65</v>
      </c>
      <c r="N120" s="44">
        <v>0</v>
      </c>
      <c r="O120" s="44">
        <v>10.06</v>
      </c>
      <c r="P120" s="44">
        <v>3.63</v>
      </c>
      <c r="Q120" s="44">
        <f t="shared" si="35"/>
        <v>6.99</v>
      </c>
      <c r="R120" s="44">
        <v>365.05</v>
      </c>
      <c r="S120" s="44">
        <v>286</v>
      </c>
      <c r="T120" s="36">
        <f t="shared" si="25"/>
        <v>79.050000000000011</v>
      </c>
      <c r="U120" s="36">
        <f t="shared" si="31"/>
        <v>1.929999999999982</v>
      </c>
      <c r="V120" s="26">
        <v>42790</v>
      </c>
      <c r="X120" s="31">
        <v>4.5780000000000003</v>
      </c>
      <c r="Y120" s="26">
        <v>42790</v>
      </c>
      <c r="AA120" s="31">
        <v>2.3650000000000002</v>
      </c>
      <c r="AB120" s="31">
        <v>39.225000000000001</v>
      </c>
      <c r="AC120" s="31">
        <f t="shared" si="39"/>
        <v>36.86</v>
      </c>
      <c r="AD120" s="31">
        <v>22.417999999999999</v>
      </c>
      <c r="AE120" s="31">
        <v>8.6666666666666295E-2</v>
      </c>
      <c r="AF120" s="31">
        <f t="shared" si="32"/>
        <v>20.139666666666663</v>
      </c>
      <c r="AG120" s="31">
        <f t="shared" si="33"/>
        <v>83.02189708535397</v>
      </c>
      <c r="AH120" s="31">
        <f t="shared" si="26"/>
        <v>54.63827093506962</v>
      </c>
      <c r="AI120" s="31">
        <f t="shared" si="27"/>
        <v>45.36172906493038</v>
      </c>
      <c r="AJ120" s="31">
        <f t="shared" si="28"/>
        <v>40.199564297341297</v>
      </c>
      <c r="AK120" s="31">
        <f t="shared" si="36"/>
        <v>43.19155317417254</v>
      </c>
      <c r="AL120" s="26">
        <v>42790</v>
      </c>
      <c r="AM120" s="26">
        <v>42792</v>
      </c>
      <c r="AN120" s="25"/>
      <c r="AO120" s="51">
        <f t="shared" si="37"/>
        <v>54.63827093506962</v>
      </c>
      <c r="AP120" s="51">
        <f t="shared" si="29"/>
        <v>45.36172906493038</v>
      </c>
      <c r="AQ120" s="51">
        <f t="shared" si="30"/>
        <v>40.199564297341297</v>
      </c>
      <c r="AR120" s="31">
        <f t="shared" si="38"/>
        <v>43.19155317417254</v>
      </c>
      <c r="AT120" s="51"/>
    </row>
    <row r="121" spans="1:51">
      <c r="A121" s="6" t="s">
        <v>125</v>
      </c>
      <c r="B121" s="6" t="s">
        <v>198</v>
      </c>
      <c r="C121" t="s">
        <v>12</v>
      </c>
      <c r="D121" s="8">
        <v>1</v>
      </c>
      <c r="E121">
        <v>20</v>
      </c>
      <c r="F121" t="s">
        <v>381</v>
      </c>
      <c r="G121" t="s">
        <v>780</v>
      </c>
      <c r="H121" s="36">
        <v>86.01</v>
      </c>
      <c r="I121" s="36">
        <v>2.88</v>
      </c>
      <c r="J121" s="42">
        <f t="shared" si="24"/>
        <v>83.13000000000001</v>
      </c>
      <c r="K121" s="44">
        <v>1.5</v>
      </c>
      <c r="L121" s="44">
        <v>0</v>
      </c>
      <c r="M121" s="44">
        <v>1.06</v>
      </c>
      <c r="N121" s="44">
        <v>0</v>
      </c>
      <c r="O121" s="44">
        <v>8.98</v>
      </c>
      <c r="P121" s="44">
        <v>3.48</v>
      </c>
      <c r="Q121" s="44">
        <f t="shared" si="35"/>
        <v>5.7600000000000007</v>
      </c>
      <c r="R121" s="44">
        <v>359.33</v>
      </c>
      <c r="S121" s="44">
        <v>286</v>
      </c>
      <c r="T121" s="36">
        <f t="shared" si="25"/>
        <v>73.329999999999984</v>
      </c>
      <c r="U121" s="36">
        <f t="shared" si="31"/>
        <v>1.4800000000000249</v>
      </c>
      <c r="V121" s="26">
        <v>42790</v>
      </c>
      <c r="X121" s="31">
        <v>4.6580000000000004</v>
      </c>
      <c r="Y121" s="26">
        <v>42790</v>
      </c>
      <c r="AA121" s="31">
        <v>2.3490000000000002</v>
      </c>
      <c r="AB121" s="31">
        <v>37.901000000000003</v>
      </c>
      <c r="AC121" s="31">
        <f t="shared" si="39"/>
        <v>35.552000000000007</v>
      </c>
      <c r="AD121" s="31">
        <v>21.686</v>
      </c>
      <c r="AE121" s="31">
        <v>8.6666666666666295E-2</v>
      </c>
      <c r="AF121" s="31">
        <f t="shared" si="32"/>
        <v>19.423666666666666</v>
      </c>
      <c r="AG121" s="31">
        <f t="shared" si="33"/>
        <v>83.034442518577038</v>
      </c>
      <c r="AH121" s="31">
        <f t="shared" si="26"/>
        <v>54.634525952595247</v>
      </c>
      <c r="AI121" s="31">
        <f t="shared" si="27"/>
        <v>45.365474047404753</v>
      </c>
      <c r="AJ121" s="31">
        <f t="shared" si="28"/>
        <v>37.031836464896507</v>
      </c>
      <c r="AK121" s="31">
        <f t="shared" si="36"/>
        <v>40.063497881038089</v>
      </c>
      <c r="AL121" s="26">
        <v>42790</v>
      </c>
      <c r="AM121" s="26">
        <v>42792</v>
      </c>
      <c r="AN121" s="25"/>
      <c r="AO121" s="51">
        <f t="shared" si="37"/>
        <v>54.634525952595247</v>
      </c>
      <c r="AP121" s="51">
        <f t="shared" si="29"/>
        <v>45.365474047404753</v>
      </c>
      <c r="AQ121" s="51">
        <f t="shared" si="30"/>
        <v>37.031836464896507</v>
      </c>
      <c r="AR121" s="31">
        <f t="shared" si="38"/>
        <v>40.063497881038089</v>
      </c>
      <c r="AT121" s="51"/>
    </row>
    <row r="122" spans="1:51">
      <c r="A122" s="6" t="s">
        <v>126</v>
      </c>
      <c r="B122" s="6" t="s">
        <v>198</v>
      </c>
      <c r="C122" t="s">
        <v>12</v>
      </c>
      <c r="D122" s="8">
        <v>1</v>
      </c>
      <c r="E122">
        <v>30</v>
      </c>
      <c r="F122" t="s">
        <v>382</v>
      </c>
      <c r="G122" t="s">
        <v>780</v>
      </c>
      <c r="H122" s="36">
        <v>84.51</v>
      </c>
      <c r="I122" s="36">
        <v>2.83</v>
      </c>
      <c r="J122" s="42">
        <f t="shared" si="24"/>
        <v>81.680000000000007</v>
      </c>
      <c r="K122" s="44">
        <v>12.19</v>
      </c>
      <c r="L122" s="44">
        <v>0</v>
      </c>
      <c r="M122" s="44">
        <v>0.83</v>
      </c>
      <c r="N122" s="44">
        <v>0</v>
      </c>
      <c r="O122" s="44">
        <v>4.34</v>
      </c>
      <c r="P122" s="44">
        <v>4.3</v>
      </c>
      <c r="Q122" s="44">
        <f t="shared" si="35"/>
        <v>1.9399999999999995</v>
      </c>
      <c r="R122" s="44">
        <v>351.23</v>
      </c>
      <c r="S122" s="44">
        <v>286</v>
      </c>
      <c r="T122" s="36">
        <f t="shared" si="25"/>
        <v>65.230000000000018</v>
      </c>
      <c r="U122" s="36">
        <f t="shared" si="31"/>
        <v>1.4899999999999896</v>
      </c>
      <c r="V122" s="26">
        <v>42790</v>
      </c>
      <c r="X122" s="31">
        <v>4.7140000000000004</v>
      </c>
      <c r="Y122" s="26">
        <v>42790</v>
      </c>
      <c r="AA122" s="31">
        <v>2.3690000000000002</v>
      </c>
      <c r="AB122" s="31">
        <v>28.905000000000001</v>
      </c>
      <c r="AC122" s="31">
        <f t="shared" si="39"/>
        <v>26.536000000000001</v>
      </c>
      <c r="AD122" s="31">
        <v>17.399000000000001</v>
      </c>
      <c r="AE122" s="31">
        <v>8.6666666666666295E-2</v>
      </c>
      <c r="AF122" s="31">
        <f t="shared" si="32"/>
        <v>15.116666666666667</v>
      </c>
      <c r="AG122" s="31">
        <f t="shared" si="33"/>
        <v>75.541345093715549</v>
      </c>
      <c r="AH122" s="31">
        <f t="shared" si="26"/>
        <v>56.966636518942813</v>
      </c>
      <c r="AI122" s="31">
        <f t="shared" si="27"/>
        <v>43.033363481057187</v>
      </c>
      <c r="AJ122" s="31">
        <f t="shared" si="28"/>
        <v>29.903884282986642</v>
      </c>
      <c r="AK122" s="31">
        <f t="shared" si="36"/>
        <v>37.159337001306412</v>
      </c>
      <c r="AL122" s="26">
        <v>42790</v>
      </c>
      <c r="AM122" s="26">
        <v>42792</v>
      </c>
      <c r="AN122" s="25"/>
      <c r="AO122" s="51">
        <f t="shared" si="37"/>
        <v>56.966636518942813</v>
      </c>
      <c r="AP122" s="51">
        <f t="shared" si="29"/>
        <v>43.033363481057187</v>
      </c>
      <c r="AQ122" s="51">
        <f t="shared" si="30"/>
        <v>29.903884282986642</v>
      </c>
      <c r="AR122" s="31">
        <f t="shared" si="38"/>
        <v>37.159337001306412</v>
      </c>
      <c r="AT122" s="51"/>
    </row>
    <row r="123" spans="1:51">
      <c r="A123" s="6" t="s">
        <v>127</v>
      </c>
      <c r="B123" s="6" t="s">
        <v>198</v>
      </c>
      <c r="C123" t="s">
        <v>12</v>
      </c>
      <c r="D123" s="8">
        <v>2</v>
      </c>
      <c r="E123">
        <v>5</v>
      </c>
      <c r="F123" t="s">
        <v>376</v>
      </c>
      <c r="G123" t="s">
        <v>398</v>
      </c>
      <c r="H123" s="36">
        <v>17.8</v>
      </c>
      <c r="I123" s="36">
        <v>1.92</v>
      </c>
      <c r="J123" s="42">
        <f t="shared" si="24"/>
        <v>15.88</v>
      </c>
      <c r="K123" s="44">
        <v>0</v>
      </c>
      <c r="L123" s="44">
        <v>0</v>
      </c>
      <c r="M123" s="44">
        <v>0.82</v>
      </c>
      <c r="N123" s="44">
        <v>3.47</v>
      </c>
      <c r="O123" s="44">
        <v>8.27</v>
      </c>
      <c r="P123" s="44">
        <v>3.99</v>
      </c>
      <c r="Q123" s="44">
        <f t="shared" si="35"/>
        <v>5.68</v>
      </c>
      <c r="R123" s="44">
        <v>292.89999999999998</v>
      </c>
      <c r="S123" s="44">
        <v>286.12</v>
      </c>
      <c r="T123" s="36">
        <f t="shared" si="25"/>
        <v>6.7799999999999727</v>
      </c>
      <c r="U123" s="36">
        <f t="shared" si="31"/>
        <v>2.6000000000000285</v>
      </c>
      <c r="V123" s="26">
        <v>42776</v>
      </c>
      <c r="W123" s="25" t="s">
        <v>481</v>
      </c>
      <c r="X123" s="31" t="s">
        <v>469</v>
      </c>
      <c r="Y123" s="8" t="s">
        <v>469</v>
      </c>
      <c r="Z123" s="3" t="s">
        <v>475</v>
      </c>
      <c r="AA123" s="31">
        <v>2.4119999999999999</v>
      </c>
      <c r="AB123" s="31">
        <v>8.9930000000000003</v>
      </c>
      <c r="AC123" s="31">
        <f t="shared" si="39"/>
        <v>6.5810000000000004</v>
      </c>
      <c r="AD123" s="31">
        <v>6.0380000000000003</v>
      </c>
      <c r="AE123" s="31">
        <v>7.4333333333333293E-2</v>
      </c>
      <c r="AF123" s="31">
        <f t="shared" si="32"/>
        <v>3.7003333333333335</v>
      </c>
      <c r="AG123" s="31">
        <f t="shared" si="33"/>
        <v>77.848842446626435</v>
      </c>
      <c r="AH123" s="31">
        <f t="shared" si="26"/>
        <v>56.227523679278733</v>
      </c>
      <c r="AI123" s="31">
        <f t="shared" si="27"/>
        <v>43.772476320721267</v>
      </c>
      <c r="AJ123" s="31">
        <f t="shared" si="28"/>
        <v>6.9510692397305371</v>
      </c>
      <c r="AK123" s="31">
        <f t="shared" si="36"/>
        <v>3.8122261054550828</v>
      </c>
      <c r="AL123" s="26">
        <v>42776</v>
      </c>
      <c r="AM123" s="26">
        <v>42778</v>
      </c>
      <c r="AN123" s="25"/>
      <c r="AO123" s="51">
        <f t="shared" si="37"/>
        <v>56.227523679278733</v>
      </c>
      <c r="AP123" s="51">
        <f t="shared" si="29"/>
        <v>43.772476320721267</v>
      </c>
      <c r="AQ123" s="51">
        <f t="shared" si="30"/>
        <v>6.9510692397305371</v>
      </c>
      <c r="AR123" s="31">
        <f t="shared" si="38"/>
        <v>3.8122261054550828</v>
      </c>
      <c r="AT123" s="51"/>
    </row>
    <row r="124" spans="1:51">
      <c r="A124" s="6" t="s">
        <v>578</v>
      </c>
      <c r="B124" s="6" t="s">
        <v>198</v>
      </c>
      <c r="C124" t="s">
        <v>12</v>
      </c>
      <c r="D124" s="6">
        <v>3</v>
      </c>
      <c r="E124">
        <v>5</v>
      </c>
      <c r="F124" t="s">
        <v>712</v>
      </c>
      <c r="H124" t="s">
        <v>469</v>
      </c>
      <c r="I124" t="s">
        <v>469</v>
      </c>
      <c r="J124" t="s">
        <v>469</v>
      </c>
      <c r="K124" t="s">
        <v>469</v>
      </c>
      <c r="L124" t="s">
        <v>469</v>
      </c>
      <c r="M124" t="s">
        <v>469</v>
      </c>
      <c r="N124" t="s">
        <v>469</v>
      </c>
      <c r="O124" t="s">
        <v>469</v>
      </c>
      <c r="P124" t="s">
        <v>469</v>
      </c>
      <c r="Q124" t="s">
        <v>469</v>
      </c>
      <c r="R124" t="s">
        <v>469</v>
      </c>
      <c r="S124" t="s">
        <v>469</v>
      </c>
      <c r="T124" t="s">
        <v>469</v>
      </c>
      <c r="U124" s="36" t="e">
        <f t="shared" si="31"/>
        <v>#VALUE!</v>
      </c>
      <c r="V124" t="s">
        <v>469</v>
      </c>
      <c r="W124" t="s">
        <v>469</v>
      </c>
      <c r="X124" t="s">
        <v>469</v>
      </c>
      <c r="Y124" t="s">
        <v>469</v>
      </c>
      <c r="Z124" t="s">
        <v>469</v>
      </c>
      <c r="AA124" t="s">
        <v>469</v>
      </c>
      <c r="AB124" t="s">
        <v>469</v>
      </c>
      <c r="AC124" t="s">
        <v>469</v>
      </c>
      <c r="AD124" t="s">
        <v>469</v>
      </c>
      <c r="AE124" t="s">
        <v>469</v>
      </c>
      <c r="AF124" t="s">
        <v>469</v>
      </c>
      <c r="AG124" t="s">
        <v>469</v>
      </c>
      <c r="AH124" t="s">
        <v>469</v>
      </c>
      <c r="AI124" s="31" t="s">
        <v>469</v>
      </c>
      <c r="AJ124" s="31" t="s">
        <v>469</v>
      </c>
      <c r="AK124" t="s">
        <v>469</v>
      </c>
      <c r="AL124" t="s">
        <v>469</v>
      </c>
      <c r="AM124" s="8" t="s">
        <v>469</v>
      </c>
      <c r="AO124" s="51" t="str">
        <f t="shared" si="37"/>
        <v>none</v>
      </c>
      <c r="AP124" s="51" t="s">
        <v>872</v>
      </c>
      <c r="AQ124" s="51" t="str">
        <f t="shared" si="30"/>
        <v>none</v>
      </c>
      <c r="AR124" s="31" t="e">
        <f t="shared" si="38"/>
        <v>#VALUE!</v>
      </c>
      <c r="AT124" s="51"/>
    </row>
    <row r="125" spans="1:51">
      <c r="A125" s="6" t="s">
        <v>128</v>
      </c>
      <c r="B125" s="6" t="s">
        <v>198</v>
      </c>
      <c r="C125" t="s">
        <v>12</v>
      </c>
      <c r="D125" s="8">
        <v>4</v>
      </c>
      <c r="E125">
        <v>5</v>
      </c>
      <c r="F125" t="s">
        <v>376</v>
      </c>
      <c r="G125" t="s">
        <v>398</v>
      </c>
      <c r="H125" s="36">
        <v>28.63</v>
      </c>
      <c r="I125" s="36">
        <v>2.09</v>
      </c>
      <c r="J125" s="42">
        <f t="shared" si="24"/>
        <v>26.54</v>
      </c>
      <c r="K125" s="44">
        <v>0</v>
      </c>
      <c r="L125" s="44">
        <v>0</v>
      </c>
      <c r="M125" s="44">
        <v>2.92</v>
      </c>
      <c r="N125" s="44">
        <v>3.55</v>
      </c>
      <c r="O125" s="44">
        <v>8.76</v>
      </c>
      <c r="P125" s="44">
        <v>3.74</v>
      </c>
      <c r="Q125" s="44">
        <f t="shared" si="35"/>
        <v>6</v>
      </c>
      <c r="R125" s="44">
        <v>301.39999999999998</v>
      </c>
      <c r="S125" s="44">
        <v>285.88</v>
      </c>
      <c r="T125" s="36">
        <f t="shared" si="25"/>
        <v>15.519999999999982</v>
      </c>
      <c r="U125" s="36">
        <f t="shared" si="31"/>
        <v>2.1000000000000174</v>
      </c>
      <c r="V125" s="8" t="s">
        <v>469</v>
      </c>
      <c r="X125" s="31" t="s">
        <v>469</v>
      </c>
      <c r="Y125" s="8" t="s">
        <v>469</v>
      </c>
      <c r="AA125" s="31">
        <v>2.4260000000000002</v>
      </c>
      <c r="AB125" s="31">
        <v>17.751999999999999</v>
      </c>
      <c r="AC125" s="31">
        <f t="shared" si="39"/>
        <v>15.325999999999999</v>
      </c>
      <c r="AD125" s="31">
        <v>8.2010000000000005</v>
      </c>
      <c r="AE125" s="31">
        <v>8.9999999999999858E-2</v>
      </c>
      <c r="AF125" s="31">
        <f t="shared" si="32"/>
        <v>5.8650000000000002</v>
      </c>
      <c r="AG125" s="31">
        <f t="shared" si="33"/>
        <v>161.31287297527706</v>
      </c>
      <c r="AH125" s="31">
        <f t="shared" si="26"/>
        <v>38.268302231502027</v>
      </c>
      <c r="AI125" s="31">
        <f t="shared" si="27"/>
        <v>61.731697768497973</v>
      </c>
      <c r="AJ125" s="31">
        <f t="shared" si="28"/>
        <v>16.38359258775936</v>
      </c>
      <c r="AK125" s="31">
        <f t="shared" ref="AK125:AK131" si="40">T125*AH125%</f>
        <v>5.9392405063291074</v>
      </c>
      <c r="AL125" s="26">
        <v>42823</v>
      </c>
      <c r="AM125" s="26">
        <v>42825</v>
      </c>
      <c r="AN125" s="25"/>
      <c r="AO125" s="51">
        <f t="shared" si="37"/>
        <v>38.268302231502027</v>
      </c>
      <c r="AP125" s="51">
        <f t="shared" si="29"/>
        <v>61.731697768497973</v>
      </c>
      <c r="AQ125" s="51">
        <f t="shared" si="30"/>
        <v>16.38359258775936</v>
      </c>
      <c r="AR125" s="31">
        <f t="shared" si="38"/>
        <v>5.9392405063291074</v>
      </c>
      <c r="AT125" s="51"/>
    </row>
    <row r="126" spans="1:51">
      <c r="A126" s="6" t="s">
        <v>129</v>
      </c>
      <c r="B126" s="6" t="s">
        <v>198</v>
      </c>
      <c r="C126" t="s">
        <v>12</v>
      </c>
      <c r="D126" s="8">
        <v>4</v>
      </c>
      <c r="E126">
        <v>10</v>
      </c>
      <c r="G126" t="s">
        <v>398</v>
      </c>
      <c r="H126" s="36">
        <v>70.900000000000006</v>
      </c>
      <c r="I126" s="36">
        <v>2.91</v>
      </c>
      <c r="J126" s="42">
        <f t="shared" si="24"/>
        <v>67.990000000000009</v>
      </c>
      <c r="K126" s="44">
        <v>6.96</v>
      </c>
      <c r="L126" s="44">
        <v>0</v>
      </c>
      <c r="M126" s="44">
        <v>1.38</v>
      </c>
      <c r="N126" s="44">
        <v>0</v>
      </c>
      <c r="O126" s="44">
        <v>7.4</v>
      </c>
      <c r="P126" s="44">
        <v>3.5</v>
      </c>
      <c r="Q126" s="44">
        <f t="shared" si="35"/>
        <v>4.2000000000000011</v>
      </c>
      <c r="R126" s="44">
        <v>338.58</v>
      </c>
      <c r="S126" s="44">
        <v>285.88</v>
      </c>
      <c r="T126" s="36">
        <f t="shared" si="25"/>
        <v>52.699999999999989</v>
      </c>
      <c r="U126" s="36">
        <f t="shared" si="31"/>
        <v>2.7500000000000187</v>
      </c>
      <c r="V126" s="26">
        <v>42821</v>
      </c>
      <c r="X126" s="31">
        <v>4.4189999999999996</v>
      </c>
      <c r="Y126" s="26">
        <v>42821</v>
      </c>
      <c r="AA126" s="31">
        <v>2.4009999999999998</v>
      </c>
      <c r="AB126" s="31">
        <v>24.373999999999999</v>
      </c>
      <c r="AC126" s="31">
        <f t="shared" si="39"/>
        <v>21.972999999999999</v>
      </c>
      <c r="AD126" s="31">
        <v>13.319000000000001</v>
      </c>
      <c r="AE126" s="31">
        <v>8.9999999999999858E-2</v>
      </c>
      <c r="AF126" s="31">
        <f t="shared" si="32"/>
        <v>11.008000000000001</v>
      </c>
      <c r="AG126" s="31">
        <f t="shared" si="33"/>
        <v>99.609374999999972</v>
      </c>
      <c r="AH126" s="31">
        <f t="shared" si="26"/>
        <v>50.097847358121342</v>
      </c>
      <c r="AI126" s="31">
        <f t="shared" si="27"/>
        <v>49.902152641878658</v>
      </c>
      <c r="AJ126" s="31">
        <f t="shared" si="28"/>
        <v>30.455283757338549</v>
      </c>
      <c r="AK126" s="31">
        <f t="shared" si="40"/>
        <v>26.401565557729938</v>
      </c>
      <c r="AL126" s="26">
        <v>42823</v>
      </c>
      <c r="AM126" s="26">
        <v>42825</v>
      </c>
      <c r="AN126" s="25"/>
      <c r="AO126" s="51">
        <f t="shared" si="37"/>
        <v>50.097847358121342</v>
      </c>
      <c r="AP126" s="51">
        <f t="shared" si="29"/>
        <v>49.902152641878658</v>
      </c>
      <c r="AQ126" s="51">
        <f t="shared" si="30"/>
        <v>30.455283757338549</v>
      </c>
      <c r="AR126" s="31">
        <f t="shared" si="38"/>
        <v>26.401565557729938</v>
      </c>
      <c r="AT126" s="51"/>
    </row>
    <row r="127" spans="1:51">
      <c r="A127" s="6" t="s">
        <v>130</v>
      </c>
      <c r="B127" s="6" t="s">
        <v>198</v>
      </c>
      <c r="C127" t="s">
        <v>12</v>
      </c>
      <c r="D127" s="8">
        <v>4</v>
      </c>
      <c r="E127">
        <v>20</v>
      </c>
      <c r="G127" t="s">
        <v>398</v>
      </c>
      <c r="H127" s="36">
        <v>91.85</v>
      </c>
      <c r="I127" s="36">
        <v>3.23</v>
      </c>
      <c r="J127" s="42">
        <f t="shared" si="24"/>
        <v>88.61999999999999</v>
      </c>
      <c r="K127" s="44">
        <v>2.38</v>
      </c>
      <c r="L127" s="44">
        <v>0</v>
      </c>
      <c r="M127">
        <v>0.27</v>
      </c>
      <c r="N127" s="44">
        <v>3.39</v>
      </c>
      <c r="O127" s="44">
        <v>8.01</v>
      </c>
      <c r="P127" s="44">
        <v>4.07</v>
      </c>
      <c r="Q127" s="44">
        <f t="shared" si="35"/>
        <v>5.42</v>
      </c>
      <c r="R127" s="44">
        <v>362.82</v>
      </c>
      <c r="S127" s="44">
        <v>285.88</v>
      </c>
      <c r="T127" s="36">
        <f t="shared" si="25"/>
        <v>76.94</v>
      </c>
      <c r="U127" s="36">
        <f t="shared" si="31"/>
        <v>3.6099999999999932</v>
      </c>
      <c r="V127" s="26">
        <v>42821</v>
      </c>
      <c r="X127" s="31">
        <v>5.0540000000000003</v>
      </c>
      <c r="Y127" s="26">
        <v>42821</v>
      </c>
      <c r="AA127" s="31">
        <v>2.3839999999999999</v>
      </c>
      <c r="AB127" s="31">
        <v>38.966000000000001</v>
      </c>
      <c r="AC127" s="31">
        <f t="shared" si="39"/>
        <v>36.582000000000001</v>
      </c>
      <c r="AD127" s="31">
        <v>21.28</v>
      </c>
      <c r="AE127" s="31">
        <v>8.9999999999999858E-2</v>
      </c>
      <c r="AF127" s="31">
        <f t="shared" si="32"/>
        <v>18.986000000000001</v>
      </c>
      <c r="AG127" s="31">
        <f t="shared" si="33"/>
        <v>92.678815969661855</v>
      </c>
      <c r="AH127" s="31">
        <f t="shared" si="26"/>
        <v>51.899841452080267</v>
      </c>
      <c r="AI127" s="31">
        <f t="shared" si="27"/>
        <v>48.100158547919733</v>
      </c>
      <c r="AJ127" s="31">
        <f t="shared" si="28"/>
        <v>41.481576731725973</v>
      </c>
      <c r="AK127" s="31">
        <f t="shared" si="40"/>
        <v>39.931738013230557</v>
      </c>
      <c r="AL127" s="26">
        <v>42823</v>
      </c>
      <c r="AM127" s="26">
        <v>42825</v>
      </c>
      <c r="AN127" s="25"/>
      <c r="AO127" s="51">
        <f t="shared" si="37"/>
        <v>51.899841452080267</v>
      </c>
      <c r="AP127" s="51">
        <f t="shared" si="29"/>
        <v>48.100158547919733</v>
      </c>
      <c r="AQ127" s="51">
        <f t="shared" si="30"/>
        <v>41.481576731725973</v>
      </c>
      <c r="AR127" s="31">
        <f t="shared" si="38"/>
        <v>39.931738013230557</v>
      </c>
      <c r="AT127" s="51"/>
    </row>
    <row r="128" spans="1:51">
      <c r="A128" s="6" t="s">
        <v>131</v>
      </c>
      <c r="B128" s="6" t="s">
        <v>198</v>
      </c>
      <c r="C128" t="s">
        <v>12</v>
      </c>
      <c r="D128" s="8">
        <v>4</v>
      </c>
      <c r="E128">
        <v>30</v>
      </c>
      <c r="G128" t="s">
        <v>398</v>
      </c>
      <c r="H128" s="36">
        <v>94.23</v>
      </c>
      <c r="I128" s="36">
        <v>3.72</v>
      </c>
      <c r="J128" s="42">
        <f t="shared" si="24"/>
        <v>90.51</v>
      </c>
      <c r="K128" s="44">
        <v>1.01</v>
      </c>
      <c r="L128" s="44">
        <v>0</v>
      </c>
      <c r="M128" s="44">
        <v>0.26</v>
      </c>
      <c r="N128" s="44">
        <v>3.51</v>
      </c>
      <c r="O128" s="44">
        <v>4.5199999999999996</v>
      </c>
      <c r="P128" s="44">
        <v>3.72</v>
      </c>
      <c r="Q128" s="44">
        <f t="shared" si="35"/>
        <v>1.6999999999999993</v>
      </c>
      <c r="R128" s="44">
        <v>369.28</v>
      </c>
      <c r="S128" s="44">
        <v>285.88</v>
      </c>
      <c r="T128" s="36">
        <f t="shared" si="25"/>
        <v>83.399999999999977</v>
      </c>
      <c r="U128" s="36">
        <f t="shared" si="31"/>
        <v>4.140000000000029</v>
      </c>
      <c r="V128" s="26">
        <v>42821</v>
      </c>
      <c r="X128" s="31">
        <v>6.5860000000000003</v>
      </c>
      <c r="Y128" s="26">
        <v>42821</v>
      </c>
      <c r="AA128" s="31">
        <v>2.4260000000000002</v>
      </c>
      <c r="AB128" s="31">
        <v>40.779000000000003</v>
      </c>
      <c r="AC128" s="31">
        <f t="shared" si="39"/>
        <v>38.353000000000002</v>
      </c>
      <c r="AD128" s="31">
        <v>24.172999999999998</v>
      </c>
      <c r="AE128" s="31">
        <v>8.9999999999999858E-2</v>
      </c>
      <c r="AF128" s="31">
        <f t="shared" si="32"/>
        <v>21.837</v>
      </c>
      <c r="AG128" s="31">
        <f t="shared" si="33"/>
        <v>75.633099784768973</v>
      </c>
      <c r="AH128" s="31">
        <f t="shared" si="26"/>
        <v>56.93687586368732</v>
      </c>
      <c r="AI128" s="31">
        <f t="shared" si="27"/>
        <v>43.06312413631268</v>
      </c>
      <c r="AJ128" s="31">
        <f t="shared" si="28"/>
        <v>38.541496101999847</v>
      </c>
      <c r="AK128" s="31">
        <f t="shared" si="40"/>
        <v>47.485354470315208</v>
      </c>
      <c r="AL128" s="26">
        <v>42823</v>
      </c>
      <c r="AM128" s="26">
        <v>42825</v>
      </c>
      <c r="AN128" s="25"/>
      <c r="AO128" s="51">
        <f t="shared" si="37"/>
        <v>56.93687586368732</v>
      </c>
      <c r="AP128" s="51">
        <f t="shared" si="29"/>
        <v>43.06312413631268</v>
      </c>
      <c r="AQ128" s="51">
        <f t="shared" si="30"/>
        <v>38.541496101999847</v>
      </c>
      <c r="AR128" s="31">
        <f t="shared" si="38"/>
        <v>47.485354470315208</v>
      </c>
      <c r="AT128" s="51"/>
    </row>
    <row r="129" spans="1:46">
      <c r="A129" s="6" t="s">
        <v>132</v>
      </c>
      <c r="B129" s="6" t="s">
        <v>198</v>
      </c>
      <c r="C129" t="s">
        <v>12</v>
      </c>
      <c r="D129" s="8">
        <v>5</v>
      </c>
      <c r="E129">
        <v>5</v>
      </c>
      <c r="G129" t="s">
        <v>398</v>
      </c>
      <c r="H129" s="36">
        <v>16.850000000000001</v>
      </c>
      <c r="I129" s="36">
        <v>1.92</v>
      </c>
      <c r="J129" s="42">
        <f t="shared" si="24"/>
        <v>14.930000000000001</v>
      </c>
      <c r="K129" s="38">
        <v>0</v>
      </c>
      <c r="L129" s="38">
        <v>0</v>
      </c>
      <c r="M129" s="38">
        <v>3.73</v>
      </c>
      <c r="N129" s="44">
        <f>0.09+P2</f>
        <v>3.44</v>
      </c>
      <c r="O129" s="38">
        <v>4.91</v>
      </c>
      <c r="P129" s="38">
        <v>3.68</v>
      </c>
      <c r="Q129" s="44">
        <f t="shared" si="35"/>
        <v>1.98</v>
      </c>
      <c r="R129" s="44">
        <v>293.29000000000002</v>
      </c>
      <c r="S129" s="44">
        <v>286.27</v>
      </c>
      <c r="T129" s="36">
        <f t="shared" si="25"/>
        <v>7.0200000000000387</v>
      </c>
      <c r="U129" s="36">
        <f t="shared" si="31"/>
        <v>2.1999999999999624</v>
      </c>
      <c r="V129" s="26">
        <v>42766</v>
      </c>
      <c r="W129" s="25" t="s">
        <v>481</v>
      </c>
      <c r="X129" s="31" t="s">
        <v>469</v>
      </c>
      <c r="Y129" s="8" t="s">
        <v>469</v>
      </c>
      <c r="Z129" s="3" t="s">
        <v>475</v>
      </c>
      <c r="AA129" s="31">
        <v>2.4340000000000002</v>
      </c>
      <c r="AB129" s="31">
        <v>9.2569999999999997</v>
      </c>
      <c r="AC129" s="31">
        <f t="shared" si="39"/>
        <v>6.8229999999999995</v>
      </c>
      <c r="AD129" s="31">
        <v>6.5140000000000002</v>
      </c>
      <c r="AE129" s="31">
        <v>7.4833333333333599E-2</v>
      </c>
      <c r="AF129" s="31">
        <f t="shared" si="32"/>
        <v>4.1548333333333334</v>
      </c>
      <c r="AG129" s="31">
        <f t="shared" si="33"/>
        <v>64.218380199767324</v>
      </c>
      <c r="AH129" s="31">
        <f t="shared" si="26"/>
        <v>60.894523425668091</v>
      </c>
      <c r="AI129" s="31">
        <f t="shared" si="27"/>
        <v>39.105476574331909</v>
      </c>
      <c r="AJ129" s="31">
        <f t="shared" si="28"/>
        <v>5.8384476525477549</v>
      </c>
      <c r="AK129" s="31">
        <f t="shared" si="40"/>
        <v>4.2747955444819237</v>
      </c>
      <c r="AL129" s="26">
        <v>42770</v>
      </c>
      <c r="AM129" s="26">
        <v>42772</v>
      </c>
      <c r="AN129" s="25"/>
      <c r="AO129" s="51">
        <f t="shared" si="37"/>
        <v>60.894523425668091</v>
      </c>
      <c r="AP129" s="51">
        <f t="shared" si="29"/>
        <v>39.105476574331909</v>
      </c>
      <c r="AQ129" s="51">
        <f t="shared" si="30"/>
        <v>5.8384476525477549</v>
      </c>
      <c r="AR129" s="31">
        <f t="shared" si="38"/>
        <v>4.2747955444819237</v>
      </c>
      <c r="AT129" s="51"/>
    </row>
    <row r="130" spans="1:46">
      <c r="A130" s="6" t="s">
        <v>133</v>
      </c>
      <c r="B130" s="6" t="s">
        <v>198</v>
      </c>
      <c r="C130" t="s">
        <v>12</v>
      </c>
      <c r="D130" s="8">
        <v>5</v>
      </c>
      <c r="E130">
        <v>10</v>
      </c>
      <c r="G130" t="s">
        <v>398</v>
      </c>
      <c r="H130" s="36">
        <v>56.44</v>
      </c>
      <c r="I130" s="36">
        <v>1.92</v>
      </c>
      <c r="J130" s="42">
        <f t="shared" si="24"/>
        <v>54.519999999999996</v>
      </c>
      <c r="K130" s="38">
        <v>4.21</v>
      </c>
      <c r="L130" s="38">
        <v>0</v>
      </c>
      <c r="M130" s="38">
        <v>0.13</v>
      </c>
      <c r="N130" s="38">
        <v>3.36</v>
      </c>
      <c r="O130" s="38">
        <v>4.58</v>
      </c>
      <c r="P130" s="38">
        <v>0</v>
      </c>
      <c r="Q130" s="44">
        <f t="shared" si="35"/>
        <v>1.2399999999999998</v>
      </c>
      <c r="R130" s="44">
        <v>334.43</v>
      </c>
      <c r="S130" s="44">
        <v>286.27</v>
      </c>
      <c r="T130" s="36">
        <f t="shared" si="25"/>
        <v>48.160000000000025</v>
      </c>
      <c r="U130" s="36">
        <f t="shared" si="31"/>
        <v>0.77999999999997094</v>
      </c>
      <c r="V130" s="26">
        <v>42766</v>
      </c>
      <c r="W130" s="25"/>
      <c r="X130" s="31">
        <v>5.0919999999999996</v>
      </c>
      <c r="Y130" s="26">
        <v>42767</v>
      </c>
      <c r="AA130" s="31">
        <v>2.379</v>
      </c>
      <c r="AB130" s="31">
        <v>21.523</v>
      </c>
      <c r="AC130" s="31">
        <f t="shared" si="39"/>
        <v>19.143999999999998</v>
      </c>
      <c r="AD130" s="31">
        <v>16.986999999999998</v>
      </c>
      <c r="AE130" s="31">
        <v>7.9833333333333645E-2</v>
      </c>
      <c r="AF130" s="31">
        <f t="shared" si="32"/>
        <v>14.687833333333332</v>
      </c>
      <c r="AG130" s="31">
        <f t="shared" si="33"/>
        <v>30.33916960749827</v>
      </c>
      <c r="AH130" s="31">
        <f t="shared" si="26"/>
        <v>76.722907090123968</v>
      </c>
      <c r="AI130" s="31">
        <f t="shared" si="27"/>
        <v>23.277092909876032</v>
      </c>
      <c r="AJ130" s="31">
        <f t="shared" si="28"/>
        <v>11.710705442958632</v>
      </c>
      <c r="AK130" s="31">
        <f t="shared" si="40"/>
        <v>36.949752054603721</v>
      </c>
      <c r="AL130" s="26">
        <v>42768</v>
      </c>
      <c r="AM130" s="26">
        <v>42770</v>
      </c>
      <c r="AN130" s="25"/>
      <c r="AO130" s="51">
        <f t="shared" si="37"/>
        <v>76.722907090123968</v>
      </c>
      <c r="AP130" s="51">
        <f t="shared" si="29"/>
        <v>23.277092909876032</v>
      </c>
      <c r="AQ130" s="51">
        <f t="shared" si="30"/>
        <v>11.710705442958632</v>
      </c>
      <c r="AR130" s="31">
        <f t="shared" si="38"/>
        <v>36.949752054603721</v>
      </c>
      <c r="AT130" s="51"/>
    </row>
    <row r="131" spans="1:46">
      <c r="A131" s="6" t="s">
        <v>134</v>
      </c>
      <c r="B131" s="6" t="s">
        <v>198</v>
      </c>
      <c r="C131" t="s">
        <v>12</v>
      </c>
      <c r="D131" s="8">
        <v>5</v>
      </c>
      <c r="E131">
        <v>20</v>
      </c>
      <c r="G131" t="s">
        <v>398</v>
      </c>
      <c r="H131" s="36">
        <v>64.930000000000007</v>
      </c>
      <c r="I131" s="36">
        <v>1.93</v>
      </c>
      <c r="J131" s="42">
        <f t="shared" si="24"/>
        <v>63.000000000000007</v>
      </c>
      <c r="K131" s="38">
        <v>1.58</v>
      </c>
      <c r="L131" s="44">
        <v>0</v>
      </c>
      <c r="M131" s="44">
        <v>0.19</v>
      </c>
      <c r="N131" s="38">
        <v>3.41</v>
      </c>
      <c r="O131" s="44">
        <v>4.08</v>
      </c>
      <c r="P131" s="44">
        <v>0</v>
      </c>
      <c r="Q131" s="44">
        <f t="shared" si="35"/>
        <v>0.79</v>
      </c>
      <c r="R131" s="44">
        <v>345.95</v>
      </c>
      <c r="S131" s="44">
        <v>286.27</v>
      </c>
      <c r="T131" s="36">
        <f t="shared" si="25"/>
        <v>59.680000000000007</v>
      </c>
      <c r="U131" s="36">
        <f t="shared" si="31"/>
        <v>0.76000000000000023</v>
      </c>
      <c r="V131" s="26">
        <v>42766</v>
      </c>
      <c r="W131" s="25"/>
      <c r="X131" s="31">
        <v>5.1609999999999996</v>
      </c>
      <c r="Y131" s="26">
        <v>42767</v>
      </c>
      <c r="AA131" s="31">
        <v>2.403</v>
      </c>
      <c r="AB131" s="31">
        <v>30.094000000000001</v>
      </c>
      <c r="AC131" s="31">
        <f t="shared" si="39"/>
        <v>27.691000000000003</v>
      </c>
      <c r="AD131" s="31">
        <v>24.093</v>
      </c>
      <c r="AE131" s="31">
        <v>7.9833333333333645E-2</v>
      </c>
      <c r="AF131" s="31">
        <f t="shared" si="32"/>
        <v>21.769833333333334</v>
      </c>
      <c r="AG131" s="31">
        <f t="shared" si="33"/>
        <v>27.19895267916613</v>
      </c>
      <c r="AH131" s="31">
        <f t="shared" si="26"/>
        <v>78.616999506458171</v>
      </c>
      <c r="AI131" s="31">
        <f t="shared" si="27"/>
        <v>21.383000493541829</v>
      </c>
      <c r="AJ131" s="31">
        <f t="shared" si="28"/>
        <v>13.133438903133394</v>
      </c>
      <c r="AK131" s="31">
        <f t="shared" si="40"/>
        <v>46.918625305454242</v>
      </c>
      <c r="AL131" s="26">
        <v>42768</v>
      </c>
      <c r="AM131" s="26">
        <v>42770</v>
      </c>
      <c r="AN131" s="25"/>
      <c r="AO131" s="51">
        <f t="shared" si="37"/>
        <v>78.616999506458171</v>
      </c>
      <c r="AP131" s="51">
        <f t="shared" si="29"/>
        <v>21.383000493541829</v>
      </c>
      <c r="AQ131" s="51">
        <f t="shared" si="30"/>
        <v>13.133438903133394</v>
      </c>
      <c r="AR131" s="31">
        <f t="shared" si="38"/>
        <v>46.918625305454242</v>
      </c>
      <c r="AT131" s="51"/>
    </row>
    <row r="132" spans="1:46">
      <c r="A132" s="6" t="s">
        <v>135</v>
      </c>
      <c r="B132" s="6" t="s">
        <v>198</v>
      </c>
      <c r="C132" t="s">
        <v>12</v>
      </c>
      <c r="D132" s="8">
        <v>6</v>
      </c>
      <c r="E132">
        <v>5</v>
      </c>
      <c r="F132" t="s">
        <v>376</v>
      </c>
      <c r="G132" t="s">
        <v>398</v>
      </c>
      <c r="H132" s="36">
        <v>20.37</v>
      </c>
      <c r="I132" s="38">
        <v>1.91</v>
      </c>
      <c r="J132" s="42">
        <f t="shared" si="24"/>
        <v>18.46</v>
      </c>
      <c r="K132" s="38">
        <v>0</v>
      </c>
      <c r="L132" s="38">
        <v>0</v>
      </c>
      <c r="M132" s="44">
        <v>1.06</v>
      </c>
      <c r="N132" s="44">
        <v>3.35</v>
      </c>
      <c r="O132" s="44">
        <v>8.1</v>
      </c>
      <c r="P132" s="44">
        <v>3.82</v>
      </c>
      <c r="Q132" s="44">
        <f t="shared" si="35"/>
        <v>5.22</v>
      </c>
      <c r="R132" s="44">
        <v>296.56</v>
      </c>
      <c r="S132" s="44">
        <v>286.37</v>
      </c>
      <c r="T132" s="36">
        <f t="shared" si="25"/>
        <v>10.189999999999998</v>
      </c>
      <c r="U132" s="36">
        <f t="shared" si="31"/>
        <v>1.9900000000000033</v>
      </c>
      <c r="V132" s="26">
        <v>42753</v>
      </c>
      <c r="W132" s="25" t="s">
        <v>479</v>
      </c>
      <c r="X132" s="31" t="s">
        <v>469</v>
      </c>
      <c r="Y132" s="8" t="s">
        <v>469</v>
      </c>
      <c r="Z132" s="3" t="s">
        <v>475</v>
      </c>
      <c r="AA132" s="31" t="s">
        <v>469</v>
      </c>
      <c r="AB132" s="31" t="s">
        <v>469</v>
      </c>
      <c r="AC132" s="31" t="s">
        <v>469</v>
      </c>
      <c r="AD132" s="31" t="s">
        <v>469</v>
      </c>
      <c r="AE132" s="31" t="s">
        <v>469</v>
      </c>
      <c r="AF132" s="31" t="s">
        <v>469</v>
      </c>
      <c r="AG132" s="31" t="s">
        <v>469</v>
      </c>
      <c r="AH132" s="31" t="s">
        <v>469</v>
      </c>
      <c r="AI132" s="31" t="s">
        <v>469</v>
      </c>
      <c r="AJ132" s="31" t="s">
        <v>469</v>
      </c>
      <c r="AK132" s="31" t="s">
        <v>469</v>
      </c>
      <c r="AL132" s="31" t="s">
        <v>469</v>
      </c>
      <c r="AM132" s="31" t="s">
        <v>469</v>
      </c>
      <c r="AO132" s="51">
        <f>AY4</f>
        <v>48.261001017628431</v>
      </c>
      <c r="AP132" s="51">
        <f t="shared" si="29"/>
        <v>51.738998982371569</v>
      </c>
      <c r="AQ132" s="51">
        <f>BA4</f>
        <v>16.688871601585834</v>
      </c>
      <c r="AR132" s="31">
        <f t="shared" ref="AR132:AR163" si="41">T132*AO132%</f>
        <v>4.9177960036963357</v>
      </c>
      <c r="AT132" s="51"/>
    </row>
    <row r="133" spans="1:46">
      <c r="A133" s="6" t="s">
        <v>136</v>
      </c>
      <c r="B133" s="6" t="s">
        <v>198</v>
      </c>
      <c r="C133" t="s">
        <v>12</v>
      </c>
      <c r="D133" s="8">
        <v>6</v>
      </c>
      <c r="E133">
        <v>10</v>
      </c>
      <c r="G133" t="s">
        <v>398</v>
      </c>
      <c r="H133" s="36">
        <v>57.42</v>
      </c>
      <c r="I133" s="38">
        <v>1.9</v>
      </c>
      <c r="J133" s="42">
        <f t="shared" si="24"/>
        <v>55.52</v>
      </c>
      <c r="K133" s="38">
        <v>4.5199999999999996</v>
      </c>
      <c r="L133" s="38">
        <v>0</v>
      </c>
      <c r="M133" s="38">
        <v>0.87</v>
      </c>
      <c r="N133" s="44">
        <v>3.42</v>
      </c>
      <c r="O133" s="44">
        <v>4.25</v>
      </c>
      <c r="P133" s="44">
        <v>0</v>
      </c>
      <c r="Q133" s="44">
        <f t="shared" ref="Q133:Q164" si="42">(IF(N133&gt;0,N133-P$2,0))+(IF(O133&gt;0,O133-P$2,0))+(IF(P133&gt;0,P133-P$2,0))</f>
        <v>0.96999999999999975</v>
      </c>
      <c r="R133" s="44">
        <v>334.21</v>
      </c>
      <c r="S133" s="44">
        <v>286.37</v>
      </c>
      <c r="T133" s="36">
        <f t="shared" si="25"/>
        <v>47.839999999999975</v>
      </c>
      <c r="U133" s="36">
        <f t="shared" si="31"/>
        <v>1.3200000000000287</v>
      </c>
      <c r="V133" s="26">
        <v>42753</v>
      </c>
      <c r="W133" s="25"/>
      <c r="X133" s="31">
        <v>5.141</v>
      </c>
      <c r="Y133" s="26">
        <v>42753</v>
      </c>
      <c r="AA133" s="31">
        <v>2.4260000000000002</v>
      </c>
      <c r="AB133" s="31">
        <v>21.588999999999999</v>
      </c>
      <c r="AC133" s="31">
        <f t="shared" si="39"/>
        <v>19.162999999999997</v>
      </c>
      <c r="AD133" s="31">
        <v>14.462999999999999</v>
      </c>
      <c r="AE133" s="31">
        <v>4.2666666666666853E-2</v>
      </c>
      <c r="AF133" s="31">
        <f t="shared" si="32"/>
        <v>12.079666666666666</v>
      </c>
      <c r="AG133" s="31">
        <f t="shared" si="33"/>
        <v>58.638483401859851</v>
      </c>
      <c r="AH133" s="31">
        <f t="shared" ref="AH133:AH192" si="43">(AF133/AC133)*100</f>
        <v>63.036406964810666</v>
      </c>
      <c r="AI133" s="31">
        <f t="shared" ref="AI133:AI192" si="44">100-AH133</f>
        <v>36.963593035189334</v>
      </c>
      <c r="AJ133" s="31">
        <f t="shared" ref="AJ133:AJ192" si="45">AI133*(J133-K133)%</f>
        <v>18.851432447946561</v>
      </c>
      <c r="AK133" s="31">
        <f>T133*AH133%</f>
        <v>30.156617091965405</v>
      </c>
      <c r="AL133" s="26">
        <v>42755</v>
      </c>
      <c r="AM133" s="26">
        <v>42758</v>
      </c>
      <c r="AN133" s="25"/>
      <c r="AO133" s="51">
        <f>AH133</f>
        <v>63.036406964810666</v>
      </c>
      <c r="AP133" s="51">
        <f t="shared" ref="AP133:AP192" si="46">100-AO133</f>
        <v>36.963593035189334</v>
      </c>
      <c r="AQ133" s="51">
        <f t="shared" ref="AQ133:AQ192" si="47">AJ133</f>
        <v>18.851432447946561</v>
      </c>
      <c r="AR133" s="31">
        <f t="shared" si="41"/>
        <v>30.156617091965405</v>
      </c>
      <c r="AT133" s="51"/>
    </row>
    <row r="134" spans="1:46">
      <c r="A134" s="6" t="s">
        <v>137</v>
      </c>
      <c r="B134" s="6" t="s">
        <v>198</v>
      </c>
      <c r="C134" t="s">
        <v>12</v>
      </c>
      <c r="D134" s="8">
        <v>6</v>
      </c>
      <c r="E134">
        <v>20</v>
      </c>
      <c r="G134" t="s">
        <v>398</v>
      </c>
      <c r="H134" s="36">
        <v>73.66</v>
      </c>
      <c r="I134" s="38">
        <v>2.61</v>
      </c>
      <c r="J134" s="42">
        <f t="shared" ref="J134:J192" si="48">H134-I134</f>
        <v>71.05</v>
      </c>
      <c r="K134" s="44">
        <v>6.78</v>
      </c>
      <c r="L134" s="44">
        <v>0.1</v>
      </c>
      <c r="M134" s="44">
        <v>0.43</v>
      </c>
      <c r="N134" s="44">
        <v>3.38</v>
      </c>
      <c r="O134" s="44">
        <v>5.08</v>
      </c>
      <c r="P134" s="44">
        <v>0</v>
      </c>
      <c r="Q134" s="44">
        <f t="shared" si="42"/>
        <v>1.7599999999999998</v>
      </c>
      <c r="R134" s="44">
        <v>347.23</v>
      </c>
      <c r="S134" s="44">
        <v>286.37</v>
      </c>
      <c r="T134" s="36">
        <f t="shared" ref="T134:T192" si="49">R134-S134</f>
        <v>60.860000000000014</v>
      </c>
      <c r="U134" s="36">
        <f t="shared" ref="U134:U192" si="50">J134-T134-Q134-M134-(IF(L134="none",0))-K134</f>
        <v>1.2199999999999838</v>
      </c>
      <c r="V134" s="26">
        <v>42753</v>
      </c>
      <c r="W134" s="25"/>
      <c r="X134" s="31">
        <v>4.8209999999999997</v>
      </c>
      <c r="Y134" s="26">
        <v>42753</v>
      </c>
      <c r="AA134" s="31">
        <v>2.4089999999999998</v>
      </c>
      <c r="AB134" s="31">
        <v>29.088000000000001</v>
      </c>
      <c r="AC134" s="31">
        <f t="shared" si="39"/>
        <v>26.679000000000002</v>
      </c>
      <c r="AD134" s="31">
        <v>17.698</v>
      </c>
      <c r="AE134" s="31">
        <v>4.2666666666666853E-2</v>
      </c>
      <c r="AF134" s="31">
        <f t="shared" ref="AF134:AF192" si="51">AD134-AA134+AE134</f>
        <v>15.331666666666669</v>
      </c>
      <c r="AG134" s="31">
        <f t="shared" si="33"/>
        <v>74.012392651375137</v>
      </c>
      <c r="AH134" s="31">
        <f t="shared" si="43"/>
        <v>57.467171433212137</v>
      </c>
      <c r="AI134" s="31">
        <f t="shared" si="44"/>
        <v>42.532828566787863</v>
      </c>
      <c r="AJ134" s="31">
        <f t="shared" si="45"/>
        <v>27.335848919874557</v>
      </c>
      <c r="AK134" s="31">
        <f t="shared" ref="AK134:AK192" si="52">T134*AH134%</f>
        <v>34.974520534252918</v>
      </c>
      <c r="AL134" s="26">
        <v>42755</v>
      </c>
      <c r="AM134" s="26">
        <v>42758</v>
      </c>
      <c r="AN134" s="25"/>
      <c r="AO134" s="51">
        <f t="shared" ref="AO134:AO154" si="53">AH134</f>
        <v>57.467171433212137</v>
      </c>
      <c r="AP134" s="51">
        <f t="shared" si="46"/>
        <v>42.532828566787863</v>
      </c>
      <c r="AQ134" s="51">
        <f t="shared" si="47"/>
        <v>27.335848919874557</v>
      </c>
      <c r="AR134" s="31">
        <f t="shared" si="41"/>
        <v>34.974520534252918</v>
      </c>
      <c r="AT134" s="51"/>
    </row>
    <row r="135" spans="1:46">
      <c r="A135" s="6" t="s">
        <v>138</v>
      </c>
      <c r="B135" s="6" t="s">
        <v>198</v>
      </c>
      <c r="C135" t="s">
        <v>12</v>
      </c>
      <c r="D135" s="8">
        <v>6</v>
      </c>
      <c r="E135">
        <v>30</v>
      </c>
      <c r="G135" t="s">
        <v>398</v>
      </c>
      <c r="H135" s="36">
        <v>65.650000000000006</v>
      </c>
      <c r="I135" s="38">
        <v>2.64</v>
      </c>
      <c r="J135" s="42">
        <f t="shared" si="48"/>
        <v>63.010000000000005</v>
      </c>
      <c r="K135" s="44">
        <v>0.97</v>
      </c>
      <c r="L135" s="44">
        <v>0</v>
      </c>
      <c r="M135" s="44">
        <v>0.28999999999999998</v>
      </c>
      <c r="N135" s="44">
        <v>3.43</v>
      </c>
      <c r="O135" s="44">
        <v>3.9</v>
      </c>
      <c r="P135" s="44">
        <v>0</v>
      </c>
      <c r="Q135" s="44">
        <f t="shared" si="42"/>
        <v>0.62999999999999989</v>
      </c>
      <c r="R135" s="44">
        <v>346.74</v>
      </c>
      <c r="S135" s="44">
        <v>286.37</v>
      </c>
      <c r="T135" s="36">
        <f t="shared" si="49"/>
        <v>60.370000000000005</v>
      </c>
      <c r="U135" s="36">
        <f t="shared" si="50"/>
        <v>0.75000000000000067</v>
      </c>
      <c r="V135" s="26">
        <v>42753</v>
      </c>
      <c r="W135" s="25"/>
      <c r="X135" s="31">
        <v>4.7169999999999996</v>
      </c>
      <c r="Y135" s="26">
        <v>42753</v>
      </c>
      <c r="AA135" s="31">
        <v>2.4510000000000001</v>
      </c>
      <c r="AB135" s="31">
        <v>25.21</v>
      </c>
      <c r="AC135" s="31">
        <f t="shared" si="39"/>
        <v>22.759</v>
      </c>
      <c r="AD135" s="31">
        <v>17.257000000000001</v>
      </c>
      <c r="AE135" s="31">
        <v>4.2666666666666853E-2</v>
      </c>
      <c r="AF135" s="31">
        <f t="shared" si="51"/>
        <v>14.848666666666668</v>
      </c>
      <c r="AG135" s="31">
        <f t="shared" ref="AG135:AG192" si="54">((AC135-AF135)*100)/AF135</f>
        <v>53.273021146679824</v>
      </c>
      <c r="AH135" s="31">
        <f t="shared" si="43"/>
        <v>65.243054029907583</v>
      </c>
      <c r="AI135" s="31">
        <f t="shared" si="44"/>
        <v>34.756945970092417</v>
      </c>
      <c r="AJ135" s="31">
        <f t="shared" si="45"/>
        <v>21.563209279845339</v>
      </c>
      <c r="AK135" s="31">
        <f t="shared" si="52"/>
        <v>39.387231717855215</v>
      </c>
      <c r="AL135" s="26">
        <v>42755</v>
      </c>
      <c r="AM135" s="26">
        <v>42758</v>
      </c>
      <c r="AN135" s="25"/>
      <c r="AO135" s="51">
        <f t="shared" si="53"/>
        <v>65.243054029907583</v>
      </c>
      <c r="AP135" s="51">
        <f t="shared" si="46"/>
        <v>34.756945970092417</v>
      </c>
      <c r="AQ135" s="51">
        <f t="shared" si="47"/>
        <v>21.563209279845339</v>
      </c>
      <c r="AR135" s="31">
        <f t="shared" si="41"/>
        <v>39.387231717855215</v>
      </c>
      <c r="AT135" s="51"/>
    </row>
    <row r="136" spans="1:46">
      <c r="A136" s="6" t="s">
        <v>139</v>
      </c>
      <c r="B136" s="6" t="s">
        <v>198</v>
      </c>
      <c r="C136" t="s">
        <v>13</v>
      </c>
      <c r="D136" s="8">
        <v>1</v>
      </c>
      <c r="E136">
        <v>5</v>
      </c>
      <c r="F136" t="s">
        <v>377</v>
      </c>
      <c r="G136" t="s">
        <v>780</v>
      </c>
      <c r="H136" s="36">
        <v>50.44</v>
      </c>
      <c r="I136" s="36">
        <v>2.64</v>
      </c>
      <c r="J136" s="42">
        <f t="shared" si="48"/>
        <v>47.8</v>
      </c>
      <c r="K136" s="44">
        <v>0</v>
      </c>
      <c r="L136" s="44">
        <v>5.24</v>
      </c>
      <c r="M136" s="44">
        <v>1.88</v>
      </c>
      <c r="N136" s="44">
        <v>3.39</v>
      </c>
      <c r="O136" s="44">
        <v>22.15</v>
      </c>
      <c r="P136" s="44">
        <v>0</v>
      </c>
      <c r="Q136" s="44">
        <f t="shared" si="42"/>
        <v>18.839999999999996</v>
      </c>
      <c r="R136" s="44">
        <v>305.82</v>
      </c>
      <c r="S136" s="44">
        <v>285.88</v>
      </c>
      <c r="T136" s="36">
        <f t="shared" si="49"/>
        <v>19.939999999999998</v>
      </c>
      <c r="U136" s="36">
        <f t="shared" si="50"/>
        <v>7.1400000000000032</v>
      </c>
      <c r="V136" s="26">
        <v>42821</v>
      </c>
      <c r="X136" s="31" t="s">
        <v>469</v>
      </c>
      <c r="Y136" s="26" t="s">
        <v>469</v>
      </c>
      <c r="AA136" s="31">
        <v>2.3919999999999999</v>
      </c>
      <c r="AB136" s="31">
        <v>11.942</v>
      </c>
      <c r="AC136" s="31">
        <f t="shared" si="39"/>
        <v>9.5500000000000007</v>
      </c>
      <c r="AD136" s="31">
        <v>5.556</v>
      </c>
      <c r="AE136" s="31">
        <v>8.9999999999999858E-2</v>
      </c>
      <c r="AF136" s="31">
        <f t="shared" si="51"/>
        <v>3.254</v>
      </c>
      <c r="AG136" s="31">
        <f t="shared" si="54"/>
        <v>193.48494161032579</v>
      </c>
      <c r="AH136" s="31">
        <f t="shared" si="43"/>
        <v>34.073298429319372</v>
      </c>
      <c r="AI136" s="31">
        <f t="shared" si="44"/>
        <v>65.926701570680621</v>
      </c>
      <c r="AJ136" s="31">
        <f t="shared" si="45"/>
        <v>31.512963350785334</v>
      </c>
      <c r="AK136" s="31">
        <f t="shared" si="52"/>
        <v>6.7942157068062814</v>
      </c>
      <c r="AL136" s="26">
        <v>42823</v>
      </c>
      <c r="AM136" s="26">
        <v>42825</v>
      </c>
      <c r="AN136" s="25"/>
      <c r="AO136" s="51">
        <f t="shared" si="53"/>
        <v>34.073298429319372</v>
      </c>
      <c r="AP136" s="51">
        <f t="shared" si="46"/>
        <v>65.926701570680621</v>
      </c>
      <c r="AQ136" s="51">
        <f t="shared" si="47"/>
        <v>31.512963350785334</v>
      </c>
      <c r="AR136" s="31">
        <f t="shared" si="41"/>
        <v>6.7942157068062814</v>
      </c>
      <c r="AT136" s="51"/>
    </row>
    <row r="137" spans="1:46">
      <c r="A137" s="6" t="s">
        <v>140</v>
      </c>
      <c r="B137" s="6" t="s">
        <v>198</v>
      </c>
      <c r="C137" t="s">
        <v>13</v>
      </c>
      <c r="D137" s="8">
        <v>1</v>
      </c>
      <c r="E137">
        <v>10</v>
      </c>
      <c r="F137" t="s">
        <v>378</v>
      </c>
      <c r="G137" t="s">
        <v>780</v>
      </c>
      <c r="H137" s="36">
        <v>83.65</v>
      </c>
      <c r="I137" s="36">
        <v>2.72</v>
      </c>
      <c r="J137" s="42">
        <f t="shared" si="48"/>
        <v>80.930000000000007</v>
      </c>
      <c r="K137" s="44">
        <v>0.06</v>
      </c>
      <c r="L137" s="44">
        <v>0.92</v>
      </c>
      <c r="M137" s="44">
        <v>3.21</v>
      </c>
      <c r="N137" s="44">
        <v>3.76</v>
      </c>
      <c r="O137" s="44">
        <v>23.36</v>
      </c>
      <c r="P137" s="44">
        <v>0</v>
      </c>
      <c r="Q137" s="44">
        <f t="shared" si="42"/>
        <v>20.419999999999998</v>
      </c>
      <c r="R137" s="44">
        <v>338.71</v>
      </c>
      <c r="S137" s="44">
        <v>285.88</v>
      </c>
      <c r="T137" s="36">
        <f t="shared" si="49"/>
        <v>52.829999999999984</v>
      </c>
      <c r="U137" s="36">
        <f t="shared" si="50"/>
        <v>4.410000000000025</v>
      </c>
      <c r="V137" s="26">
        <v>42821</v>
      </c>
      <c r="X137" s="31">
        <v>4.9210000000000003</v>
      </c>
      <c r="Y137" s="26">
        <v>42821</v>
      </c>
      <c r="AA137" s="31">
        <v>2.4180000000000001</v>
      </c>
      <c r="AB137" s="31">
        <v>26.102</v>
      </c>
      <c r="AC137" s="31">
        <f t="shared" si="39"/>
        <v>23.684000000000001</v>
      </c>
      <c r="AD137" s="31">
        <v>11.271000000000001</v>
      </c>
      <c r="AE137" s="31">
        <v>8.9999999999999858E-2</v>
      </c>
      <c r="AF137" s="31">
        <f t="shared" si="51"/>
        <v>8.9430000000000014</v>
      </c>
      <c r="AG137" s="31">
        <f t="shared" si="54"/>
        <v>164.83283014648325</v>
      </c>
      <c r="AH137" s="31">
        <f t="shared" si="43"/>
        <v>37.759668974835336</v>
      </c>
      <c r="AI137" s="31">
        <f t="shared" si="44"/>
        <v>62.240331025164664</v>
      </c>
      <c r="AJ137" s="31">
        <f t="shared" si="45"/>
        <v>50.333755700050666</v>
      </c>
      <c r="AK137" s="31">
        <f t="shared" si="52"/>
        <v>19.948433119405504</v>
      </c>
      <c r="AL137" s="26">
        <v>42823</v>
      </c>
      <c r="AM137" s="26">
        <v>42825</v>
      </c>
      <c r="AN137" s="25"/>
      <c r="AO137" s="51">
        <f t="shared" si="53"/>
        <v>37.759668974835336</v>
      </c>
      <c r="AP137" s="51">
        <f t="shared" si="46"/>
        <v>62.240331025164664</v>
      </c>
      <c r="AQ137" s="51">
        <f t="shared" si="47"/>
        <v>50.333755700050666</v>
      </c>
      <c r="AR137" s="31">
        <f t="shared" si="41"/>
        <v>19.948433119405504</v>
      </c>
      <c r="AT137" s="51"/>
    </row>
    <row r="138" spans="1:46">
      <c r="A138" s="6" t="s">
        <v>141</v>
      </c>
      <c r="B138" s="6" t="s">
        <v>198</v>
      </c>
      <c r="C138" t="s">
        <v>13</v>
      </c>
      <c r="D138" s="8">
        <v>2</v>
      </c>
      <c r="E138">
        <v>5</v>
      </c>
      <c r="F138" s="13" t="s">
        <v>379</v>
      </c>
      <c r="G138" s="13" t="s">
        <v>780</v>
      </c>
      <c r="H138" s="36">
        <v>61.41</v>
      </c>
      <c r="I138" s="36">
        <v>2.66</v>
      </c>
      <c r="J138" s="42">
        <f t="shared" si="48"/>
        <v>58.75</v>
      </c>
      <c r="K138" s="44">
        <v>0</v>
      </c>
      <c r="L138" s="44">
        <v>0.88</v>
      </c>
      <c r="M138" s="44">
        <v>3</v>
      </c>
      <c r="N138" s="44">
        <v>3.49</v>
      </c>
      <c r="O138" s="44">
        <v>23.01</v>
      </c>
      <c r="P138" s="44">
        <v>0</v>
      </c>
      <c r="Q138" s="44">
        <f t="shared" si="42"/>
        <v>19.8</v>
      </c>
      <c r="R138" s="44">
        <v>316.74</v>
      </c>
      <c r="S138" s="44">
        <v>286</v>
      </c>
      <c r="T138" s="36">
        <f t="shared" si="49"/>
        <v>30.740000000000009</v>
      </c>
      <c r="U138" s="36">
        <f t="shared" si="50"/>
        <v>5.2099999999999902</v>
      </c>
      <c r="V138" s="26">
        <v>42790</v>
      </c>
      <c r="X138" s="31">
        <v>4.5739999999999998</v>
      </c>
      <c r="Y138" s="26">
        <v>42790</v>
      </c>
      <c r="AA138" s="31">
        <v>2.3820000000000001</v>
      </c>
      <c r="AB138" s="31">
        <v>13.968</v>
      </c>
      <c r="AC138" s="31">
        <f t="shared" si="39"/>
        <v>11.586</v>
      </c>
      <c r="AD138" s="31">
        <v>5.6950000000000003</v>
      </c>
      <c r="AE138" s="31">
        <v>8.6666666666666295E-2</v>
      </c>
      <c r="AF138" s="31">
        <f t="shared" si="51"/>
        <v>3.3996666666666666</v>
      </c>
      <c r="AG138" s="31">
        <f t="shared" si="54"/>
        <v>240.79811746249632</v>
      </c>
      <c r="AH138" s="31">
        <f t="shared" si="43"/>
        <v>29.342885091202024</v>
      </c>
      <c r="AI138" s="31">
        <f t="shared" si="44"/>
        <v>70.657114908797979</v>
      </c>
      <c r="AJ138" s="31">
        <f t="shared" si="45"/>
        <v>41.511055008918817</v>
      </c>
      <c r="AK138" s="31">
        <f t="shared" si="52"/>
        <v>9.0200028770355054</v>
      </c>
      <c r="AL138" s="26">
        <v>42790</v>
      </c>
      <c r="AM138" s="26">
        <v>42792</v>
      </c>
      <c r="AN138" s="25"/>
      <c r="AO138" s="51">
        <f t="shared" si="53"/>
        <v>29.342885091202024</v>
      </c>
      <c r="AP138" s="51">
        <f t="shared" si="46"/>
        <v>70.657114908797979</v>
      </c>
      <c r="AQ138" s="51">
        <f t="shared" si="47"/>
        <v>41.511055008918817</v>
      </c>
      <c r="AR138" s="31">
        <f t="shared" si="41"/>
        <v>9.0200028770355054</v>
      </c>
      <c r="AT138" s="51"/>
    </row>
    <row r="139" spans="1:46">
      <c r="A139" s="6" t="s">
        <v>142</v>
      </c>
      <c r="B139" s="6" t="s">
        <v>198</v>
      </c>
      <c r="C139" t="s">
        <v>13</v>
      </c>
      <c r="D139" s="8">
        <v>2</v>
      </c>
      <c r="E139">
        <v>10</v>
      </c>
      <c r="F139" s="14" t="s">
        <v>380</v>
      </c>
      <c r="G139" s="14" t="s">
        <v>780</v>
      </c>
      <c r="H139" s="36">
        <v>66.42</v>
      </c>
      <c r="I139" s="36">
        <v>2.75</v>
      </c>
      <c r="J139" s="42">
        <f t="shared" si="48"/>
        <v>63.67</v>
      </c>
      <c r="K139" s="44">
        <v>0.87</v>
      </c>
      <c r="L139" s="44">
        <v>0.7</v>
      </c>
      <c r="M139" s="44">
        <v>5.89</v>
      </c>
      <c r="N139" s="44">
        <v>3.62</v>
      </c>
      <c r="O139" s="44">
        <v>16.649999999999999</v>
      </c>
      <c r="P139" s="44">
        <v>0</v>
      </c>
      <c r="Q139" s="44">
        <f t="shared" si="42"/>
        <v>13.569999999999999</v>
      </c>
      <c r="R139" s="44">
        <v>324.99</v>
      </c>
      <c r="S139" s="44">
        <v>286</v>
      </c>
      <c r="T139" s="36">
        <f t="shared" si="49"/>
        <v>38.990000000000009</v>
      </c>
      <c r="U139" s="36">
        <f t="shared" si="50"/>
        <v>4.3499999999999943</v>
      </c>
      <c r="V139" s="26">
        <v>42790</v>
      </c>
      <c r="X139" s="31">
        <v>4.5750000000000002</v>
      </c>
      <c r="Y139" s="26">
        <v>42790</v>
      </c>
      <c r="AA139" s="31">
        <v>2.4079999999999999</v>
      </c>
      <c r="AB139" s="31">
        <v>19.995000000000001</v>
      </c>
      <c r="AC139" s="31">
        <f t="shared" si="39"/>
        <v>17.587</v>
      </c>
      <c r="AD139" s="31">
        <v>7.7229999999999999</v>
      </c>
      <c r="AE139" s="31">
        <v>8.6666666666666295E-2</v>
      </c>
      <c r="AF139" s="31">
        <f t="shared" si="51"/>
        <v>5.4016666666666655</v>
      </c>
      <c r="AG139" s="31">
        <f t="shared" si="54"/>
        <v>225.58469608145643</v>
      </c>
      <c r="AH139" s="31">
        <f t="shared" si="43"/>
        <v>30.713974337105054</v>
      </c>
      <c r="AI139" s="31">
        <f t="shared" si="44"/>
        <v>69.286025662894943</v>
      </c>
      <c r="AJ139" s="31">
        <f t="shared" si="45"/>
        <v>43.511624116298023</v>
      </c>
      <c r="AK139" s="31">
        <f t="shared" si="52"/>
        <v>11.975378594037263</v>
      </c>
      <c r="AL139" s="26">
        <v>42790</v>
      </c>
      <c r="AM139" s="26">
        <v>42792</v>
      </c>
      <c r="AN139" s="25"/>
      <c r="AO139" s="51">
        <f t="shared" si="53"/>
        <v>30.713974337105054</v>
      </c>
      <c r="AP139" s="51">
        <f t="shared" si="46"/>
        <v>69.286025662894943</v>
      </c>
      <c r="AQ139" s="51">
        <f t="shared" si="47"/>
        <v>43.511624116298023</v>
      </c>
      <c r="AR139" s="31">
        <f t="shared" si="41"/>
        <v>11.975378594037263</v>
      </c>
      <c r="AT139" s="51"/>
    </row>
    <row r="140" spans="1:46">
      <c r="A140" s="6" t="s">
        <v>143</v>
      </c>
      <c r="B140" s="6" t="s">
        <v>198</v>
      </c>
      <c r="C140" t="s">
        <v>13</v>
      </c>
      <c r="D140" s="8">
        <v>2</v>
      </c>
      <c r="E140">
        <v>20</v>
      </c>
      <c r="F140" t="s">
        <v>381</v>
      </c>
      <c r="G140" t="s">
        <v>780</v>
      </c>
      <c r="H140" s="36">
        <v>87.98</v>
      </c>
      <c r="I140" s="36">
        <v>2.93</v>
      </c>
      <c r="J140" s="42">
        <f t="shared" si="48"/>
        <v>85.05</v>
      </c>
      <c r="K140" s="44">
        <v>0.48</v>
      </c>
      <c r="L140" s="44">
        <v>0</v>
      </c>
      <c r="M140" s="44">
        <v>0</v>
      </c>
      <c r="N140" s="44">
        <v>3.57</v>
      </c>
      <c r="O140" s="44">
        <v>3.64</v>
      </c>
      <c r="P140" s="44">
        <v>0</v>
      </c>
      <c r="Q140" s="44">
        <f t="shared" si="42"/>
        <v>0.50999999999999979</v>
      </c>
      <c r="R140" s="44">
        <v>366.91</v>
      </c>
      <c r="S140" s="44">
        <v>286</v>
      </c>
      <c r="T140" s="36">
        <f t="shared" si="49"/>
        <v>80.910000000000025</v>
      </c>
      <c r="U140" s="36">
        <f t="shared" si="50"/>
        <v>3.1499999999999724</v>
      </c>
      <c r="V140" s="26">
        <v>42790</v>
      </c>
      <c r="X140" s="31">
        <v>4.7960000000000003</v>
      </c>
      <c r="Y140" s="26">
        <v>42790</v>
      </c>
      <c r="AA140" s="31">
        <v>2.3540000000000001</v>
      </c>
      <c r="AB140" s="31">
        <v>38.944000000000003</v>
      </c>
      <c r="AC140" s="31">
        <f t="shared" si="39"/>
        <v>36.590000000000003</v>
      </c>
      <c r="AD140" s="31">
        <v>17.658999999999999</v>
      </c>
      <c r="AE140" s="31">
        <v>8.6666666666666295E-2</v>
      </c>
      <c r="AF140" s="31">
        <f t="shared" si="51"/>
        <v>15.391666666666666</v>
      </c>
      <c r="AG140" s="31">
        <f t="shared" si="54"/>
        <v>137.72604223064434</v>
      </c>
      <c r="AH140" s="31">
        <f t="shared" si="43"/>
        <v>42.065227293431711</v>
      </c>
      <c r="AI140" s="31">
        <f t="shared" si="44"/>
        <v>57.934772706568289</v>
      </c>
      <c r="AJ140" s="31">
        <f t="shared" si="45"/>
        <v>48.995437277944795</v>
      </c>
      <c r="AK140" s="31">
        <f t="shared" si="52"/>
        <v>34.03497540311561</v>
      </c>
      <c r="AL140" s="26">
        <v>42790</v>
      </c>
      <c r="AM140" s="26">
        <v>42792</v>
      </c>
      <c r="AN140" s="25"/>
      <c r="AO140" s="51">
        <f t="shared" si="53"/>
        <v>42.065227293431711</v>
      </c>
      <c r="AP140" s="51">
        <f t="shared" si="46"/>
        <v>57.934772706568289</v>
      </c>
      <c r="AQ140" s="51">
        <f t="shared" si="47"/>
        <v>48.995437277944795</v>
      </c>
      <c r="AR140" s="31">
        <f t="shared" si="41"/>
        <v>34.03497540311561</v>
      </c>
      <c r="AT140" s="51"/>
    </row>
    <row r="141" spans="1:46">
      <c r="A141" s="6" t="s">
        <v>144</v>
      </c>
      <c r="B141" s="6" t="s">
        <v>198</v>
      </c>
      <c r="C141" t="s">
        <v>13</v>
      </c>
      <c r="D141" s="8">
        <v>3</v>
      </c>
      <c r="E141">
        <v>5</v>
      </c>
      <c r="F141" t="s">
        <v>379</v>
      </c>
      <c r="G141" t="s">
        <v>780</v>
      </c>
      <c r="H141" s="36">
        <v>70.42</v>
      </c>
      <c r="I141" s="36">
        <v>2.76</v>
      </c>
      <c r="J141" s="42">
        <f t="shared" si="48"/>
        <v>67.66</v>
      </c>
      <c r="K141" s="44">
        <v>0</v>
      </c>
      <c r="L141" s="44">
        <v>0.82</v>
      </c>
      <c r="M141" s="44">
        <v>0.46</v>
      </c>
      <c r="N141" s="44">
        <v>3.67</v>
      </c>
      <c r="O141" s="44">
        <v>22.13</v>
      </c>
      <c r="P141" s="44">
        <v>0</v>
      </c>
      <c r="Q141" s="44">
        <f t="shared" si="42"/>
        <v>19.099999999999998</v>
      </c>
      <c r="R141" s="44">
        <v>328.51</v>
      </c>
      <c r="S141" s="44">
        <v>286.10000000000002</v>
      </c>
      <c r="T141" s="36">
        <f t="shared" si="49"/>
        <v>42.409999999999968</v>
      </c>
      <c r="U141" s="36">
        <f t="shared" si="50"/>
        <v>5.6900000000000306</v>
      </c>
      <c r="V141" s="26">
        <v>42776</v>
      </c>
      <c r="X141" s="31">
        <v>4.7720000000000002</v>
      </c>
      <c r="Y141" s="26">
        <v>42776</v>
      </c>
      <c r="AA141" s="31">
        <v>2.4340000000000002</v>
      </c>
      <c r="AB141" s="31">
        <v>20.835999999999999</v>
      </c>
      <c r="AC141" s="31">
        <f t="shared" si="39"/>
        <v>18.401999999999997</v>
      </c>
      <c r="AD141" s="31">
        <v>6.8410000000000002</v>
      </c>
      <c r="AE141" s="31">
        <v>7.4333333333333293E-2</v>
      </c>
      <c r="AF141" s="31">
        <f t="shared" si="51"/>
        <v>4.4813333333333336</v>
      </c>
      <c r="AG141" s="31">
        <f t="shared" si="54"/>
        <v>310.63671526331439</v>
      </c>
      <c r="AH141" s="31">
        <f t="shared" si="43"/>
        <v>24.352425461000621</v>
      </c>
      <c r="AI141" s="31">
        <f t="shared" si="44"/>
        <v>75.647574538999379</v>
      </c>
      <c r="AJ141" s="31">
        <f t="shared" si="45"/>
        <v>51.183148933086976</v>
      </c>
      <c r="AK141" s="31">
        <f t="shared" si="52"/>
        <v>10.327863638010356</v>
      </c>
      <c r="AL141" s="26">
        <v>42776</v>
      </c>
      <c r="AM141" s="26">
        <v>42778</v>
      </c>
      <c r="AN141" s="25"/>
      <c r="AO141" s="51">
        <f t="shared" si="53"/>
        <v>24.352425461000621</v>
      </c>
      <c r="AP141" s="51">
        <f t="shared" si="46"/>
        <v>75.647574538999379</v>
      </c>
      <c r="AQ141" s="51">
        <f t="shared" si="47"/>
        <v>51.183148933086976</v>
      </c>
      <c r="AR141" s="31">
        <f t="shared" si="41"/>
        <v>10.327863638010356</v>
      </c>
      <c r="AT141" s="51"/>
    </row>
    <row r="142" spans="1:46">
      <c r="A142" s="6" t="s">
        <v>145</v>
      </c>
      <c r="B142" s="6" t="s">
        <v>198</v>
      </c>
      <c r="C142" t="s">
        <v>13</v>
      </c>
      <c r="D142" s="8">
        <v>4</v>
      </c>
      <c r="E142">
        <v>5</v>
      </c>
      <c r="F142" t="s">
        <v>377</v>
      </c>
      <c r="G142" t="s">
        <v>780</v>
      </c>
      <c r="H142" s="36">
        <v>25.68</v>
      </c>
      <c r="I142" s="36">
        <v>2.66</v>
      </c>
      <c r="J142" s="42">
        <f t="shared" si="48"/>
        <v>23.02</v>
      </c>
      <c r="K142" s="44">
        <v>0</v>
      </c>
      <c r="L142" s="44">
        <v>0</v>
      </c>
      <c r="M142" s="44">
        <v>11.52</v>
      </c>
      <c r="N142" s="44">
        <v>3.4</v>
      </c>
      <c r="O142" s="44">
        <f>10.3-P2</f>
        <v>6.9500000000000011</v>
      </c>
      <c r="P142" s="44">
        <v>0</v>
      </c>
      <c r="Q142" s="44">
        <f t="shared" si="42"/>
        <v>3.6500000000000008</v>
      </c>
      <c r="R142" s="44">
        <v>292.02999999999997</v>
      </c>
      <c r="S142" s="44">
        <v>286</v>
      </c>
      <c r="T142" s="36">
        <f t="shared" si="49"/>
        <v>6.0299999999999727</v>
      </c>
      <c r="U142" s="36">
        <f t="shared" si="50"/>
        <v>1.8200000000000269</v>
      </c>
      <c r="V142" s="26">
        <v>42791</v>
      </c>
      <c r="X142" s="31" t="s">
        <v>469</v>
      </c>
      <c r="Y142" s="8" t="s">
        <v>469</v>
      </c>
      <c r="Z142" s="3" t="s">
        <v>475</v>
      </c>
      <c r="AA142" s="31">
        <v>2.4300000000000002</v>
      </c>
      <c r="AB142" s="31">
        <v>8.3279999999999994</v>
      </c>
      <c r="AC142" s="31">
        <f t="shared" si="39"/>
        <v>5.8979999999999997</v>
      </c>
      <c r="AD142" s="31">
        <v>4.5880000000000001</v>
      </c>
      <c r="AE142" s="31">
        <v>9.2666666666666828E-2</v>
      </c>
      <c r="AF142" s="31">
        <f t="shared" si="51"/>
        <v>2.2506666666666666</v>
      </c>
      <c r="AG142" s="31">
        <f t="shared" si="54"/>
        <v>162.05568720379145</v>
      </c>
      <c r="AH142" s="31">
        <f t="shared" si="43"/>
        <v>38.159828190347014</v>
      </c>
      <c r="AI142" s="31">
        <f t="shared" si="44"/>
        <v>61.840171809652986</v>
      </c>
      <c r="AJ142" s="31">
        <f t="shared" si="45"/>
        <v>14.235607550582117</v>
      </c>
      <c r="AK142" s="31">
        <f t="shared" si="52"/>
        <v>2.3010376398779142</v>
      </c>
      <c r="AL142" s="26">
        <v>42795</v>
      </c>
      <c r="AM142" s="26">
        <v>42797</v>
      </c>
      <c r="AN142" s="25"/>
      <c r="AO142" s="51">
        <f t="shared" si="53"/>
        <v>38.159828190347014</v>
      </c>
      <c r="AP142" s="51">
        <f t="shared" si="46"/>
        <v>61.840171809652986</v>
      </c>
      <c r="AQ142" s="51">
        <f t="shared" si="47"/>
        <v>14.235607550582117</v>
      </c>
      <c r="AR142" s="31">
        <f t="shared" si="41"/>
        <v>2.3010376398779142</v>
      </c>
      <c r="AT142" s="51"/>
    </row>
    <row r="143" spans="1:46">
      <c r="A143" s="6" t="s">
        <v>146</v>
      </c>
      <c r="B143" s="6" t="s">
        <v>198</v>
      </c>
      <c r="C143" t="s">
        <v>13</v>
      </c>
      <c r="D143" s="8">
        <v>4</v>
      </c>
      <c r="E143">
        <v>10</v>
      </c>
      <c r="F143" t="s">
        <v>380</v>
      </c>
      <c r="G143" t="s">
        <v>780</v>
      </c>
      <c r="H143" s="36">
        <v>56.98</v>
      </c>
      <c r="I143" s="36">
        <v>2.7</v>
      </c>
      <c r="J143" s="42">
        <f t="shared" si="48"/>
        <v>54.279999999999994</v>
      </c>
      <c r="K143" s="44">
        <v>2.1800000000000002</v>
      </c>
      <c r="L143" s="44">
        <v>7.0000000000000007E-2</v>
      </c>
      <c r="M143" s="44">
        <v>1.71</v>
      </c>
      <c r="N143" s="44">
        <v>3.5</v>
      </c>
      <c r="O143" s="44">
        <v>5.43</v>
      </c>
      <c r="P143" s="44">
        <v>0</v>
      </c>
      <c r="Q143" s="44">
        <f t="shared" si="42"/>
        <v>2.2299999999999995</v>
      </c>
      <c r="R143" s="44">
        <v>332.79</v>
      </c>
      <c r="S143" s="44">
        <v>286</v>
      </c>
      <c r="T143" s="36">
        <f t="shared" si="49"/>
        <v>46.79000000000002</v>
      </c>
      <c r="U143" s="36">
        <f t="shared" si="50"/>
        <v>1.3699999999999739</v>
      </c>
      <c r="V143" s="26">
        <v>42791</v>
      </c>
      <c r="X143" s="31">
        <v>5.0629999999999997</v>
      </c>
      <c r="Y143" s="26">
        <v>42791</v>
      </c>
      <c r="AA143" s="31">
        <v>2.415</v>
      </c>
      <c r="AB143" s="31">
        <v>20.814</v>
      </c>
      <c r="AC143" s="31">
        <f t="shared" si="39"/>
        <v>18.399000000000001</v>
      </c>
      <c r="AD143" s="31">
        <v>10.853</v>
      </c>
      <c r="AE143" s="31">
        <v>9.2666666666666828E-2</v>
      </c>
      <c r="AF143" s="31">
        <f t="shared" si="51"/>
        <v>8.5306666666666651</v>
      </c>
      <c r="AG143" s="31">
        <f t="shared" si="54"/>
        <v>115.68068146295722</v>
      </c>
      <c r="AH143" s="31">
        <f t="shared" si="43"/>
        <v>46.364838668768222</v>
      </c>
      <c r="AI143" s="31">
        <f t="shared" si="44"/>
        <v>53.635161331231778</v>
      </c>
      <c r="AJ143" s="31">
        <f t="shared" si="45"/>
        <v>27.943919053571751</v>
      </c>
      <c r="AK143" s="31">
        <f t="shared" si="52"/>
        <v>21.694108013116661</v>
      </c>
      <c r="AL143" s="26">
        <v>42795</v>
      </c>
      <c r="AM143" s="26">
        <v>42797</v>
      </c>
      <c r="AN143" s="25"/>
      <c r="AO143" s="51">
        <f t="shared" si="53"/>
        <v>46.364838668768222</v>
      </c>
      <c r="AP143" s="51">
        <f t="shared" si="46"/>
        <v>53.635161331231778</v>
      </c>
      <c r="AQ143" s="51">
        <f t="shared" si="47"/>
        <v>27.943919053571751</v>
      </c>
      <c r="AR143" s="31">
        <f t="shared" si="41"/>
        <v>21.694108013116661</v>
      </c>
      <c r="AT143" s="51"/>
    </row>
    <row r="144" spans="1:46">
      <c r="A144" s="6" t="s">
        <v>147</v>
      </c>
      <c r="B144" s="6" t="s">
        <v>198</v>
      </c>
      <c r="C144" t="s">
        <v>13</v>
      </c>
      <c r="D144" s="8">
        <v>5</v>
      </c>
      <c r="E144">
        <v>5</v>
      </c>
      <c r="F144" s="13" t="s">
        <v>379</v>
      </c>
      <c r="G144" s="13" t="s">
        <v>780</v>
      </c>
      <c r="H144" s="36">
        <v>33.78</v>
      </c>
      <c r="I144" s="36">
        <v>2.66</v>
      </c>
      <c r="J144" s="42">
        <f t="shared" si="48"/>
        <v>31.12</v>
      </c>
      <c r="K144" s="38">
        <v>0</v>
      </c>
      <c r="L144" s="44">
        <v>2.21</v>
      </c>
      <c r="M144" s="38">
        <v>5.4</v>
      </c>
      <c r="N144" s="38">
        <v>3.36</v>
      </c>
      <c r="O144" s="38">
        <v>6.17</v>
      </c>
      <c r="P144" s="38">
        <v>0</v>
      </c>
      <c r="Q144" s="44">
        <f t="shared" si="42"/>
        <v>2.8299999999999996</v>
      </c>
      <c r="R144" s="44">
        <v>305.67</v>
      </c>
      <c r="S144" s="44">
        <v>286.64</v>
      </c>
      <c r="T144" s="36">
        <f t="shared" si="49"/>
        <v>19.03000000000003</v>
      </c>
      <c r="U144" s="36">
        <f t="shared" si="50"/>
        <v>3.859999999999971</v>
      </c>
      <c r="V144" s="26">
        <v>42766</v>
      </c>
      <c r="W144" s="25"/>
      <c r="X144" s="31" t="s">
        <v>469</v>
      </c>
      <c r="Y144" s="8" t="s">
        <v>469</v>
      </c>
      <c r="Z144" s="3" t="s">
        <v>475</v>
      </c>
      <c r="AA144" s="31">
        <v>2.387</v>
      </c>
      <c r="AB144" s="31">
        <v>11.641999999999999</v>
      </c>
      <c r="AC144" s="31">
        <f t="shared" si="39"/>
        <v>9.254999999999999</v>
      </c>
      <c r="AD144" s="31">
        <v>5.5019999999999998</v>
      </c>
      <c r="AE144" s="31">
        <v>7.9833333333333645E-2</v>
      </c>
      <c r="AF144" s="31">
        <f t="shared" si="51"/>
        <v>3.1948333333333334</v>
      </c>
      <c r="AG144" s="31">
        <f t="shared" si="54"/>
        <v>189.68647295111896</v>
      </c>
      <c r="AH144" s="31">
        <f t="shared" si="43"/>
        <v>34.520079236448773</v>
      </c>
      <c r="AI144" s="31">
        <f t="shared" si="44"/>
        <v>65.479920763551235</v>
      </c>
      <c r="AJ144" s="31">
        <f t="shared" si="45"/>
        <v>20.377351341617146</v>
      </c>
      <c r="AK144" s="31">
        <f t="shared" si="52"/>
        <v>6.5691710786962121</v>
      </c>
      <c r="AL144" s="26">
        <v>42768</v>
      </c>
      <c r="AM144" s="26">
        <v>42770</v>
      </c>
      <c r="AN144" s="25"/>
      <c r="AO144" s="51">
        <f t="shared" si="53"/>
        <v>34.520079236448773</v>
      </c>
      <c r="AP144" s="51">
        <f t="shared" si="46"/>
        <v>65.479920763551235</v>
      </c>
      <c r="AQ144" s="51">
        <f t="shared" si="47"/>
        <v>20.377351341617146</v>
      </c>
      <c r="AR144" s="31">
        <f t="shared" si="41"/>
        <v>6.5691710786962121</v>
      </c>
      <c r="AT144" s="51"/>
    </row>
    <row r="145" spans="1:51">
      <c r="A145" s="6" t="s">
        <v>148</v>
      </c>
      <c r="B145" s="6" t="s">
        <v>198</v>
      </c>
      <c r="C145" t="s">
        <v>13</v>
      </c>
      <c r="D145" s="8">
        <v>5</v>
      </c>
      <c r="E145">
        <v>10</v>
      </c>
      <c r="F145" s="14" t="s">
        <v>380</v>
      </c>
      <c r="G145" s="14" t="s">
        <v>780</v>
      </c>
      <c r="H145" s="36">
        <v>35.630000000000003</v>
      </c>
      <c r="I145" s="36">
        <v>2.6</v>
      </c>
      <c r="J145" s="42">
        <f t="shared" si="48"/>
        <v>33.03</v>
      </c>
      <c r="K145" s="38">
        <v>0</v>
      </c>
      <c r="L145" s="38">
        <v>0.73</v>
      </c>
      <c r="M145" s="38">
        <v>7.64</v>
      </c>
      <c r="N145" s="38">
        <v>3.47</v>
      </c>
      <c r="O145" s="38">
        <v>4.8600000000000003</v>
      </c>
      <c r="P145" s="38">
        <v>0</v>
      </c>
      <c r="Q145" s="44">
        <f t="shared" si="42"/>
        <v>1.6300000000000003</v>
      </c>
      <c r="R145" s="44">
        <v>307.75</v>
      </c>
      <c r="S145" s="44">
        <v>286.58999999999997</v>
      </c>
      <c r="T145" s="36">
        <f t="shared" si="49"/>
        <v>21.160000000000025</v>
      </c>
      <c r="U145" s="36">
        <f t="shared" si="50"/>
        <v>2.5999999999999757</v>
      </c>
      <c r="V145" s="26">
        <v>42766</v>
      </c>
      <c r="W145" s="25" t="s">
        <v>515</v>
      </c>
      <c r="X145" s="31">
        <v>4.3550000000000004</v>
      </c>
      <c r="Y145" s="26">
        <v>42767</v>
      </c>
      <c r="Z145" s="3" t="s">
        <v>476</v>
      </c>
      <c r="AA145" s="31">
        <v>2.4129999999999998</v>
      </c>
      <c r="AB145" s="31">
        <v>9.9849999999999994</v>
      </c>
      <c r="AC145" s="31">
        <f t="shared" si="39"/>
        <v>7.5719999999999992</v>
      </c>
      <c r="AD145" s="31">
        <v>5.1349999999999998</v>
      </c>
      <c r="AE145" s="31">
        <v>7.9833333333333645E-2</v>
      </c>
      <c r="AF145" s="31">
        <f t="shared" si="51"/>
        <v>2.8018333333333336</v>
      </c>
      <c r="AG145" s="31">
        <f t="shared" si="54"/>
        <v>170.25162096246498</v>
      </c>
      <c r="AH145" s="31">
        <f t="shared" si="43"/>
        <v>37.002553266420151</v>
      </c>
      <c r="AI145" s="31">
        <f t="shared" si="44"/>
        <v>62.997446733579849</v>
      </c>
      <c r="AJ145" s="31">
        <f t="shared" si="45"/>
        <v>20.808056656101428</v>
      </c>
      <c r="AK145" s="31">
        <f t="shared" si="52"/>
        <v>7.8297402711745132</v>
      </c>
      <c r="AL145" s="26">
        <v>42768</v>
      </c>
      <c r="AM145" s="26">
        <v>42770</v>
      </c>
      <c r="AN145" s="25"/>
      <c r="AO145" s="51">
        <f t="shared" si="53"/>
        <v>37.002553266420151</v>
      </c>
      <c r="AP145" s="51">
        <f t="shared" si="46"/>
        <v>62.997446733579849</v>
      </c>
      <c r="AQ145" s="51">
        <f t="shared" si="47"/>
        <v>20.808056656101428</v>
      </c>
      <c r="AR145" s="31">
        <f t="shared" si="41"/>
        <v>7.8297402711745132</v>
      </c>
      <c r="AT145" s="51"/>
    </row>
    <row r="146" spans="1:51">
      <c r="A146" s="6" t="s">
        <v>149</v>
      </c>
      <c r="B146" s="6" t="s">
        <v>198</v>
      </c>
      <c r="C146" t="s">
        <v>13</v>
      </c>
      <c r="D146" s="8">
        <v>5</v>
      </c>
      <c r="E146">
        <v>20</v>
      </c>
      <c r="F146" t="s">
        <v>381</v>
      </c>
      <c r="G146" t="s">
        <v>780</v>
      </c>
      <c r="H146" s="36">
        <v>50.9</v>
      </c>
      <c r="I146" s="36">
        <v>2.63</v>
      </c>
      <c r="J146" s="42">
        <f t="shared" si="48"/>
        <v>48.269999999999996</v>
      </c>
      <c r="K146" s="38">
        <v>0</v>
      </c>
      <c r="L146" s="44">
        <v>3.63</v>
      </c>
      <c r="M146" s="38">
        <v>9.25</v>
      </c>
      <c r="N146" s="44">
        <v>3.42</v>
      </c>
      <c r="O146" s="44">
        <v>7.64</v>
      </c>
      <c r="P146" s="44">
        <v>0</v>
      </c>
      <c r="Q146" s="44">
        <f t="shared" si="42"/>
        <v>4.3599999999999994</v>
      </c>
      <c r="R146" s="44">
        <v>314.99</v>
      </c>
      <c r="S146" s="44">
        <v>286.45</v>
      </c>
      <c r="T146" s="36">
        <f t="shared" si="49"/>
        <v>28.54000000000002</v>
      </c>
      <c r="U146" s="36">
        <f t="shared" si="50"/>
        <v>6.1199999999999761</v>
      </c>
      <c r="V146" s="26">
        <v>42766</v>
      </c>
      <c r="W146" s="25"/>
      <c r="X146" s="31">
        <v>5.0720000000000001</v>
      </c>
      <c r="Y146" s="26">
        <v>42767</v>
      </c>
      <c r="AA146" s="31">
        <v>2.383</v>
      </c>
      <c r="AB146" s="31">
        <v>11.257</v>
      </c>
      <c r="AC146" s="31">
        <f t="shared" si="39"/>
        <v>8.8739999999999988</v>
      </c>
      <c r="AD146" s="31">
        <v>5.0609999999999999</v>
      </c>
      <c r="AE146" s="31">
        <v>7.9833333333333645E-2</v>
      </c>
      <c r="AF146" s="31">
        <f t="shared" si="51"/>
        <v>2.7578333333333336</v>
      </c>
      <c r="AG146" s="31">
        <f t="shared" si="54"/>
        <v>221.77433975947292</v>
      </c>
      <c r="AH146" s="31">
        <f t="shared" si="43"/>
        <v>31.077680114191274</v>
      </c>
      <c r="AI146" s="31">
        <f t="shared" si="44"/>
        <v>68.922319885808719</v>
      </c>
      <c r="AJ146" s="31">
        <f t="shared" si="45"/>
        <v>33.268803808879866</v>
      </c>
      <c r="AK146" s="31">
        <f t="shared" si="52"/>
        <v>8.8695699045901968</v>
      </c>
      <c r="AL146" s="26">
        <v>42768</v>
      </c>
      <c r="AM146" s="26">
        <v>42770</v>
      </c>
      <c r="AN146" s="25"/>
      <c r="AO146" s="51">
        <f t="shared" si="53"/>
        <v>31.077680114191274</v>
      </c>
      <c r="AP146" s="51">
        <f t="shared" si="46"/>
        <v>68.922319885808719</v>
      </c>
      <c r="AQ146" s="51">
        <f t="shared" si="47"/>
        <v>33.268803808879866</v>
      </c>
      <c r="AR146" s="31">
        <f t="shared" si="41"/>
        <v>8.8695699045901968</v>
      </c>
      <c r="AT146" s="51"/>
    </row>
    <row r="147" spans="1:51">
      <c r="A147" s="6" t="s">
        <v>150</v>
      </c>
      <c r="B147" s="6" t="s">
        <v>198</v>
      </c>
      <c r="C147" t="s">
        <v>13</v>
      </c>
      <c r="D147" s="8">
        <v>5</v>
      </c>
      <c r="E147">
        <v>30</v>
      </c>
      <c r="F147" t="s">
        <v>382</v>
      </c>
      <c r="G147" t="s">
        <v>780</v>
      </c>
      <c r="H147" s="36">
        <v>93.95</v>
      </c>
      <c r="I147" s="36">
        <v>2.76</v>
      </c>
      <c r="J147" s="42">
        <f t="shared" si="48"/>
        <v>91.19</v>
      </c>
      <c r="K147" s="38">
        <v>30.51</v>
      </c>
      <c r="L147" s="38">
        <v>0.09</v>
      </c>
      <c r="M147" s="38">
        <v>1.21</v>
      </c>
      <c r="N147" s="44">
        <v>0</v>
      </c>
      <c r="O147" s="44">
        <v>3.68</v>
      </c>
      <c r="P147" s="44">
        <v>0</v>
      </c>
      <c r="Q147" s="44">
        <f t="shared" si="42"/>
        <v>0.33000000000000007</v>
      </c>
      <c r="R147" s="44">
        <v>342.99</v>
      </c>
      <c r="S147" s="44">
        <v>286.29000000000002</v>
      </c>
      <c r="T147" s="36">
        <f t="shared" si="49"/>
        <v>56.699999999999989</v>
      </c>
      <c r="U147" s="36">
        <f t="shared" si="50"/>
        <v>2.4400000000000084</v>
      </c>
      <c r="V147" s="26">
        <v>42766</v>
      </c>
      <c r="W147" s="25"/>
      <c r="X147" s="31">
        <v>4.6189999999999998</v>
      </c>
      <c r="Y147" s="26">
        <v>42767</v>
      </c>
      <c r="AA147" s="31">
        <v>2.4119999999999999</v>
      </c>
      <c r="AB147" s="31">
        <v>30.045000000000002</v>
      </c>
      <c r="AC147" s="31">
        <f t="shared" si="39"/>
        <v>27.633000000000003</v>
      </c>
      <c r="AD147" s="31">
        <v>13.611000000000001</v>
      </c>
      <c r="AE147" s="31">
        <v>7.9833333333333645E-2</v>
      </c>
      <c r="AF147" s="31">
        <f t="shared" si="51"/>
        <v>11.278833333333335</v>
      </c>
      <c r="AG147" s="31">
        <f t="shared" si="54"/>
        <v>144.99874395992492</v>
      </c>
      <c r="AH147" s="31">
        <f t="shared" si="43"/>
        <v>40.816535784508865</v>
      </c>
      <c r="AI147" s="31">
        <f t="shared" si="44"/>
        <v>59.183464215491135</v>
      </c>
      <c r="AJ147" s="31">
        <f t="shared" si="45"/>
        <v>35.912526085960017</v>
      </c>
      <c r="AK147" s="31">
        <f t="shared" si="52"/>
        <v>23.142975789816521</v>
      </c>
      <c r="AL147" s="26">
        <v>42768</v>
      </c>
      <c r="AM147" s="26">
        <v>42770</v>
      </c>
      <c r="AN147" s="25"/>
      <c r="AO147" s="51">
        <f t="shared" si="53"/>
        <v>40.816535784508865</v>
      </c>
      <c r="AP147" s="51">
        <f t="shared" si="46"/>
        <v>59.183464215491135</v>
      </c>
      <c r="AQ147" s="51">
        <f t="shared" si="47"/>
        <v>35.912526085960017</v>
      </c>
      <c r="AR147" s="31">
        <f t="shared" si="41"/>
        <v>23.142975789816521</v>
      </c>
      <c r="AT147" s="51"/>
    </row>
    <row r="148" spans="1:51">
      <c r="A148" s="6" t="s">
        <v>151</v>
      </c>
      <c r="B148" s="6" t="s">
        <v>198</v>
      </c>
      <c r="C148" t="s">
        <v>13</v>
      </c>
      <c r="D148" s="8">
        <v>6</v>
      </c>
      <c r="E148">
        <v>5</v>
      </c>
      <c r="F148" s="13" t="s">
        <v>379</v>
      </c>
      <c r="G148" s="13" t="s">
        <v>780</v>
      </c>
      <c r="H148" s="36">
        <v>30.23</v>
      </c>
      <c r="I148" s="38">
        <v>2.6</v>
      </c>
      <c r="J148" s="42">
        <f t="shared" si="48"/>
        <v>27.63</v>
      </c>
      <c r="K148" s="38">
        <v>0</v>
      </c>
      <c r="L148" s="44">
        <v>1.91</v>
      </c>
      <c r="M148" s="44">
        <v>0.24</v>
      </c>
      <c r="N148" s="44">
        <v>3.44</v>
      </c>
      <c r="O148" s="44">
        <v>4.12</v>
      </c>
      <c r="P148" s="44">
        <v>0</v>
      </c>
      <c r="Q148" s="44">
        <f t="shared" si="42"/>
        <v>0.85999999999999988</v>
      </c>
      <c r="R148" s="44">
        <v>309.36</v>
      </c>
      <c r="S148" s="44">
        <v>286.37</v>
      </c>
      <c r="T148" s="36">
        <f t="shared" si="49"/>
        <v>22.990000000000009</v>
      </c>
      <c r="U148" s="36">
        <f t="shared" si="50"/>
        <v>3.5399999999999903</v>
      </c>
      <c r="V148" s="26">
        <v>42753</v>
      </c>
      <c r="W148" s="25"/>
      <c r="X148" s="31">
        <v>5.1139999999999999</v>
      </c>
      <c r="Y148" s="26">
        <v>42753</v>
      </c>
      <c r="AA148" s="31">
        <v>2.3860000000000001</v>
      </c>
      <c r="AB148" s="31">
        <v>10.717000000000001</v>
      </c>
      <c r="AC148" s="31">
        <f t="shared" si="39"/>
        <v>8.3309999999999995</v>
      </c>
      <c r="AD148" s="31">
        <v>5.6340000000000003</v>
      </c>
      <c r="AE148" s="31">
        <v>4.2666666666666853E-2</v>
      </c>
      <c r="AF148" s="31">
        <f t="shared" si="51"/>
        <v>3.2906666666666671</v>
      </c>
      <c r="AG148" s="31">
        <f t="shared" si="54"/>
        <v>153.17058346839542</v>
      </c>
      <c r="AH148" s="31">
        <f t="shared" si="43"/>
        <v>39.499059736726288</v>
      </c>
      <c r="AI148" s="31">
        <f t="shared" si="44"/>
        <v>60.500940263273712</v>
      </c>
      <c r="AJ148" s="31">
        <f t="shared" si="45"/>
        <v>16.716409794742525</v>
      </c>
      <c r="AK148" s="31">
        <f t="shared" si="52"/>
        <v>9.0808338334733776</v>
      </c>
      <c r="AL148" s="26">
        <v>42755</v>
      </c>
      <c r="AM148" s="26">
        <v>42758</v>
      </c>
      <c r="AN148" s="25"/>
      <c r="AO148" s="51">
        <f t="shared" si="53"/>
        <v>39.499059736726288</v>
      </c>
      <c r="AP148" s="51">
        <f t="shared" si="46"/>
        <v>60.500940263273712</v>
      </c>
      <c r="AQ148" s="51">
        <f t="shared" si="47"/>
        <v>16.716409794742525</v>
      </c>
      <c r="AR148" s="31">
        <f t="shared" si="41"/>
        <v>9.0808338334733776</v>
      </c>
      <c r="AT148" s="51"/>
    </row>
    <row r="149" spans="1:51">
      <c r="A149" s="6" t="s">
        <v>152</v>
      </c>
      <c r="B149" s="6" t="s">
        <v>198</v>
      </c>
      <c r="C149" t="s">
        <v>13</v>
      </c>
      <c r="D149" s="8">
        <v>6</v>
      </c>
      <c r="E149">
        <v>10</v>
      </c>
      <c r="F149" s="14" t="s">
        <v>380</v>
      </c>
      <c r="G149" s="14" t="s">
        <v>780</v>
      </c>
      <c r="H149" s="36">
        <v>43.16</v>
      </c>
      <c r="I149" s="38">
        <v>2.6</v>
      </c>
      <c r="J149" s="42">
        <f t="shared" si="48"/>
        <v>40.559999999999995</v>
      </c>
      <c r="K149" s="38">
        <v>0</v>
      </c>
      <c r="L149" s="44">
        <v>0</v>
      </c>
      <c r="M149" s="44">
        <v>1.64</v>
      </c>
      <c r="N149" s="44">
        <v>3.38</v>
      </c>
      <c r="O149" s="44">
        <v>3.75</v>
      </c>
      <c r="P149" s="44">
        <v>0</v>
      </c>
      <c r="Q149" s="44">
        <f t="shared" si="42"/>
        <v>0.42999999999999972</v>
      </c>
      <c r="R149" s="44">
        <v>321.97000000000003</v>
      </c>
      <c r="S149" s="44">
        <v>286.37</v>
      </c>
      <c r="T149" s="36">
        <f t="shared" si="49"/>
        <v>35.600000000000023</v>
      </c>
      <c r="U149" s="36">
        <f t="shared" si="50"/>
        <v>2.889999999999973</v>
      </c>
      <c r="V149" s="26">
        <v>42753</v>
      </c>
      <c r="W149" s="25"/>
      <c r="X149" s="31">
        <v>5.0339999999999998</v>
      </c>
      <c r="Y149" s="26">
        <v>42753</v>
      </c>
      <c r="AA149" s="31">
        <v>2.4140000000000001</v>
      </c>
      <c r="AB149" s="31">
        <v>16.314</v>
      </c>
      <c r="AC149" s="31">
        <f t="shared" ref="AC149:AC180" si="55">AB149-AA149</f>
        <v>13.9</v>
      </c>
      <c r="AD149" s="31">
        <v>7.1210000000000004</v>
      </c>
      <c r="AE149" s="31">
        <v>4.2666666666666853E-2</v>
      </c>
      <c r="AF149" s="31">
        <f t="shared" si="51"/>
        <v>4.749666666666668</v>
      </c>
      <c r="AG149" s="31">
        <f t="shared" si="54"/>
        <v>192.65211593796047</v>
      </c>
      <c r="AH149" s="31">
        <f t="shared" si="43"/>
        <v>34.170263788968839</v>
      </c>
      <c r="AI149" s="31">
        <f t="shared" si="44"/>
        <v>65.829736211031161</v>
      </c>
      <c r="AJ149" s="31">
        <f t="shared" si="45"/>
        <v>26.700541007194236</v>
      </c>
      <c r="AK149" s="31">
        <f t="shared" si="52"/>
        <v>12.164613908872916</v>
      </c>
      <c r="AL149" s="26">
        <v>42755</v>
      </c>
      <c r="AM149" s="26">
        <v>42758</v>
      </c>
      <c r="AN149" s="25"/>
      <c r="AO149" s="51">
        <f t="shared" si="53"/>
        <v>34.170263788968839</v>
      </c>
      <c r="AP149" s="51">
        <f t="shared" si="46"/>
        <v>65.829736211031161</v>
      </c>
      <c r="AQ149" s="51">
        <f t="shared" si="47"/>
        <v>26.700541007194236</v>
      </c>
      <c r="AR149" s="31">
        <f t="shared" si="41"/>
        <v>12.164613908872916</v>
      </c>
      <c r="AT149" s="51"/>
    </row>
    <row r="150" spans="1:51" s="4" customFormat="1">
      <c r="A150" s="7" t="s">
        <v>153</v>
      </c>
      <c r="B150" s="7" t="s">
        <v>198</v>
      </c>
      <c r="C150" s="4" t="s">
        <v>13</v>
      </c>
      <c r="D150" s="4">
        <v>6</v>
      </c>
      <c r="E150" s="4">
        <v>20</v>
      </c>
      <c r="F150" s="4" t="s">
        <v>381</v>
      </c>
      <c r="G150" s="4" t="s">
        <v>780</v>
      </c>
      <c r="H150" s="37">
        <v>49.44</v>
      </c>
      <c r="I150" s="37">
        <v>2.58</v>
      </c>
      <c r="J150" s="43">
        <f t="shared" si="48"/>
        <v>46.86</v>
      </c>
      <c r="K150" s="37">
        <v>0</v>
      </c>
      <c r="L150" s="37">
        <v>0</v>
      </c>
      <c r="M150" s="37">
        <v>1.1000000000000001</v>
      </c>
      <c r="N150" s="37">
        <v>3.37</v>
      </c>
      <c r="O150" s="37">
        <v>3.7</v>
      </c>
      <c r="P150" s="37">
        <v>0</v>
      </c>
      <c r="Q150" s="37">
        <f t="shared" si="42"/>
        <v>0.37000000000000011</v>
      </c>
      <c r="R150" s="37">
        <v>328.5</v>
      </c>
      <c r="S150" s="37">
        <v>286.37</v>
      </c>
      <c r="T150" s="37">
        <f t="shared" si="49"/>
        <v>42.129999999999995</v>
      </c>
      <c r="U150" s="36">
        <f t="shared" si="50"/>
        <v>3.2600000000000038</v>
      </c>
      <c r="V150" s="48">
        <v>42753</v>
      </c>
      <c r="W150" s="25"/>
      <c r="X150" s="32">
        <v>4.9359999999999999</v>
      </c>
      <c r="Y150" s="26">
        <v>42753</v>
      </c>
      <c r="Z150" s="5"/>
      <c r="AA150" s="32">
        <v>2.4319999999999999</v>
      </c>
      <c r="AB150" s="32">
        <v>19.28</v>
      </c>
      <c r="AC150" s="32">
        <f t="shared" si="55"/>
        <v>16.848000000000003</v>
      </c>
      <c r="AD150" s="32">
        <v>7.5880000000000001</v>
      </c>
      <c r="AE150" s="32">
        <v>4.2666666666666853E-2</v>
      </c>
      <c r="AF150" s="31">
        <f t="shared" si="51"/>
        <v>5.1986666666666679</v>
      </c>
      <c r="AG150" s="31">
        <f t="shared" si="54"/>
        <v>224.08309823031541</v>
      </c>
      <c r="AH150" s="31">
        <f t="shared" si="43"/>
        <v>30.856283634061416</v>
      </c>
      <c r="AI150" s="31">
        <f t="shared" si="44"/>
        <v>69.143716365938587</v>
      </c>
      <c r="AJ150" s="31">
        <f t="shared" si="45"/>
        <v>32.400745489078822</v>
      </c>
      <c r="AK150" s="31">
        <f t="shared" si="52"/>
        <v>12.999752295030072</v>
      </c>
      <c r="AL150" s="26">
        <v>42755</v>
      </c>
      <c r="AM150" s="26">
        <v>42758</v>
      </c>
      <c r="AN150" s="25"/>
      <c r="AO150" s="51">
        <f t="shared" si="53"/>
        <v>30.856283634061416</v>
      </c>
      <c r="AP150" s="51">
        <f t="shared" si="46"/>
        <v>69.143716365938587</v>
      </c>
      <c r="AQ150" s="51">
        <f t="shared" si="47"/>
        <v>32.400745489078822</v>
      </c>
      <c r="AR150" s="31">
        <f t="shared" si="41"/>
        <v>12.999752295030072</v>
      </c>
      <c r="AS150" s="8"/>
      <c r="AT150" s="51"/>
      <c r="AU150" s="8"/>
      <c r="AV150" s="8"/>
      <c r="AW150" s="8"/>
      <c r="AX150" s="8"/>
      <c r="AY150" s="8"/>
    </row>
    <row r="151" spans="1:51">
      <c r="A151" s="6" t="s">
        <v>154</v>
      </c>
      <c r="B151" s="6" t="s">
        <v>548</v>
      </c>
      <c r="C151" t="s">
        <v>12</v>
      </c>
      <c r="D151" s="8">
        <v>1</v>
      </c>
      <c r="E151">
        <v>5</v>
      </c>
      <c r="G151" s="6" t="s">
        <v>395</v>
      </c>
      <c r="H151" s="36">
        <v>51.73</v>
      </c>
      <c r="I151" s="36">
        <v>4.88</v>
      </c>
      <c r="J151" s="42">
        <f t="shared" si="48"/>
        <v>46.849999999999994</v>
      </c>
      <c r="K151" s="44">
        <v>0.68</v>
      </c>
      <c r="L151" s="44">
        <v>0</v>
      </c>
      <c r="M151" s="44">
        <v>10.51</v>
      </c>
      <c r="N151" s="44">
        <v>3.35</v>
      </c>
      <c r="O151" s="44">
        <v>21.76</v>
      </c>
      <c r="P151" s="44">
        <v>0</v>
      </c>
      <c r="Q151" s="44">
        <f t="shared" si="42"/>
        <v>18.41</v>
      </c>
      <c r="R151" s="44">
        <v>300.22000000000003</v>
      </c>
      <c r="S151" s="44">
        <v>286</v>
      </c>
      <c r="T151" s="36">
        <f t="shared" si="49"/>
        <v>14.220000000000027</v>
      </c>
      <c r="U151" s="36">
        <f t="shared" si="50"/>
        <v>3.0299999999999669</v>
      </c>
      <c r="V151" s="26">
        <v>42791</v>
      </c>
      <c r="X151" s="31" t="s">
        <v>469</v>
      </c>
      <c r="Y151" s="26" t="s">
        <v>469</v>
      </c>
      <c r="AA151" s="31">
        <v>2.427</v>
      </c>
      <c r="AB151" s="31">
        <v>16.427</v>
      </c>
      <c r="AC151" s="31">
        <f t="shared" si="55"/>
        <v>14</v>
      </c>
      <c r="AD151" s="31">
        <v>8.3149999999999995</v>
      </c>
      <c r="AE151" s="31">
        <v>9.2666666666666828E-2</v>
      </c>
      <c r="AF151" s="31">
        <f t="shared" si="51"/>
        <v>5.980666666666667</v>
      </c>
      <c r="AG151" s="31">
        <f t="shared" si="54"/>
        <v>134.08761565042911</v>
      </c>
      <c r="AH151" s="31">
        <f t="shared" si="43"/>
        <v>42.719047619047622</v>
      </c>
      <c r="AI151" s="31">
        <f t="shared" si="44"/>
        <v>57.280952380952378</v>
      </c>
      <c r="AJ151" s="31">
        <f t="shared" si="45"/>
        <v>26.446615714285709</v>
      </c>
      <c r="AK151" s="31">
        <f t="shared" si="52"/>
        <v>6.0746485714285834</v>
      </c>
      <c r="AL151" s="26">
        <v>42795</v>
      </c>
      <c r="AM151" s="26">
        <v>42797</v>
      </c>
      <c r="AN151" s="25"/>
      <c r="AO151" s="51">
        <f t="shared" si="53"/>
        <v>42.719047619047622</v>
      </c>
      <c r="AP151" s="51">
        <f t="shared" si="46"/>
        <v>57.280952380952378</v>
      </c>
      <c r="AQ151" s="51">
        <f t="shared" si="47"/>
        <v>26.446615714285709</v>
      </c>
      <c r="AR151" s="31">
        <f t="shared" si="41"/>
        <v>6.0746485714285834</v>
      </c>
      <c r="AT151" s="51"/>
    </row>
    <row r="152" spans="1:51">
      <c r="A152" s="6" t="s">
        <v>155</v>
      </c>
      <c r="B152" s="6" t="s">
        <v>548</v>
      </c>
      <c r="C152" t="s">
        <v>12</v>
      </c>
      <c r="D152" s="8">
        <v>1</v>
      </c>
      <c r="E152">
        <v>10</v>
      </c>
      <c r="G152" t="s">
        <v>395</v>
      </c>
      <c r="H152" s="36">
        <v>86.75</v>
      </c>
      <c r="I152" s="36">
        <v>4.6500000000000004</v>
      </c>
      <c r="J152" s="42">
        <f t="shared" si="48"/>
        <v>82.1</v>
      </c>
      <c r="K152" s="44">
        <v>3.89</v>
      </c>
      <c r="L152" s="44">
        <v>0</v>
      </c>
      <c r="M152" s="44">
        <v>7.31</v>
      </c>
      <c r="N152" s="44">
        <v>0</v>
      </c>
      <c r="O152" s="44">
        <v>8.19</v>
      </c>
      <c r="P152" s="44">
        <v>0</v>
      </c>
      <c r="Q152" s="44">
        <f t="shared" si="42"/>
        <v>4.84</v>
      </c>
      <c r="R152" s="44">
        <v>348.72</v>
      </c>
      <c r="S152" s="44">
        <v>286</v>
      </c>
      <c r="T152" s="36">
        <f t="shared" si="49"/>
        <v>62.720000000000027</v>
      </c>
      <c r="U152" s="36">
        <f t="shared" si="50"/>
        <v>3.3399999999999674</v>
      </c>
      <c r="V152" s="26">
        <v>42791</v>
      </c>
      <c r="X152" s="31">
        <v>6.8719999999999999</v>
      </c>
      <c r="Y152" s="26">
        <v>42791</v>
      </c>
      <c r="AA152" s="31">
        <v>2.4159999999999999</v>
      </c>
      <c r="AB152" s="31">
        <v>30.007000000000001</v>
      </c>
      <c r="AC152" s="31">
        <f t="shared" si="55"/>
        <v>27.591000000000001</v>
      </c>
      <c r="AD152" s="31">
        <v>16.141999999999999</v>
      </c>
      <c r="AE152" s="31">
        <v>9.2666666666666828E-2</v>
      </c>
      <c r="AF152" s="31">
        <f t="shared" si="51"/>
        <v>13.818666666666665</v>
      </c>
      <c r="AG152" s="31">
        <f t="shared" si="54"/>
        <v>99.664704747201881</v>
      </c>
      <c r="AH152" s="31">
        <f t="shared" si="43"/>
        <v>50.083964577821263</v>
      </c>
      <c r="AI152" s="31">
        <f t="shared" si="44"/>
        <v>49.916035422178737</v>
      </c>
      <c r="AJ152" s="31">
        <f t="shared" si="45"/>
        <v>39.039331303685984</v>
      </c>
      <c r="AK152" s="31">
        <f t="shared" si="52"/>
        <v>31.412662583209507</v>
      </c>
      <c r="AL152" s="26">
        <v>42795</v>
      </c>
      <c r="AM152" s="26">
        <v>42797</v>
      </c>
      <c r="AN152" s="25"/>
      <c r="AO152" s="51">
        <f t="shared" si="53"/>
        <v>50.083964577821263</v>
      </c>
      <c r="AP152" s="51">
        <f t="shared" si="46"/>
        <v>49.916035422178737</v>
      </c>
      <c r="AQ152" s="51">
        <f t="shared" si="47"/>
        <v>39.039331303685984</v>
      </c>
      <c r="AR152" s="31">
        <f t="shared" si="41"/>
        <v>31.412662583209507</v>
      </c>
      <c r="AT152" s="51"/>
    </row>
    <row r="153" spans="1:51">
      <c r="A153" s="6" t="s">
        <v>156</v>
      </c>
      <c r="B153" s="6" t="s">
        <v>548</v>
      </c>
      <c r="C153" t="s">
        <v>12</v>
      </c>
      <c r="D153" s="8">
        <v>1</v>
      </c>
      <c r="E153">
        <v>20</v>
      </c>
      <c r="G153" t="s">
        <v>395</v>
      </c>
      <c r="H153" s="36">
        <v>104.34</v>
      </c>
      <c r="I153" s="36">
        <v>4.63</v>
      </c>
      <c r="J153" s="42">
        <f t="shared" si="48"/>
        <v>99.710000000000008</v>
      </c>
      <c r="K153" s="44">
        <v>3.22</v>
      </c>
      <c r="L153" s="44">
        <v>0</v>
      </c>
      <c r="M153" s="44">
        <v>14.98</v>
      </c>
      <c r="N153" s="44">
        <v>3.35</v>
      </c>
      <c r="O153" s="44">
        <f>13.32-P2</f>
        <v>9.9700000000000006</v>
      </c>
      <c r="P153" s="44">
        <v>0</v>
      </c>
      <c r="Q153" s="44">
        <f t="shared" si="42"/>
        <v>6.620000000000001</v>
      </c>
      <c r="R153" s="44">
        <v>356.92</v>
      </c>
      <c r="S153" s="44">
        <v>286</v>
      </c>
      <c r="T153" s="36">
        <f t="shared" si="49"/>
        <v>70.920000000000016</v>
      </c>
      <c r="U153" s="36">
        <f t="shared" si="50"/>
        <v>3.9699999999999904</v>
      </c>
      <c r="V153" s="26">
        <v>42791</v>
      </c>
      <c r="X153" s="31">
        <v>5.6619999999999999</v>
      </c>
      <c r="Y153" s="26">
        <v>42791</v>
      </c>
      <c r="AA153" s="31">
        <v>2.4089999999999998</v>
      </c>
      <c r="AB153" s="31">
        <v>34.493000000000002</v>
      </c>
      <c r="AC153" s="31">
        <f t="shared" si="55"/>
        <v>32.084000000000003</v>
      </c>
      <c r="AD153" s="31">
        <v>19.86</v>
      </c>
      <c r="AE153" s="31">
        <v>9.2666666666666828E-2</v>
      </c>
      <c r="AF153" s="31">
        <f t="shared" si="51"/>
        <v>17.543666666666667</v>
      </c>
      <c r="AG153" s="31">
        <f t="shared" si="54"/>
        <v>82.880811688928603</v>
      </c>
      <c r="AH153" s="31">
        <f t="shared" si="43"/>
        <v>54.680422224992718</v>
      </c>
      <c r="AI153" s="31">
        <f t="shared" si="44"/>
        <v>45.319577775007282</v>
      </c>
      <c r="AJ153" s="31">
        <f t="shared" si="45"/>
        <v>43.728860595104528</v>
      </c>
      <c r="AK153" s="31">
        <f t="shared" si="52"/>
        <v>38.779355441964846</v>
      </c>
      <c r="AL153" s="26">
        <v>42795</v>
      </c>
      <c r="AM153" s="26">
        <v>42797</v>
      </c>
      <c r="AN153" s="25"/>
      <c r="AO153" s="51">
        <f t="shared" si="53"/>
        <v>54.680422224992718</v>
      </c>
      <c r="AP153" s="51">
        <f t="shared" si="46"/>
        <v>45.319577775007282</v>
      </c>
      <c r="AQ153" s="51">
        <f t="shared" si="47"/>
        <v>43.728860595104528</v>
      </c>
      <c r="AR153" s="31">
        <f t="shared" si="41"/>
        <v>38.779355441964846</v>
      </c>
      <c r="AT153" s="51"/>
    </row>
    <row r="154" spans="1:51">
      <c r="A154" s="6" t="s">
        <v>157</v>
      </c>
      <c r="B154" s="6" t="s">
        <v>548</v>
      </c>
      <c r="C154" t="s">
        <v>12</v>
      </c>
      <c r="D154" s="8">
        <v>1</v>
      </c>
      <c r="E154">
        <v>30</v>
      </c>
      <c r="G154" t="s">
        <v>395</v>
      </c>
      <c r="H154" s="36">
        <v>101.43</v>
      </c>
      <c r="I154" s="36">
        <v>4.72</v>
      </c>
      <c r="J154" s="42">
        <f t="shared" si="48"/>
        <v>96.710000000000008</v>
      </c>
      <c r="K154" s="44">
        <v>3.87</v>
      </c>
      <c r="L154" s="44">
        <v>0</v>
      </c>
      <c r="M154" s="44">
        <v>16.809999999999999</v>
      </c>
      <c r="N154" s="44">
        <v>3.35</v>
      </c>
      <c r="O154" s="44">
        <v>3.5</v>
      </c>
      <c r="P154" s="44">
        <v>0</v>
      </c>
      <c r="Q154" s="44">
        <f t="shared" si="42"/>
        <v>0.14999999999999991</v>
      </c>
      <c r="R154" s="44">
        <v>358.36</v>
      </c>
      <c r="S154" s="44">
        <v>286</v>
      </c>
      <c r="T154" s="36">
        <f t="shared" si="49"/>
        <v>72.360000000000014</v>
      </c>
      <c r="U154" s="36">
        <f t="shared" si="50"/>
        <v>3.5199999999999969</v>
      </c>
      <c r="V154" s="26">
        <v>42791</v>
      </c>
      <c r="X154" s="31">
        <v>5.101</v>
      </c>
      <c r="Y154" s="26">
        <v>42791</v>
      </c>
      <c r="AA154" s="31">
        <v>2.4420000000000002</v>
      </c>
      <c r="AB154" s="31">
        <v>40.069000000000003</v>
      </c>
      <c r="AC154" s="31">
        <f t="shared" si="55"/>
        <v>37.627000000000002</v>
      </c>
      <c r="AD154" s="31">
        <v>26.062000000000001</v>
      </c>
      <c r="AE154" s="31">
        <v>9.2666666666666828E-2</v>
      </c>
      <c r="AF154" s="31">
        <f t="shared" si="51"/>
        <v>23.712666666666667</v>
      </c>
      <c r="AG154" s="31">
        <f t="shared" si="54"/>
        <v>58.678905788748644</v>
      </c>
      <c r="AH154" s="31">
        <f t="shared" si="43"/>
        <v>63.020348862961875</v>
      </c>
      <c r="AI154" s="31">
        <f t="shared" si="44"/>
        <v>36.979651137038125</v>
      </c>
      <c r="AJ154" s="31">
        <f t="shared" si="45"/>
        <v>34.331908115626199</v>
      </c>
      <c r="AK154" s="31">
        <f t="shared" si="52"/>
        <v>45.60152443723922</v>
      </c>
      <c r="AL154" s="26">
        <v>42795</v>
      </c>
      <c r="AM154" s="26">
        <v>42797</v>
      </c>
      <c r="AN154" s="25"/>
      <c r="AO154" s="51">
        <f t="shared" si="53"/>
        <v>63.020348862961875</v>
      </c>
      <c r="AP154" s="51">
        <f t="shared" si="46"/>
        <v>36.979651137038125</v>
      </c>
      <c r="AQ154" s="51">
        <f t="shared" si="47"/>
        <v>34.331908115626199</v>
      </c>
      <c r="AR154" s="31">
        <f t="shared" si="41"/>
        <v>45.60152443723922</v>
      </c>
      <c r="AT154" s="51"/>
    </row>
    <row r="155" spans="1:51">
      <c r="A155" s="6" t="s">
        <v>158</v>
      </c>
      <c r="B155" s="6" t="s">
        <v>548</v>
      </c>
      <c r="C155" t="s">
        <v>12</v>
      </c>
      <c r="D155" s="8">
        <v>2</v>
      </c>
      <c r="E155">
        <v>5</v>
      </c>
      <c r="F155" t="s">
        <v>376</v>
      </c>
      <c r="G155" s="24" t="s">
        <v>395</v>
      </c>
      <c r="H155" s="36">
        <v>16.25</v>
      </c>
      <c r="I155" s="36">
        <v>4.88</v>
      </c>
      <c r="J155" s="42">
        <f t="shared" si="48"/>
        <v>11.370000000000001</v>
      </c>
      <c r="K155" s="44">
        <v>0</v>
      </c>
      <c r="L155" s="44">
        <v>0</v>
      </c>
      <c r="M155" s="44">
        <v>4</v>
      </c>
      <c r="N155" s="44">
        <v>0</v>
      </c>
      <c r="O155" s="44">
        <v>8.81</v>
      </c>
      <c r="P155" s="44">
        <v>0</v>
      </c>
      <c r="Q155" s="44">
        <f t="shared" si="42"/>
        <v>5.4600000000000009</v>
      </c>
      <c r="R155" s="44">
        <v>285.95</v>
      </c>
      <c r="S155" s="44">
        <v>285.95</v>
      </c>
      <c r="T155" s="36">
        <f t="shared" si="49"/>
        <v>0</v>
      </c>
      <c r="U155" s="36">
        <f t="shared" si="50"/>
        <v>1.9100000000000001</v>
      </c>
      <c r="V155" s="26">
        <v>42818</v>
      </c>
      <c r="X155" s="31" t="s">
        <v>469</v>
      </c>
      <c r="Y155" s="8" t="s">
        <v>469</v>
      </c>
      <c r="Z155" s="3" t="s">
        <v>475</v>
      </c>
      <c r="AA155" s="31" t="s">
        <v>469</v>
      </c>
      <c r="AB155" s="31" t="s">
        <v>469</v>
      </c>
      <c r="AC155" s="31" t="s">
        <v>469</v>
      </c>
      <c r="AD155" s="31" t="s">
        <v>469</v>
      </c>
      <c r="AE155" s="31" t="s">
        <v>469</v>
      </c>
      <c r="AF155" s="31" t="s">
        <v>469</v>
      </c>
      <c r="AG155" s="31" t="s">
        <v>469</v>
      </c>
      <c r="AH155" s="31" t="s">
        <v>469</v>
      </c>
      <c r="AI155" s="31" t="s">
        <v>469</v>
      </c>
      <c r="AJ155" s="31" t="s">
        <v>469</v>
      </c>
      <c r="AK155" s="31" t="s">
        <v>469</v>
      </c>
      <c r="AL155" s="31" t="s">
        <v>469</v>
      </c>
      <c r="AM155" s="31" t="s">
        <v>469</v>
      </c>
      <c r="AN155" s="105"/>
      <c r="AO155" s="51">
        <f>AY5</f>
        <v>48.295977953492489</v>
      </c>
      <c r="AP155" s="51">
        <f t="shared" si="46"/>
        <v>51.704022046507511</v>
      </c>
      <c r="AQ155" s="51">
        <f>BA5</f>
        <v>19.947170064089448</v>
      </c>
      <c r="AR155" s="31">
        <f t="shared" si="41"/>
        <v>0</v>
      </c>
      <c r="AT155" s="51"/>
    </row>
    <row r="156" spans="1:51">
      <c r="A156" s="6" t="s">
        <v>159</v>
      </c>
      <c r="B156" s="6" t="s">
        <v>548</v>
      </c>
      <c r="C156" t="s">
        <v>12</v>
      </c>
      <c r="D156" s="8">
        <v>2</v>
      </c>
      <c r="E156">
        <v>10</v>
      </c>
      <c r="G156" t="s">
        <v>395</v>
      </c>
      <c r="H156" s="36">
        <v>93.2</v>
      </c>
      <c r="I156" s="36">
        <v>5.04</v>
      </c>
      <c r="J156" s="42">
        <f t="shared" si="48"/>
        <v>88.16</v>
      </c>
      <c r="K156" s="44">
        <v>7.8</v>
      </c>
      <c r="L156" s="44">
        <v>0</v>
      </c>
      <c r="M156" s="44">
        <v>5.24</v>
      </c>
      <c r="N156" s="44">
        <v>0</v>
      </c>
      <c r="O156" s="44">
        <v>5.74</v>
      </c>
      <c r="P156" s="44">
        <v>0</v>
      </c>
      <c r="Q156" s="44">
        <f t="shared" si="42"/>
        <v>2.39</v>
      </c>
      <c r="R156" s="44">
        <v>355.4</v>
      </c>
      <c r="S156" s="44">
        <v>285.95</v>
      </c>
      <c r="T156" s="36">
        <f t="shared" si="49"/>
        <v>69.449999999999989</v>
      </c>
      <c r="U156" s="36">
        <f t="shared" si="50"/>
        <v>3.2800000000000074</v>
      </c>
      <c r="V156" s="26">
        <v>42818</v>
      </c>
      <c r="X156" s="31">
        <v>5.9870000000000001</v>
      </c>
      <c r="Y156" s="26">
        <v>42818</v>
      </c>
      <c r="AA156" s="31">
        <v>2.3969999999999998</v>
      </c>
      <c r="AB156" s="31">
        <v>34.134999999999998</v>
      </c>
      <c r="AC156" s="31">
        <f t="shared" si="55"/>
        <v>31.738</v>
      </c>
      <c r="AD156" s="31">
        <v>19.082999999999998</v>
      </c>
      <c r="AE156" s="31">
        <v>8.4833333333333094E-2</v>
      </c>
      <c r="AF156" s="31">
        <f t="shared" si="51"/>
        <v>16.770833333333332</v>
      </c>
      <c r="AG156" s="31">
        <f t="shared" si="54"/>
        <v>89.245217391304351</v>
      </c>
      <c r="AH156" s="31">
        <f t="shared" si="43"/>
        <v>52.841493897956184</v>
      </c>
      <c r="AI156" s="31">
        <f t="shared" si="44"/>
        <v>47.158506102043816</v>
      </c>
      <c r="AJ156" s="31">
        <f t="shared" si="45"/>
        <v>37.896575503602406</v>
      </c>
      <c r="AK156" s="31">
        <f t="shared" si="52"/>
        <v>36.698417512130561</v>
      </c>
      <c r="AL156" s="26">
        <v>42818</v>
      </c>
      <c r="AM156" s="26">
        <v>42820</v>
      </c>
      <c r="AN156" s="25"/>
      <c r="AO156" s="51">
        <f>AH156</f>
        <v>52.841493897956184</v>
      </c>
      <c r="AP156" s="51">
        <f t="shared" si="46"/>
        <v>47.158506102043816</v>
      </c>
      <c r="AQ156" s="51">
        <f t="shared" si="47"/>
        <v>37.896575503602406</v>
      </c>
      <c r="AR156" s="31">
        <f t="shared" si="41"/>
        <v>36.698417512130561</v>
      </c>
      <c r="AT156" s="51"/>
    </row>
    <row r="157" spans="1:51">
      <c r="A157" s="6" t="s">
        <v>160</v>
      </c>
      <c r="B157" s="6" t="s">
        <v>548</v>
      </c>
      <c r="C157" t="s">
        <v>12</v>
      </c>
      <c r="D157" s="8">
        <v>2</v>
      </c>
      <c r="E157">
        <v>20</v>
      </c>
      <c r="G157" t="s">
        <v>395</v>
      </c>
      <c r="H157" s="36">
        <v>105.73</v>
      </c>
      <c r="I157" s="36">
        <v>4.68</v>
      </c>
      <c r="J157" s="42">
        <f t="shared" si="48"/>
        <v>101.05000000000001</v>
      </c>
      <c r="K157" s="44">
        <v>2.72</v>
      </c>
      <c r="L157" s="44">
        <v>0</v>
      </c>
      <c r="M157" s="44">
        <v>14.29</v>
      </c>
      <c r="N157" s="44">
        <v>0</v>
      </c>
      <c r="O157" s="44">
        <v>5.15</v>
      </c>
      <c r="P157" s="44">
        <v>0</v>
      </c>
      <c r="Q157" s="44">
        <f t="shared" si="42"/>
        <v>1.8000000000000003</v>
      </c>
      <c r="R157" s="44">
        <v>364.33</v>
      </c>
      <c r="S157" s="44">
        <v>285.95</v>
      </c>
      <c r="T157" s="36">
        <f t="shared" si="49"/>
        <v>78.38</v>
      </c>
      <c r="U157" s="36">
        <f t="shared" si="50"/>
        <v>3.8600000000000159</v>
      </c>
      <c r="V157" s="26">
        <v>42818</v>
      </c>
      <c r="X157" s="31">
        <v>5.49</v>
      </c>
      <c r="Y157" s="26">
        <v>42818</v>
      </c>
      <c r="AA157" s="31">
        <v>2.411</v>
      </c>
      <c r="AB157" s="31">
        <v>39.545000000000002</v>
      </c>
      <c r="AC157" s="31">
        <f t="shared" si="55"/>
        <v>37.134</v>
      </c>
      <c r="AD157" s="31">
        <v>20.324000000000002</v>
      </c>
      <c r="AE157" s="31">
        <v>8.4833333333333094E-2</v>
      </c>
      <c r="AF157" s="31">
        <f t="shared" si="51"/>
        <v>17.997833333333332</v>
      </c>
      <c r="AG157" s="31">
        <f t="shared" si="54"/>
        <v>106.32483539685333</v>
      </c>
      <c r="AH157" s="31">
        <f t="shared" si="43"/>
        <v>48.467262706235076</v>
      </c>
      <c r="AI157" s="31">
        <f t="shared" si="44"/>
        <v>51.532737293764924</v>
      </c>
      <c r="AJ157" s="31">
        <f t="shared" si="45"/>
        <v>50.672140580959059</v>
      </c>
      <c r="AK157" s="31">
        <f t="shared" si="52"/>
        <v>37.988640509147054</v>
      </c>
      <c r="AL157" s="26">
        <v>42818</v>
      </c>
      <c r="AM157" s="26">
        <v>42820</v>
      </c>
      <c r="AN157" s="25"/>
      <c r="AO157" s="51">
        <f t="shared" ref="AO157:AO158" si="56">AH157</f>
        <v>48.467262706235076</v>
      </c>
      <c r="AP157" s="51">
        <f t="shared" si="46"/>
        <v>51.532737293764924</v>
      </c>
      <c r="AQ157" s="51">
        <f t="shared" si="47"/>
        <v>50.672140580959059</v>
      </c>
      <c r="AR157" s="31">
        <f t="shared" si="41"/>
        <v>37.988640509147054</v>
      </c>
      <c r="AT157" s="51"/>
    </row>
    <row r="158" spans="1:51">
      <c r="A158" s="6" t="s">
        <v>161</v>
      </c>
      <c r="B158" s="6" t="s">
        <v>548</v>
      </c>
      <c r="C158" t="s">
        <v>12</v>
      </c>
      <c r="D158" s="8">
        <v>2</v>
      </c>
      <c r="E158">
        <v>30</v>
      </c>
      <c r="G158" t="s">
        <v>395</v>
      </c>
      <c r="H158" s="36">
        <v>102.17</v>
      </c>
      <c r="I158" s="36">
        <v>4.7</v>
      </c>
      <c r="J158" s="42">
        <f t="shared" si="48"/>
        <v>97.47</v>
      </c>
      <c r="K158" s="44">
        <v>2.91</v>
      </c>
      <c r="L158" s="44">
        <v>0</v>
      </c>
      <c r="M158" s="44">
        <v>6.64</v>
      </c>
      <c r="N158" s="44">
        <v>0</v>
      </c>
      <c r="O158" s="44">
        <v>3.7</v>
      </c>
      <c r="P158" s="44">
        <v>0</v>
      </c>
      <c r="Q158" s="44">
        <f t="shared" si="42"/>
        <v>0.35000000000000009</v>
      </c>
      <c r="R158" s="44">
        <v>371.03</v>
      </c>
      <c r="S158" s="44">
        <v>285.95</v>
      </c>
      <c r="T158" s="36">
        <f t="shared" si="49"/>
        <v>85.079999999999984</v>
      </c>
      <c r="U158" s="36">
        <f t="shared" si="50"/>
        <v>2.4900000000000153</v>
      </c>
      <c r="V158" s="26">
        <v>42818</v>
      </c>
      <c r="X158" s="31">
        <v>5.27</v>
      </c>
      <c r="Y158" s="26">
        <v>42818</v>
      </c>
      <c r="AA158" s="31">
        <v>2.3650000000000002</v>
      </c>
      <c r="AB158" s="31">
        <v>42.314</v>
      </c>
      <c r="AC158" s="31">
        <f t="shared" si="55"/>
        <v>39.948999999999998</v>
      </c>
      <c r="AD158" s="31">
        <v>22.241</v>
      </c>
      <c r="AE158" s="31">
        <v>8.4833333333333094E-2</v>
      </c>
      <c r="AF158" s="31">
        <f t="shared" si="51"/>
        <v>19.96083333333333</v>
      </c>
      <c r="AG158" s="31">
        <f t="shared" si="54"/>
        <v>100.13693483071016</v>
      </c>
      <c r="AH158" s="31">
        <f t="shared" si="43"/>
        <v>49.965789715220232</v>
      </c>
      <c r="AI158" s="31">
        <f t="shared" si="44"/>
        <v>50.034210284779768</v>
      </c>
      <c r="AJ158" s="31">
        <f t="shared" si="45"/>
        <v>47.312349245287749</v>
      </c>
      <c r="AK158" s="31">
        <f t="shared" si="52"/>
        <v>42.510893889709365</v>
      </c>
      <c r="AL158" s="26">
        <v>42818</v>
      </c>
      <c r="AM158" s="26">
        <v>42820</v>
      </c>
      <c r="AN158" s="25"/>
      <c r="AO158" s="51">
        <f t="shared" si="56"/>
        <v>49.965789715220232</v>
      </c>
      <c r="AP158" s="51">
        <f t="shared" si="46"/>
        <v>50.034210284779768</v>
      </c>
      <c r="AQ158" s="51">
        <f t="shared" si="47"/>
        <v>47.312349245287749</v>
      </c>
      <c r="AR158" s="31">
        <f t="shared" si="41"/>
        <v>42.510893889709365</v>
      </c>
      <c r="AT158" s="51"/>
    </row>
    <row r="159" spans="1:51">
      <c r="A159" s="6" t="s">
        <v>162</v>
      </c>
      <c r="B159" s="6" t="s">
        <v>548</v>
      </c>
      <c r="C159" t="s">
        <v>12</v>
      </c>
      <c r="D159" s="8">
        <v>3</v>
      </c>
      <c r="E159">
        <v>5</v>
      </c>
      <c r="F159" t="s">
        <v>385</v>
      </c>
      <c r="G159" s="24">
        <v>42604</v>
      </c>
      <c r="H159" s="36">
        <v>18.940000000000001</v>
      </c>
      <c r="I159" s="36">
        <v>3.52</v>
      </c>
      <c r="J159" s="42">
        <f t="shared" si="48"/>
        <v>15.420000000000002</v>
      </c>
      <c r="K159" s="38">
        <v>0</v>
      </c>
      <c r="L159" s="44">
        <v>0</v>
      </c>
      <c r="M159" s="44">
        <v>4.41</v>
      </c>
      <c r="N159" s="38">
        <v>3.45</v>
      </c>
      <c r="O159" s="38">
        <v>8.65</v>
      </c>
      <c r="P159" s="38">
        <v>0</v>
      </c>
      <c r="Q159" s="44">
        <f t="shared" si="42"/>
        <v>5.4</v>
      </c>
      <c r="R159" s="44">
        <v>289.13</v>
      </c>
      <c r="S159" s="44">
        <v>286.24</v>
      </c>
      <c r="T159" s="36">
        <f t="shared" si="49"/>
        <v>2.8899999999999864</v>
      </c>
      <c r="U159" s="36">
        <f t="shared" si="50"/>
        <v>2.7200000000000149</v>
      </c>
      <c r="V159" s="26">
        <v>42766</v>
      </c>
      <c r="W159" s="25" t="s">
        <v>479</v>
      </c>
      <c r="X159" s="31" t="s">
        <v>469</v>
      </c>
      <c r="Y159" s="26" t="s">
        <v>469</v>
      </c>
      <c r="Z159" s="3" t="s">
        <v>475</v>
      </c>
      <c r="AA159" s="31" t="s">
        <v>469</v>
      </c>
      <c r="AB159" s="31" t="s">
        <v>469</v>
      </c>
      <c r="AC159" s="31" t="s">
        <v>469</v>
      </c>
      <c r="AD159" s="31" t="s">
        <v>469</v>
      </c>
      <c r="AE159" s="31" t="s">
        <v>469</v>
      </c>
      <c r="AF159" s="31" t="s">
        <v>469</v>
      </c>
      <c r="AG159" s="31" t="s">
        <v>469</v>
      </c>
      <c r="AH159" s="31" t="s">
        <v>469</v>
      </c>
      <c r="AI159" s="31" t="s">
        <v>469</v>
      </c>
      <c r="AJ159" s="31" t="s">
        <v>469</v>
      </c>
      <c r="AK159" s="31" t="s">
        <v>469</v>
      </c>
      <c r="AL159" s="31" t="s">
        <v>469</v>
      </c>
      <c r="AM159" s="31" t="s">
        <v>469</v>
      </c>
      <c r="AO159" s="51">
        <f>AY6</f>
        <v>48.295977953492489</v>
      </c>
      <c r="AP159" s="51">
        <f t="shared" si="46"/>
        <v>51.704022046507511</v>
      </c>
      <c r="AQ159" s="51">
        <f>BA6</f>
        <v>19.947170064089448</v>
      </c>
      <c r="AR159" s="31">
        <f t="shared" si="41"/>
        <v>1.3957537628559264</v>
      </c>
      <c r="AT159" s="51"/>
    </row>
    <row r="160" spans="1:51">
      <c r="A160" s="6" t="s">
        <v>163</v>
      </c>
      <c r="B160" s="6" t="s">
        <v>548</v>
      </c>
      <c r="C160" t="s">
        <v>12</v>
      </c>
      <c r="D160" s="8">
        <v>3</v>
      </c>
      <c r="E160">
        <v>10</v>
      </c>
      <c r="F160" t="s">
        <v>385</v>
      </c>
      <c r="G160" t="s">
        <v>395</v>
      </c>
      <c r="H160" s="36">
        <v>37.9</v>
      </c>
      <c r="I160" s="36">
        <v>3.58</v>
      </c>
      <c r="J160" s="42">
        <f t="shared" si="48"/>
        <v>34.32</v>
      </c>
      <c r="K160" s="38">
        <v>0</v>
      </c>
      <c r="L160" s="44">
        <v>0</v>
      </c>
      <c r="M160" s="44">
        <v>16.95</v>
      </c>
      <c r="N160" s="44">
        <v>0</v>
      </c>
      <c r="O160" s="44">
        <v>15.79</v>
      </c>
      <c r="P160" s="44">
        <v>0</v>
      </c>
      <c r="Q160" s="44">
        <f t="shared" si="42"/>
        <v>12.44</v>
      </c>
      <c r="R160" s="44">
        <v>288.36</v>
      </c>
      <c r="S160" s="44">
        <v>286.24</v>
      </c>
      <c r="T160" s="36">
        <f t="shared" si="49"/>
        <v>2.1200000000000045</v>
      </c>
      <c r="U160" s="36">
        <f t="shared" si="50"/>
        <v>2.8099999999999987</v>
      </c>
      <c r="V160" s="26">
        <v>42766</v>
      </c>
      <c r="W160" s="25" t="s">
        <v>479</v>
      </c>
      <c r="X160" s="31" t="s">
        <v>469</v>
      </c>
      <c r="Y160" s="26" t="s">
        <v>469</v>
      </c>
      <c r="Z160" s="3" t="s">
        <v>475</v>
      </c>
      <c r="AA160" s="31" t="s">
        <v>469</v>
      </c>
      <c r="AB160" s="31" t="s">
        <v>469</v>
      </c>
      <c r="AC160" s="31" t="s">
        <v>469</v>
      </c>
      <c r="AD160" s="31" t="s">
        <v>469</v>
      </c>
      <c r="AE160" s="31" t="s">
        <v>469</v>
      </c>
      <c r="AF160" s="31" t="s">
        <v>469</v>
      </c>
      <c r="AG160" s="31" t="s">
        <v>469</v>
      </c>
      <c r="AH160" s="31" t="s">
        <v>469</v>
      </c>
      <c r="AI160" s="31" t="s">
        <v>469</v>
      </c>
      <c r="AJ160" s="31" t="s">
        <v>469</v>
      </c>
      <c r="AK160" s="31" t="s">
        <v>469</v>
      </c>
      <c r="AL160" s="31" t="s">
        <v>469</v>
      </c>
      <c r="AM160" s="31" t="s">
        <v>469</v>
      </c>
      <c r="AO160" s="51">
        <f>AY7</f>
        <v>52.033422094699702</v>
      </c>
      <c r="AP160" s="51">
        <f t="shared" si="46"/>
        <v>47.966577905300298</v>
      </c>
      <c r="AQ160" s="51">
        <f>BA7</f>
        <v>35.085343694170923</v>
      </c>
      <c r="AR160" s="31">
        <f t="shared" si="41"/>
        <v>1.1031085484076359</v>
      </c>
      <c r="AT160" s="51"/>
    </row>
    <row r="161" spans="1:46">
      <c r="A161" s="6" t="s">
        <v>164</v>
      </c>
      <c r="B161" s="6" t="s">
        <v>548</v>
      </c>
      <c r="C161" t="s">
        <v>12</v>
      </c>
      <c r="D161" s="8">
        <v>3</v>
      </c>
      <c r="E161">
        <v>20</v>
      </c>
      <c r="F161" t="s">
        <v>385</v>
      </c>
      <c r="G161" s="24">
        <v>42604</v>
      </c>
      <c r="H161" s="36">
        <v>94</v>
      </c>
      <c r="I161" s="36">
        <v>3.67</v>
      </c>
      <c r="J161" s="42">
        <f t="shared" si="48"/>
        <v>90.33</v>
      </c>
      <c r="K161" s="38">
        <v>4.21</v>
      </c>
      <c r="L161" s="38">
        <v>0</v>
      </c>
      <c r="M161" s="38">
        <v>0.83</v>
      </c>
      <c r="N161" s="44">
        <v>0</v>
      </c>
      <c r="O161" s="44">
        <v>8.4499999999999993</v>
      </c>
      <c r="P161" s="44">
        <v>0</v>
      </c>
      <c r="Q161" s="44">
        <f t="shared" si="42"/>
        <v>5.0999999999999996</v>
      </c>
      <c r="R161" s="44">
        <v>363.75</v>
      </c>
      <c r="S161" s="44">
        <v>286.24</v>
      </c>
      <c r="T161" s="36">
        <f t="shared" si="49"/>
        <v>77.509999999999991</v>
      </c>
      <c r="U161" s="36">
        <f t="shared" si="50"/>
        <v>2.6800000000000077</v>
      </c>
      <c r="V161" s="26">
        <v>42766</v>
      </c>
      <c r="W161" s="25"/>
      <c r="X161" s="31">
        <v>5.3449999999999998</v>
      </c>
      <c r="Y161" s="26">
        <v>42767</v>
      </c>
      <c r="AA161" s="31">
        <v>2.415</v>
      </c>
      <c r="AB161" s="31">
        <v>38.500999999999998</v>
      </c>
      <c r="AC161" s="31">
        <f t="shared" si="55"/>
        <v>36.085999999999999</v>
      </c>
      <c r="AD161" s="31">
        <v>20.224</v>
      </c>
      <c r="AE161" s="31">
        <v>7.9833333333333645E-2</v>
      </c>
      <c r="AF161" s="31">
        <f t="shared" si="51"/>
        <v>17.888833333333334</v>
      </c>
      <c r="AG161" s="31">
        <f t="shared" si="54"/>
        <v>101.72360783729141</v>
      </c>
      <c r="AH161" s="31">
        <f t="shared" si="43"/>
        <v>49.572779840750805</v>
      </c>
      <c r="AI161" s="31">
        <f t="shared" si="44"/>
        <v>50.427220159249195</v>
      </c>
      <c r="AJ161" s="31">
        <f t="shared" si="45"/>
        <v>43.427922001145411</v>
      </c>
      <c r="AK161" s="31">
        <f t="shared" si="52"/>
        <v>38.42386165456594</v>
      </c>
      <c r="AL161" s="26">
        <v>42768</v>
      </c>
      <c r="AM161" s="26">
        <v>42770</v>
      </c>
      <c r="AN161" s="25"/>
      <c r="AO161" s="51">
        <f>AH161</f>
        <v>49.572779840750805</v>
      </c>
      <c r="AP161" s="51">
        <f t="shared" si="46"/>
        <v>50.427220159249195</v>
      </c>
      <c r="AQ161" s="51">
        <f t="shared" si="47"/>
        <v>43.427922001145411</v>
      </c>
      <c r="AR161" s="31">
        <f t="shared" si="41"/>
        <v>38.42386165456594</v>
      </c>
      <c r="AT161" s="51"/>
    </row>
    <row r="162" spans="1:46">
      <c r="A162" s="6" t="s">
        <v>165</v>
      </c>
      <c r="B162" s="6" t="s">
        <v>548</v>
      </c>
      <c r="C162" t="s">
        <v>12</v>
      </c>
      <c r="D162" s="8">
        <v>3</v>
      </c>
      <c r="E162">
        <v>30</v>
      </c>
      <c r="F162" t="s">
        <v>385</v>
      </c>
      <c r="G162" s="24">
        <v>42604</v>
      </c>
      <c r="H162" s="36">
        <v>100.52</v>
      </c>
      <c r="I162" s="36">
        <v>3.68</v>
      </c>
      <c r="J162" s="42">
        <f t="shared" si="48"/>
        <v>96.839999999999989</v>
      </c>
      <c r="K162" s="38">
        <v>4.6900000000000004</v>
      </c>
      <c r="L162" s="44">
        <v>0</v>
      </c>
      <c r="M162" s="44">
        <v>0.6</v>
      </c>
      <c r="N162" s="44">
        <v>0</v>
      </c>
      <c r="O162" s="44">
        <v>4.9800000000000004</v>
      </c>
      <c r="P162" s="44">
        <v>0</v>
      </c>
      <c r="Q162" s="44">
        <f t="shared" si="42"/>
        <v>1.6300000000000003</v>
      </c>
      <c r="R162" s="44">
        <v>373.88</v>
      </c>
      <c r="S162" s="44">
        <v>286.24</v>
      </c>
      <c r="T162" s="36">
        <f t="shared" si="49"/>
        <v>87.639999999999986</v>
      </c>
      <c r="U162" s="36">
        <f t="shared" si="50"/>
        <v>2.280000000000002</v>
      </c>
      <c r="V162" s="26">
        <v>42766</v>
      </c>
      <c r="W162" s="25"/>
      <c r="X162" s="31">
        <v>5.5570000000000004</v>
      </c>
      <c r="Y162" s="26">
        <v>42767</v>
      </c>
      <c r="AA162" s="31">
        <v>2.41</v>
      </c>
      <c r="AB162" s="31">
        <v>44.725999999999999</v>
      </c>
      <c r="AC162" s="31">
        <f t="shared" si="55"/>
        <v>42.316000000000003</v>
      </c>
      <c r="AD162" s="31">
        <v>25.190999999999999</v>
      </c>
      <c r="AE162" s="31">
        <v>7.9833333333333645E-2</v>
      </c>
      <c r="AF162" s="31">
        <f t="shared" si="51"/>
        <v>22.860833333333332</v>
      </c>
      <c r="AG162" s="31">
        <f t="shared" si="54"/>
        <v>85.102613640505979</v>
      </c>
      <c r="AH162" s="31">
        <f t="shared" si="43"/>
        <v>54.024088603207609</v>
      </c>
      <c r="AI162" s="31">
        <f t="shared" si="44"/>
        <v>45.975911396792391</v>
      </c>
      <c r="AJ162" s="31">
        <f t="shared" si="45"/>
        <v>42.366802352144184</v>
      </c>
      <c r="AK162" s="31">
        <f t="shared" si="52"/>
        <v>47.34671125185114</v>
      </c>
      <c r="AL162" s="26">
        <v>42768</v>
      </c>
      <c r="AM162" s="26">
        <v>42770</v>
      </c>
      <c r="AN162" s="25"/>
      <c r="AO162" s="51">
        <f t="shared" ref="AO162:AO166" si="57">AH162</f>
        <v>54.024088603207609</v>
      </c>
      <c r="AP162" s="51">
        <f t="shared" si="46"/>
        <v>45.975911396792391</v>
      </c>
      <c r="AQ162" s="51">
        <f t="shared" si="47"/>
        <v>42.366802352144184</v>
      </c>
      <c r="AR162" s="31">
        <f t="shared" si="41"/>
        <v>47.34671125185114</v>
      </c>
      <c r="AT162" s="51"/>
    </row>
    <row r="163" spans="1:46">
      <c r="A163" s="6" t="s">
        <v>166</v>
      </c>
      <c r="B163" s="6" t="s">
        <v>548</v>
      </c>
      <c r="C163" t="s">
        <v>12</v>
      </c>
      <c r="D163" s="8">
        <v>4</v>
      </c>
      <c r="E163">
        <v>5</v>
      </c>
      <c r="G163" s="24">
        <v>42604</v>
      </c>
      <c r="H163" s="36">
        <v>55.46</v>
      </c>
      <c r="I163" s="36">
        <v>6.86</v>
      </c>
      <c r="J163" s="42">
        <f t="shared" si="48"/>
        <v>48.6</v>
      </c>
      <c r="K163" s="44">
        <v>1.02</v>
      </c>
      <c r="L163" s="44">
        <v>0</v>
      </c>
      <c r="M163" s="44">
        <v>6.99</v>
      </c>
      <c r="N163" s="44">
        <v>0</v>
      </c>
      <c r="O163" s="44">
        <v>13.35</v>
      </c>
      <c r="P163" s="44">
        <v>0</v>
      </c>
      <c r="Q163" s="44">
        <f t="shared" si="42"/>
        <v>10</v>
      </c>
      <c r="R163" s="44">
        <v>314.02999999999997</v>
      </c>
      <c r="S163" s="44">
        <v>286.10000000000002</v>
      </c>
      <c r="T163" s="36">
        <f t="shared" si="49"/>
        <v>27.92999999999995</v>
      </c>
      <c r="U163" s="36">
        <f t="shared" si="50"/>
        <v>2.6600000000000512</v>
      </c>
      <c r="V163" s="26">
        <v>42776</v>
      </c>
      <c r="X163" s="31" t="s">
        <v>469</v>
      </c>
      <c r="Y163" s="26">
        <v>42776</v>
      </c>
      <c r="Z163" s="3" t="s">
        <v>475</v>
      </c>
      <c r="AA163" s="31">
        <v>2.4350000000000001</v>
      </c>
      <c r="AB163" s="31">
        <v>17.036999999999999</v>
      </c>
      <c r="AC163" s="31">
        <f t="shared" si="55"/>
        <v>14.601999999999999</v>
      </c>
      <c r="AD163" s="31">
        <v>10.552</v>
      </c>
      <c r="AE163" s="31">
        <v>7.4333333333333293E-2</v>
      </c>
      <c r="AF163" s="31">
        <f t="shared" si="51"/>
        <v>8.1913333333333327</v>
      </c>
      <c r="AG163" s="31">
        <f t="shared" si="54"/>
        <v>78.261577276796615</v>
      </c>
      <c r="AH163" s="31">
        <f t="shared" si="43"/>
        <v>56.097338264164733</v>
      </c>
      <c r="AI163" s="31">
        <f t="shared" si="44"/>
        <v>43.902661735835267</v>
      </c>
      <c r="AJ163" s="31">
        <f t="shared" si="45"/>
        <v>20.88888645391042</v>
      </c>
      <c r="AK163" s="31">
        <f t="shared" si="52"/>
        <v>15.667986577181182</v>
      </c>
      <c r="AL163" s="26">
        <v>42776</v>
      </c>
      <c r="AM163" s="26">
        <v>42778</v>
      </c>
      <c r="AN163" s="25"/>
      <c r="AO163" s="51">
        <f t="shared" si="57"/>
        <v>56.097338264164733</v>
      </c>
      <c r="AP163" s="51">
        <f t="shared" si="46"/>
        <v>43.902661735835267</v>
      </c>
      <c r="AQ163" s="51">
        <f t="shared" si="47"/>
        <v>20.88888645391042</v>
      </c>
      <c r="AR163" s="31">
        <f t="shared" si="41"/>
        <v>15.667986577181182</v>
      </c>
      <c r="AT163" s="51"/>
    </row>
    <row r="164" spans="1:46">
      <c r="A164" s="6" t="s">
        <v>167</v>
      </c>
      <c r="B164" s="6" t="s">
        <v>548</v>
      </c>
      <c r="C164" t="s">
        <v>12</v>
      </c>
      <c r="D164" s="8">
        <v>4</v>
      </c>
      <c r="E164">
        <v>10</v>
      </c>
      <c r="F164" t="s">
        <v>782</v>
      </c>
      <c r="G164" t="s">
        <v>395</v>
      </c>
      <c r="H164" s="36">
        <v>63.27</v>
      </c>
      <c r="I164" s="36">
        <v>3.58</v>
      </c>
      <c r="J164" s="42">
        <f t="shared" si="48"/>
        <v>59.690000000000005</v>
      </c>
      <c r="K164" s="44">
        <v>1.45</v>
      </c>
      <c r="L164" s="44">
        <v>0</v>
      </c>
      <c r="M164" s="44">
        <v>1.41</v>
      </c>
      <c r="N164" s="44">
        <v>0</v>
      </c>
      <c r="O164" s="44">
        <v>18.97</v>
      </c>
      <c r="P164" s="44">
        <v>0</v>
      </c>
      <c r="Q164" s="44">
        <f t="shared" si="42"/>
        <v>15.62</v>
      </c>
      <c r="R164" s="44">
        <v>325.19</v>
      </c>
      <c r="S164" s="44">
        <v>286.10000000000002</v>
      </c>
      <c r="T164" s="36">
        <f t="shared" si="49"/>
        <v>39.089999999999975</v>
      </c>
      <c r="U164" s="36">
        <f t="shared" si="50"/>
        <v>2.1200000000000303</v>
      </c>
      <c r="V164" s="26">
        <v>42776</v>
      </c>
      <c r="X164" s="31">
        <v>4.2859999999999996</v>
      </c>
      <c r="Y164" s="26">
        <v>42776</v>
      </c>
      <c r="AA164" s="31">
        <v>2.423</v>
      </c>
      <c r="AB164" s="31">
        <v>17.291</v>
      </c>
      <c r="AC164" s="31">
        <f t="shared" si="55"/>
        <v>14.868</v>
      </c>
      <c r="AD164" s="31">
        <v>11.218999999999999</v>
      </c>
      <c r="AE164" s="31">
        <v>7.4333333333333293E-2</v>
      </c>
      <c r="AF164" s="31">
        <f t="shared" si="51"/>
        <v>8.870333333333333</v>
      </c>
      <c r="AG164" s="31">
        <f t="shared" si="54"/>
        <v>67.614896095599576</v>
      </c>
      <c r="AH164" s="31">
        <f t="shared" si="43"/>
        <v>59.660568558873642</v>
      </c>
      <c r="AI164" s="31">
        <f t="shared" si="44"/>
        <v>40.339431441126358</v>
      </c>
      <c r="AJ164" s="31">
        <f t="shared" si="45"/>
        <v>23.493684871311991</v>
      </c>
      <c r="AK164" s="31">
        <f t="shared" si="52"/>
        <v>23.321316249663692</v>
      </c>
      <c r="AL164" s="26">
        <v>42776</v>
      </c>
      <c r="AM164" s="26">
        <v>42778</v>
      </c>
      <c r="AN164" s="25"/>
      <c r="AO164" s="51">
        <f t="shared" si="57"/>
        <v>59.660568558873642</v>
      </c>
      <c r="AP164" s="51">
        <f t="shared" si="46"/>
        <v>40.339431441126358</v>
      </c>
      <c r="AQ164" s="51">
        <f t="shared" si="47"/>
        <v>23.493684871311991</v>
      </c>
      <c r="AR164" s="31">
        <f t="shared" ref="AR164:AR192" si="58">T164*AO164%</f>
        <v>23.321316249663692</v>
      </c>
      <c r="AT164" s="51"/>
    </row>
    <row r="165" spans="1:46">
      <c r="A165" s="6" t="s">
        <v>168</v>
      </c>
      <c r="B165" s="6" t="s">
        <v>548</v>
      </c>
      <c r="C165" t="s">
        <v>12</v>
      </c>
      <c r="D165" s="8">
        <v>4</v>
      </c>
      <c r="E165">
        <v>20</v>
      </c>
      <c r="G165" s="24">
        <v>42604</v>
      </c>
      <c r="H165" s="36">
        <v>84.59</v>
      </c>
      <c r="I165" s="36">
        <v>5.0199999999999996</v>
      </c>
      <c r="J165" s="42">
        <f t="shared" si="48"/>
        <v>79.570000000000007</v>
      </c>
      <c r="K165" s="44">
        <v>2.97</v>
      </c>
      <c r="L165" s="44">
        <v>0</v>
      </c>
      <c r="M165" s="44">
        <v>3.91</v>
      </c>
      <c r="N165" s="44">
        <v>3.45</v>
      </c>
      <c r="O165" s="44">
        <v>13.66</v>
      </c>
      <c r="P165" s="44">
        <v>0</v>
      </c>
      <c r="Q165" s="44">
        <f t="shared" ref="Q165:Q192" si="59">(IF(N165&gt;0,N165-P$2,0))+(IF(O165&gt;0,O165-P$2,0))+(IF(P165&gt;0,P165-P$2,0))</f>
        <v>10.41</v>
      </c>
      <c r="R165" s="44">
        <v>345.48</v>
      </c>
      <c r="S165" s="44">
        <v>286.10000000000002</v>
      </c>
      <c r="T165" s="36">
        <f t="shared" si="49"/>
        <v>59.379999999999995</v>
      </c>
      <c r="U165" s="36">
        <f t="shared" si="50"/>
        <v>2.9000000000000115</v>
      </c>
      <c r="V165" s="26">
        <v>42776</v>
      </c>
      <c r="X165" s="31">
        <v>5.2050000000000001</v>
      </c>
      <c r="Y165" s="26">
        <v>42776</v>
      </c>
      <c r="AA165" s="31">
        <v>2.4180000000000001</v>
      </c>
      <c r="AB165" s="31">
        <v>27.312999999999999</v>
      </c>
      <c r="AC165" s="31">
        <f t="shared" si="55"/>
        <v>24.895</v>
      </c>
      <c r="AD165" s="31">
        <v>16.099</v>
      </c>
      <c r="AE165" s="31">
        <v>7.4333333333333293E-2</v>
      </c>
      <c r="AF165" s="31">
        <f t="shared" si="51"/>
        <v>13.755333333333335</v>
      </c>
      <c r="AG165" s="31">
        <f t="shared" si="54"/>
        <v>80.984345466001045</v>
      </c>
      <c r="AH165" s="31">
        <f t="shared" si="43"/>
        <v>55.253397603267061</v>
      </c>
      <c r="AI165" s="31">
        <f t="shared" si="44"/>
        <v>44.746602396732939</v>
      </c>
      <c r="AJ165" s="31">
        <f t="shared" si="45"/>
        <v>34.275897435897434</v>
      </c>
      <c r="AK165" s="31">
        <f t="shared" si="52"/>
        <v>32.809467496819977</v>
      </c>
      <c r="AL165" s="26">
        <v>42776</v>
      </c>
      <c r="AM165" s="26">
        <v>42778</v>
      </c>
      <c r="AN165" s="25"/>
      <c r="AO165" s="51">
        <f t="shared" si="57"/>
        <v>55.253397603267061</v>
      </c>
      <c r="AP165" s="51">
        <f t="shared" si="46"/>
        <v>44.746602396732939</v>
      </c>
      <c r="AQ165" s="51">
        <f t="shared" si="47"/>
        <v>34.275897435897434</v>
      </c>
      <c r="AR165" s="31">
        <f t="shared" si="58"/>
        <v>32.809467496819977</v>
      </c>
      <c r="AT165" s="51"/>
    </row>
    <row r="166" spans="1:46">
      <c r="A166" s="6" t="s">
        <v>169</v>
      </c>
      <c r="B166" s="6" t="s">
        <v>548</v>
      </c>
      <c r="C166" t="s">
        <v>12</v>
      </c>
      <c r="D166" s="8">
        <v>4</v>
      </c>
      <c r="E166">
        <v>30</v>
      </c>
      <c r="G166" s="24">
        <v>42604</v>
      </c>
      <c r="H166" s="36">
        <v>93.92</v>
      </c>
      <c r="I166" s="36">
        <v>5.14</v>
      </c>
      <c r="J166" s="42">
        <f t="shared" si="48"/>
        <v>88.78</v>
      </c>
      <c r="K166" s="44">
        <v>5.57</v>
      </c>
      <c r="L166" s="44">
        <v>0</v>
      </c>
      <c r="M166" s="44">
        <v>2.69</v>
      </c>
      <c r="N166" s="44">
        <v>0</v>
      </c>
      <c r="O166" s="44">
        <v>6.76</v>
      </c>
      <c r="P166" s="44">
        <v>0</v>
      </c>
      <c r="Q166" s="44">
        <f t="shared" si="59"/>
        <v>3.4099999999999997</v>
      </c>
      <c r="R166" s="44">
        <v>361.16</v>
      </c>
      <c r="S166" s="44">
        <v>286.10000000000002</v>
      </c>
      <c r="T166" s="36">
        <f t="shared" si="49"/>
        <v>75.06</v>
      </c>
      <c r="U166" s="36">
        <f t="shared" si="50"/>
        <v>2.0499999999999989</v>
      </c>
      <c r="V166" s="26">
        <v>42776</v>
      </c>
      <c r="X166" s="51">
        <v>5.4909999999999997</v>
      </c>
      <c r="Y166" s="26">
        <v>42776</v>
      </c>
      <c r="AA166" s="31">
        <v>2.42</v>
      </c>
      <c r="AB166" s="31">
        <v>40.195</v>
      </c>
      <c r="AC166" s="31">
        <f t="shared" si="55"/>
        <v>37.774999999999999</v>
      </c>
      <c r="AD166" s="31">
        <v>24.024000000000001</v>
      </c>
      <c r="AE166" s="31">
        <v>7.4333333333333293E-2</v>
      </c>
      <c r="AF166" s="31">
        <f t="shared" si="51"/>
        <v>21.678333333333331</v>
      </c>
      <c r="AG166" s="31">
        <f t="shared" si="54"/>
        <v>74.252325670792658</v>
      </c>
      <c r="AH166" s="31">
        <f t="shared" si="43"/>
        <v>57.388043238473415</v>
      </c>
      <c r="AI166" s="31">
        <f t="shared" si="44"/>
        <v>42.611956761526585</v>
      </c>
      <c r="AJ166" s="31">
        <f t="shared" si="45"/>
        <v>35.457409221266275</v>
      </c>
      <c r="AK166" s="31">
        <f t="shared" si="52"/>
        <v>43.075465254798146</v>
      </c>
      <c r="AL166" s="26">
        <v>42776</v>
      </c>
      <c r="AM166" s="26">
        <v>42778</v>
      </c>
      <c r="AN166" s="25"/>
      <c r="AO166" s="51">
        <f t="shared" si="57"/>
        <v>57.388043238473415</v>
      </c>
      <c r="AP166" s="51">
        <f t="shared" si="46"/>
        <v>42.611956761526585</v>
      </c>
      <c r="AQ166" s="51">
        <f t="shared" si="47"/>
        <v>35.457409221266275</v>
      </c>
      <c r="AR166" s="31">
        <f t="shared" si="58"/>
        <v>43.075465254798146</v>
      </c>
      <c r="AT166" s="51"/>
    </row>
    <row r="167" spans="1:46">
      <c r="A167" s="6" t="s">
        <v>170</v>
      </c>
      <c r="B167" s="6" t="s">
        <v>548</v>
      </c>
      <c r="C167" t="s">
        <v>12</v>
      </c>
      <c r="D167" s="8">
        <v>5</v>
      </c>
      <c r="E167">
        <v>5</v>
      </c>
      <c r="F167" t="s">
        <v>376</v>
      </c>
      <c r="G167" t="s">
        <v>395</v>
      </c>
      <c r="H167" s="36">
        <v>18.63</v>
      </c>
      <c r="I167" s="38">
        <v>4.57</v>
      </c>
      <c r="J167" s="42">
        <f t="shared" si="48"/>
        <v>14.059999999999999</v>
      </c>
      <c r="K167" s="38">
        <v>0</v>
      </c>
      <c r="L167" s="44">
        <v>0</v>
      </c>
      <c r="M167" s="44">
        <v>6.81</v>
      </c>
      <c r="N167" s="44">
        <v>3.39</v>
      </c>
      <c r="O167" s="44">
        <v>4.0599999999999996</v>
      </c>
      <c r="P167" s="44">
        <v>3.52</v>
      </c>
      <c r="Q167" s="44">
        <f t="shared" si="59"/>
        <v>0.91999999999999948</v>
      </c>
      <c r="R167" s="44">
        <v>289.99</v>
      </c>
      <c r="S167" s="44">
        <v>286.37</v>
      </c>
      <c r="T167" s="36">
        <f t="shared" si="49"/>
        <v>3.6200000000000045</v>
      </c>
      <c r="U167" s="36">
        <f t="shared" si="50"/>
        <v>2.7099999999999946</v>
      </c>
      <c r="V167" s="26">
        <v>42753</v>
      </c>
      <c r="W167" s="25" t="s">
        <v>519</v>
      </c>
      <c r="X167" s="31" t="s">
        <v>469</v>
      </c>
      <c r="Y167" s="8" t="s">
        <v>469</v>
      </c>
      <c r="AA167" s="31" t="s">
        <v>469</v>
      </c>
      <c r="AB167" s="31" t="s">
        <v>469</v>
      </c>
      <c r="AC167" s="31" t="s">
        <v>469</v>
      </c>
      <c r="AD167" s="31" t="s">
        <v>469</v>
      </c>
      <c r="AE167" s="31" t="s">
        <v>469</v>
      </c>
      <c r="AF167" s="31" t="s">
        <v>469</v>
      </c>
      <c r="AG167" s="31" t="s">
        <v>469</v>
      </c>
      <c r="AH167" s="31" t="s">
        <v>469</v>
      </c>
      <c r="AI167" s="31" t="s">
        <v>469</v>
      </c>
      <c r="AJ167" s="31" t="s">
        <v>469</v>
      </c>
      <c r="AK167" s="31" t="s">
        <v>469</v>
      </c>
      <c r="AL167" s="31" t="s">
        <v>469</v>
      </c>
      <c r="AM167" s="31" t="s">
        <v>469</v>
      </c>
      <c r="AO167" s="51">
        <f>AY8</f>
        <v>48.295977953492489</v>
      </c>
      <c r="AP167" s="51">
        <f t="shared" si="46"/>
        <v>51.704022046507511</v>
      </c>
      <c r="AQ167" s="51">
        <f>BA8</f>
        <v>19.947170064089448</v>
      </c>
      <c r="AR167" s="31">
        <f t="shared" si="58"/>
        <v>1.7483144019164303</v>
      </c>
      <c r="AT167" s="51"/>
    </row>
    <row r="168" spans="1:46">
      <c r="A168" s="6" t="s">
        <v>171</v>
      </c>
      <c r="B168" s="6" t="s">
        <v>548</v>
      </c>
      <c r="C168" t="s">
        <v>12</v>
      </c>
      <c r="D168" s="8">
        <v>5</v>
      </c>
      <c r="E168">
        <v>10</v>
      </c>
      <c r="G168" s="24">
        <v>42604</v>
      </c>
      <c r="H168" s="36">
        <v>90.3</v>
      </c>
      <c r="I168" s="38">
        <v>4.6500000000000004</v>
      </c>
      <c r="J168" s="42">
        <f t="shared" si="48"/>
        <v>85.649999999999991</v>
      </c>
      <c r="K168" s="38">
        <v>0.53</v>
      </c>
      <c r="L168" s="38">
        <v>0</v>
      </c>
      <c r="M168" s="44">
        <v>6.02</v>
      </c>
      <c r="N168" s="44">
        <v>0</v>
      </c>
      <c r="O168" s="44">
        <v>4.17</v>
      </c>
      <c r="P168" s="44">
        <v>0</v>
      </c>
      <c r="Q168" s="44">
        <f t="shared" si="59"/>
        <v>0.81999999999999984</v>
      </c>
      <c r="R168" s="44">
        <v>359.93</v>
      </c>
      <c r="S168" s="44">
        <v>286.37</v>
      </c>
      <c r="T168" s="36">
        <f t="shared" si="49"/>
        <v>73.56</v>
      </c>
      <c r="U168" s="36">
        <f t="shared" si="50"/>
        <v>4.7199999999999891</v>
      </c>
      <c r="V168" s="26">
        <v>42753</v>
      </c>
      <c r="W168" s="25"/>
      <c r="X168" s="31">
        <v>4.915</v>
      </c>
      <c r="Y168" s="26">
        <v>42753</v>
      </c>
      <c r="AA168" s="31">
        <v>2.476</v>
      </c>
      <c r="AB168" s="31">
        <v>35.084000000000003</v>
      </c>
      <c r="AC168" s="31">
        <f t="shared" si="55"/>
        <v>32.608000000000004</v>
      </c>
      <c r="AD168" s="31">
        <v>21.012</v>
      </c>
      <c r="AE168" s="31">
        <v>4.2666666666666853E-2</v>
      </c>
      <c r="AF168" s="31">
        <f t="shared" si="51"/>
        <v>18.578666666666667</v>
      </c>
      <c r="AG168" s="31">
        <f t="shared" si="54"/>
        <v>75.513133342902265</v>
      </c>
      <c r="AH168" s="31">
        <f t="shared" si="43"/>
        <v>56.975793261367343</v>
      </c>
      <c r="AI168" s="31">
        <f t="shared" si="44"/>
        <v>43.024206738632657</v>
      </c>
      <c r="AJ168" s="31">
        <f t="shared" si="45"/>
        <v>36.622204775924118</v>
      </c>
      <c r="AK168" s="31">
        <f t="shared" si="52"/>
        <v>41.911393523061818</v>
      </c>
      <c r="AL168" s="26">
        <v>42755</v>
      </c>
      <c r="AM168" s="26">
        <v>42758</v>
      </c>
      <c r="AN168" s="25"/>
      <c r="AO168" s="51">
        <f>AH168</f>
        <v>56.975793261367343</v>
      </c>
      <c r="AP168" s="51">
        <f t="shared" si="46"/>
        <v>43.024206738632657</v>
      </c>
      <c r="AQ168" s="51">
        <f t="shared" si="47"/>
        <v>36.622204775924118</v>
      </c>
      <c r="AR168" s="31">
        <f t="shared" si="58"/>
        <v>41.911393523061818</v>
      </c>
      <c r="AT168" s="51"/>
    </row>
    <row r="169" spans="1:46">
      <c r="A169" s="6" t="s">
        <v>172</v>
      </c>
      <c r="B169" s="6" t="s">
        <v>548</v>
      </c>
      <c r="C169" t="s">
        <v>12</v>
      </c>
      <c r="D169" s="8">
        <v>5</v>
      </c>
      <c r="E169">
        <v>20</v>
      </c>
      <c r="G169" t="s">
        <v>395</v>
      </c>
      <c r="H169" s="36">
        <v>83.1</v>
      </c>
      <c r="I169" s="38">
        <v>4.6100000000000003</v>
      </c>
      <c r="J169" s="42">
        <f t="shared" si="48"/>
        <v>78.489999999999995</v>
      </c>
      <c r="K169" s="38">
        <v>1.48</v>
      </c>
      <c r="L169" s="38">
        <v>0</v>
      </c>
      <c r="M169" s="44">
        <v>2.23</v>
      </c>
      <c r="N169" s="44">
        <v>0</v>
      </c>
      <c r="O169" s="44">
        <v>5.09</v>
      </c>
      <c r="P169" s="44">
        <v>0</v>
      </c>
      <c r="Q169" s="44">
        <f t="shared" si="59"/>
        <v>1.7399999999999998</v>
      </c>
      <c r="R169" s="44">
        <v>356.88</v>
      </c>
      <c r="S169" s="44">
        <v>286.37</v>
      </c>
      <c r="T169" s="36">
        <f t="shared" si="49"/>
        <v>70.509999999999991</v>
      </c>
      <c r="U169" s="36">
        <f t="shared" si="50"/>
        <v>2.5300000000000034</v>
      </c>
      <c r="V169" s="26">
        <v>42753</v>
      </c>
      <c r="W169" s="25"/>
      <c r="X169" s="31">
        <v>5.165</v>
      </c>
      <c r="Y169" s="26">
        <v>42753</v>
      </c>
      <c r="AA169" s="31">
        <v>2.4089999999999998</v>
      </c>
      <c r="AB169" s="31">
        <v>31.895</v>
      </c>
      <c r="AC169" s="31">
        <f t="shared" si="55"/>
        <v>29.486000000000001</v>
      </c>
      <c r="AD169" s="31">
        <v>17.483000000000001</v>
      </c>
      <c r="AE169" s="31">
        <v>4.2666666666666853E-2</v>
      </c>
      <c r="AF169" s="31">
        <f t="shared" si="51"/>
        <v>15.116666666666669</v>
      </c>
      <c r="AG169" s="31">
        <f t="shared" si="54"/>
        <v>95.05622932745311</v>
      </c>
      <c r="AH169" s="31">
        <f t="shared" si="43"/>
        <v>51.267268082027641</v>
      </c>
      <c r="AI169" s="31">
        <f t="shared" si="44"/>
        <v>48.732731917972359</v>
      </c>
      <c r="AJ169" s="31">
        <f t="shared" si="45"/>
        <v>37.529076850030506</v>
      </c>
      <c r="AK169" s="31">
        <f t="shared" si="52"/>
        <v>36.148550724637687</v>
      </c>
      <c r="AL169" s="26">
        <v>42755</v>
      </c>
      <c r="AM169" s="26">
        <v>42758</v>
      </c>
      <c r="AN169" s="25"/>
      <c r="AO169" s="51">
        <f t="shared" ref="AO169:AO192" si="60">AH169</f>
        <v>51.267268082027641</v>
      </c>
      <c r="AP169" s="51">
        <f t="shared" si="46"/>
        <v>48.732731917972359</v>
      </c>
      <c r="AQ169" s="51">
        <f t="shared" si="47"/>
        <v>37.529076850030506</v>
      </c>
      <c r="AR169" s="31">
        <f t="shared" si="58"/>
        <v>36.148550724637687</v>
      </c>
      <c r="AT169" s="51"/>
    </row>
    <row r="170" spans="1:46">
      <c r="A170" s="6" t="s">
        <v>173</v>
      </c>
      <c r="B170" s="6" t="s">
        <v>548</v>
      </c>
      <c r="C170" t="s">
        <v>12</v>
      </c>
      <c r="D170" s="8">
        <v>5</v>
      </c>
      <c r="E170">
        <v>30</v>
      </c>
      <c r="G170" t="s">
        <v>395</v>
      </c>
      <c r="H170" s="36">
        <v>84.17</v>
      </c>
      <c r="I170" s="38">
        <v>7.19</v>
      </c>
      <c r="J170" s="42">
        <f t="shared" si="48"/>
        <v>76.98</v>
      </c>
      <c r="K170" s="38">
        <v>1.92</v>
      </c>
      <c r="L170" s="44">
        <v>0</v>
      </c>
      <c r="M170" s="44">
        <v>4.34</v>
      </c>
      <c r="N170" s="44">
        <v>0</v>
      </c>
      <c r="O170" s="44">
        <v>3.78</v>
      </c>
      <c r="P170" s="44">
        <v>0</v>
      </c>
      <c r="Q170" s="44">
        <f t="shared" si="59"/>
        <v>0.42999999999999972</v>
      </c>
      <c r="R170" s="44">
        <v>354</v>
      </c>
      <c r="S170" s="44">
        <v>286.37</v>
      </c>
      <c r="T170" s="36">
        <f t="shared" si="49"/>
        <v>67.63</v>
      </c>
      <c r="U170" s="36">
        <f t="shared" si="50"/>
        <v>2.660000000000009</v>
      </c>
      <c r="V170" s="26">
        <v>42753</v>
      </c>
      <c r="W170" s="25"/>
      <c r="X170" s="31">
        <v>5.2569999999999997</v>
      </c>
      <c r="Y170" s="26">
        <v>42753</v>
      </c>
      <c r="AA170" s="31">
        <v>2.4159999999999999</v>
      </c>
      <c r="AB170" s="31">
        <v>30.507000000000001</v>
      </c>
      <c r="AC170" s="31">
        <f t="shared" si="55"/>
        <v>28.091000000000001</v>
      </c>
      <c r="AD170" s="31">
        <v>18.364999999999998</v>
      </c>
      <c r="AE170" s="31">
        <v>4.2666666666666853E-2</v>
      </c>
      <c r="AF170" s="31">
        <f t="shared" si="51"/>
        <v>15.991666666666665</v>
      </c>
      <c r="AG170" s="31">
        <f t="shared" si="54"/>
        <v>75.660239708181365</v>
      </c>
      <c r="AH170" s="31">
        <f t="shared" si="43"/>
        <v>56.928078981405662</v>
      </c>
      <c r="AI170" s="31">
        <f t="shared" si="44"/>
        <v>43.071921018594338</v>
      </c>
      <c r="AJ170" s="31">
        <f t="shared" si="45"/>
        <v>32.329783916556913</v>
      </c>
      <c r="AK170" s="31">
        <f t="shared" si="52"/>
        <v>38.500459815124643</v>
      </c>
      <c r="AL170" s="26">
        <v>42755</v>
      </c>
      <c r="AM170" s="26">
        <v>42758</v>
      </c>
      <c r="AN170" s="25"/>
      <c r="AO170" s="51">
        <f t="shared" si="60"/>
        <v>56.928078981405662</v>
      </c>
      <c r="AP170" s="51">
        <f t="shared" si="46"/>
        <v>43.071921018594338</v>
      </c>
      <c r="AQ170" s="51">
        <f t="shared" si="47"/>
        <v>32.329783916556913</v>
      </c>
      <c r="AR170" s="31">
        <f t="shared" si="58"/>
        <v>38.500459815124643</v>
      </c>
      <c r="AT170" s="51"/>
    </row>
    <row r="171" spans="1:46">
      <c r="A171" s="6" t="s">
        <v>174</v>
      </c>
      <c r="B171" s="6" t="s">
        <v>548</v>
      </c>
      <c r="C171" t="s">
        <v>12</v>
      </c>
      <c r="D171" s="8">
        <v>6</v>
      </c>
      <c r="E171">
        <v>5</v>
      </c>
      <c r="F171" t="s">
        <v>376</v>
      </c>
      <c r="H171" s="36">
        <v>27.79</v>
      </c>
      <c r="I171" s="36">
        <v>4.5999999999999996</v>
      </c>
      <c r="J171" s="42">
        <f t="shared" si="48"/>
        <v>23.189999999999998</v>
      </c>
      <c r="K171" s="44">
        <v>0</v>
      </c>
      <c r="L171" s="44">
        <v>0</v>
      </c>
      <c r="M171" s="44">
        <v>5.28</v>
      </c>
      <c r="N171" s="44">
        <v>3.57</v>
      </c>
      <c r="O171" s="44">
        <f>17.63-P2</f>
        <v>14.28</v>
      </c>
      <c r="P171" s="44">
        <v>0</v>
      </c>
      <c r="Q171" s="44">
        <f t="shared" si="59"/>
        <v>11.149999999999999</v>
      </c>
      <c r="R171" s="44">
        <v>289.07</v>
      </c>
      <c r="S171" s="44">
        <v>285.88</v>
      </c>
      <c r="T171" s="36">
        <f t="shared" si="49"/>
        <v>3.1899999999999977</v>
      </c>
      <c r="U171" s="36">
        <f t="shared" si="50"/>
        <v>3.5700000000000012</v>
      </c>
      <c r="V171" s="26">
        <v>42821</v>
      </c>
      <c r="X171" s="31" t="s">
        <v>469</v>
      </c>
      <c r="Y171" s="8" t="s">
        <v>469</v>
      </c>
      <c r="AA171" s="31">
        <v>2.39</v>
      </c>
      <c r="AB171" s="31">
        <v>5.3810000000000002</v>
      </c>
      <c r="AC171" s="31">
        <f t="shared" si="55"/>
        <v>2.9910000000000001</v>
      </c>
      <c r="AD171" s="31">
        <v>3.6779999999999999</v>
      </c>
      <c r="AE171" s="31">
        <v>8.9999999999999858E-2</v>
      </c>
      <c r="AF171" s="31">
        <f t="shared" si="51"/>
        <v>1.3779999999999997</v>
      </c>
      <c r="AG171" s="31">
        <f t="shared" si="54"/>
        <v>117.05370101596522</v>
      </c>
      <c r="AH171" s="31">
        <f t="shared" si="43"/>
        <v>46.071547977265112</v>
      </c>
      <c r="AI171" s="31">
        <f t="shared" si="44"/>
        <v>53.928452022734888</v>
      </c>
      <c r="AJ171" s="31">
        <f t="shared" si="45"/>
        <v>12.506008024072219</v>
      </c>
      <c r="AK171" s="31">
        <f t="shared" si="52"/>
        <v>1.4696823804747561</v>
      </c>
      <c r="AL171" s="26">
        <v>42823</v>
      </c>
      <c r="AM171" s="26">
        <v>42825</v>
      </c>
      <c r="AN171" s="25"/>
      <c r="AO171" s="51">
        <f t="shared" si="60"/>
        <v>46.071547977265112</v>
      </c>
      <c r="AP171" s="51">
        <f t="shared" si="46"/>
        <v>53.928452022734888</v>
      </c>
      <c r="AQ171" s="51">
        <f t="shared" si="47"/>
        <v>12.506008024072219</v>
      </c>
      <c r="AR171" s="31">
        <f t="shared" si="58"/>
        <v>1.4696823804747561</v>
      </c>
      <c r="AT171" s="51"/>
    </row>
    <row r="172" spans="1:46">
      <c r="A172" s="6" t="s">
        <v>175</v>
      </c>
      <c r="B172" s="6" t="s">
        <v>548</v>
      </c>
      <c r="C172" t="s">
        <v>12</v>
      </c>
      <c r="D172" s="8">
        <v>6</v>
      </c>
      <c r="E172">
        <v>10</v>
      </c>
      <c r="G172" t="s">
        <v>395</v>
      </c>
      <c r="H172" s="36">
        <v>69.59</v>
      </c>
      <c r="I172" s="36">
        <v>4.68</v>
      </c>
      <c r="J172" s="42">
        <f t="shared" si="48"/>
        <v>64.91</v>
      </c>
      <c r="K172" s="44">
        <v>0.3</v>
      </c>
      <c r="L172" s="44">
        <v>0</v>
      </c>
      <c r="M172" s="44">
        <v>0.39</v>
      </c>
      <c r="N172" s="44">
        <v>3.54</v>
      </c>
      <c r="O172" s="44">
        <v>19.850000000000001</v>
      </c>
      <c r="P172" s="44">
        <v>0</v>
      </c>
      <c r="Q172" s="44">
        <f t="shared" si="59"/>
        <v>16.690000000000001</v>
      </c>
      <c r="R172" s="44">
        <v>330.26</v>
      </c>
      <c r="S172" s="44">
        <v>285.88</v>
      </c>
      <c r="T172" s="36">
        <f t="shared" si="49"/>
        <v>44.379999999999995</v>
      </c>
      <c r="U172" s="36">
        <f t="shared" si="50"/>
        <v>3.15</v>
      </c>
      <c r="V172" s="26">
        <v>42821</v>
      </c>
      <c r="X172" s="31">
        <v>4.2880000000000003</v>
      </c>
      <c r="Y172" s="26">
        <v>42821</v>
      </c>
      <c r="AA172" s="31">
        <v>2.3940000000000001</v>
      </c>
      <c r="AB172" s="31">
        <v>22.847000000000001</v>
      </c>
      <c r="AC172" s="31">
        <f t="shared" si="55"/>
        <v>20.453000000000003</v>
      </c>
      <c r="AD172" s="31">
        <v>10.609</v>
      </c>
      <c r="AE172" s="31">
        <v>8.9999999999999858E-2</v>
      </c>
      <c r="AF172" s="31">
        <f t="shared" si="51"/>
        <v>8.3049999999999997</v>
      </c>
      <c r="AG172" s="31">
        <f t="shared" si="54"/>
        <v>146.27332931968698</v>
      </c>
      <c r="AH172" s="31">
        <f t="shared" si="43"/>
        <v>40.605290177480072</v>
      </c>
      <c r="AI172" s="31">
        <f t="shared" si="44"/>
        <v>59.394709822519928</v>
      </c>
      <c r="AJ172" s="31">
        <f t="shared" si="45"/>
        <v>38.374922016330125</v>
      </c>
      <c r="AK172" s="31">
        <f t="shared" si="52"/>
        <v>18.020627780765654</v>
      </c>
      <c r="AL172" s="26">
        <v>42823</v>
      </c>
      <c r="AM172" s="26">
        <v>42825</v>
      </c>
      <c r="AN172" s="25"/>
      <c r="AO172" s="51">
        <f t="shared" si="60"/>
        <v>40.605290177480072</v>
      </c>
      <c r="AP172" s="51">
        <f t="shared" si="46"/>
        <v>59.394709822519928</v>
      </c>
      <c r="AQ172" s="51">
        <f t="shared" si="47"/>
        <v>38.374922016330125</v>
      </c>
      <c r="AR172" s="31">
        <f t="shared" si="58"/>
        <v>18.020627780765654</v>
      </c>
      <c r="AT172" s="51"/>
    </row>
    <row r="173" spans="1:46">
      <c r="A173" s="6" t="s">
        <v>176</v>
      </c>
      <c r="B173" s="6" t="s">
        <v>548</v>
      </c>
      <c r="C173" t="s">
        <v>12</v>
      </c>
      <c r="D173" s="8">
        <v>6</v>
      </c>
      <c r="E173">
        <v>20</v>
      </c>
      <c r="G173" s="24">
        <v>42604</v>
      </c>
      <c r="H173" s="36">
        <v>81.64</v>
      </c>
      <c r="I173" s="36">
        <v>4.63</v>
      </c>
      <c r="J173" s="42">
        <f t="shared" si="48"/>
        <v>77.010000000000005</v>
      </c>
      <c r="K173" s="44">
        <v>4.07</v>
      </c>
      <c r="L173" s="44">
        <v>0</v>
      </c>
      <c r="M173" s="44">
        <v>0.52</v>
      </c>
      <c r="N173" s="44">
        <v>3.39</v>
      </c>
      <c r="O173" s="44">
        <v>7.72</v>
      </c>
      <c r="P173" s="44">
        <v>0</v>
      </c>
      <c r="Q173" s="44">
        <f t="shared" si="59"/>
        <v>4.4099999999999993</v>
      </c>
      <c r="R173" s="44">
        <v>350.55</v>
      </c>
      <c r="S173" s="44">
        <v>285.88</v>
      </c>
      <c r="T173" s="36">
        <f t="shared" si="49"/>
        <v>64.670000000000016</v>
      </c>
      <c r="U173" s="36">
        <f t="shared" si="50"/>
        <v>3.3399999999999892</v>
      </c>
      <c r="V173" s="26">
        <v>42821</v>
      </c>
      <c r="X173" s="31">
        <v>4.3529999999999998</v>
      </c>
      <c r="Y173" s="26">
        <v>42821</v>
      </c>
      <c r="AA173" s="31">
        <v>2.4049999999999998</v>
      </c>
      <c r="AB173" s="31">
        <v>34.618000000000002</v>
      </c>
      <c r="AC173" s="31">
        <f t="shared" si="55"/>
        <v>32.213000000000001</v>
      </c>
      <c r="AD173" s="31">
        <v>20.132999999999999</v>
      </c>
      <c r="AE173" s="31">
        <v>8.9999999999999858E-2</v>
      </c>
      <c r="AF173" s="31">
        <f t="shared" si="51"/>
        <v>17.817999999999998</v>
      </c>
      <c r="AG173" s="31">
        <f t="shared" si="54"/>
        <v>80.789089684588646</v>
      </c>
      <c r="AH173" s="31">
        <f t="shared" si="43"/>
        <v>55.313072362089834</v>
      </c>
      <c r="AI173" s="31">
        <f t="shared" si="44"/>
        <v>44.686927637910166</v>
      </c>
      <c r="AJ173" s="31">
        <f t="shared" si="45"/>
        <v>32.594645019091672</v>
      </c>
      <c r="AK173" s="31">
        <f t="shared" si="52"/>
        <v>35.770963896563501</v>
      </c>
      <c r="AL173" s="26">
        <v>42823</v>
      </c>
      <c r="AM173" s="26">
        <v>42825</v>
      </c>
      <c r="AN173" s="25"/>
      <c r="AO173" s="51">
        <f t="shared" si="60"/>
        <v>55.313072362089834</v>
      </c>
      <c r="AP173" s="51">
        <f t="shared" si="46"/>
        <v>44.686927637910166</v>
      </c>
      <c r="AQ173" s="51">
        <f t="shared" si="47"/>
        <v>32.594645019091672</v>
      </c>
      <c r="AR173" s="31">
        <f t="shared" si="58"/>
        <v>35.770963896563501</v>
      </c>
      <c r="AT173" s="51"/>
    </row>
    <row r="174" spans="1:46">
      <c r="A174" s="6" t="s">
        <v>177</v>
      </c>
      <c r="B174" s="6" t="s">
        <v>548</v>
      </c>
      <c r="C174" t="s">
        <v>12</v>
      </c>
      <c r="D174" s="8">
        <v>6</v>
      </c>
      <c r="E174">
        <v>30</v>
      </c>
      <c r="G174" t="s">
        <v>395</v>
      </c>
      <c r="H174" s="36">
        <v>94.09</v>
      </c>
      <c r="I174" s="36">
        <v>5.0599999999999996</v>
      </c>
      <c r="J174" s="42">
        <f t="shared" si="48"/>
        <v>89.03</v>
      </c>
      <c r="K174" s="44">
        <v>4.01</v>
      </c>
      <c r="L174" s="44">
        <v>0</v>
      </c>
      <c r="M174" s="44">
        <v>0.33</v>
      </c>
      <c r="N174" s="44">
        <v>0</v>
      </c>
      <c r="O174" s="44">
        <v>3.83</v>
      </c>
      <c r="P174" s="44">
        <v>0</v>
      </c>
      <c r="Q174" s="44">
        <f t="shared" si="59"/>
        <v>0.48</v>
      </c>
      <c r="R174" s="44">
        <v>367.16</v>
      </c>
      <c r="S174" s="44">
        <v>285.88</v>
      </c>
      <c r="T174" s="36">
        <f t="shared" si="49"/>
        <v>81.28000000000003</v>
      </c>
      <c r="U174" s="36">
        <f t="shared" si="50"/>
        <v>2.9299999999999713</v>
      </c>
      <c r="V174" s="26">
        <v>42821</v>
      </c>
      <c r="X174" s="31">
        <v>4.1769999999999996</v>
      </c>
      <c r="Y174" s="26">
        <v>42821</v>
      </c>
      <c r="AA174" s="31">
        <v>2.3980000000000001</v>
      </c>
      <c r="AB174" s="31">
        <v>40.612000000000002</v>
      </c>
      <c r="AC174" s="31">
        <f t="shared" si="55"/>
        <v>38.213999999999999</v>
      </c>
      <c r="AD174" s="31">
        <v>20.841999999999999</v>
      </c>
      <c r="AE174" s="31">
        <v>8.9999999999999858E-2</v>
      </c>
      <c r="AF174" s="31">
        <f t="shared" si="51"/>
        <v>18.533999999999999</v>
      </c>
      <c r="AG174" s="31">
        <f t="shared" si="54"/>
        <v>106.18323081903529</v>
      </c>
      <c r="AH174" s="31">
        <f t="shared" si="43"/>
        <v>48.500549536818966</v>
      </c>
      <c r="AI174" s="31">
        <f t="shared" si="44"/>
        <v>51.499450463181034</v>
      </c>
      <c r="AJ174" s="31">
        <f t="shared" si="45"/>
        <v>43.78483278379651</v>
      </c>
      <c r="AK174" s="31">
        <f t="shared" si="52"/>
        <v>39.421246663526468</v>
      </c>
      <c r="AL174" s="26">
        <v>42823</v>
      </c>
      <c r="AM174" s="26">
        <v>42825</v>
      </c>
      <c r="AN174" s="25"/>
      <c r="AO174" s="51">
        <f t="shared" si="60"/>
        <v>48.500549536818966</v>
      </c>
      <c r="AP174" s="51">
        <f t="shared" si="46"/>
        <v>51.499450463181034</v>
      </c>
      <c r="AQ174" s="51">
        <f t="shared" si="47"/>
        <v>43.78483278379651</v>
      </c>
      <c r="AR174" s="31">
        <f t="shared" si="58"/>
        <v>39.421246663526468</v>
      </c>
      <c r="AT174" s="51"/>
    </row>
    <row r="175" spans="1:46">
      <c r="A175" s="6" t="s">
        <v>178</v>
      </c>
      <c r="B175" s="6" t="s">
        <v>548</v>
      </c>
      <c r="C175" t="s">
        <v>13</v>
      </c>
      <c r="D175" s="8">
        <v>1</v>
      </c>
      <c r="E175">
        <v>5</v>
      </c>
      <c r="F175" s="6" t="s">
        <v>781</v>
      </c>
      <c r="G175" t="s">
        <v>395</v>
      </c>
      <c r="H175" s="36">
        <v>58.73</v>
      </c>
      <c r="I175" s="36">
        <v>4.58</v>
      </c>
      <c r="J175" s="42">
        <f t="shared" si="48"/>
        <v>54.15</v>
      </c>
      <c r="K175" s="44">
        <v>0</v>
      </c>
      <c r="L175" s="44">
        <v>1.22</v>
      </c>
      <c r="M175" s="44">
        <v>4.8899999999999997</v>
      </c>
      <c r="N175" s="44">
        <v>3.98</v>
      </c>
      <c r="O175" s="44">
        <v>14.84</v>
      </c>
      <c r="P175" s="44">
        <v>0</v>
      </c>
      <c r="Q175" s="44">
        <f t="shared" si="59"/>
        <v>12.120000000000001</v>
      </c>
      <c r="R175" s="44">
        <v>318.29000000000002</v>
      </c>
      <c r="S175" s="44">
        <v>286.10000000000002</v>
      </c>
      <c r="T175" s="36">
        <f t="shared" si="49"/>
        <v>32.19</v>
      </c>
      <c r="U175" s="36">
        <f t="shared" si="50"/>
        <v>4.95</v>
      </c>
      <c r="V175" s="26">
        <v>42776</v>
      </c>
      <c r="X175" s="31">
        <v>4.8410000000000002</v>
      </c>
      <c r="Y175" s="26">
        <v>42776</v>
      </c>
      <c r="AA175" s="31">
        <v>2.4239999999999999</v>
      </c>
      <c r="AB175" s="31">
        <v>15.724</v>
      </c>
      <c r="AC175" s="31">
        <f t="shared" si="55"/>
        <v>13.3</v>
      </c>
      <c r="AD175" s="31">
        <v>6.25</v>
      </c>
      <c r="AE175" s="31">
        <v>7.4333333333333293E-2</v>
      </c>
      <c r="AF175" s="31">
        <f t="shared" si="51"/>
        <v>3.9003333333333332</v>
      </c>
      <c r="AG175" s="31">
        <f t="shared" si="54"/>
        <v>240.99649602598072</v>
      </c>
      <c r="AH175" s="31">
        <f t="shared" si="43"/>
        <v>29.32581453634085</v>
      </c>
      <c r="AI175" s="31">
        <f t="shared" si="44"/>
        <v>70.674185463659143</v>
      </c>
      <c r="AJ175" s="31">
        <f t="shared" si="45"/>
        <v>38.270071428571427</v>
      </c>
      <c r="AK175" s="31">
        <f t="shared" si="52"/>
        <v>9.4399796992481182</v>
      </c>
      <c r="AL175" s="26">
        <v>42776</v>
      </c>
      <c r="AM175" s="26">
        <v>42778</v>
      </c>
      <c r="AN175" s="25"/>
      <c r="AO175" s="51">
        <f t="shared" si="60"/>
        <v>29.32581453634085</v>
      </c>
      <c r="AP175" s="51">
        <f t="shared" si="46"/>
        <v>70.674185463659143</v>
      </c>
      <c r="AQ175" s="51">
        <f t="shared" si="47"/>
        <v>38.270071428571427</v>
      </c>
      <c r="AR175" s="31">
        <f t="shared" si="58"/>
        <v>9.4399796992481182</v>
      </c>
      <c r="AT175" s="51"/>
    </row>
    <row r="176" spans="1:46">
      <c r="A176" s="6" t="s">
        <v>179</v>
      </c>
      <c r="B176" s="6" t="s">
        <v>548</v>
      </c>
      <c r="C176" t="s">
        <v>13</v>
      </c>
      <c r="D176" s="8">
        <v>1</v>
      </c>
      <c r="E176">
        <v>10</v>
      </c>
      <c r="G176" t="s">
        <v>395</v>
      </c>
      <c r="H176" s="36">
        <v>90.95</v>
      </c>
      <c r="I176" s="36">
        <v>4.1900000000000004</v>
      </c>
      <c r="J176" s="42">
        <f t="shared" si="48"/>
        <v>86.76</v>
      </c>
      <c r="K176" s="44">
        <v>2.79</v>
      </c>
      <c r="L176" s="44">
        <v>0</v>
      </c>
      <c r="M176" s="44">
        <v>3.49</v>
      </c>
      <c r="N176" s="44">
        <v>3.57</v>
      </c>
      <c r="O176" s="44">
        <v>7.66</v>
      </c>
      <c r="P176" s="44">
        <v>0</v>
      </c>
      <c r="Q176" s="44">
        <f t="shared" si="59"/>
        <v>4.53</v>
      </c>
      <c r="R176" s="44">
        <v>358.43</v>
      </c>
      <c r="S176" s="44">
        <v>286.10000000000002</v>
      </c>
      <c r="T176" s="36">
        <f t="shared" si="49"/>
        <v>72.329999999999984</v>
      </c>
      <c r="U176" s="36">
        <f t="shared" si="50"/>
        <v>3.6200000000000196</v>
      </c>
      <c r="V176" s="26">
        <v>42776</v>
      </c>
      <c r="X176" s="31">
        <v>5.03</v>
      </c>
      <c r="Y176" s="26">
        <v>42776</v>
      </c>
      <c r="AA176" s="31">
        <v>2.4079999999999999</v>
      </c>
      <c r="AB176" s="31">
        <v>36.003999999999998</v>
      </c>
      <c r="AC176" s="31">
        <f t="shared" si="55"/>
        <v>33.595999999999997</v>
      </c>
      <c r="AD176" s="31">
        <v>15.613</v>
      </c>
      <c r="AE176" s="31">
        <v>7.4333333333333293E-2</v>
      </c>
      <c r="AF176" s="31">
        <f t="shared" si="51"/>
        <v>13.279333333333334</v>
      </c>
      <c r="AG176" s="31">
        <f t="shared" si="54"/>
        <v>152.99462824438976</v>
      </c>
      <c r="AH176" s="31">
        <f t="shared" si="43"/>
        <v>39.526530936222571</v>
      </c>
      <c r="AI176" s="31">
        <f t="shared" si="44"/>
        <v>60.473469063777429</v>
      </c>
      <c r="AJ176" s="31">
        <f t="shared" si="45"/>
        <v>50.779571972853908</v>
      </c>
      <c r="AK176" s="31">
        <f t="shared" si="52"/>
        <v>28.58953982616978</v>
      </c>
      <c r="AL176" s="26">
        <v>42776</v>
      </c>
      <c r="AM176" s="26">
        <v>42778</v>
      </c>
      <c r="AN176" s="25"/>
      <c r="AO176" s="51">
        <f t="shared" si="60"/>
        <v>39.526530936222571</v>
      </c>
      <c r="AP176" s="51">
        <f t="shared" si="46"/>
        <v>60.473469063777429</v>
      </c>
      <c r="AQ176" s="51">
        <f t="shared" si="47"/>
        <v>50.779571972853908</v>
      </c>
      <c r="AR176" s="31">
        <f t="shared" si="58"/>
        <v>28.58953982616978</v>
      </c>
      <c r="AT176" s="51"/>
    </row>
    <row r="177" spans="1:51">
      <c r="A177" s="6" t="s">
        <v>180</v>
      </c>
      <c r="B177" s="6" t="s">
        <v>548</v>
      </c>
      <c r="C177" t="s">
        <v>13</v>
      </c>
      <c r="D177" s="8">
        <v>1</v>
      </c>
      <c r="E177">
        <v>20</v>
      </c>
      <c r="G177" t="s">
        <v>395</v>
      </c>
      <c r="H177" s="36">
        <v>108.83</v>
      </c>
      <c r="I177" s="36">
        <v>4.68</v>
      </c>
      <c r="J177" s="42">
        <f t="shared" si="48"/>
        <v>104.15</v>
      </c>
      <c r="K177" s="44">
        <v>0</v>
      </c>
      <c r="L177" s="44">
        <v>0</v>
      </c>
      <c r="M177" s="44">
        <v>0.18</v>
      </c>
      <c r="N177" s="44">
        <v>3.4</v>
      </c>
      <c r="O177" s="44">
        <v>3.48</v>
      </c>
      <c r="P177" s="44">
        <v>0</v>
      </c>
      <c r="Q177" s="44">
        <f t="shared" si="59"/>
        <v>0.17999999999999972</v>
      </c>
      <c r="R177" s="44">
        <v>384.46</v>
      </c>
      <c r="S177" s="44">
        <v>286.10000000000002</v>
      </c>
      <c r="T177" s="36">
        <f t="shared" si="49"/>
        <v>98.359999999999957</v>
      </c>
      <c r="U177" s="36">
        <f t="shared" si="50"/>
        <v>5.4300000000000495</v>
      </c>
      <c r="V177" s="26">
        <v>42776</v>
      </c>
      <c r="X177" s="31">
        <v>5.0620000000000003</v>
      </c>
      <c r="Y177" s="26">
        <v>42776</v>
      </c>
      <c r="AA177" s="31">
        <v>2.38</v>
      </c>
      <c r="AB177" s="31">
        <v>49.691000000000003</v>
      </c>
      <c r="AC177" s="31">
        <f t="shared" si="55"/>
        <v>47.311</v>
      </c>
      <c r="AD177" s="31">
        <v>17.797999999999998</v>
      </c>
      <c r="AE177" s="31">
        <v>7.4333333333333293E-2</v>
      </c>
      <c r="AF177" s="31">
        <f t="shared" si="51"/>
        <v>15.492333333333333</v>
      </c>
      <c r="AG177" s="31">
        <f t="shared" si="54"/>
        <v>205.38330787271121</v>
      </c>
      <c r="AH177" s="31">
        <f t="shared" si="43"/>
        <v>32.745732141221559</v>
      </c>
      <c r="AI177" s="31">
        <f t="shared" si="44"/>
        <v>67.254267858778434</v>
      </c>
      <c r="AJ177" s="31">
        <f t="shared" si="45"/>
        <v>70.045319974917746</v>
      </c>
      <c r="AK177" s="31">
        <f t="shared" si="52"/>
        <v>32.208702134105515</v>
      </c>
      <c r="AL177" s="26">
        <v>42776</v>
      </c>
      <c r="AM177" s="26">
        <v>42778</v>
      </c>
      <c r="AN177" s="25"/>
      <c r="AO177" s="51">
        <f t="shared" si="60"/>
        <v>32.745732141221559</v>
      </c>
      <c r="AP177" s="51">
        <f t="shared" si="46"/>
        <v>67.254267858778434</v>
      </c>
      <c r="AQ177" s="51">
        <f t="shared" si="47"/>
        <v>70.045319974917746</v>
      </c>
      <c r="AR177" s="31">
        <f t="shared" si="58"/>
        <v>32.208702134105515</v>
      </c>
      <c r="AT177" s="51"/>
    </row>
    <row r="178" spans="1:51">
      <c r="A178" s="6" t="s">
        <v>181</v>
      </c>
      <c r="B178" s="6" t="s">
        <v>548</v>
      </c>
      <c r="C178" t="s">
        <v>13</v>
      </c>
      <c r="D178" s="8">
        <v>2</v>
      </c>
      <c r="E178">
        <v>5</v>
      </c>
      <c r="F178" t="s">
        <v>783</v>
      </c>
      <c r="G178" t="s">
        <v>395</v>
      </c>
      <c r="H178" s="36">
        <v>94.1</v>
      </c>
      <c r="I178" s="36">
        <v>5.01</v>
      </c>
      <c r="J178" s="42">
        <f t="shared" si="48"/>
        <v>89.089999999999989</v>
      </c>
      <c r="K178" s="38">
        <v>0</v>
      </c>
      <c r="L178" s="44">
        <v>0</v>
      </c>
      <c r="M178" s="44">
        <v>1.43</v>
      </c>
      <c r="N178" s="44">
        <v>4.03</v>
      </c>
      <c r="O178" s="44">
        <v>25.76</v>
      </c>
      <c r="P178" s="44">
        <v>0</v>
      </c>
      <c r="Q178" s="44">
        <f t="shared" si="59"/>
        <v>23.09</v>
      </c>
      <c r="R178" s="44">
        <v>343.11</v>
      </c>
      <c r="S178" s="44">
        <v>286.24</v>
      </c>
      <c r="T178" s="36">
        <f t="shared" si="49"/>
        <v>56.870000000000005</v>
      </c>
      <c r="U178" s="36">
        <f t="shared" si="50"/>
        <v>7.6999999999999851</v>
      </c>
      <c r="V178" s="26">
        <v>42766</v>
      </c>
      <c r="W178" s="25"/>
      <c r="X178" s="31">
        <v>4.524</v>
      </c>
      <c r="Y178" s="26">
        <v>42767</v>
      </c>
      <c r="AA178" s="31">
        <v>2.3959999999999999</v>
      </c>
      <c r="AB178" s="31">
        <v>25.905000000000001</v>
      </c>
      <c r="AC178" s="31">
        <f t="shared" si="55"/>
        <v>23.509</v>
      </c>
      <c r="AD178" s="31">
        <v>8.7520000000000007</v>
      </c>
      <c r="AE178" s="31">
        <v>7.9833333333333645E-2</v>
      </c>
      <c r="AF178" s="31">
        <f t="shared" si="51"/>
        <v>6.4358333333333348</v>
      </c>
      <c r="AG178" s="31">
        <f t="shared" si="54"/>
        <v>265.28292114463284</v>
      </c>
      <c r="AH178" s="31">
        <f t="shared" si="43"/>
        <v>27.376040381697798</v>
      </c>
      <c r="AI178" s="31">
        <f t="shared" si="44"/>
        <v>72.623959618302194</v>
      </c>
      <c r="AJ178" s="31">
        <f t="shared" si="45"/>
        <v>64.700685623945418</v>
      </c>
      <c r="AK178" s="31">
        <f t="shared" si="52"/>
        <v>15.568754165071539</v>
      </c>
      <c r="AL178" s="26">
        <v>42768</v>
      </c>
      <c r="AM178" s="26">
        <v>42770</v>
      </c>
      <c r="AN178" s="25"/>
      <c r="AO178" s="51">
        <f t="shared" si="60"/>
        <v>27.376040381697798</v>
      </c>
      <c r="AP178" s="51">
        <f t="shared" si="46"/>
        <v>72.623959618302194</v>
      </c>
      <c r="AQ178" s="51">
        <f t="shared" si="47"/>
        <v>64.700685623945418</v>
      </c>
      <c r="AR178" s="31">
        <f t="shared" si="58"/>
        <v>15.568754165071539</v>
      </c>
      <c r="AT178" s="51"/>
    </row>
    <row r="179" spans="1:51">
      <c r="A179" s="6" t="s">
        <v>182</v>
      </c>
      <c r="B179" s="6" t="s">
        <v>548</v>
      </c>
      <c r="C179" t="s">
        <v>13</v>
      </c>
      <c r="D179" s="8">
        <v>2</v>
      </c>
      <c r="E179">
        <v>10</v>
      </c>
      <c r="G179" t="s">
        <v>395</v>
      </c>
      <c r="H179" s="36">
        <v>97.27</v>
      </c>
      <c r="I179" s="36">
        <v>5.46</v>
      </c>
      <c r="J179" s="42">
        <f t="shared" si="48"/>
        <v>91.81</v>
      </c>
      <c r="K179" s="38">
        <v>0</v>
      </c>
      <c r="L179" s="44">
        <v>0</v>
      </c>
      <c r="M179" s="44">
        <v>0.97</v>
      </c>
      <c r="N179" s="44">
        <v>4.1900000000000004</v>
      </c>
      <c r="O179" s="44">
        <v>17</v>
      </c>
      <c r="P179" s="44">
        <v>0</v>
      </c>
      <c r="Q179" s="44">
        <f t="shared" si="59"/>
        <v>14.49</v>
      </c>
      <c r="R179" s="44">
        <v>354.22</v>
      </c>
      <c r="S179" s="44">
        <v>286.24</v>
      </c>
      <c r="T179" s="36">
        <f t="shared" si="49"/>
        <v>67.980000000000018</v>
      </c>
      <c r="U179" s="36">
        <f t="shared" si="50"/>
        <v>8.3699999999999832</v>
      </c>
      <c r="V179" s="26">
        <v>42766</v>
      </c>
      <c r="W179" s="25"/>
      <c r="X179" s="31">
        <v>4.5060000000000002</v>
      </c>
      <c r="Y179" s="26">
        <v>42767</v>
      </c>
      <c r="AA179" s="31">
        <v>2.3980000000000001</v>
      </c>
      <c r="AB179" s="31">
        <v>30.526</v>
      </c>
      <c r="AC179" s="31">
        <f t="shared" si="55"/>
        <v>28.128</v>
      </c>
      <c r="AD179" s="31">
        <v>10.656000000000001</v>
      </c>
      <c r="AE179" s="31">
        <v>7.9833333333333645E-2</v>
      </c>
      <c r="AF179" s="31">
        <f t="shared" si="51"/>
        <v>8.3378333333333341</v>
      </c>
      <c r="AG179" s="31">
        <f t="shared" si="54"/>
        <v>237.35382893237647</v>
      </c>
      <c r="AH179" s="31">
        <f t="shared" si="43"/>
        <v>29.642467766401214</v>
      </c>
      <c r="AI179" s="31">
        <f t="shared" si="44"/>
        <v>70.357532233598789</v>
      </c>
      <c r="AJ179" s="31">
        <f t="shared" si="45"/>
        <v>64.595250343667047</v>
      </c>
      <c r="AK179" s="31">
        <f t="shared" si="52"/>
        <v>20.150949587599552</v>
      </c>
      <c r="AL179" s="26">
        <v>42768</v>
      </c>
      <c r="AM179" s="26">
        <v>42770</v>
      </c>
      <c r="AN179" s="25"/>
      <c r="AO179" s="51">
        <f t="shared" si="60"/>
        <v>29.642467766401214</v>
      </c>
      <c r="AP179" s="51">
        <f t="shared" si="46"/>
        <v>70.357532233598789</v>
      </c>
      <c r="AQ179" s="51">
        <f t="shared" si="47"/>
        <v>64.595250343667047</v>
      </c>
      <c r="AR179" s="31">
        <f t="shared" si="58"/>
        <v>20.150949587599552</v>
      </c>
      <c r="AT179" s="51"/>
    </row>
    <row r="180" spans="1:51">
      <c r="A180" s="6" t="s">
        <v>183</v>
      </c>
      <c r="B180" s="6" t="s">
        <v>548</v>
      </c>
      <c r="C180" t="s">
        <v>13</v>
      </c>
      <c r="D180" s="8">
        <v>2</v>
      </c>
      <c r="E180">
        <v>20</v>
      </c>
      <c r="G180" t="s">
        <v>395</v>
      </c>
      <c r="H180" s="36">
        <v>104.38</v>
      </c>
      <c r="I180" s="36">
        <v>5.5</v>
      </c>
      <c r="J180" s="42">
        <f t="shared" si="48"/>
        <v>98.88</v>
      </c>
      <c r="K180" s="38">
        <v>1.95</v>
      </c>
      <c r="L180" s="38">
        <v>0</v>
      </c>
      <c r="M180" s="38">
        <v>0.92</v>
      </c>
      <c r="N180" s="44">
        <v>3.74</v>
      </c>
      <c r="O180" s="44">
        <v>14.53</v>
      </c>
      <c r="P180" s="44">
        <v>0</v>
      </c>
      <c r="Q180" s="44">
        <f t="shared" si="59"/>
        <v>11.57</v>
      </c>
      <c r="R180" s="44">
        <v>365.34</v>
      </c>
      <c r="S180" s="44">
        <v>286.24</v>
      </c>
      <c r="T180" s="36">
        <f t="shared" si="49"/>
        <v>79.099999999999966</v>
      </c>
      <c r="U180" s="36">
        <f t="shared" si="50"/>
        <v>5.3400000000000292</v>
      </c>
      <c r="V180" s="26">
        <v>42766</v>
      </c>
      <c r="W180" s="25"/>
      <c r="X180" s="31">
        <v>4.9470000000000001</v>
      </c>
      <c r="Y180" s="26">
        <v>42767</v>
      </c>
      <c r="AA180" s="31">
        <v>2.3849999999999998</v>
      </c>
      <c r="AB180" s="31">
        <v>36.963000000000001</v>
      </c>
      <c r="AC180" s="31">
        <f t="shared" si="55"/>
        <v>34.578000000000003</v>
      </c>
      <c r="AD180" s="31">
        <v>14.597</v>
      </c>
      <c r="AE180" s="31">
        <v>7.9833333333333645E-2</v>
      </c>
      <c r="AF180" s="31">
        <f t="shared" si="51"/>
        <v>12.291833333333333</v>
      </c>
      <c r="AG180" s="31">
        <f t="shared" si="54"/>
        <v>181.30872801724723</v>
      </c>
      <c r="AH180" s="31">
        <f t="shared" si="43"/>
        <v>35.548132724082748</v>
      </c>
      <c r="AI180" s="31">
        <f t="shared" si="44"/>
        <v>64.451867275917252</v>
      </c>
      <c r="AJ180" s="31">
        <f t="shared" si="45"/>
        <v>62.473194950546585</v>
      </c>
      <c r="AK180" s="31">
        <f t="shared" si="52"/>
        <v>28.118572984749441</v>
      </c>
      <c r="AL180" s="26">
        <v>42768</v>
      </c>
      <c r="AM180" s="26">
        <v>42770</v>
      </c>
      <c r="AN180" s="25"/>
      <c r="AO180" s="51">
        <f t="shared" si="60"/>
        <v>35.548132724082748</v>
      </c>
      <c r="AP180" s="51">
        <f t="shared" si="46"/>
        <v>64.451867275917252</v>
      </c>
      <c r="AQ180" s="51">
        <f t="shared" si="47"/>
        <v>62.473194950546585</v>
      </c>
      <c r="AR180" s="31">
        <f t="shared" si="58"/>
        <v>28.118572984749441</v>
      </c>
      <c r="AT180" s="51"/>
    </row>
    <row r="181" spans="1:51">
      <c r="A181" s="6" t="s">
        <v>184</v>
      </c>
      <c r="B181" s="6" t="s">
        <v>548</v>
      </c>
      <c r="C181" t="s">
        <v>13</v>
      </c>
      <c r="D181" s="8">
        <v>3</v>
      </c>
      <c r="E181">
        <v>5</v>
      </c>
      <c r="F181" t="s">
        <v>784</v>
      </c>
      <c r="G181" s="24">
        <v>42604</v>
      </c>
      <c r="H181" s="36">
        <v>83.86</v>
      </c>
      <c r="I181" s="36">
        <v>4.97</v>
      </c>
      <c r="J181" s="42">
        <f t="shared" si="48"/>
        <v>78.89</v>
      </c>
      <c r="K181" s="44">
        <v>0</v>
      </c>
      <c r="L181" s="44">
        <v>0</v>
      </c>
      <c r="M181" s="44">
        <v>0.06</v>
      </c>
      <c r="N181" s="44">
        <v>3.52</v>
      </c>
      <c r="O181" s="44">
        <v>7.28</v>
      </c>
      <c r="P181" s="44">
        <v>0</v>
      </c>
      <c r="Q181" s="44">
        <f t="shared" si="59"/>
        <v>4.0999999999999996</v>
      </c>
      <c r="R181" s="44">
        <v>353.45</v>
      </c>
      <c r="S181" s="44">
        <v>285.95999999999998</v>
      </c>
      <c r="T181" s="36">
        <f t="shared" si="49"/>
        <v>67.490000000000009</v>
      </c>
      <c r="U181" s="36">
        <f t="shared" si="50"/>
        <v>7.2399999999999922</v>
      </c>
      <c r="V181" s="26">
        <v>42818</v>
      </c>
      <c r="X181" s="31">
        <v>5.2190000000000003</v>
      </c>
      <c r="Y181" s="26">
        <v>42818</v>
      </c>
      <c r="AA181" s="31">
        <v>2.3839999999999999</v>
      </c>
      <c r="AB181" s="31">
        <v>34.652999999999999</v>
      </c>
      <c r="AC181" s="31">
        <f t="shared" ref="AC181:AC192" si="61">AB181-AA181</f>
        <v>32.268999999999998</v>
      </c>
      <c r="AD181" s="31">
        <v>10.279</v>
      </c>
      <c r="AE181" s="31">
        <v>8.4833333333333094E-2</v>
      </c>
      <c r="AF181" s="31">
        <f t="shared" si="51"/>
        <v>7.9798333333333327</v>
      </c>
      <c r="AG181" s="31">
        <f t="shared" si="54"/>
        <v>304.38187932078785</v>
      </c>
      <c r="AH181" s="31">
        <f t="shared" si="43"/>
        <v>24.729100168376252</v>
      </c>
      <c r="AI181" s="31">
        <f t="shared" si="44"/>
        <v>75.270899831623751</v>
      </c>
      <c r="AJ181" s="31">
        <f t="shared" si="45"/>
        <v>59.381212877167982</v>
      </c>
      <c r="AK181" s="31">
        <f t="shared" si="52"/>
        <v>16.689669703637136</v>
      </c>
      <c r="AL181" s="26">
        <v>42818</v>
      </c>
      <c r="AM181" s="26">
        <v>42820</v>
      </c>
      <c r="AN181" s="25"/>
      <c r="AO181" s="51">
        <f t="shared" si="60"/>
        <v>24.729100168376252</v>
      </c>
      <c r="AP181" s="51">
        <f t="shared" si="46"/>
        <v>75.270899831623751</v>
      </c>
      <c r="AQ181" s="51">
        <f t="shared" si="47"/>
        <v>59.381212877167982</v>
      </c>
      <c r="AR181" s="31">
        <f t="shared" si="58"/>
        <v>16.689669703637136</v>
      </c>
      <c r="AT181" s="51"/>
    </row>
    <row r="182" spans="1:51">
      <c r="A182" s="6" t="s">
        <v>185</v>
      </c>
      <c r="B182" s="6" t="s">
        <v>548</v>
      </c>
      <c r="C182" t="s">
        <v>13</v>
      </c>
      <c r="D182" s="8">
        <v>4</v>
      </c>
      <c r="E182">
        <v>5</v>
      </c>
      <c r="G182" s="24">
        <v>42604</v>
      </c>
      <c r="H182" s="36">
        <v>40.82</v>
      </c>
      <c r="I182" s="36">
        <v>4.5599999999999996</v>
      </c>
      <c r="J182" s="42">
        <f t="shared" si="48"/>
        <v>36.26</v>
      </c>
      <c r="K182" s="44">
        <v>0</v>
      </c>
      <c r="L182" s="44">
        <v>0.62</v>
      </c>
      <c r="M182" s="44">
        <v>1.9</v>
      </c>
      <c r="N182" s="44">
        <v>3.69</v>
      </c>
      <c r="O182" s="44">
        <v>15.34</v>
      </c>
      <c r="P182" s="44">
        <v>0</v>
      </c>
      <c r="Q182" s="44">
        <f t="shared" si="59"/>
        <v>12.33</v>
      </c>
      <c r="R182" s="44">
        <v>305</v>
      </c>
      <c r="S182" s="44">
        <v>285.95999999999998</v>
      </c>
      <c r="T182" s="36">
        <f t="shared" si="49"/>
        <v>19.04000000000002</v>
      </c>
      <c r="U182" s="36">
        <f t="shared" si="50"/>
        <v>2.9899999999999776</v>
      </c>
      <c r="V182" s="26">
        <v>42818</v>
      </c>
      <c r="X182" s="31" t="s">
        <v>469</v>
      </c>
      <c r="Y182" s="26">
        <v>42818</v>
      </c>
      <c r="AA182" s="31">
        <v>2.3639999999999999</v>
      </c>
      <c r="AB182" s="31">
        <v>12.198</v>
      </c>
      <c r="AC182" s="31">
        <f t="shared" si="61"/>
        <v>9.8339999999999996</v>
      </c>
      <c r="AD182" s="31">
        <v>5.5469999999999997</v>
      </c>
      <c r="AE182" s="31">
        <v>8.4833333333333094E-2</v>
      </c>
      <c r="AF182" s="31">
        <f t="shared" si="51"/>
        <v>3.2678333333333329</v>
      </c>
      <c r="AG182" s="31">
        <f t="shared" si="54"/>
        <v>200.93334013362576</v>
      </c>
      <c r="AH182" s="31">
        <f t="shared" si="43"/>
        <v>33.229950511829706</v>
      </c>
      <c r="AI182" s="31">
        <f t="shared" si="44"/>
        <v>66.770049488170287</v>
      </c>
      <c r="AJ182" s="31">
        <f t="shared" si="45"/>
        <v>24.210819944410545</v>
      </c>
      <c r="AK182" s="31">
        <f t="shared" si="52"/>
        <v>6.3269825774523838</v>
      </c>
      <c r="AL182" s="26">
        <v>42818</v>
      </c>
      <c r="AM182" s="26">
        <v>42820</v>
      </c>
      <c r="AN182" s="25"/>
      <c r="AO182" s="51">
        <f t="shared" si="60"/>
        <v>33.229950511829706</v>
      </c>
      <c r="AP182" s="51">
        <f t="shared" si="46"/>
        <v>66.770049488170287</v>
      </c>
      <c r="AQ182" s="51">
        <f t="shared" si="47"/>
        <v>24.210819944410545</v>
      </c>
      <c r="AR182" s="31">
        <f t="shared" si="58"/>
        <v>6.3269825774523838</v>
      </c>
      <c r="AT182" s="51"/>
    </row>
    <row r="183" spans="1:51">
      <c r="A183" s="6" t="s">
        <v>186</v>
      </c>
      <c r="B183" s="6" t="s">
        <v>548</v>
      </c>
      <c r="C183" t="s">
        <v>13</v>
      </c>
      <c r="D183" s="8">
        <v>4</v>
      </c>
      <c r="E183">
        <v>10</v>
      </c>
      <c r="G183" s="24">
        <v>42604</v>
      </c>
      <c r="H183" s="36">
        <v>58.68</v>
      </c>
      <c r="I183" s="36">
        <v>4.57</v>
      </c>
      <c r="J183" s="42">
        <f t="shared" si="48"/>
        <v>54.11</v>
      </c>
      <c r="K183" s="44">
        <v>0</v>
      </c>
      <c r="L183" s="44">
        <v>0.35</v>
      </c>
      <c r="M183" s="44">
        <v>2.19</v>
      </c>
      <c r="N183" s="44">
        <v>3.46</v>
      </c>
      <c r="O183" s="44">
        <v>10.029999999999999</v>
      </c>
      <c r="P183" s="44">
        <v>0</v>
      </c>
      <c r="Q183" s="44">
        <f t="shared" si="59"/>
        <v>6.7899999999999991</v>
      </c>
      <c r="R183" s="44">
        <v>327.74</v>
      </c>
      <c r="S183" s="44">
        <v>285.89</v>
      </c>
      <c r="T183" s="36">
        <f t="shared" si="49"/>
        <v>41.850000000000023</v>
      </c>
      <c r="U183" s="36">
        <f t="shared" si="50"/>
        <v>3.2799999999999776</v>
      </c>
      <c r="V183" s="26">
        <v>42818</v>
      </c>
      <c r="X183" s="31">
        <v>5.2759999999999998</v>
      </c>
      <c r="Y183" s="26">
        <v>42818</v>
      </c>
      <c r="AA183" s="31">
        <v>2.3980000000000001</v>
      </c>
      <c r="AB183" s="31">
        <v>21.689</v>
      </c>
      <c r="AC183" s="31">
        <f t="shared" si="61"/>
        <v>19.291</v>
      </c>
      <c r="AD183" s="31">
        <v>7.8879999999999999</v>
      </c>
      <c r="AE183" s="31">
        <v>8.4833333333333094E-2</v>
      </c>
      <c r="AF183" s="31">
        <f t="shared" si="51"/>
        <v>5.5748333333333333</v>
      </c>
      <c r="AG183" s="31">
        <f t="shared" si="54"/>
        <v>246.0372507399324</v>
      </c>
      <c r="AH183" s="31">
        <f t="shared" si="43"/>
        <v>28.898622846577847</v>
      </c>
      <c r="AI183" s="31">
        <f t="shared" si="44"/>
        <v>71.101377153422149</v>
      </c>
      <c r="AJ183" s="31">
        <f t="shared" si="45"/>
        <v>38.472955177716727</v>
      </c>
      <c r="AK183" s="31">
        <f t="shared" si="52"/>
        <v>12.094073661292835</v>
      </c>
      <c r="AL183" s="26">
        <v>42818</v>
      </c>
      <c r="AM183" s="26">
        <v>42820</v>
      </c>
      <c r="AN183" s="25"/>
      <c r="AO183" s="51">
        <f t="shared" si="60"/>
        <v>28.898622846577847</v>
      </c>
      <c r="AP183" s="51">
        <f t="shared" si="46"/>
        <v>71.101377153422149</v>
      </c>
      <c r="AQ183" s="51">
        <f t="shared" si="47"/>
        <v>38.472955177716727</v>
      </c>
      <c r="AR183" s="31">
        <f t="shared" si="58"/>
        <v>12.094073661292835</v>
      </c>
      <c r="AT183" s="51"/>
    </row>
    <row r="184" spans="1:51">
      <c r="A184" s="6" t="s">
        <v>187</v>
      </c>
      <c r="B184" s="6" t="s">
        <v>548</v>
      </c>
      <c r="C184" t="s">
        <v>13</v>
      </c>
      <c r="D184" s="8">
        <v>4</v>
      </c>
      <c r="E184">
        <v>20</v>
      </c>
      <c r="G184" s="24">
        <v>42604</v>
      </c>
      <c r="H184" s="36">
        <v>92.31</v>
      </c>
      <c r="I184" s="36">
        <v>4.91</v>
      </c>
      <c r="J184" s="42">
        <f t="shared" si="48"/>
        <v>87.4</v>
      </c>
      <c r="K184" s="44">
        <v>0.01</v>
      </c>
      <c r="L184" s="44">
        <v>0</v>
      </c>
      <c r="M184" s="44">
        <v>0</v>
      </c>
      <c r="N184" s="44">
        <v>3.36</v>
      </c>
      <c r="O184" s="44">
        <v>12.04</v>
      </c>
      <c r="P184" s="44">
        <v>0</v>
      </c>
      <c r="Q184" s="44">
        <f t="shared" si="59"/>
        <v>8.6999999999999993</v>
      </c>
      <c r="R184" s="44">
        <v>361.37</v>
      </c>
      <c r="S184" s="44">
        <v>285.89</v>
      </c>
      <c r="T184" s="36">
        <f t="shared" si="49"/>
        <v>75.480000000000018</v>
      </c>
      <c r="U184" s="36">
        <f t="shared" si="50"/>
        <v>3.2099999999999884</v>
      </c>
      <c r="V184" s="26">
        <v>42818</v>
      </c>
      <c r="X184" s="31">
        <v>5.2140000000000004</v>
      </c>
      <c r="Y184" s="26">
        <v>42818</v>
      </c>
      <c r="AA184" s="31">
        <v>2.3959999999999999</v>
      </c>
      <c r="AB184" s="31">
        <v>37.265999999999998</v>
      </c>
      <c r="AC184" s="31">
        <f t="shared" si="61"/>
        <v>34.869999999999997</v>
      </c>
      <c r="AD184" s="31">
        <v>14.345000000000001</v>
      </c>
      <c r="AE184" s="31">
        <v>8.4833333333333094E-2</v>
      </c>
      <c r="AF184" s="31">
        <f t="shared" si="51"/>
        <v>12.033833333333334</v>
      </c>
      <c r="AG184" s="31">
        <f t="shared" si="54"/>
        <v>189.76635319862052</v>
      </c>
      <c r="AH184" s="31">
        <f t="shared" si="43"/>
        <v>34.510563043686076</v>
      </c>
      <c r="AI184" s="31">
        <f t="shared" si="44"/>
        <v>65.489436956313924</v>
      </c>
      <c r="AJ184" s="31">
        <f t="shared" si="45"/>
        <v>57.231218956122738</v>
      </c>
      <c r="AK184" s="31">
        <f t="shared" si="52"/>
        <v>26.048572985374257</v>
      </c>
      <c r="AL184" s="26">
        <v>42818</v>
      </c>
      <c r="AM184" s="26">
        <v>42820</v>
      </c>
      <c r="AN184" s="25"/>
      <c r="AO184" s="51">
        <f t="shared" si="60"/>
        <v>34.510563043686076</v>
      </c>
      <c r="AP184" s="51">
        <f t="shared" si="46"/>
        <v>65.489436956313924</v>
      </c>
      <c r="AQ184" s="51">
        <f t="shared" si="47"/>
        <v>57.231218956122738</v>
      </c>
      <c r="AR184" s="31">
        <f t="shared" si="58"/>
        <v>26.048572985374257</v>
      </c>
      <c r="AT184" s="51"/>
    </row>
    <row r="185" spans="1:51">
      <c r="A185" s="6" t="s">
        <v>188</v>
      </c>
      <c r="B185" s="6" t="s">
        <v>548</v>
      </c>
      <c r="C185" t="s">
        <v>13</v>
      </c>
      <c r="D185" s="8">
        <v>5</v>
      </c>
      <c r="E185">
        <v>5</v>
      </c>
      <c r="G185" s="24">
        <v>42604</v>
      </c>
      <c r="H185" s="36">
        <v>82.72</v>
      </c>
      <c r="I185" s="36">
        <v>4.9400000000000004</v>
      </c>
      <c r="J185" s="42">
        <f t="shared" si="48"/>
        <v>77.78</v>
      </c>
      <c r="K185" s="44">
        <v>0</v>
      </c>
      <c r="L185" s="44">
        <v>0.17</v>
      </c>
      <c r="M185" s="44">
        <v>4.63</v>
      </c>
      <c r="N185" s="44">
        <v>4.53</v>
      </c>
      <c r="O185" s="44">
        <v>20.09</v>
      </c>
      <c r="P185" s="44">
        <v>0</v>
      </c>
      <c r="Q185" s="44">
        <f t="shared" si="59"/>
        <v>17.919999999999998</v>
      </c>
      <c r="R185" s="44">
        <v>330.86</v>
      </c>
      <c r="S185" s="44">
        <v>286</v>
      </c>
      <c r="T185" s="36">
        <f t="shared" si="49"/>
        <v>44.860000000000014</v>
      </c>
      <c r="U185" s="36">
        <f t="shared" si="50"/>
        <v>10.36999999999999</v>
      </c>
      <c r="V185" s="26">
        <v>42791</v>
      </c>
      <c r="X185" s="31">
        <v>5.0650000000000004</v>
      </c>
      <c r="Y185" s="26">
        <v>42791</v>
      </c>
      <c r="AA185" s="31">
        <v>2.444</v>
      </c>
      <c r="AB185" s="31">
        <v>19.544</v>
      </c>
      <c r="AC185" s="31">
        <f t="shared" si="61"/>
        <v>17.100000000000001</v>
      </c>
      <c r="AD185" s="31">
        <v>6.1479999999999997</v>
      </c>
      <c r="AE185" s="31">
        <v>9.2666666666666828E-2</v>
      </c>
      <c r="AF185" s="31">
        <f t="shared" si="51"/>
        <v>3.7966666666666664</v>
      </c>
      <c r="AG185" s="31">
        <f t="shared" si="54"/>
        <v>350.39508340649701</v>
      </c>
      <c r="AH185" s="31">
        <f t="shared" si="43"/>
        <v>22.202729044834303</v>
      </c>
      <c r="AI185" s="31">
        <f t="shared" si="44"/>
        <v>77.7972709551657</v>
      </c>
      <c r="AJ185" s="31">
        <f t="shared" si="45"/>
        <v>60.510717348927884</v>
      </c>
      <c r="AK185" s="31">
        <f t="shared" si="52"/>
        <v>9.9601442495126715</v>
      </c>
      <c r="AL185" s="26">
        <v>42795</v>
      </c>
      <c r="AM185" s="26">
        <v>42797</v>
      </c>
      <c r="AN185" s="25"/>
      <c r="AO185" s="51">
        <f t="shared" si="60"/>
        <v>22.202729044834303</v>
      </c>
      <c r="AP185" s="51">
        <f t="shared" si="46"/>
        <v>77.7972709551657</v>
      </c>
      <c r="AQ185" s="51">
        <f t="shared" si="47"/>
        <v>60.510717348927884</v>
      </c>
      <c r="AR185" s="31">
        <f t="shared" si="58"/>
        <v>9.9601442495126715</v>
      </c>
      <c r="AT185" s="51"/>
    </row>
    <row r="186" spans="1:51">
      <c r="A186" s="6" t="s">
        <v>189</v>
      </c>
      <c r="B186" s="6" t="s">
        <v>548</v>
      </c>
      <c r="C186" t="s">
        <v>13</v>
      </c>
      <c r="D186" s="8">
        <v>5</v>
      </c>
      <c r="E186">
        <v>10</v>
      </c>
      <c r="G186" s="24">
        <v>42604</v>
      </c>
      <c r="H186" s="36">
        <v>99.24</v>
      </c>
      <c r="I186" s="36">
        <v>5.65</v>
      </c>
      <c r="J186" s="42">
        <f t="shared" si="48"/>
        <v>93.589999999999989</v>
      </c>
      <c r="K186" s="44">
        <v>0</v>
      </c>
      <c r="L186" s="44">
        <v>0</v>
      </c>
      <c r="M186" s="44">
        <v>0.88</v>
      </c>
      <c r="N186" s="44">
        <v>3.65</v>
      </c>
      <c r="O186" s="44">
        <v>12.91</v>
      </c>
      <c r="P186" s="44">
        <v>0</v>
      </c>
      <c r="Q186" s="44">
        <f t="shared" si="59"/>
        <v>9.86</v>
      </c>
      <c r="R186" s="44">
        <v>358</v>
      </c>
      <c r="S186" s="44">
        <v>286.89999999999998</v>
      </c>
      <c r="T186" s="36">
        <f t="shared" si="49"/>
        <v>71.100000000000023</v>
      </c>
      <c r="U186" s="36">
        <f t="shared" si="50"/>
        <v>11.749999999999966</v>
      </c>
      <c r="V186" s="26">
        <v>42791</v>
      </c>
      <c r="X186" s="31">
        <v>4.9260000000000002</v>
      </c>
      <c r="Y186" s="26">
        <v>42791</v>
      </c>
      <c r="AA186" s="31">
        <v>2.464</v>
      </c>
      <c r="AB186" s="31">
        <v>31.183</v>
      </c>
      <c r="AC186" s="31">
        <f t="shared" si="61"/>
        <v>28.719000000000001</v>
      </c>
      <c r="AD186" s="31">
        <v>9.7409999999999997</v>
      </c>
      <c r="AE186" s="31">
        <v>9.2666666666666828E-2</v>
      </c>
      <c r="AF186" s="31">
        <f t="shared" si="51"/>
        <v>7.3696666666666664</v>
      </c>
      <c r="AG186" s="31">
        <f t="shared" si="54"/>
        <v>289.69198064136776</v>
      </c>
      <c r="AH186" s="31">
        <f t="shared" si="43"/>
        <v>25.661292756247313</v>
      </c>
      <c r="AI186" s="31">
        <f t="shared" si="44"/>
        <v>74.33870724375268</v>
      </c>
      <c r="AJ186" s="31">
        <f t="shared" si="45"/>
        <v>69.573596109428124</v>
      </c>
      <c r="AK186" s="31">
        <f t="shared" si="52"/>
        <v>18.245179149691843</v>
      </c>
      <c r="AL186" s="26">
        <v>42795</v>
      </c>
      <c r="AM186" s="26">
        <v>42797</v>
      </c>
      <c r="AN186" s="25"/>
      <c r="AO186" s="51">
        <f t="shared" si="60"/>
        <v>25.661292756247313</v>
      </c>
      <c r="AP186" s="51">
        <f t="shared" si="46"/>
        <v>74.33870724375268</v>
      </c>
      <c r="AQ186" s="51">
        <f t="shared" si="47"/>
        <v>69.573596109428124</v>
      </c>
      <c r="AR186" s="31">
        <f t="shared" si="58"/>
        <v>18.245179149691843</v>
      </c>
      <c r="AT186" s="51"/>
    </row>
    <row r="187" spans="1:51">
      <c r="A187" s="6" t="s">
        <v>190</v>
      </c>
      <c r="B187" s="6" t="s">
        <v>548</v>
      </c>
      <c r="C187" t="s">
        <v>13</v>
      </c>
      <c r="D187" s="8">
        <v>5</v>
      </c>
      <c r="E187">
        <v>20</v>
      </c>
      <c r="G187" s="24">
        <v>42604</v>
      </c>
      <c r="H187" s="36">
        <v>114.6</v>
      </c>
      <c r="I187" s="36">
        <v>5.59</v>
      </c>
      <c r="J187" s="42">
        <f t="shared" si="48"/>
        <v>109.00999999999999</v>
      </c>
      <c r="K187" s="44">
        <v>0.08</v>
      </c>
      <c r="L187" s="44">
        <v>0</v>
      </c>
      <c r="M187" s="44">
        <v>0</v>
      </c>
      <c r="N187" s="44">
        <v>3.46</v>
      </c>
      <c r="O187" s="44">
        <v>20.21</v>
      </c>
      <c r="P187" s="44">
        <v>0</v>
      </c>
      <c r="Q187" s="44">
        <f t="shared" si="59"/>
        <v>16.97</v>
      </c>
      <c r="R187" s="44">
        <v>369.78</v>
      </c>
      <c r="S187" s="44">
        <v>286.67</v>
      </c>
      <c r="T187" s="36">
        <f t="shared" si="49"/>
        <v>83.109999999999957</v>
      </c>
      <c r="U187" s="36">
        <f t="shared" si="50"/>
        <v>8.8500000000000352</v>
      </c>
      <c r="V187" s="26">
        <v>42791</v>
      </c>
      <c r="W187" s="3" t="s">
        <v>670</v>
      </c>
      <c r="X187" s="31">
        <v>4.9379999999999997</v>
      </c>
      <c r="Y187" s="26">
        <v>42791</v>
      </c>
      <c r="AA187" s="31">
        <v>2.3780000000000001</v>
      </c>
      <c r="AB187" s="31">
        <v>40.152000000000001</v>
      </c>
      <c r="AC187" s="31">
        <f t="shared" si="61"/>
        <v>37.774000000000001</v>
      </c>
      <c r="AD187" s="31">
        <v>18.815000000000001</v>
      </c>
      <c r="AE187" s="31">
        <v>9.2666666666666828E-2</v>
      </c>
      <c r="AF187" s="31">
        <f t="shared" si="51"/>
        <v>16.529666666666667</v>
      </c>
      <c r="AG187" s="31">
        <f t="shared" si="54"/>
        <v>128.52245457661982</v>
      </c>
      <c r="AH187" s="31">
        <f t="shared" si="43"/>
        <v>43.759375937593759</v>
      </c>
      <c r="AI187" s="31">
        <f t="shared" si="44"/>
        <v>56.240624062406241</v>
      </c>
      <c r="AJ187" s="31">
        <f t="shared" si="45"/>
        <v>61.262911791179114</v>
      </c>
      <c r="AK187" s="31">
        <f t="shared" si="52"/>
        <v>36.368417341734151</v>
      </c>
      <c r="AL187" s="26">
        <v>42795</v>
      </c>
      <c r="AM187" s="26">
        <v>42797</v>
      </c>
      <c r="AN187" s="25"/>
      <c r="AO187" s="51">
        <f t="shared" si="60"/>
        <v>43.759375937593759</v>
      </c>
      <c r="AP187" s="51">
        <f t="shared" si="46"/>
        <v>56.240624062406241</v>
      </c>
      <c r="AQ187" s="51">
        <f t="shared" si="47"/>
        <v>61.262911791179114</v>
      </c>
      <c r="AR187" s="31">
        <f t="shared" si="58"/>
        <v>36.368417341734151</v>
      </c>
      <c r="AT187" s="51"/>
    </row>
    <row r="188" spans="1:51">
      <c r="A188" s="6" t="s">
        <v>191</v>
      </c>
      <c r="B188" s="6" t="s">
        <v>548</v>
      </c>
      <c r="C188" t="s">
        <v>13</v>
      </c>
      <c r="D188" s="8">
        <v>5</v>
      </c>
      <c r="E188">
        <v>30</v>
      </c>
      <c r="G188" s="24">
        <v>42604</v>
      </c>
      <c r="H188" s="36">
        <v>111.13</v>
      </c>
      <c r="I188" s="36">
        <v>5.48</v>
      </c>
      <c r="J188" s="42">
        <f t="shared" si="48"/>
        <v>105.64999999999999</v>
      </c>
      <c r="K188" s="44">
        <v>0.36</v>
      </c>
      <c r="L188" s="44">
        <v>0</v>
      </c>
      <c r="M188" s="44">
        <v>0</v>
      </c>
      <c r="N188" s="44">
        <v>3.55</v>
      </c>
      <c r="O188" s="44">
        <v>10.74</v>
      </c>
      <c r="P188" s="44">
        <v>0</v>
      </c>
      <c r="Q188" s="44">
        <f t="shared" si="59"/>
        <v>7.59</v>
      </c>
      <c r="R188" s="44">
        <v>377.51</v>
      </c>
      <c r="S188" s="44">
        <v>286.67</v>
      </c>
      <c r="T188" s="36">
        <f t="shared" si="49"/>
        <v>90.839999999999975</v>
      </c>
      <c r="U188" s="36">
        <f t="shared" si="50"/>
        <v>6.8600000000000163</v>
      </c>
      <c r="V188" s="26">
        <v>42791</v>
      </c>
      <c r="W188" s="3" t="s">
        <v>671</v>
      </c>
      <c r="X188" s="31">
        <v>5.2309999999999999</v>
      </c>
      <c r="Y188" s="26">
        <v>42791</v>
      </c>
      <c r="AA188" s="31">
        <v>2.419</v>
      </c>
      <c r="AB188" s="31">
        <v>44.116</v>
      </c>
      <c r="AC188" s="31">
        <f t="shared" si="61"/>
        <v>41.697000000000003</v>
      </c>
      <c r="AD188" s="31">
        <v>18.454999999999998</v>
      </c>
      <c r="AE188" s="31">
        <v>9.2666666666666828E-2</v>
      </c>
      <c r="AF188" s="31">
        <f t="shared" si="51"/>
        <v>16.128666666666664</v>
      </c>
      <c r="AG188" s="31">
        <f t="shared" si="54"/>
        <v>158.52725995122563</v>
      </c>
      <c r="AH188" s="31">
        <f t="shared" si="43"/>
        <v>38.680640493720567</v>
      </c>
      <c r="AI188" s="31">
        <f t="shared" si="44"/>
        <v>61.319359506279433</v>
      </c>
      <c r="AJ188" s="31">
        <f t="shared" si="45"/>
        <v>64.563153624161615</v>
      </c>
      <c r="AK188" s="31">
        <f t="shared" si="52"/>
        <v>35.137493824495756</v>
      </c>
      <c r="AL188" s="26">
        <v>42795</v>
      </c>
      <c r="AM188" s="26">
        <v>42797</v>
      </c>
      <c r="AN188" s="25"/>
      <c r="AO188" s="51">
        <f t="shared" si="60"/>
        <v>38.680640493720567</v>
      </c>
      <c r="AP188" s="51">
        <f t="shared" si="46"/>
        <v>61.319359506279433</v>
      </c>
      <c r="AQ188" s="51">
        <f t="shared" si="47"/>
        <v>64.563153624161615</v>
      </c>
      <c r="AR188" s="31">
        <f t="shared" si="58"/>
        <v>35.137493824495756</v>
      </c>
      <c r="AT188" s="51"/>
    </row>
    <row r="189" spans="1:51">
      <c r="A189" s="6" t="s">
        <v>192</v>
      </c>
      <c r="B189" s="6" t="s">
        <v>548</v>
      </c>
      <c r="C189" t="s">
        <v>13</v>
      </c>
      <c r="D189" s="8">
        <v>6</v>
      </c>
      <c r="E189">
        <v>5</v>
      </c>
      <c r="G189" s="24">
        <v>42604</v>
      </c>
      <c r="H189" s="36">
        <v>69.959999999999994</v>
      </c>
      <c r="I189" s="38">
        <v>4.67</v>
      </c>
      <c r="J189" s="42">
        <f t="shared" si="48"/>
        <v>65.289999999999992</v>
      </c>
      <c r="K189" s="38">
        <v>0</v>
      </c>
      <c r="L189" s="44">
        <v>1.53</v>
      </c>
      <c r="M189" s="44">
        <v>2.11</v>
      </c>
      <c r="N189" s="44">
        <v>4.63</v>
      </c>
      <c r="O189" s="44">
        <v>4.5599999999999996</v>
      </c>
      <c r="P189" s="44">
        <v>0</v>
      </c>
      <c r="Q189" s="44">
        <f t="shared" si="59"/>
        <v>2.4899999999999993</v>
      </c>
      <c r="R189" s="44">
        <v>333.16</v>
      </c>
      <c r="S189" s="44">
        <v>286.37</v>
      </c>
      <c r="T189" s="36">
        <f t="shared" si="49"/>
        <v>46.79000000000002</v>
      </c>
      <c r="U189" s="36">
        <f t="shared" si="50"/>
        <v>13.899999999999974</v>
      </c>
      <c r="V189" s="26">
        <v>42753</v>
      </c>
      <c r="W189" s="25"/>
      <c r="X189" s="31">
        <v>5.1159999999999997</v>
      </c>
      <c r="Y189" s="26">
        <v>42753</v>
      </c>
      <c r="AA189" s="31">
        <v>2.4350000000000001</v>
      </c>
      <c r="AB189" s="31">
        <v>19.917999999999999</v>
      </c>
      <c r="AC189" s="31">
        <f t="shared" si="61"/>
        <v>17.483000000000001</v>
      </c>
      <c r="AD189" s="31">
        <v>6.7370000000000001</v>
      </c>
      <c r="AE189" s="31">
        <v>4.2666666666666853E-2</v>
      </c>
      <c r="AF189" s="31">
        <f t="shared" si="51"/>
        <v>4.3446666666666669</v>
      </c>
      <c r="AG189" s="31">
        <f t="shared" si="54"/>
        <v>302.40141169249654</v>
      </c>
      <c r="AH189" s="31">
        <f t="shared" si="43"/>
        <v>24.850807451047686</v>
      </c>
      <c r="AI189" s="31">
        <f t="shared" si="44"/>
        <v>75.149192548952314</v>
      </c>
      <c r="AJ189" s="31">
        <f t="shared" si="45"/>
        <v>49.064907815210958</v>
      </c>
      <c r="AK189" s="31">
        <f t="shared" si="52"/>
        <v>11.627692806345216</v>
      </c>
      <c r="AL189" s="26">
        <v>42755</v>
      </c>
      <c r="AM189" s="26">
        <v>42758</v>
      </c>
      <c r="AN189" s="25"/>
      <c r="AO189" s="51">
        <f t="shared" si="60"/>
        <v>24.850807451047686</v>
      </c>
      <c r="AP189" s="51">
        <f t="shared" si="46"/>
        <v>75.149192548952314</v>
      </c>
      <c r="AQ189" s="51">
        <f t="shared" si="47"/>
        <v>49.064907815210958</v>
      </c>
      <c r="AR189" s="31">
        <f t="shared" si="58"/>
        <v>11.627692806345216</v>
      </c>
      <c r="AT189" s="51"/>
    </row>
    <row r="190" spans="1:51">
      <c r="A190" s="6" t="s">
        <v>193</v>
      </c>
      <c r="B190" s="6" t="s">
        <v>548</v>
      </c>
      <c r="C190" t="s">
        <v>13</v>
      </c>
      <c r="D190" s="8">
        <v>6</v>
      </c>
      <c r="E190">
        <v>10</v>
      </c>
      <c r="G190" s="24">
        <v>42604</v>
      </c>
      <c r="H190" s="36">
        <v>100.46</v>
      </c>
      <c r="I190" s="38">
        <v>3.71</v>
      </c>
      <c r="J190" s="42">
        <f t="shared" si="48"/>
        <v>96.75</v>
      </c>
      <c r="K190" s="38">
        <v>7.0000000000000007E-2</v>
      </c>
      <c r="L190" s="44">
        <v>0</v>
      </c>
      <c r="M190" s="44">
        <v>0.23</v>
      </c>
      <c r="N190" s="44">
        <v>3.64</v>
      </c>
      <c r="O190" s="44">
        <v>4.78</v>
      </c>
      <c r="P190" s="44">
        <v>0</v>
      </c>
      <c r="Q190" s="44">
        <f t="shared" si="59"/>
        <v>1.7200000000000002</v>
      </c>
      <c r="R190" s="44">
        <v>370.36</v>
      </c>
      <c r="S190" s="44">
        <v>286.37</v>
      </c>
      <c r="T190" s="36">
        <f t="shared" si="49"/>
        <v>83.990000000000009</v>
      </c>
      <c r="U190" s="36">
        <f t="shared" si="50"/>
        <v>10.73999999999999</v>
      </c>
      <c r="V190" s="26">
        <v>42753</v>
      </c>
      <c r="W190" s="25"/>
      <c r="X190" s="31">
        <v>5.16</v>
      </c>
      <c r="Y190" s="26">
        <v>42753</v>
      </c>
      <c r="AA190" s="31">
        <v>2.4350000000000001</v>
      </c>
      <c r="AB190" s="31">
        <v>40.753</v>
      </c>
      <c r="AC190" s="31">
        <f t="shared" si="61"/>
        <v>38.317999999999998</v>
      </c>
      <c r="AD190" s="31">
        <v>12.098000000000001</v>
      </c>
      <c r="AE190" s="31">
        <v>4.2666666666666853E-2</v>
      </c>
      <c r="AF190" s="31">
        <f t="shared" si="51"/>
        <v>9.7056666666666676</v>
      </c>
      <c r="AG190" s="31">
        <f t="shared" si="54"/>
        <v>294.80028849125938</v>
      </c>
      <c r="AH190" s="31">
        <f t="shared" si="43"/>
        <v>25.32926213963847</v>
      </c>
      <c r="AI190" s="31">
        <f t="shared" si="44"/>
        <v>74.670737860361527</v>
      </c>
      <c r="AJ190" s="31">
        <f t="shared" si="45"/>
        <v>72.191669363397537</v>
      </c>
      <c r="AK190" s="31">
        <f t="shared" si="52"/>
        <v>21.274047271082352</v>
      </c>
      <c r="AL190" s="26">
        <v>42755</v>
      </c>
      <c r="AM190" s="26">
        <v>42758</v>
      </c>
      <c r="AN190" s="25"/>
      <c r="AO190" s="51">
        <f t="shared" si="60"/>
        <v>25.32926213963847</v>
      </c>
      <c r="AP190" s="51">
        <f t="shared" si="46"/>
        <v>74.670737860361527</v>
      </c>
      <c r="AQ190" s="51">
        <f t="shared" si="47"/>
        <v>72.191669363397537</v>
      </c>
      <c r="AR190" s="31">
        <f t="shared" si="58"/>
        <v>21.274047271082352</v>
      </c>
      <c r="AT190" s="51"/>
    </row>
    <row r="191" spans="1:51">
      <c r="A191" s="6" t="s">
        <v>194</v>
      </c>
      <c r="B191" s="6" t="s">
        <v>548</v>
      </c>
      <c r="C191" t="s">
        <v>13</v>
      </c>
      <c r="D191" s="8">
        <v>6</v>
      </c>
      <c r="E191">
        <v>20</v>
      </c>
      <c r="G191" s="24">
        <v>42604</v>
      </c>
      <c r="H191" s="36">
        <v>109.85</v>
      </c>
      <c r="I191" s="38">
        <v>4.38</v>
      </c>
      <c r="J191" s="42">
        <f t="shared" si="48"/>
        <v>105.47</v>
      </c>
      <c r="K191" s="38">
        <v>7.0000000000000007E-2</v>
      </c>
      <c r="L191" s="38">
        <v>0</v>
      </c>
      <c r="M191" s="38">
        <v>0.47</v>
      </c>
      <c r="N191" s="44">
        <v>3.61</v>
      </c>
      <c r="O191" s="44">
        <v>11.98</v>
      </c>
      <c r="P191" s="44">
        <v>0</v>
      </c>
      <c r="Q191" s="44">
        <f t="shared" si="59"/>
        <v>8.89</v>
      </c>
      <c r="R191" s="44">
        <v>375.87</v>
      </c>
      <c r="S191" s="44">
        <v>286.37</v>
      </c>
      <c r="T191" s="36">
        <f t="shared" si="49"/>
        <v>89.5</v>
      </c>
      <c r="U191" s="36">
        <f t="shared" si="50"/>
        <v>6.5399999999999983</v>
      </c>
      <c r="V191" s="26">
        <v>42753</v>
      </c>
      <c r="W191" s="25"/>
      <c r="X191" s="31">
        <v>5.6470000000000002</v>
      </c>
      <c r="Y191" s="26">
        <v>42753</v>
      </c>
      <c r="AA191" s="31">
        <v>2.415</v>
      </c>
      <c r="AB191" s="31">
        <v>48.441000000000003</v>
      </c>
      <c r="AC191" s="31">
        <f t="shared" si="61"/>
        <v>46.026000000000003</v>
      </c>
      <c r="AD191" s="31">
        <v>16.977</v>
      </c>
      <c r="AE191" s="31">
        <v>4.2666666666666853E-2</v>
      </c>
      <c r="AF191" s="31">
        <f t="shared" si="51"/>
        <v>14.604666666666668</v>
      </c>
      <c r="AG191" s="31">
        <f t="shared" si="54"/>
        <v>215.14584379422101</v>
      </c>
      <c r="AH191" s="31">
        <f t="shared" si="43"/>
        <v>31.731340256956216</v>
      </c>
      <c r="AI191" s="31">
        <f t="shared" si="44"/>
        <v>68.268659743043784</v>
      </c>
      <c r="AJ191" s="31">
        <f t="shared" si="45"/>
        <v>71.955167369168151</v>
      </c>
      <c r="AK191" s="31">
        <f t="shared" si="52"/>
        <v>28.399549529975811</v>
      </c>
      <c r="AL191" s="26">
        <v>42755</v>
      </c>
      <c r="AM191" s="26">
        <v>42758</v>
      </c>
      <c r="AN191" s="25"/>
      <c r="AO191" s="51">
        <f t="shared" si="60"/>
        <v>31.731340256956216</v>
      </c>
      <c r="AP191" s="51">
        <f t="shared" si="46"/>
        <v>68.268659743043784</v>
      </c>
      <c r="AQ191" s="51">
        <f t="shared" si="47"/>
        <v>71.955167369168151</v>
      </c>
      <c r="AR191" s="31">
        <f t="shared" si="58"/>
        <v>28.399549529975811</v>
      </c>
      <c r="AT191" s="51"/>
    </row>
    <row r="192" spans="1:51" s="4" customFormat="1">
      <c r="A192" s="7" t="s">
        <v>195</v>
      </c>
      <c r="B192" s="6" t="s">
        <v>548</v>
      </c>
      <c r="C192" s="4" t="s">
        <v>13</v>
      </c>
      <c r="D192" s="4">
        <v>6</v>
      </c>
      <c r="E192" s="4">
        <v>30</v>
      </c>
      <c r="G192" s="48">
        <v>42604</v>
      </c>
      <c r="H192" s="37">
        <v>132.61000000000001</v>
      </c>
      <c r="I192" s="37">
        <v>4.5999999999999996</v>
      </c>
      <c r="J192" s="43">
        <f t="shared" si="48"/>
        <v>128.01000000000002</v>
      </c>
      <c r="K192" s="37">
        <v>2.19</v>
      </c>
      <c r="L192" s="37">
        <v>0</v>
      </c>
      <c r="M192" s="37">
        <v>0.1</v>
      </c>
      <c r="N192" s="37">
        <v>3.4</v>
      </c>
      <c r="O192" s="37">
        <v>3.64</v>
      </c>
      <c r="P192" s="37">
        <v>0</v>
      </c>
      <c r="Q192" s="37">
        <f t="shared" si="59"/>
        <v>0.33999999999999986</v>
      </c>
      <c r="R192" s="37">
        <v>405.94</v>
      </c>
      <c r="S192" s="37">
        <v>286.37</v>
      </c>
      <c r="T192" s="37">
        <f t="shared" si="49"/>
        <v>119.57</v>
      </c>
      <c r="U192" s="36">
        <f t="shared" si="50"/>
        <v>5.8100000000000271</v>
      </c>
      <c r="V192" s="48">
        <v>42753</v>
      </c>
      <c r="W192" s="25"/>
      <c r="X192" s="32">
        <v>5.0220000000000002</v>
      </c>
      <c r="Y192" s="26">
        <v>42753</v>
      </c>
      <c r="Z192" s="5"/>
      <c r="AA192" s="32">
        <v>2.4159999999999999</v>
      </c>
      <c r="AB192" s="32">
        <v>61.16</v>
      </c>
      <c r="AC192" s="32">
        <f t="shared" si="61"/>
        <v>58.744</v>
      </c>
      <c r="AD192" s="32">
        <v>34.558999999999997</v>
      </c>
      <c r="AE192" s="32">
        <v>4.2666666666666853E-2</v>
      </c>
      <c r="AF192" s="31">
        <f t="shared" si="51"/>
        <v>32.18566666666667</v>
      </c>
      <c r="AG192" s="31">
        <f t="shared" si="54"/>
        <v>82.516026802821116</v>
      </c>
      <c r="AH192" s="31">
        <f t="shared" si="43"/>
        <v>54.789709019928281</v>
      </c>
      <c r="AI192" s="31">
        <f t="shared" si="44"/>
        <v>45.210290980071719</v>
      </c>
      <c r="AJ192" s="31">
        <f t="shared" si="45"/>
        <v>56.883588111126244</v>
      </c>
      <c r="AK192" s="31">
        <f t="shared" si="52"/>
        <v>65.512055075128245</v>
      </c>
      <c r="AL192" s="26">
        <v>42755</v>
      </c>
      <c r="AM192" s="26">
        <v>42758</v>
      </c>
      <c r="AN192" s="25"/>
      <c r="AO192" s="51">
        <f t="shared" si="60"/>
        <v>54.789709019928281</v>
      </c>
      <c r="AP192" s="51">
        <f t="shared" si="46"/>
        <v>45.210290980071719</v>
      </c>
      <c r="AQ192" s="51">
        <f t="shared" si="47"/>
        <v>56.883588111126244</v>
      </c>
      <c r="AR192" s="31">
        <f t="shared" si="58"/>
        <v>65.512055075128245</v>
      </c>
      <c r="AS192" s="8"/>
      <c r="AT192" s="51"/>
      <c r="AU192" s="8"/>
      <c r="AV192" s="8"/>
      <c r="AW192" s="8"/>
      <c r="AX192" s="8"/>
      <c r="AY192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9:E91"/>
  <sheetViews>
    <sheetView topLeftCell="A28" workbookViewId="0">
      <selection activeCell="A50" sqref="A50:E50"/>
    </sheetView>
  </sheetViews>
  <sheetFormatPr baseColWidth="10" defaultRowHeight="16"/>
  <sheetData>
    <row r="39" spans="1:2">
      <c r="A39" t="s">
        <v>811</v>
      </c>
    </row>
    <row r="40" spans="1:2">
      <c r="A40" t="s">
        <v>812</v>
      </c>
      <c r="B40">
        <v>25</v>
      </c>
    </row>
    <row r="41" spans="1:2">
      <c r="A41" t="s">
        <v>813</v>
      </c>
      <c r="B41">
        <v>5</v>
      </c>
    </row>
    <row r="50" spans="1:5">
      <c r="A50" s="1" t="s">
        <v>1123</v>
      </c>
      <c r="B50" s="1" t="s">
        <v>754</v>
      </c>
      <c r="C50" s="1" t="s">
        <v>755</v>
      </c>
      <c r="D50" s="1" t="s">
        <v>756</v>
      </c>
      <c r="E50" s="1" t="s">
        <v>790</v>
      </c>
    </row>
    <row r="51" spans="1:5">
      <c r="A51" t="s">
        <v>0</v>
      </c>
      <c r="B51">
        <v>7264.0653421865154</v>
      </c>
      <c r="C51">
        <v>10061.768221561935</v>
      </c>
      <c r="D51">
        <v>38.718413587191037</v>
      </c>
      <c r="E51">
        <v>31.435667845472921</v>
      </c>
    </row>
    <row r="52" spans="1:5">
      <c r="A52" t="s">
        <v>642</v>
      </c>
      <c r="B52">
        <v>1080.9465736382988</v>
      </c>
      <c r="C52">
        <v>3307.3094096846798</v>
      </c>
      <c r="D52">
        <v>26.979416694460618</v>
      </c>
      <c r="E52">
        <v>12.910130492161109</v>
      </c>
    </row>
    <row r="53" spans="1:5">
      <c r="A53" t="s">
        <v>3</v>
      </c>
      <c r="B53">
        <v>852.29202464102639</v>
      </c>
      <c r="C53">
        <v>2432.7595744258188</v>
      </c>
      <c r="D53">
        <v>61.467433261540151</v>
      </c>
      <c r="E53">
        <v>14.841765313037868</v>
      </c>
    </row>
    <row r="54" spans="1:5">
      <c r="A54" t="s">
        <v>643</v>
      </c>
      <c r="B54">
        <v>1100.8812239575527</v>
      </c>
      <c r="C54">
        <v>1930.3544389294234</v>
      </c>
      <c r="D54">
        <v>30.599150211705123</v>
      </c>
      <c r="E54">
        <v>10.182486754461594</v>
      </c>
    </row>
    <row r="55" spans="1:5">
      <c r="A55" t="s">
        <v>23</v>
      </c>
      <c r="B55">
        <v>891.70229173536404</v>
      </c>
      <c r="C55">
        <v>7937.6149853421557</v>
      </c>
      <c r="D55">
        <v>60.160307269201866</v>
      </c>
      <c r="E55">
        <v>24.744910997981854</v>
      </c>
    </row>
    <row r="56" spans="1:5">
      <c r="A56" t="s">
        <v>1089</v>
      </c>
      <c r="B56">
        <v>308.3143874216853</v>
      </c>
      <c r="C56">
        <v>1748.8582318068175</v>
      </c>
      <c r="D56">
        <v>39.547935851559579</v>
      </c>
      <c r="E56">
        <v>7.2405672437708501</v>
      </c>
    </row>
    <row r="57" spans="1:5">
      <c r="A57" t="s">
        <v>16</v>
      </c>
      <c r="B57">
        <v>686.8104454569982</v>
      </c>
      <c r="C57">
        <v>6004.1130796802227</v>
      </c>
      <c r="D57">
        <v>98.242920315211705</v>
      </c>
      <c r="E57">
        <v>20.489555953733852</v>
      </c>
    </row>
    <row r="58" spans="1:5">
      <c r="A58" t="s">
        <v>1090</v>
      </c>
      <c r="B58">
        <v>367.92498725981</v>
      </c>
      <c r="C58">
        <v>678.55165152637426</v>
      </c>
      <c r="D58">
        <v>112.09342842633474</v>
      </c>
      <c r="E58">
        <v>13.72029755278507</v>
      </c>
    </row>
    <row r="59" spans="1:5">
      <c r="A59" t="s">
        <v>26</v>
      </c>
      <c r="B59">
        <v>1207.2093512994993</v>
      </c>
      <c r="C59">
        <v>1936.1267641207705</v>
      </c>
      <c r="D59">
        <v>-6.7180400176373922</v>
      </c>
      <c r="E59">
        <v>10.86826440883218</v>
      </c>
    </row>
    <row r="60" spans="1:5">
      <c r="A60" t="s">
        <v>1091</v>
      </c>
      <c r="B60">
        <v>506.11258281123537</v>
      </c>
      <c r="C60">
        <v>1113.3575805046385</v>
      </c>
      <c r="D60">
        <v>35.802517142744087</v>
      </c>
      <c r="E60">
        <v>8.6623899118061853</v>
      </c>
    </row>
    <row r="61" spans="1:5">
      <c r="A61" t="s">
        <v>17</v>
      </c>
      <c r="B61">
        <v>1469.2375895560419</v>
      </c>
      <c r="C61">
        <v>393.48562736434047</v>
      </c>
      <c r="D61">
        <v>19.199503336216367</v>
      </c>
      <c r="E61">
        <v>4.9706241716444834</v>
      </c>
    </row>
    <row r="62" spans="1:5">
      <c r="A62" t="s">
        <v>1092</v>
      </c>
      <c r="B62">
        <v>546.40156029857008</v>
      </c>
      <c r="C62">
        <v>642.62360977492472</v>
      </c>
      <c r="D62">
        <v>41.508624840067014</v>
      </c>
      <c r="E62">
        <v>7.3478835942639584</v>
      </c>
    </row>
    <row r="63" spans="1:5">
      <c r="A63" t="s">
        <v>4</v>
      </c>
      <c r="B63">
        <v>939.89018705596686</v>
      </c>
      <c r="C63">
        <v>2101.5490037488894</v>
      </c>
      <c r="D63">
        <v>15.868845759585144</v>
      </c>
      <c r="E63">
        <v>13.123335481167375</v>
      </c>
    </row>
    <row r="64" spans="1:5">
      <c r="A64" t="s">
        <v>640</v>
      </c>
      <c r="B64">
        <v>249.90404538505348</v>
      </c>
      <c r="C64">
        <v>624.79264184623594</v>
      </c>
      <c r="D64">
        <v>17.251382866866027</v>
      </c>
      <c r="E64">
        <v>8.1212870714041347</v>
      </c>
    </row>
    <row r="65" spans="1:5">
      <c r="A65" t="s">
        <v>7</v>
      </c>
      <c r="B65">
        <v>33.783957852453618</v>
      </c>
      <c r="C65">
        <v>2166.8069279253968</v>
      </c>
      <c r="D65">
        <v>29.317161257681029</v>
      </c>
      <c r="E65">
        <v>7.7224200370048655</v>
      </c>
    </row>
    <row r="66" spans="1:5">
      <c r="A66" t="s">
        <v>641</v>
      </c>
      <c r="B66">
        <v>132.8921445486975</v>
      </c>
      <c r="C66">
        <v>297.39623294766028</v>
      </c>
      <c r="D66">
        <v>31.566926186801737</v>
      </c>
      <c r="E66">
        <v>2.8311382816862887</v>
      </c>
    </row>
    <row r="67" spans="1:5">
      <c r="A67" t="s">
        <v>31</v>
      </c>
      <c r="B67">
        <v>906.96054288198081</v>
      </c>
      <c r="C67">
        <v>951.85133850401996</v>
      </c>
      <c r="D67">
        <v>35.29977637646013</v>
      </c>
      <c r="E67">
        <v>9.6178266663903234</v>
      </c>
    </row>
    <row r="68" spans="1:5">
      <c r="A68" t="s">
        <v>1093</v>
      </c>
      <c r="B68">
        <v>514.71257381816008</v>
      </c>
      <c r="C68">
        <v>176.81025964111689</v>
      </c>
      <c r="D68">
        <v>21.185329363038004</v>
      </c>
      <c r="E68">
        <v>4.4921621943628551</v>
      </c>
    </row>
    <row r="69" spans="1:5">
      <c r="A69" t="s">
        <v>34</v>
      </c>
      <c r="B69">
        <v>191.83875565814327</v>
      </c>
      <c r="C69">
        <v>1457.5090572152644</v>
      </c>
      <c r="D69">
        <v>49.653025253867142</v>
      </c>
      <c r="E69">
        <v>10.814130329592309</v>
      </c>
    </row>
    <row r="70" spans="1:5">
      <c r="A70" t="s">
        <v>1094</v>
      </c>
      <c r="B70">
        <v>124.73542522257863</v>
      </c>
      <c r="C70">
        <v>131.69871527452602</v>
      </c>
      <c r="D70">
        <v>19.450873719358345</v>
      </c>
      <c r="E70">
        <v>2.8146006179185039</v>
      </c>
    </row>
    <row r="71" spans="1:5">
      <c r="A71" t="s">
        <v>37</v>
      </c>
      <c r="B71">
        <v>76.015439611499147</v>
      </c>
      <c r="C71">
        <v>2468.0235433676439</v>
      </c>
      <c r="D71">
        <v>18.973269991388587</v>
      </c>
      <c r="E71">
        <v>6.6232602764388275</v>
      </c>
    </row>
    <row r="72" spans="1:5">
      <c r="A72" t="s">
        <v>38</v>
      </c>
      <c r="B72">
        <v>64.414372433226418</v>
      </c>
      <c r="C72">
        <v>975.15632103663472</v>
      </c>
      <c r="D72">
        <v>18.457960705947524</v>
      </c>
      <c r="E72">
        <v>5.7660382084755968</v>
      </c>
    </row>
    <row r="73" spans="1:5">
      <c r="A73" t="s">
        <v>39</v>
      </c>
      <c r="B73">
        <v>1006.4389445127255</v>
      </c>
      <c r="C73">
        <v>3242.0519793059016</v>
      </c>
      <c r="D73">
        <v>11.042534403259145</v>
      </c>
      <c r="E73">
        <v>7.8176008356683742</v>
      </c>
    </row>
    <row r="74" spans="1:5">
      <c r="A74" t="s">
        <v>1095</v>
      </c>
      <c r="B74">
        <v>149.04670553673674</v>
      </c>
      <c r="C74">
        <v>1494.1777955620639</v>
      </c>
      <c r="D74">
        <v>0.98897592949568769</v>
      </c>
      <c r="E74">
        <v>1.6209739146789324</v>
      </c>
    </row>
    <row r="75" spans="1:5">
      <c r="A75" t="s">
        <v>51</v>
      </c>
      <c r="B75">
        <v>1515.1322506669865</v>
      </c>
      <c r="C75">
        <v>17121.317900735306</v>
      </c>
      <c r="D75">
        <v>120.31323995507746</v>
      </c>
      <c r="E75">
        <v>36.379953408047243</v>
      </c>
    </row>
    <row r="76" spans="1:5">
      <c r="A76" t="s">
        <v>1096</v>
      </c>
      <c r="B76">
        <v>525.71748703498304</v>
      </c>
      <c r="C76">
        <v>8580.0344807035781</v>
      </c>
      <c r="D76">
        <v>132.00196277117951</v>
      </c>
      <c r="E76">
        <v>32.971053103913654</v>
      </c>
    </row>
    <row r="77" spans="1:5">
      <c r="A77" t="s">
        <v>1097</v>
      </c>
      <c r="B77">
        <v>251.79740549776673</v>
      </c>
      <c r="C77">
        <v>514.41498874765523</v>
      </c>
      <c r="D77">
        <v>19.538853353458038</v>
      </c>
      <c r="E77">
        <v>3.7329763490230388</v>
      </c>
    </row>
    <row r="78" spans="1:5">
      <c r="A78" t="s">
        <v>1098</v>
      </c>
      <c r="B78">
        <v>240.85732935639567</v>
      </c>
      <c r="C78">
        <v>278.87347142642267</v>
      </c>
      <c r="D78">
        <v>11.796645552685082</v>
      </c>
      <c r="E78">
        <v>2.076770964278813</v>
      </c>
    </row>
    <row r="79" spans="1:5">
      <c r="A79" t="s">
        <v>112</v>
      </c>
      <c r="B79">
        <v>18.228935219880693</v>
      </c>
      <c r="C79">
        <v>16.28626646347174</v>
      </c>
      <c r="D79">
        <v>10.062189909005426</v>
      </c>
      <c r="E79">
        <v>1.9925359574616073</v>
      </c>
    </row>
    <row r="80" spans="1:5">
      <c r="A80" t="s">
        <v>127</v>
      </c>
      <c r="B80">
        <v>1069.1780224227346</v>
      </c>
      <c r="C80">
        <v>19719.373416087023</v>
      </c>
      <c r="D80">
        <v>183.03015054900126</v>
      </c>
      <c r="E80">
        <v>38.495465634342054</v>
      </c>
    </row>
    <row r="81" spans="1:5">
      <c r="A81" t="s">
        <v>650</v>
      </c>
      <c r="B81">
        <v>489.01225006744806</v>
      </c>
      <c r="C81">
        <v>2607.4618058807341</v>
      </c>
      <c r="D81">
        <v>110.22071907192702</v>
      </c>
      <c r="E81">
        <v>24.899936723805048</v>
      </c>
    </row>
    <row r="82" spans="1:5">
      <c r="A82" t="s">
        <v>1100</v>
      </c>
      <c r="B82">
        <v>214.12990946970834</v>
      </c>
      <c r="C82">
        <v>1129.6103368324862</v>
      </c>
      <c r="D82">
        <v>32.132509548871198</v>
      </c>
      <c r="E82">
        <v>8.5997490486857622</v>
      </c>
    </row>
    <row r="83" spans="1:5">
      <c r="A83" t="s">
        <v>128</v>
      </c>
      <c r="B83">
        <v>2723.7116445337087</v>
      </c>
      <c r="C83">
        <v>11248.244974756723</v>
      </c>
      <c r="D83">
        <v>167.82224236891153</v>
      </c>
      <c r="E83">
        <v>38.225866022127676</v>
      </c>
    </row>
    <row r="84" spans="1:5">
      <c r="A84" t="s">
        <v>132</v>
      </c>
      <c r="B84">
        <v>6295.0914520818969</v>
      </c>
      <c r="C84">
        <v>1501.891256658465</v>
      </c>
      <c r="D84">
        <v>101.25936491291543</v>
      </c>
      <c r="E84">
        <v>21.164826837691969</v>
      </c>
    </row>
    <row r="85" spans="1:5">
      <c r="A85" t="s">
        <v>135</v>
      </c>
      <c r="B85">
        <v>1523.4358568901948</v>
      </c>
      <c r="C85">
        <v>9224.1851060388053</v>
      </c>
      <c r="D85">
        <v>209.17267039576711</v>
      </c>
      <c r="E85">
        <v>36.801842298123248</v>
      </c>
    </row>
    <row r="86" spans="1:5">
      <c r="A86" t="s">
        <v>154</v>
      </c>
      <c r="B86">
        <v>3652.7129035642556</v>
      </c>
      <c r="C86">
        <v>509.30673636593247</v>
      </c>
      <c r="D86">
        <v>15.868845759585144</v>
      </c>
      <c r="E86">
        <v>11.500681327952032</v>
      </c>
    </row>
    <row r="87" spans="1:5">
      <c r="A87" t="s">
        <v>158</v>
      </c>
      <c r="B87">
        <v>1109.1098878863277</v>
      </c>
      <c r="C87">
        <v>9687.4468387012548</v>
      </c>
      <c r="D87">
        <v>173.47807598960605</v>
      </c>
      <c r="E87">
        <v>38.457036386881676</v>
      </c>
    </row>
    <row r="88" spans="1:5">
      <c r="A88" t="s">
        <v>162</v>
      </c>
      <c r="B88">
        <v>245.26393626907281</v>
      </c>
      <c r="C88">
        <v>14546.501641735558</v>
      </c>
      <c r="D88">
        <v>273.02074771382979</v>
      </c>
      <c r="E88">
        <v>41.816323699711901</v>
      </c>
    </row>
    <row r="89" spans="1:5">
      <c r="A89" t="s">
        <v>163</v>
      </c>
      <c r="B89">
        <v>469.90196498696014</v>
      </c>
      <c r="C89">
        <v>7671.7588280533855</v>
      </c>
      <c r="D89">
        <v>201.25450332679475</v>
      </c>
      <c r="E89">
        <v>32.593899189209502</v>
      </c>
    </row>
    <row r="90" spans="1:5">
      <c r="A90" t="s">
        <v>170</v>
      </c>
      <c r="B90">
        <v>2574.8162939536551</v>
      </c>
      <c r="C90">
        <v>14584.730043051215</v>
      </c>
      <c r="D90">
        <v>222.11824512757903</v>
      </c>
      <c r="E90">
        <v>42.309717164783869</v>
      </c>
    </row>
    <row r="91" spans="1:5">
      <c r="A91" t="s">
        <v>174</v>
      </c>
      <c r="B91">
        <v>5546.9543376600013</v>
      </c>
      <c r="C91">
        <v>15979.282943261505</v>
      </c>
      <c r="D91">
        <v>129.6139441313307</v>
      </c>
      <c r="E91">
        <v>43.069616866113662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N209"/>
  <sheetViews>
    <sheetView workbookViewId="0">
      <selection activeCell="L3" sqref="L3"/>
    </sheetView>
  </sheetViews>
  <sheetFormatPr baseColWidth="10" defaultRowHeight="16"/>
  <cols>
    <col min="9" max="12" width="10.83203125" style="242"/>
  </cols>
  <sheetData>
    <row r="3" spans="1:14">
      <c r="A3" s="1" t="s">
        <v>10</v>
      </c>
      <c r="B3" s="1" t="s">
        <v>8</v>
      </c>
      <c r="C3" s="1" t="s">
        <v>11</v>
      </c>
      <c r="D3" s="1" t="s">
        <v>212</v>
      </c>
      <c r="E3" s="1" t="s">
        <v>20</v>
      </c>
      <c r="F3" s="161" t="s">
        <v>989</v>
      </c>
      <c r="G3" s="161" t="s">
        <v>990</v>
      </c>
      <c r="H3" s="161" t="s">
        <v>890</v>
      </c>
      <c r="I3" s="248" t="s">
        <v>991</v>
      </c>
      <c r="J3" s="248" t="s">
        <v>892</v>
      </c>
      <c r="K3" s="248" t="s">
        <v>992</v>
      </c>
      <c r="L3" s="248" t="s">
        <v>993</v>
      </c>
      <c r="M3" s="162" t="s">
        <v>994</v>
      </c>
      <c r="N3" s="1" t="s">
        <v>971</v>
      </c>
    </row>
    <row r="4" spans="1:14">
      <c r="A4" t="s">
        <v>1166</v>
      </c>
      <c r="B4" t="s">
        <v>9</v>
      </c>
      <c r="C4" t="s">
        <v>12</v>
      </c>
      <c r="D4" s="8">
        <v>1</v>
      </c>
      <c r="E4">
        <v>5</v>
      </c>
      <c r="F4" s="163" t="s">
        <v>0</v>
      </c>
      <c r="G4" s="163" t="s">
        <v>895</v>
      </c>
      <c r="H4" s="163" t="s">
        <v>995</v>
      </c>
      <c r="I4" s="242">
        <v>1.8638992403262018</v>
      </c>
      <c r="J4" s="242">
        <v>24.139450913442388</v>
      </c>
      <c r="K4" s="242">
        <v>9.5726249999999986</v>
      </c>
      <c r="L4" s="242">
        <v>-29.002333333333333</v>
      </c>
      <c r="N4">
        <f>J4/I4</f>
        <v>12.95104927947593</v>
      </c>
    </row>
    <row r="5" spans="1:14">
      <c r="A5" t="s">
        <v>1167</v>
      </c>
      <c r="B5" t="s">
        <v>9</v>
      </c>
      <c r="C5" t="s">
        <v>12</v>
      </c>
      <c r="D5" s="8">
        <v>1</v>
      </c>
      <c r="E5">
        <v>10</v>
      </c>
      <c r="F5" s="163"/>
      <c r="G5" s="163"/>
      <c r="H5" s="163"/>
      <c r="I5" s="242">
        <v>2.009756544282387</v>
      </c>
      <c r="J5" s="242">
        <v>25.958762404544995</v>
      </c>
      <c r="K5" s="242">
        <v>12.064624999999999</v>
      </c>
      <c r="L5" s="242">
        <v>-27.633333333333333</v>
      </c>
      <c r="N5">
        <f t="shared" ref="N5:N71" si="0">J5/I5</f>
        <v>12.916371626402118</v>
      </c>
    </row>
    <row r="6" spans="1:14">
      <c r="A6" t="s">
        <v>1</v>
      </c>
      <c r="B6" t="s">
        <v>9</v>
      </c>
      <c r="C6" t="s">
        <v>12</v>
      </c>
      <c r="D6" s="8">
        <v>1</v>
      </c>
      <c r="E6">
        <v>20</v>
      </c>
      <c r="F6" s="163" t="s">
        <v>1</v>
      </c>
      <c r="G6" s="163" t="s">
        <v>896</v>
      </c>
      <c r="H6" s="164" t="s">
        <v>996</v>
      </c>
      <c r="I6" s="242">
        <v>0.71322152412969975</v>
      </c>
      <c r="J6" s="242">
        <v>8.898195196515168</v>
      </c>
      <c r="K6" s="242">
        <v>12.658000000000001</v>
      </c>
      <c r="L6" s="242">
        <v>-27.768444444444444</v>
      </c>
      <c r="N6">
        <f t="shared" si="0"/>
        <v>12.476060936850002</v>
      </c>
    </row>
    <row r="7" spans="1:14">
      <c r="A7" t="s">
        <v>2</v>
      </c>
      <c r="B7" t="s">
        <v>9</v>
      </c>
      <c r="C7" t="s">
        <v>12</v>
      </c>
      <c r="D7" s="8">
        <v>1</v>
      </c>
      <c r="E7">
        <v>30</v>
      </c>
      <c r="F7" s="163" t="s">
        <v>2</v>
      </c>
      <c r="G7" s="163" t="s">
        <v>897</v>
      </c>
      <c r="H7" s="163" t="s">
        <v>997</v>
      </c>
      <c r="I7" s="240">
        <v>0.63427261230053789</v>
      </c>
      <c r="J7" s="240">
        <v>7.9833446834800927</v>
      </c>
      <c r="K7" s="240">
        <v>11.496000000000002</v>
      </c>
      <c r="L7" s="240">
        <v>-27.938444444444443</v>
      </c>
      <c r="N7">
        <f t="shared" si="0"/>
        <v>12.58661422337646</v>
      </c>
    </row>
    <row r="8" spans="1:14">
      <c r="A8" t="s">
        <v>1168</v>
      </c>
      <c r="B8" t="s">
        <v>9</v>
      </c>
      <c r="C8" t="s">
        <v>12</v>
      </c>
      <c r="D8" s="8">
        <v>2</v>
      </c>
      <c r="E8">
        <v>5</v>
      </c>
      <c r="F8" s="163" t="s">
        <v>3</v>
      </c>
      <c r="G8" s="163" t="s">
        <v>898</v>
      </c>
      <c r="H8" s="163" t="s">
        <v>998</v>
      </c>
      <c r="I8" s="241">
        <v>1.8802079159996981</v>
      </c>
      <c r="J8" s="241">
        <v>29.243894611844656</v>
      </c>
      <c r="K8" s="249">
        <v>9.7596249999999998</v>
      </c>
      <c r="L8" s="249">
        <v>-27.987333333333332</v>
      </c>
      <c r="N8">
        <f t="shared" si="0"/>
        <v>15.55354296883481</v>
      </c>
    </row>
    <row r="9" spans="1:14">
      <c r="A9" t="s">
        <v>1169</v>
      </c>
      <c r="B9" t="s">
        <v>9</v>
      </c>
      <c r="C9" t="s">
        <v>12</v>
      </c>
      <c r="D9" s="6">
        <v>2</v>
      </c>
      <c r="E9">
        <v>10</v>
      </c>
      <c r="F9" s="163"/>
      <c r="G9" s="163"/>
      <c r="H9" s="163"/>
      <c r="I9" s="241">
        <v>1.8146740043663037</v>
      </c>
      <c r="J9" s="241">
        <v>22.958747913099351</v>
      </c>
      <c r="K9" s="249">
        <v>11.638625000000001</v>
      </c>
      <c r="L9" s="249">
        <v>-27.576333333333331</v>
      </c>
      <c r="N9">
        <f t="shared" si="0"/>
        <v>12.651720285769288</v>
      </c>
    </row>
    <row r="10" spans="1:14">
      <c r="A10" t="s">
        <v>21</v>
      </c>
      <c r="B10" t="s">
        <v>9</v>
      </c>
      <c r="C10" t="s">
        <v>12</v>
      </c>
      <c r="D10" s="8">
        <v>2</v>
      </c>
      <c r="E10">
        <v>20</v>
      </c>
      <c r="F10" s="163" t="s">
        <v>21</v>
      </c>
      <c r="G10" s="163" t="s">
        <v>899</v>
      </c>
      <c r="H10" s="163" t="s">
        <v>999</v>
      </c>
      <c r="I10" s="240">
        <v>1.0829371635913969</v>
      </c>
      <c r="J10" s="240">
        <v>13.100938120380754</v>
      </c>
      <c r="K10" s="240">
        <v>12.921999999999997</v>
      </c>
      <c r="L10" s="240">
        <v>-27.325444444444443</v>
      </c>
      <c r="N10">
        <f t="shared" si="0"/>
        <v>12.097597682337799</v>
      </c>
    </row>
    <row r="11" spans="1:14">
      <c r="A11" t="s">
        <v>22</v>
      </c>
      <c r="B11" t="s">
        <v>9</v>
      </c>
      <c r="C11" t="s">
        <v>12</v>
      </c>
      <c r="D11" s="8">
        <v>2</v>
      </c>
      <c r="E11">
        <v>30</v>
      </c>
      <c r="F11" s="163" t="s">
        <v>22</v>
      </c>
      <c r="G11" s="163" t="s">
        <v>900</v>
      </c>
      <c r="H11" s="163" t="s">
        <v>1000</v>
      </c>
      <c r="I11" s="240">
        <v>0.87387768204220806</v>
      </c>
      <c r="J11" s="240">
        <v>10.672006932737009</v>
      </c>
      <c r="K11" s="240">
        <v>11.979999999999997</v>
      </c>
      <c r="L11" s="240">
        <v>-27.999444444444443</v>
      </c>
      <c r="N11">
        <f t="shared" si="0"/>
        <v>12.21224337460715</v>
      </c>
    </row>
    <row r="12" spans="1:14">
      <c r="A12" t="s">
        <v>1170</v>
      </c>
      <c r="B12" t="s">
        <v>9</v>
      </c>
      <c r="C12" t="s">
        <v>12</v>
      </c>
      <c r="D12" s="8">
        <v>3</v>
      </c>
      <c r="E12">
        <v>5</v>
      </c>
      <c r="F12" s="163" t="s">
        <v>23</v>
      </c>
      <c r="G12" s="163" t="s">
        <v>901</v>
      </c>
      <c r="I12" s="241">
        <v>1.7851231971050252</v>
      </c>
      <c r="J12" s="241">
        <v>24.13119185052723</v>
      </c>
      <c r="K12" s="249">
        <v>10.532624999999999</v>
      </c>
      <c r="L12" s="249">
        <v>-27.980333333333331</v>
      </c>
      <c r="N12">
        <f t="shared" si="0"/>
        <v>13.51794200515759</v>
      </c>
    </row>
    <row r="13" spans="1:14">
      <c r="A13" t="s">
        <v>1171</v>
      </c>
      <c r="B13" t="s">
        <v>9</v>
      </c>
      <c r="C13" t="s">
        <v>12</v>
      </c>
      <c r="D13" s="6">
        <v>3</v>
      </c>
      <c r="E13">
        <v>10</v>
      </c>
      <c r="F13" s="163"/>
      <c r="G13" s="163"/>
      <c r="I13" s="241">
        <v>1.3264599846600129</v>
      </c>
      <c r="J13" s="241">
        <v>15.942622364179639</v>
      </c>
      <c r="K13" s="249">
        <v>12.436624999999999</v>
      </c>
      <c r="L13" s="249">
        <v>-26.883333333333333</v>
      </c>
      <c r="N13">
        <f t="shared" si="0"/>
        <v>12.01892446703993</v>
      </c>
    </row>
    <row r="14" spans="1:14">
      <c r="A14" t="s">
        <v>14</v>
      </c>
      <c r="B14" t="s">
        <v>9</v>
      </c>
      <c r="C14" t="s">
        <v>12</v>
      </c>
      <c r="D14" s="8">
        <v>3</v>
      </c>
      <c r="E14">
        <v>20</v>
      </c>
      <c r="F14" s="163" t="s">
        <v>14</v>
      </c>
      <c r="G14" s="163" t="s">
        <v>902</v>
      </c>
      <c r="I14" s="240">
        <v>0.98341881722321567</v>
      </c>
      <c r="J14" s="240">
        <v>11.660403730108877</v>
      </c>
      <c r="K14" s="240">
        <v>13.118000000000002</v>
      </c>
      <c r="L14" s="240">
        <v>-27.376444444444445</v>
      </c>
      <c r="N14">
        <f t="shared" si="0"/>
        <v>11.85700692918733</v>
      </c>
    </row>
    <row r="15" spans="1:14">
      <c r="A15" t="s">
        <v>15</v>
      </c>
      <c r="B15" t="s">
        <v>9</v>
      </c>
      <c r="C15" t="s">
        <v>12</v>
      </c>
      <c r="D15" s="8">
        <v>3</v>
      </c>
      <c r="E15">
        <v>30</v>
      </c>
      <c r="F15" s="163" t="s">
        <v>15</v>
      </c>
      <c r="G15" s="163" t="s">
        <v>903</v>
      </c>
      <c r="I15" s="240">
        <v>0.96410858553658985</v>
      </c>
      <c r="J15" s="240">
        <v>11.359928283802818</v>
      </c>
      <c r="K15" s="240">
        <v>12.088000000000001</v>
      </c>
      <c r="L15" s="240">
        <v>-27.601444444444443</v>
      </c>
      <c r="N15">
        <f t="shared" si="0"/>
        <v>11.782830745647049</v>
      </c>
    </row>
    <row r="16" spans="1:14">
      <c r="A16" t="s">
        <v>1172</v>
      </c>
      <c r="B16" t="s">
        <v>9</v>
      </c>
      <c r="C16" t="s">
        <v>12</v>
      </c>
      <c r="D16" s="8">
        <v>4</v>
      </c>
      <c r="E16">
        <v>5</v>
      </c>
      <c r="F16" s="163" t="s">
        <v>16</v>
      </c>
      <c r="G16" s="163" t="s">
        <v>904</v>
      </c>
      <c r="I16" s="241">
        <v>0.82024892187237108</v>
      </c>
      <c r="J16" s="241">
        <v>10.362591170789049</v>
      </c>
      <c r="K16" s="249">
        <v>8.3256249999999987</v>
      </c>
      <c r="L16" s="249">
        <v>-27.078333333333333</v>
      </c>
      <c r="N16">
        <f t="shared" si="0"/>
        <v>12.633471248135875</v>
      </c>
    </row>
    <row r="17" spans="1:14">
      <c r="A17" t="s">
        <v>1173</v>
      </c>
      <c r="B17" t="s">
        <v>9</v>
      </c>
      <c r="C17" t="s">
        <v>12</v>
      </c>
      <c r="D17" s="6">
        <v>4</v>
      </c>
      <c r="E17">
        <v>10</v>
      </c>
      <c r="F17" s="163"/>
      <c r="G17" s="163"/>
      <c r="I17" s="241">
        <v>1.1344993274543218</v>
      </c>
      <c r="J17" s="241">
        <v>13.615223436983715</v>
      </c>
      <c r="K17" s="249">
        <v>11.470624999999998</v>
      </c>
      <c r="L17" s="249">
        <v>-26.91333333333333</v>
      </c>
      <c r="N17">
        <f t="shared" si="0"/>
        <v>12.001085507502783</v>
      </c>
    </row>
    <row r="18" spans="1:14">
      <c r="A18" t="s">
        <v>24</v>
      </c>
      <c r="B18" t="s">
        <v>9</v>
      </c>
      <c r="C18" t="s">
        <v>12</v>
      </c>
      <c r="D18" s="8">
        <v>4</v>
      </c>
      <c r="E18">
        <v>20</v>
      </c>
      <c r="F18" s="163" t="s">
        <v>24</v>
      </c>
      <c r="G18" s="163" t="s">
        <v>905</v>
      </c>
      <c r="I18" s="240">
        <v>0.58949557344593739</v>
      </c>
      <c r="J18" s="240">
        <v>7.431687141252481</v>
      </c>
      <c r="K18" s="240">
        <v>10.604999999999997</v>
      </c>
      <c r="L18" s="240">
        <v>-27.790444444444443</v>
      </c>
      <c r="N18">
        <f t="shared" si="0"/>
        <v>12.606858263260632</v>
      </c>
    </row>
    <row r="19" spans="1:14">
      <c r="A19" t="s">
        <v>25</v>
      </c>
      <c r="B19" t="s">
        <v>9</v>
      </c>
      <c r="C19" t="s">
        <v>12</v>
      </c>
      <c r="D19" s="8">
        <v>4</v>
      </c>
      <c r="E19">
        <v>30</v>
      </c>
      <c r="F19" s="163" t="s">
        <v>25</v>
      </c>
      <c r="G19" s="163" t="s">
        <v>906</v>
      </c>
      <c r="I19" s="240">
        <v>0.73639752171130546</v>
      </c>
      <c r="J19" s="240">
        <v>9.6305978017838463</v>
      </c>
      <c r="K19" s="240">
        <v>10.743000000000002</v>
      </c>
      <c r="L19" s="240">
        <v>-27.528444444444442</v>
      </c>
      <c r="N19">
        <f t="shared" si="0"/>
        <v>13.077987795781027</v>
      </c>
    </row>
    <row r="20" spans="1:14">
      <c r="A20" t="s">
        <v>1174</v>
      </c>
      <c r="B20" t="s">
        <v>9</v>
      </c>
      <c r="C20" t="s">
        <v>12</v>
      </c>
      <c r="D20" s="8">
        <v>5</v>
      </c>
      <c r="E20">
        <v>5</v>
      </c>
      <c r="F20" s="163" t="s">
        <v>26</v>
      </c>
      <c r="G20" s="163" t="s">
        <v>907</v>
      </c>
      <c r="I20" s="241">
        <v>0.96352851440797394</v>
      </c>
      <c r="J20" s="241">
        <v>11.95067116729447</v>
      </c>
      <c r="K20" s="249">
        <v>10.715624999999999</v>
      </c>
      <c r="L20" s="249">
        <v>-26.629333333333332</v>
      </c>
      <c r="N20">
        <f t="shared" si="0"/>
        <v>12.403028025213541</v>
      </c>
    </row>
    <row r="21" spans="1:14">
      <c r="A21" t="s">
        <v>1175</v>
      </c>
      <c r="B21" t="s">
        <v>9</v>
      </c>
      <c r="C21" t="s">
        <v>12</v>
      </c>
      <c r="D21" s="6">
        <v>5</v>
      </c>
      <c r="E21">
        <v>10</v>
      </c>
      <c r="F21" s="163"/>
      <c r="G21" s="163"/>
      <c r="I21" s="241">
        <v>1.0921574628151862</v>
      </c>
      <c r="J21" s="241">
        <v>12.673074861670198</v>
      </c>
      <c r="K21" s="249">
        <v>11.328624999999999</v>
      </c>
      <c r="L21" s="249">
        <v>-26.90133333333333</v>
      </c>
      <c r="N21">
        <f t="shared" si="0"/>
        <v>11.603706693541794</v>
      </c>
    </row>
    <row r="22" spans="1:14">
      <c r="A22" t="s">
        <v>27</v>
      </c>
      <c r="B22" t="s">
        <v>9</v>
      </c>
      <c r="C22" t="s">
        <v>12</v>
      </c>
      <c r="D22" s="8">
        <v>5</v>
      </c>
      <c r="E22">
        <v>20</v>
      </c>
      <c r="F22" s="163" t="s">
        <v>27</v>
      </c>
      <c r="G22" s="163" t="s">
        <v>908</v>
      </c>
      <c r="I22" s="240">
        <v>1.0061213555225994</v>
      </c>
      <c r="J22" s="240">
        <v>12.230286179329394</v>
      </c>
      <c r="K22" s="240">
        <v>12.713000000000001</v>
      </c>
      <c r="L22" s="240">
        <v>-27.091444444444445</v>
      </c>
      <c r="N22">
        <f t="shared" si="0"/>
        <v>12.155875742222706</v>
      </c>
    </row>
    <row r="23" spans="1:14">
      <c r="A23" t="s">
        <v>28</v>
      </c>
      <c r="B23" t="s">
        <v>9</v>
      </c>
      <c r="C23" t="s">
        <v>12</v>
      </c>
      <c r="D23" s="8">
        <v>5</v>
      </c>
      <c r="E23">
        <v>30</v>
      </c>
      <c r="F23" s="163" t="s">
        <v>28</v>
      </c>
      <c r="G23" s="163" t="s">
        <v>909</v>
      </c>
      <c r="I23" s="240">
        <v>0.71695499264755569</v>
      </c>
      <c r="J23" s="240">
        <v>8.85660659893915</v>
      </c>
      <c r="K23" s="240">
        <v>11.399999999999999</v>
      </c>
      <c r="L23" s="240">
        <v>-27.049444444444443</v>
      </c>
      <c r="N23">
        <f t="shared" si="0"/>
        <v>12.353085883722864</v>
      </c>
    </row>
    <row r="24" spans="1:14">
      <c r="A24" t="s">
        <v>1176</v>
      </c>
      <c r="B24" t="s">
        <v>9</v>
      </c>
      <c r="C24" t="s">
        <v>12</v>
      </c>
      <c r="D24" s="8">
        <v>6</v>
      </c>
      <c r="E24">
        <v>5</v>
      </c>
      <c r="F24" s="163" t="s">
        <v>17</v>
      </c>
      <c r="G24" s="163" t="s">
        <v>910</v>
      </c>
      <c r="I24" s="241">
        <v>0.80244202345725046</v>
      </c>
      <c r="J24" s="241">
        <v>9.7008305873010716</v>
      </c>
      <c r="K24" s="249">
        <v>10.289625000000001</v>
      </c>
      <c r="L24" s="249">
        <v>-27.68333333333333</v>
      </c>
      <c r="N24">
        <f t="shared" si="0"/>
        <v>12.089135792646927</v>
      </c>
    </row>
    <row r="25" spans="1:14">
      <c r="A25" t="s">
        <v>1177</v>
      </c>
      <c r="B25" t="s">
        <v>9</v>
      </c>
      <c r="C25" t="s">
        <v>12</v>
      </c>
      <c r="D25" s="6">
        <v>6</v>
      </c>
      <c r="E25">
        <v>10</v>
      </c>
      <c r="F25" s="163"/>
      <c r="G25" s="163"/>
      <c r="I25" s="241">
        <v>1.3290477268321186</v>
      </c>
      <c r="J25" s="241">
        <v>16.240132539236633</v>
      </c>
      <c r="K25" s="249">
        <v>8.9056250000000006</v>
      </c>
      <c r="L25" s="249">
        <v>-27.240333333333332</v>
      </c>
      <c r="N25">
        <f t="shared" si="0"/>
        <v>12.219374979065774</v>
      </c>
    </row>
    <row r="26" spans="1:14">
      <c r="A26" t="s">
        <v>18</v>
      </c>
      <c r="B26" t="s">
        <v>9</v>
      </c>
      <c r="C26" t="s">
        <v>12</v>
      </c>
      <c r="D26" s="8">
        <v>6</v>
      </c>
      <c r="E26">
        <v>20</v>
      </c>
      <c r="F26" s="163" t="s">
        <v>18</v>
      </c>
      <c r="G26" s="163" t="s">
        <v>911</v>
      </c>
      <c r="I26" s="240">
        <v>0.86171869798196044</v>
      </c>
      <c r="J26" s="240">
        <v>10.331501981247753</v>
      </c>
      <c r="K26" s="240">
        <v>11.081000000000003</v>
      </c>
      <c r="L26" s="240">
        <v>-27.624444444444443</v>
      </c>
      <c r="N26">
        <f t="shared" si="0"/>
        <v>11.989413721023883</v>
      </c>
    </row>
    <row r="27" spans="1:14">
      <c r="A27" t="s">
        <v>19</v>
      </c>
      <c r="B27" t="s">
        <v>9</v>
      </c>
      <c r="C27" t="s">
        <v>12</v>
      </c>
      <c r="D27" s="8">
        <v>6</v>
      </c>
      <c r="E27">
        <v>30</v>
      </c>
      <c r="F27" s="163" t="s">
        <v>19</v>
      </c>
      <c r="G27" s="163" t="s">
        <v>912</v>
      </c>
      <c r="I27" s="240">
        <v>0.51433804751439061</v>
      </c>
      <c r="J27" s="240">
        <v>6.4947494854456833</v>
      </c>
      <c r="K27" s="240">
        <v>10.122</v>
      </c>
      <c r="L27" s="240">
        <v>-27.732444444444443</v>
      </c>
      <c r="N27">
        <f t="shared" si="0"/>
        <v>12.62739460328174</v>
      </c>
    </row>
    <row r="28" spans="1:14">
      <c r="A28" t="s">
        <v>1178</v>
      </c>
      <c r="B28" t="s">
        <v>9</v>
      </c>
      <c r="C28" t="s">
        <v>13</v>
      </c>
      <c r="D28" s="8">
        <v>1</v>
      </c>
      <c r="E28">
        <v>5</v>
      </c>
      <c r="F28" s="163" t="s">
        <v>4</v>
      </c>
      <c r="G28" s="163" t="s">
        <v>913</v>
      </c>
      <c r="I28" s="241">
        <v>1.1883034227896776</v>
      </c>
      <c r="J28" s="241">
        <v>19.048390869442297</v>
      </c>
      <c r="K28" s="249">
        <v>2.7836249999999998</v>
      </c>
      <c r="L28" s="249">
        <v>-27.18333333333333</v>
      </c>
      <c r="N28">
        <f t="shared" si="0"/>
        <v>16.029904908229611</v>
      </c>
    </row>
    <row r="29" spans="1:14">
      <c r="A29" t="s">
        <v>1179</v>
      </c>
      <c r="B29" t="s">
        <v>9</v>
      </c>
      <c r="C29" t="s">
        <v>13</v>
      </c>
      <c r="D29" s="6">
        <v>1</v>
      </c>
      <c r="E29">
        <v>10</v>
      </c>
      <c r="F29" s="163"/>
      <c r="G29" s="163"/>
      <c r="I29" s="241">
        <v>0.68477748735093913</v>
      </c>
      <c r="J29" s="241">
        <v>8.8826187698937424</v>
      </c>
      <c r="K29" s="249">
        <v>7.0736250000000007</v>
      </c>
      <c r="L29" s="249">
        <v>-27.373333333333331</v>
      </c>
      <c r="N29">
        <f t="shared" si="0"/>
        <v>12.971540294433659</v>
      </c>
    </row>
    <row r="30" spans="1:14">
      <c r="A30" t="s">
        <v>5</v>
      </c>
      <c r="B30" t="s">
        <v>9</v>
      </c>
      <c r="C30" t="s">
        <v>13</v>
      </c>
      <c r="D30" s="8">
        <v>1</v>
      </c>
      <c r="E30">
        <v>20</v>
      </c>
      <c r="F30" s="163" t="s">
        <v>5</v>
      </c>
      <c r="G30" s="163" t="s">
        <v>914</v>
      </c>
      <c r="I30" s="240">
        <v>0.70283101651158475</v>
      </c>
      <c r="J30" s="240">
        <v>8.8483916091999912</v>
      </c>
      <c r="K30" s="240">
        <v>9.259999999999998</v>
      </c>
      <c r="L30" s="240">
        <v>-28.163444444444444</v>
      </c>
      <c r="N30">
        <f t="shared" si="0"/>
        <v>12.589643031290642</v>
      </c>
    </row>
    <row r="31" spans="1:14">
      <c r="A31" t="s">
        <v>6</v>
      </c>
      <c r="B31" t="s">
        <v>9</v>
      </c>
      <c r="C31" t="s">
        <v>13</v>
      </c>
      <c r="D31" s="8">
        <v>1</v>
      </c>
      <c r="E31">
        <v>30</v>
      </c>
      <c r="F31" s="163" t="s">
        <v>6</v>
      </c>
      <c r="G31" s="163" t="s">
        <v>915</v>
      </c>
      <c r="I31" s="240">
        <v>0.25077889424515271</v>
      </c>
      <c r="J31" s="240">
        <v>3.3110032927722104</v>
      </c>
      <c r="K31" s="240">
        <v>7.5289999999999964</v>
      </c>
      <c r="L31" s="240">
        <v>-28.160444444444444</v>
      </c>
      <c r="N31">
        <f t="shared" si="0"/>
        <v>13.202878586486984</v>
      </c>
    </row>
    <row r="32" spans="1:14">
      <c r="A32" t="s">
        <v>1180</v>
      </c>
      <c r="B32" t="s">
        <v>9</v>
      </c>
      <c r="C32" t="s">
        <v>13</v>
      </c>
      <c r="D32" s="8">
        <v>2</v>
      </c>
      <c r="E32">
        <v>5</v>
      </c>
      <c r="F32" s="163" t="s">
        <v>7</v>
      </c>
      <c r="G32" s="163" t="s">
        <v>916</v>
      </c>
      <c r="I32" s="241">
        <v>0.97999889699114728</v>
      </c>
      <c r="J32" s="241">
        <v>12.808005678909387</v>
      </c>
      <c r="K32" s="249">
        <v>5.6926249999999996</v>
      </c>
      <c r="L32" s="249">
        <v>-26.83433333333333</v>
      </c>
      <c r="N32">
        <f t="shared" si="0"/>
        <v>13.069408259777957</v>
      </c>
    </row>
    <row r="33" spans="1:14">
      <c r="A33" t="s">
        <v>1181</v>
      </c>
      <c r="B33" t="s">
        <v>9</v>
      </c>
      <c r="C33" t="s">
        <v>13</v>
      </c>
      <c r="D33" s="6">
        <v>2</v>
      </c>
      <c r="E33">
        <v>10</v>
      </c>
      <c r="F33" s="163"/>
      <c r="G33" s="163"/>
      <c r="I33" s="241">
        <v>1.0067673556341972</v>
      </c>
      <c r="J33" s="241">
        <v>12.526949521408968</v>
      </c>
      <c r="K33" s="249">
        <v>8.3036250000000003</v>
      </c>
      <c r="L33" s="249">
        <v>-27.42733333333333</v>
      </c>
      <c r="N33">
        <f t="shared" si="0"/>
        <v>12.442745040653223</v>
      </c>
    </row>
    <row r="34" spans="1:14">
      <c r="A34" t="s">
        <v>29</v>
      </c>
      <c r="B34" t="s">
        <v>9</v>
      </c>
      <c r="C34" t="s">
        <v>13</v>
      </c>
      <c r="D34" s="8">
        <v>2</v>
      </c>
      <c r="E34">
        <v>20</v>
      </c>
      <c r="F34" s="163" t="s">
        <v>29</v>
      </c>
      <c r="G34" s="163" t="s">
        <v>917</v>
      </c>
      <c r="I34" s="240">
        <v>0.17596346184501702</v>
      </c>
      <c r="J34" s="240">
        <v>2.4314584590010835</v>
      </c>
      <c r="K34" s="240">
        <v>6.8830000000000027</v>
      </c>
      <c r="L34" s="240">
        <v>-28.576444444444444</v>
      </c>
      <c r="N34">
        <f t="shared" si="0"/>
        <v>13.817973535566345</v>
      </c>
    </row>
    <row r="35" spans="1:14">
      <c r="A35" t="s">
        <v>30</v>
      </c>
      <c r="B35" t="s">
        <v>9</v>
      </c>
      <c r="C35" t="s">
        <v>13</v>
      </c>
      <c r="D35" s="8">
        <v>2</v>
      </c>
      <c r="E35">
        <v>30</v>
      </c>
      <c r="F35" s="163" t="s">
        <v>30</v>
      </c>
      <c r="G35" s="163" t="s">
        <v>918</v>
      </c>
      <c r="I35" s="240">
        <v>0.14110877923769893</v>
      </c>
      <c r="J35" s="240">
        <v>2.0047423090870713</v>
      </c>
      <c r="K35" s="240">
        <v>5.7959999999999994</v>
      </c>
      <c r="L35" s="240">
        <v>-28.998444444444445</v>
      </c>
      <c r="N35">
        <f t="shared" si="0"/>
        <v>14.20707003431775</v>
      </c>
    </row>
    <row r="36" spans="1:14">
      <c r="A36" t="s">
        <v>1182</v>
      </c>
      <c r="B36" t="s">
        <v>9</v>
      </c>
      <c r="C36" t="s">
        <v>13</v>
      </c>
      <c r="D36" s="8">
        <v>3</v>
      </c>
      <c r="E36">
        <v>5</v>
      </c>
      <c r="F36" s="163" t="s">
        <v>31</v>
      </c>
      <c r="G36" s="163" t="s">
        <v>919</v>
      </c>
      <c r="I36" s="241">
        <v>0.99132885581389996</v>
      </c>
      <c r="J36" s="241">
        <v>11.071194564679811</v>
      </c>
      <c r="K36" s="249">
        <v>10.353625000000001</v>
      </c>
      <c r="L36" s="249">
        <v>-26.98833333333333</v>
      </c>
      <c r="N36">
        <f t="shared" si="0"/>
        <v>11.168034199498962</v>
      </c>
    </row>
    <row r="37" spans="1:14">
      <c r="A37" t="s">
        <v>1183</v>
      </c>
      <c r="B37" t="s">
        <v>9</v>
      </c>
      <c r="C37" t="s">
        <v>13</v>
      </c>
      <c r="D37" s="6">
        <v>3</v>
      </c>
      <c r="E37">
        <v>10</v>
      </c>
      <c r="F37" s="163"/>
      <c r="G37" s="163"/>
      <c r="I37" s="241">
        <v>0.89819693862941918</v>
      </c>
      <c r="J37" s="241">
        <v>9.8232667922755041</v>
      </c>
      <c r="K37" s="249">
        <v>7.7506250000000003</v>
      </c>
      <c r="L37" s="249">
        <v>-27.245333333333331</v>
      </c>
      <c r="N37">
        <f t="shared" si="0"/>
        <v>10.936651384344584</v>
      </c>
    </row>
    <row r="38" spans="1:14">
      <c r="A38" t="s">
        <v>32</v>
      </c>
      <c r="B38" t="s">
        <v>9</v>
      </c>
      <c r="C38" t="s">
        <v>13</v>
      </c>
      <c r="D38" s="8">
        <v>3</v>
      </c>
      <c r="E38">
        <v>20</v>
      </c>
      <c r="F38" s="163" t="s">
        <v>32</v>
      </c>
      <c r="G38" s="163" t="s">
        <v>920</v>
      </c>
      <c r="I38" s="240">
        <v>0.48336864898428156</v>
      </c>
      <c r="J38" s="240">
        <v>6.7925150504880278</v>
      </c>
      <c r="K38" s="240">
        <v>6.8719999999999999</v>
      </c>
      <c r="L38" s="240">
        <v>-28.340444444444444</v>
      </c>
      <c r="N38">
        <f t="shared" si="0"/>
        <v>14.05245264615602</v>
      </c>
    </row>
    <row r="39" spans="1:14">
      <c r="A39" t="s">
        <v>33</v>
      </c>
      <c r="B39" t="s">
        <v>9</v>
      </c>
      <c r="C39" t="s">
        <v>13</v>
      </c>
      <c r="D39" s="8">
        <v>3</v>
      </c>
      <c r="E39">
        <v>30</v>
      </c>
      <c r="F39" s="163" t="s">
        <v>33</v>
      </c>
      <c r="G39" s="163" t="s">
        <v>921</v>
      </c>
      <c r="I39" s="240">
        <v>0.1313086787052252</v>
      </c>
      <c r="J39" s="240">
        <v>2.5699564684938618</v>
      </c>
      <c r="K39" s="240">
        <v>5.7349999999999994</v>
      </c>
      <c r="L39" s="240">
        <v>-29.256444444444444</v>
      </c>
      <c r="N39">
        <f t="shared" si="0"/>
        <v>19.571870601661875</v>
      </c>
    </row>
    <row r="40" spans="1:14">
      <c r="A40" t="s">
        <v>1184</v>
      </c>
      <c r="B40" t="s">
        <v>9</v>
      </c>
      <c r="C40" t="s">
        <v>13</v>
      </c>
      <c r="D40" s="8">
        <v>4</v>
      </c>
      <c r="E40">
        <v>5</v>
      </c>
      <c r="F40" s="163" t="s">
        <v>34</v>
      </c>
      <c r="G40" s="163" t="s">
        <v>922</v>
      </c>
      <c r="I40" s="241">
        <v>0.80307234700450458</v>
      </c>
      <c r="J40" s="241">
        <v>9.4990242549493189</v>
      </c>
      <c r="K40" s="249">
        <v>8.8486249999999984</v>
      </c>
      <c r="L40" s="249">
        <v>-26.793333333333333</v>
      </c>
      <c r="N40">
        <f t="shared" si="0"/>
        <v>11.828354307530448</v>
      </c>
    </row>
    <row r="41" spans="1:14">
      <c r="A41" t="s">
        <v>1185</v>
      </c>
      <c r="B41" t="s">
        <v>9</v>
      </c>
      <c r="C41" t="s">
        <v>13</v>
      </c>
      <c r="D41" s="6">
        <v>4</v>
      </c>
      <c r="E41">
        <v>10</v>
      </c>
      <c r="F41" s="163"/>
      <c r="G41" s="163"/>
      <c r="I41" s="241">
        <v>0.64058819019604074</v>
      </c>
      <c r="J41" s="241">
        <v>7.5585002764623672</v>
      </c>
      <c r="K41" s="249">
        <v>5.6136249999999999</v>
      </c>
      <c r="L41" s="249">
        <v>-27.536333333333332</v>
      </c>
      <c r="N41">
        <f t="shared" si="0"/>
        <v>11.799312557025475</v>
      </c>
    </row>
    <row r="42" spans="1:14">
      <c r="A42" t="s">
        <v>35</v>
      </c>
      <c r="B42" t="s">
        <v>9</v>
      </c>
      <c r="C42" t="s">
        <v>13</v>
      </c>
      <c r="D42" s="8">
        <v>4</v>
      </c>
      <c r="E42">
        <v>20</v>
      </c>
      <c r="F42" s="163" t="s">
        <v>35</v>
      </c>
      <c r="G42" s="163" t="s">
        <v>923</v>
      </c>
      <c r="I42" s="240">
        <v>0.5895692302466734</v>
      </c>
      <c r="J42" s="240">
        <v>7.3273457173151035</v>
      </c>
      <c r="K42" s="240">
        <v>7.2680000000000007</v>
      </c>
      <c r="L42" s="240">
        <v>-28.356444444444445</v>
      </c>
      <c r="N42">
        <f t="shared" si="0"/>
        <v>12.428304160733374</v>
      </c>
    </row>
    <row r="43" spans="1:14">
      <c r="A43" t="s">
        <v>36</v>
      </c>
      <c r="B43" t="s">
        <v>9</v>
      </c>
      <c r="C43" t="s">
        <v>13</v>
      </c>
      <c r="D43" s="8">
        <v>4</v>
      </c>
      <c r="E43">
        <v>30</v>
      </c>
      <c r="F43" s="163" t="s">
        <v>36</v>
      </c>
      <c r="G43" s="163" t="s">
        <v>924</v>
      </c>
      <c r="I43" s="240">
        <v>0.43482573768864502</v>
      </c>
      <c r="J43" s="240">
        <v>5.7020851715413743</v>
      </c>
      <c r="K43" s="240">
        <v>6.7939999999999969</v>
      </c>
      <c r="L43" s="240">
        <v>-28.555444444444444</v>
      </c>
      <c r="N43">
        <f t="shared" si="0"/>
        <v>13.113495079319168</v>
      </c>
    </row>
    <row r="44" spans="1:14">
      <c r="A44" t="s">
        <v>1186</v>
      </c>
      <c r="B44" t="s">
        <v>9</v>
      </c>
      <c r="C44" t="s">
        <v>13</v>
      </c>
      <c r="D44" s="8">
        <v>5</v>
      </c>
      <c r="E44">
        <v>5</v>
      </c>
      <c r="F44" s="163" t="s">
        <v>37</v>
      </c>
      <c r="G44" s="163" t="s">
        <v>925</v>
      </c>
      <c r="I44" s="241">
        <v>0.71797195750296161</v>
      </c>
      <c r="J44" s="241">
        <v>8.7163018509003631</v>
      </c>
      <c r="K44" s="249">
        <v>5.5196249999999996</v>
      </c>
      <c r="L44" s="249">
        <v>-27.053333333333331</v>
      </c>
      <c r="N44">
        <f t="shared" si="0"/>
        <v>12.140170322549691</v>
      </c>
    </row>
    <row r="45" spans="1:14">
      <c r="A45" t="s">
        <v>1187</v>
      </c>
      <c r="B45" t="s">
        <v>9</v>
      </c>
      <c r="C45" t="s">
        <v>13</v>
      </c>
      <c r="D45" s="6">
        <v>5</v>
      </c>
      <c r="E45">
        <v>10</v>
      </c>
      <c r="F45" s="163"/>
      <c r="G45" s="163"/>
      <c r="I45" s="241">
        <v>0.5652086936062326</v>
      </c>
      <c r="J45" s="241">
        <v>6.1740818443064889</v>
      </c>
      <c r="K45" s="249">
        <v>7.8036249999999994</v>
      </c>
      <c r="L45" s="249">
        <v>-27.098333333333333</v>
      </c>
      <c r="N45">
        <f t="shared" si="0"/>
        <v>10.923543664754428</v>
      </c>
    </row>
    <row r="46" spans="1:14">
      <c r="A46" t="s">
        <v>38</v>
      </c>
      <c r="B46" t="s">
        <v>9</v>
      </c>
      <c r="C46" t="s">
        <v>13</v>
      </c>
      <c r="D46" s="8">
        <v>5</v>
      </c>
      <c r="E46">
        <v>20</v>
      </c>
      <c r="F46" s="163" t="s">
        <v>38</v>
      </c>
      <c r="G46" s="163" t="s">
        <v>926</v>
      </c>
      <c r="I46" s="240">
        <v>0.72154792746113483</v>
      </c>
      <c r="J46" s="240">
        <v>8.3810318675350555</v>
      </c>
      <c r="K46" s="240">
        <v>8.9329999999999998</v>
      </c>
      <c r="L46" s="240">
        <v>-27.679444444444446</v>
      </c>
      <c r="N46">
        <f t="shared" si="0"/>
        <v>11.61535020552947</v>
      </c>
    </row>
    <row r="47" spans="1:14">
      <c r="A47" t="s">
        <v>1188</v>
      </c>
      <c r="B47" t="s">
        <v>9</v>
      </c>
      <c r="C47" t="s">
        <v>13</v>
      </c>
      <c r="D47" s="8">
        <v>6</v>
      </c>
      <c r="E47">
        <v>5</v>
      </c>
      <c r="F47" s="163" t="s">
        <v>39</v>
      </c>
      <c r="G47" s="163" t="s">
        <v>927</v>
      </c>
      <c r="I47" s="241">
        <v>1.6307139708986647</v>
      </c>
      <c r="J47" s="241">
        <v>23.577779747901072</v>
      </c>
      <c r="K47" s="249">
        <v>2.414625</v>
      </c>
      <c r="L47" s="249">
        <v>-27.690333333333331</v>
      </c>
      <c r="N47">
        <f t="shared" si="0"/>
        <v>14.458562426436853</v>
      </c>
    </row>
    <row r="48" spans="1:14">
      <c r="A48" s="8" t="s">
        <v>1189</v>
      </c>
      <c r="B48" t="s">
        <v>9</v>
      </c>
      <c r="C48" t="s">
        <v>13</v>
      </c>
      <c r="D48" s="6">
        <v>6</v>
      </c>
      <c r="E48">
        <v>10</v>
      </c>
      <c r="F48" s="163"/>
      <c r="G48" s="163"/>
      <c r="I48" s="241">
        <v>0.31439789634676057</v>
      </c>
      <c r="J48" s="241">
        <v>3.7759013163405033</v>
      </c>
      <c r="K48" s="249">
        <v>4.4546250000000001</v>
      </c>
      <c r="L48" s="249">
        <v>-26.59633333333333</v>
      </c>
      <c r="N48">
        <f t="shared" si="0"/>
        <v>12.009944596372007</v>
      </c>
    </row>
    <row r="49" spans="1:14">
      <c r="A49" s="8" t="s">
        <v>40</v>
      </c>
      <c r="B49" t="s">
        <v>9</v>
      </c>
      <c r="C49" t="s">
        <v>13</v>
      </c>
      <c r="D49" s="8">
        <v>6</v>
      </c>
      <c r="E49">
        <v>20</v>
      </c>
      <c r="F49" s="163" t="s">
        <v>40</v>
      </c>
      <c r="G49" s="163" t="s">
        <v>928</v>
      </c>
      <c r="I49" s="240">
        <v>0.20131847005723938</v>
      </c>
      <c r="J49" s="240">
        <v>2.4603266777309387</v>
      </c>
      <c r="K49" s="240">
        <v>6.0760000000000005</v>
      </c>
      <c r="L49" s="240">
        <v>-28.798444444444446</v>
      </c>
      <c r="N49">
        <f t="shared" si="0"/>
        <v>12.221067828656816</v>
      </c>
    </row>
    <row r="50" spans="1:14">
      <c r="A50" s="4" t="s">
        <v>41</v>
      </c>
      <c r="B50" s="4" t="s">
        <v>9</v>
      </c>
      <c r="C50" s="4" t="s">
        <v>13</v>
      </c>
      <c r="D50" s="4">
        <v>6</v>
      </c>
      <c r="E50" s="4">
        <v>30</v>
      </c>
      <c r="F50" s="163" t="s">
        <v>41</v>
      </c>
      <c r="G50" s="163" t="s">
        <v>929</v>
      </c>
      <c r="I50" s="240">
        <v>9.2621548302327536E-2</v>
      </c>
      <c r="J50" s="240">
        <v>1.2920798445790174</v>
      </c>
      <c r="K50" s="240">
        <v>5.0790000000000006</v>
      </c>
      <c r="L50" s="240">
        <v>-30.259444444444448</v>
      </c>
      <c r="N50">
        <f t="shared" si="0"/>
        <v>13.950099823007903</v>
      </c>
    </row>
    <row r="51" spans="1:14">
      <c r="A51" s="6" t="s">
        <v>43</v>
      </c>
      <c r="B51" s="6" t="s">
        <v>196</v>
      </c>
      <c r="C51" t="s">
        <v>12</v>
      </c>
      <c r="D51" s="8">
        <v>1</v>
      </c>
      <c r="E51">
        <v>5</v>
      </c>
      <c r="F51" s="153" t="s">
        <v>43</v>
      </c>
      <c r="G51" s="153" t="s">
        <v>930</v>
      </c>
      <c r="H51" s="59"/>
      <c r="I51" s="242">
        <v>2.2619250130432111</v>
      </c>
      <c r="J51" s="242">
        <v>29.234540200054205</v>
      </c>
      <c r="K51" s="242">
        <v>18.25</v>
      </c>
      <c r="L51" s="242">
        <v>-26.051444444444446</v>
      </c>
      <c r="M51" s="59"/>
      <c r="N51">
        <f t="shared" si="0"/>
        <v>12.924628372503751</v>
      </c>
    </row>
    <row r="52" spans="1:14">
      <c r="A52" s="6" t="s">
        <v>44</v>
      </c>
      <c r="B52" s="6" t="s">
        <v>196</v>
      </c>
      <c r="C52" t="s">
        <v>12</v>
      </c>
      <c r="D52" s="8">
        <v>1</v>
      </c>
      <c r="E52">
        <v>10</v>
      </c>
      <c r="F52" s="153" t="s">
        <v>44</v>
      </c>
      <c r="G52" s="153" t="s">
        <v>931</v>
      </c>
      <c r="H52" s="59"/>
      <c r="I52" s="242">
        <v>2.3267849050721821</v>
      </c>
      <c r="J52" s="242">
        <v>30.883360492930549</v>
      </c>
      <c r="K52" s="242">
        <v>19.613999999999997</v>
      </c>
      <c r="L52" s="242">
        <v>-25.572444444444443</v>
      </c>
      <c r="M52" s="59"/>
      <c r="N52">
        <f t="shared" si="0"/>
        <v>13.27297612495577</v>
      </c>
    </row>
    <row r="53" spans="1:14">
      <c r="A53" s="6" t="s">
        <v>45</v>
      </c>
      <c r="B53" s="6" t="s">
        <v>196</v>
      </c>
      <c r="C53" t="s">
        <v>12</v>
      </c>
      <c r="D53" s="8">
        <v>1</v>
      </c>
      <c r="E53">
        <v>20</v>
      </c>
      <c r="F53" s="163" t="s">
        <v>45</v>
      </c>
      <c r="G53" s="163" t="s">
        <v>932</v>
      </c>
      <c r="I53" s="242">
        <v>1.2530457766468122</v>
      </c>
      <c r="J53" s="242">
        <v>14.388433624073874</v>
      </c>
      <c r="K53" s="242">
        <v>15.308</v>
      </c>
      <c r="L53" s="242">
        <v>-27.117444444444445</v>
      </c>
      <c r="N53">
        <f t="shared" si="0"/>
        <v>11.48276774259417</v>
      </c>
    </row>
    <row r="54" spans="1:14">
      <c r="A54" s="6" t="s">
        <v>46</v>
      </c>
      <c r="B54" s="6" t="s">
        <v>196</v>
      </c>
      <c r="C54" t="s">
        <v>12</v>
      </c>
      <c r="D54" s="8">
        <v>1</v>
      </c>
      <c r="E54">
        <v>30</v>
      </c>
      <c r="F54" s="163" t="s">
        <v>46</v>
      </c>
      <c r="G54" s="163" t="s">
        <v>933</v>
      </c>
      <c r="I54" s="242">
        <v>0.46406882010103495</v>
      </c>
      <c r="J54" s="242">
        <v>6.4566292159905707</v>
      </c>
      <c r="K54" s="242">
        <v>11.603000000000002</v>
      </c>
      <c r="L54" s="242">
        <v>-28.059444444444445</v>
      </c>
      <c r="N54">
        <f t="shared" si="0"/>
        <v>13.913085594901339</v>
      </c>
    </row>
    <row r="55" spans="1:14">
      <c r="A55" s="6" t="s">
        <v>47</v>
      </c>
      <c r="B55" s="6" t="s">
        <v>196</v>
      </c>
      <c r="C55" t="s">
        <v>12</v>
      </c>
      <c r="D55" s="8">
        <v>2</v>
      </c>
      <c r="E55">
        <v>5</v>
      </c>
      <c r="F55" s="163" t="s">
        <v>47</v>
      </c>
      <c r="G55" s="163" t="s">
        <v>934</v>
      </c>
      <c r="I55" s="242">
        <v>1.521813560627266</v>
      </c>
      <c r="J55" s="242">
        <v>16.365113988675365</v>
      </c>
      <c r="K55" s="242">
        <v>16.783999999999999</v>
      </c>
      <c r="L55" s="242">
        <v>-27.114444444444445</v>
      </c>
      <c r="N55">
        <f t="shared" si="0"/>
        <v>10.753691787271194</v>
      </c>
    </row>
    <row r="56" spans="1:14">
      <c r="A56" s="6" t="s">
        <v>48</v>
      </c>
      <c r="B56" s="6" t="s">
        <v>196</v>
      </c>
      <c r="C56" t="s">
        <v>12</v>
      </c>
      <c r="D56" s="8">
        <v>2</v>
      </c>
      <c r="E56">
        <v>10</v>
      </c>
      <c r="F56" s="163" t="s">
        <v>48</v>
      </c>
      <c r="G56" s="163" t="s">
        <v>935</v>
      </c>
      <c r="I56" s="242">
        <v>1.1541800270086617</v>
      </c>
      <c r="J56" s="242">
        <v>13.514844722905393</v>
      </c>
      <c r="K56" s="242">
        <v>12.759</v>
      </c>
      <c r="L56" s="242">
        <v>-26.968444444444444</v>
      </c>
      <c r="N56">
        <f t="shared" si="0"/>
        <v>11.709477210355477</v>
      </c>
    </row>
    <row r="57" spans="1:14">
      <c r="A57" s="6" t="s">
        <v>49</v>
      </c>
      <c r="B57" s="6" t="s">
        <v>196</v>
      </c>
      <c r="C57" t="s">
        <v>12</v>
      </c>
      <c r="D57" s="8">
        <v>2</v>
      </c>
      <c r="E57">
        <v>20</v>
      </c>
      <c r="F57" s="163" t="s">
        <v>49</v>
      </c>
      <c r="G57" s="163" t="s">
        <v>936</v>
      </c>
      <c r="I57" s="242">
        <v>1.2844808197049706</v>
      </c>
      <c r="J57" s="242">
        <v>15.47836462479669</v>
      </c>
      <c r="K57" s="242">
        <v>10.768999999999998</v>
      </c>
      <c r="L57" s="242">
        <v>-27.370444444444445</v>
      </c>
      <c r="N57">
        <f t="shared" si="0"/>
        <v>12.050288635957896</v>
      </c>
    </row>
    <row r="58" spans="1:14">
      <c r="A58" s="6" t="s">
        <v>50</v>
      </c>
      <c r="B58" s="6" t="s">
        <v>196</v>
      </c>
      <c r="C58" t="s">
        <v>12</v>
      </c>
      <c r="D58" s="8">
        <v>2</v>
      </c>
      <c r="E58">
        <v>30</v>
      </c>
      <c r="F58" s="163" t="s">
        <v>50</v>
      </c>
      <c r="G58" s="163" t="s">
        <v>937</v>
      </c>
      <c r="I58" s="242">
        <v>1.2501766233857097</v>
      </c>
      <c r="J58" s="242">
        <v>14.738119019934889</v>
      </c>
      <c r="K58" s="242">
        <v>11.576999999999998</v>
      </c>
      <c r="L58" s="242">
        <v>-27.309444444444445</v>
      </c>
      <c r="N58">
        <f t="shared" si="0"/>
        <v>11.788829469568336</v>
      </c>
    </row>
    <row r="59" spans="1:14">
      <c r="A59" s="6" t="s">
        <v>1190</v>
      </c>
      <c r="B59" s="6" t="s">
        <v>196</v>
      </c>
      <c r="C59" s="59" t="s">
        <v>12</v>
      </c>
      <c r="D59" s="6">
        <v>3</v>
      </c>
      <c r="E59" s="59">
        <v>5</v>
      </c>
      <c r="F59" s="153"/>
      <c r="G59" s="153"/>
      <c r="H59" s="59"/>
      <c r="I59" s="241">
        <v>2.592529057408131</v>
      </c>
      <c r="J59" s="241">
        <v>38.56227290218699</v>
      </c>
      <c r="K59" s="249">
        <v>9.3786249999999995</v>
      </c>
      <c r="L59" s="249">
        <v>-28.675333333333331</v>
      </c>
      <c r="M59" s="59"/>
      <c r="N59">
        <f t="shared" si="0"/>
        <v>14.874384066012917</v>
      </c>
    </row>
    <row r="60" spans="1:14">
      <c r="A60" s="6" t="s">
        <v>1191</v>
      </c>
      <c r="B60" s="6" t="s">
        <v>196</v>
      </c>
      <c r="C60" s="59" t="s">
        <v>12</v>
      </c>
      <c r="D60" s="6">
        <v>3</v>
      </c>
      <c r="E60" s="59">
        <v>10</v>
      </c>
      <c r="F60" s="153"/>
      <c r="G60" s="153"/>
      <c r="H60" s="59"/>
      <c r="I60" s="241">
        <v>2.8936494469240857</v>
      </c>
      <c r="J60" s="241">
        <v>34.690439064311626</v>
      </c>
      <c r="K60" s="249">
        <v>10.935625000000002</v>
      </c>
      <c r="L60" s="249">
        <v>-27.952333333333332</v>
      </c>
      <c r="M60" s="59"/>
      <c r="N60">
        <f t="shared" si="0"/>
        <v>11.98847327591362</v>
      </c>
    </row>
    <row r="61" spans="1:14">
      <c r="A61" s="6" t="s">
        <v>1192</v>
      </c>
      <c r="B61" s="6" t="s">
        <v>196</v>
      </c>
      <c r="C61" s="59" t="s">
        <v>12</v>
      </c>
      <c r="D61" s="6">
        <v>3</v>
      </c>
      <c r="E61" s="59">
        <v>20</v>
      </c>
      <c r="F61" s="153"/>
      <c r="G61" s="153"/>
      <c r="H61" s="59"/>
      <c r="I61" s="241">
        <v>0.9137521152215502</v>
      </c>
      <c r="J61" s="241">
        <v>9.8812611009365661</v>
      </c>
      <c r="K61" s="249">
        <v>13.177624999999999</v>
      </c>
      <c r="L61" s="249">
        <v>-27.120333333333331</v>
      </c>
      <c r="M61" s="59"/>
      <c r="N61">
        <f t="shared" si="0"/>
        <v>10.813940604165644</v>
      </c>
    </row>
    <row r="62" spans="1:14">
      <c r="A62" s="6" t="s">
        <v>1193</v>
      </c>
      <c r="B62" s="6" t="s">
        <v>196</v>
      </c>
      <c r="C62" s="59" t="s">
        <v>12</v>
      </c>
      <c r="D62" s="6">
        <v>3</v>
      </c>
      <c r="E62" s="59">
        <v>30</v>
      </c>
      <c r="F62" s="153"/>
      <c r="G62" s="153"/>
      <c r="H62" s="59"/>
      <c r="I62" s="241">
        <v>1.2136169711890787</v>
      </c>
      <c r="J62" s="241">
        <v>13.574226149307217</v>
      </c>
      <c r="K62" s="249">
        <v>13.075624999999999</v>
      </c>
      <c r="L62" s="249">
        <v>-26.86633333333333</v>
      </c>
      <c r="M62" s="59"/>
      <c r="N62">
        <f t="shared" si="0"/>
        <v>11.184934350421491</v>
      </c>
    </row>
    <row r="63" spans="1:14">
      <c r="A63" s="6" t="s">
        <v>52</v>
      </c>
      <c r="B63" s="6" t="s">
        <v>196</v>
      </c>
      <c r="C63" t="s">
        <v>12</v>
      </c>
      <c r="D63" s="8">
        <v>4</v>
      </c>
      <c r="E63">
        <v>5</v>
      </c>
      <c r="F63" s="165" t="s">
        <v>52</v>
      </c>
      <c r="G63" s="165" t="s">
        <v>939</v>
      </c>
      <c r="H63" s="166"/>
      <c r="I63" s="243">
        <v>2.3852254874435994</v>
      </c>
      <c r="J63" s="244">
        <v>33.802669544292655</v>
      </c>
      <c r="K63" s="243">
        <v>11.315833333333334</v>
      </c>
      <c r="L63" s="244">
        <v>-27.079444444444444</v>
      </c>
      <c r="M63" s="166" t="s">
        <v>1088</v>
      </c>
      <c r="N63">
        <f t="shared" si="0"/>
        <v>14.171687214579098</v>
      </c>
    </row>
    <row r="64" spans="1:14">
      <c r="A64" s="6" t="s">
        <v>53</v>
      </c>
      <c r="B64" s="6" t="s">
        <v>196</v>
      </c>
      <c r="C64" t="s">
        <v>12</v>
      </c>
      <c r="D64" s="8">
        <v>4</v>
      </c>
      <c r="E64">
        <v>10</v>
      </c>
      <c r="F64" s="163" t="s">
        <v>53</v>
      </c>
      <c r="G64" s="163" t="s">
        <v>940</v>
      </c>
      <c r="I64" s="242">
        <v>0.61690399584509092</v>
      </c>
      <c r="J64" s="242">
        <v>7.6725436887277718</v>
      </c>
      <c r="K64" s="242">
        <v>13.850999999999999</v>
      </c>
      <c r="L64" s="242">
        <v>-27.568444444444445</v>
      </c>
      <c r="N64">
        <f t="shared" si="0"/>
        <v>12.43717619014159</v>
      </c>
    </row>
    <row r="65" spans="1:14">
      <c r="A65" s="6" t="s">
        <v>54</v>
      </c>
      <c r="B65" s="6" t="s">
        <v>196</v>
      </c>
      <c r="C65" t="s">
        <v>12</v>
      </c>
      <c r="D65" s="8">
        <v>4</v>
      </c>
      <c r="E65">
        <v>20</v>
      </c>
      <c r="F65" s="163" t="s">
        <v>54</v>
      </c>
      <c r="G65" s="163" t="s">
        <v>941</v>
      </c>
      <c r="I65" s="242">
        <v>0.6135888549229439</v>
      </c>
      <c r="J65" s="242">
        <v>7.4818177204334226</v>
      </c>
      <c r="K65" s="242">
        <v>14.534999999999997</v>
      </c>
      <c r="L65" s="242">
        <v>-27.406444444444443</v>
      </c>
      <c r="N65">
        <f t="shared" si="0"/>
        <v>12.193535883850121</v>
      </c>
    </row>
    <row r="66" spans="1:14">
      <c r="A66" s="6" t="s">
        <v>55</v>
      </c>
      <c r="B66" s="6" t="s">
        <v>196</v>
      </c>
      <c r="C66" t="s">
        <v>12</v>
      </c>
      <c r="D66" s="8">
        <v>5</v>
      </c>
      <c r="E66">
        <v>5</v>
      </c>
      <c r="F66" s="165" t="s">
        <v>55</v>
      </c>
      <c r="G66" s="165" t="s">
        <v>942</v>
      </c>
      <c r="H66" s="166"/>
      <c r="I66" s="243">
        <v>2.5583156457346021</v>
      </c>
      <c r="J66" s="243">
        <v>32.22262086111111</v>
      </c>
      <c r="K66" s="243">
        <v>10.125833333333329</v>
      </c>
      <c r="L66" s="243">
        <v>-23.019599999999997</v>
      </c>
      <c r="M66" s="166" t="s">
        <v>1087</v>
      </c>
      <c r="N66">
        <f t="shared" si="0"/>
        <v>12.595248328655167</v>
      </c>
    </row>
    <row r="67" spans="1:14">
      <c r="A67" s="6" t="s">
        <v>56</v>
      </c>
      <c r="B67" s="6" t="s">
        <v>196</v>
      </c>
      <c r="C67" t="s">
        <v>12</v>
      </c>
      <c r="D67" s="8">
        <v>5</v>
      </c>
      <c r="E67">
        <v>10</v>
      </c>
      <c r="F67" s="153" t="s">
        <v>56</v>
      </c>
      <c r="G67" s="153" t="s">
        <v>943</v>
      </c>
      <c r="H67" s="59"/>
      <c r="I67" s="242">
        <v>2.2395188279901626</v>
      </c>
      <c r="J67" s="242">
        <v>26.476788925467226</v>
      </c>
      <c r="K67" s="242">
        <v>15.536999999999999</v>
      </c>
      <c r="L67" s="242">
        <v>-26.817444444444444</v>
      </c>
      <c r="M67" s="59"/>
      <c r="N67">
        <f t="shared" si="0"/>
        <v>11.822534642063536</v>
      </c>
    </row>
    <row r="68" spans="1:14">
      <c r="A68" s="6" t="s">
        <v>57</v>
      </c>
      <c r="B68" s="6" t="s">
        <v>196</v>
      </c>
      <c r="C68" t="s">
        <v>12</v>
      </c>
      <c r="D68" s="8">
        <v>6</v>
      </c>
      <c r="E68">
        <v>5</v>
      </c>
      <c r="F68" s="163" t="s">
        <v>57</v>
      </c>
      <c r="G68" s="163" t="s">
        <v>944</v>
      </c>
      <c r="I68" s="242">
        <v>1.6769637594094196</v>
      </c>
      <c r="J68" s="242">
        <v>21.653342019810832</v>
      </c>
      <c r="K68" s="242">
        <v>17.429000000000002</v>
      </c>
      <c r="L68" s="242">
        <v>-25.835444444444445</v>
      </c>
      <c r="N68">
        <f t="shared" si="0"/>
        <v>12.912230153045492</v>
      </c>
    </row>
    <row r="69" spans="1:14">
      <c r="A69" s="6" t="s">
        <v>58</v>
      </c>
      <c r="B69" s="6" t="s">
        <v>196</v>
      </c>
      <c r="C69" t="s">
        <v>12</v>
      </c>
      <c r="D69" s="8">
        <v>6</v>
      </c>
      <c r="E69">
        <v>10</v>
      </c>
      <c r="F69" s="163" t="s">
        <v>58</v>
      </c>
      <c r="G69" s="163" t="s">
        <v>945</v>
      </c>
      <c r="I69" s="242">
        <v>1.915189139147879</v>
      </c>
      <c r="J69" s="242">
        <v>24.330403280311018</v>
      </c>
      <c r="K69" s="242">
        <v>18.122999999999998</v>
      </c>
      <c r="L69" s="242">
        <v>-24.883444444444443</v>
      </c>
      <c r="N69">
        <f t="shared" si="0"/>
        <v>12.703916695734966</v>
      </c>
    </row>
    <row r="70" spans="1:14">
      <c r="A70" s="6" t="s">
        <v>59</v>
      </c>
      <c r="B70" s="6" t="s">
        <v>196</v>
      </c>
      <c r="C70" t="s">
        <v>12</v>
      </c>
      <c r="D70" s="8">
        <v>6</v>
      </c>
      <c r="E70">
        <v>20</v>
      </c>
      <c r="F70" s="163" t="s">
        <v>59</v>
      </c>
      <c r="G70" s="163" t="s">
        <v>946</v>
      </c>
      <c r="I70" s="242">
        <v>1.5079699989796629</v>
      </c>
      <c r="J70" s="242">
        <v>18.080926743535986</v>
      </c>
      <c r="K70" s="242">
        <v>17.231000000000002</v>
      </c>
      <c r="L70" s="242">
        <v>-25.146444444444445</v>
      </c>
      <c r="N70">
        <f t="shared" si="0"/>
        <v>11.99024301263956</v>
      </c>
    </row>
    <row r="71" spans="1:14">
      <c r="A71" s="6" t="s">
        <v>60</v>
      </c>
      <c r="B71" s="6" t="s">
        <v>196</v>
      </c>
      <c r="C71" t="s">
        <v>13</v>
      </c>
      <c r="D71" s="8">
        <v>1</v>
      </c>
      <c r="E71">
        <v>5</v>
      </c>
      <c r="F71" s="163" t="s">
        <v>60</v>
      </c>
      <c r="G71" s="163" t="s">
        <v>947</v>
      </c>
      <c r="I71" s="242">
        <v>0.57222233901422959</v>
      </c>
      <c r="J71" s="242">
        <v>7.2983951196194985</v>
      </c>
      <c r="K71" s="242">
        <v>6.1480000000000032</v>
      </c>
      <c r="L71" s="242">
        <v>-28.012444444444444</v>
      </c>
      <c r="N71">
        <f t="shared" si="0"/>
        <v>12.754474304852344</v>
      </c>
    </row>
    <row r="72" spans="1:14">
      <c r="A72" s="6" t="s">
        <v>61</v>
      </c>
      <c r="B72" s="6" t="s">
        <v>196</v>
      </c>
      <c r="C72" t="s">
        <v>13</v>
      </c>
      <c r="D72" s="8">
        <v>1</v>
      </c>
      <c r="E72">
        <v>10</v>
      </c>
      <c r="F72" s="163" t="s">
        <v>61</v>
      </c>
      <c r="G72" s="163" t="s">
        <v>948</v>
      </c>
      <c r="I72" s="242">
        <v>0.20891989433409203</v>
      </c>
      <c r="J72" s="242">
        <v>2.6547999899020112</v>
      </c>
      <c r="K72" s="242">
        <v>7.18</v>
      </c>
      <c r="L72" s="242">
        <v>-29.130444444444443</v>
      </c>
      <c r="N72">
        <f t="shared" ref="N72:N135" si="1">J72/I72</f>
        <v>12.707262744717916</v>
      </c>
    </row>
    <row r="73" spans="1:14">
      <c r="A73" s="6" t="s">
        <v>62</v>
      </c>
      <c r="B73" s="6" t="s">
        <v>196</v>
      </c>
      <c r="C73" t="s">
        <v>13</v>
      </c>
      <c r="D73" s="8">
        <v>1</v>
      </c>
      <c r="E73">
        <v>20</v>
      </c>
      <c r="F73" s="163" t="s">
        <v>62</v>
      </c>
      <c r="G73" s="163" t="s">
        <v>949</v>
      </c>
      <c r="I73" s="242">
        <v>0.18132454371523213</v>
      </c>
      <c r="J73" s="242">
        <v>2.3502495752989003</v>
      </c>
      <c r="K73" s="242">
        <v>7.3250000000000028</v>
      </c>
      <c r="L73" s="242">
        <v>-29.088444444444445</v>
      </c>
      <c r="N73">
        <f t="shared" si="1"/>
        <v>12.961563432857369</v>
      </c>
    </row>
    <row r="74" spans="1:14">
      <c r="A74" s="6" t="s">
        <v>63</v>
      </c>
      <c r="B74" s="6" t="s">
        <v>196</v>
      </c>
      <c r="C74" t="s">
        <v>13</v>
      </c>
      <c r="D74" s="8">
        <v>2</v>
      </c>
      <c r="E74">
        <v>5</v>
      </c>
      <c r="F74" s="153" t="s">
        <v>63</v>
      </c>
      <c r="G74" s="153" t="s">
        <v>950</v>
      </c>
      <c r="H74" s="59"/>
      <c r="I74" s="242">
        <v>2.1986337388859098</v>
      </c>
      <c r="J74" s="242">
        <v>41.456542247715895</v>
      </c>
      <c r="K74" s="242">
        <v>3.8649999999999984</v>
      </c>
      <c r="L74" s="242">
        <v>-25.530444444444445</v>
      </c>
      <c r="M74" s="59"/>
      <c r="N74">
        <f t="shared" si="1"/>
        <v>18.855592686721312</v>
      </c>
    </row>
    <row r="75" spans="1:14">
      <c r="A75" s="6" t="s">
        <v>64</v>
      </c>
      <c r="B75" s="6" t="s">
        <v>196</v>
      </c>
      <c r="C75" t="s">
        <v>13</v>
      </c>
      <c r="D75" s="8">
        <v>2</v>
      </c>
      <c r="E75">
        <v>10</v>
      </c>
      <c r="F75" s="163" t="s">
        <v>64</v>
      </c>
      <c r="G75" s="163" t="s">
        <v>951</v>
      </c>
      <c r="I75" s="242">
        <v>0.42055867205924452</v>
      </c>
      <c r="J75" s="242">
        <v>5.82746440664702</v>
      </c>
      <c r="K75" s="242">
        <v>6.4269999999999996</v>
      </c>
      <c r="L75" s="242">
        <v>-28.001444444444445</v>
      </c>
      <c r="N75">
        <f t="shared" si="1"/>
        <v>13.856483753177962</v>
      </c>
    </row>
    <row r="76" spans="1:14">
      <c r="A76" s="6" t="s">
        <v>65</v>
      </c>
      <c r="B76" s="6" t="s">
        <v>196</v>
      </c>
      <c r="C76" t="s">
        <v>13</v>
      </c>
      <c r="D76" s="8">
        <v>2</v>
      </c>
      <c r="E76">
        <v>20</v>
      </c>
      <c r="F76" s="163" t="s">
        <v>65</v>
      </c>
      <c r="G76" s="163" t="s">
        <v>952</v>
      </c>
      <c r="I76" s="242">
        <v>0.12533233488354875</v>
      </c>
      <c r="J76" s="242">
        <v>1.5935556505177777</v>
      </c>
      <c r="K76" s="242">
        <v>6.7700000000000031</v>
      </c>
      <c r="L76" s="242">
        <v>-28.440444444444445</v>
      </c>
      <c r="N76">
        <f t="shared" si="1"/>
        <v>12.714641054109569</v>
      </c>
    </row>
    <row r="77" spans="1:14">
      <c r="A77" s="6" t="s">
        <v>66</v>
      </c>
      <c r="B77" s="6" t="s">
        <v>196</v>
      </c>
      <c r="C77" t="s">
        <v>13</v>
      </c>
      <c r="D77" s="8">
        <v>3</v>
      </c>
      <c r="E77">
        <v>5</v>
      </c>
      <c r="F77" s="165" t="s">
        <v>66</v>
      </c>
      <c r="G77" s="165" t="s">
        <v>953</v>
      </c>
      <c r="H77" s="166"/>
      <c r="I77" s="243">
        <v>2.3712579159887079</v>
      </c>
      <c r="J77" s="243">
        <v>37.019891274223603</v>
      </c>
      <c r="K77" s="243">
        <v>6.0058333333333316</v>
      </c>
      <c r="L77" s="243">
        <v>-24.429600000000001</v>
      </c>
      <c r="M77" s="166" t="s">
        <v>1087</v>
      </c>
      <c r="N77">
        <f t="shared" si="1"/>
        <v>15.611921008089908</v>
      </c>
    </row>
    <row r="78" spans="1:14">
      <c r="A78" s="6" t="s">
        <v>67</v>
      </c>
      <c r="B78" s="6" t="s">
        <v>196</v>
      </c>
      <c r="C78" t="s">
        <v>13</v>
      </c>
      <c r="D78" s="8">
        <v>3</v>
      </c>
      <c r="E78">
        <v>10</v>
      </c>
      <c r="F78" s="163" t="s">
        <v>67</v>
      </c>
      <c r="G78" s="163" t="s">
        <v>954</v>
      </c>
      <c r="I78" s="242">
        <v>1.4301574065258746</v>
      </c>
      <c r="J78" s="242">
        <v>17.93219670805976</v>
      </c>
      <c r="K78" s="242">
        <v>11.094000000000001</v>
      </c>
      <c r="L78" s="242">
        <v>-27.273444444444443</v>
      </c>
      <c r="N78">
        <f t="shared" si="1"/>
        <v>12.53861751597014</v>
      </c>
    </row>
    <row r="79" spans="1:14">
      <c r="A79" s="6" t="s">
        <v>68</v>
      </c>
      <c r="B79" s="6" t="s">
        <v>196</v>
      </c>
      <c r="C79" t="s">
        <v>13</v>
      </c>
      <c r="D79" s="8">
        <v>3</v>
      </c>
      <c r="E79">
        <v>20</v>
      </c>
      <c r="F79" s="163" t="s">
        <v>68</v>
      </c>
      <c r="G79" s="163" t="s">
        <v>955</v>
      </c>
      <c r="H79" s="163"/>
      <c r="I79" s="242">
        <v>1.537576409598753</v>
      </c>
      <c r="J79" s="242">
        <v>18.414557637631152</v>
      </c>
      <c r="K79" s="242">
        <v>10.676000000000002</v>
      </c>
      <c r="L79" s="242">
        <v>-27.841444444444445</v>
      </c>
      <c r="N79">
        <f t="shared" si="1"/>
        <v>11.976352864594631</v>
      </c>
    </row>
    <row r="80" spans="1:14">
      <c r="A80" s="6" t="s">
        <v>69</v>
      </c>
      <c r="B80" s="6" t="s">
        <v>196</v>
      </c>
      <c r="C80" t="s">
        <v>13</v>
      </c>
      <c r="D80" s="8">
        <v>4</v>
      </c>
      <c r="E80">
        <v>30</v>
      </c>
      <c r="F80" s="163" t="s">
        <v>69</v>
      </c>
      <c r="G80" s="163" t="s">
        <v>956</v>
      </c>
      <c r="H80" s="163" t="s">
        <v>997</v>
      </c>
      <c r="I80" s="245">
        <v>1.4877198890111267</v>
      </c>
      <c r="J80" s="245">
        <v>18.150088325846106</v>
      </c>
      <c r="K80" s="245">
        <v>10.674777777777781</v>
      </c>
      <c r="L80" s="242">
        <v>-26.850777777777779</v>
      </c>
      <c r="N80">
        <f t="shared" si="1"/>
        <v>12.199936600908318</v>
      </c>
    </row>
    <row r="81" spans="1:14">
      <c r="A81" s="6" t="s">
        <v>70</v>
      </c>
      <c r="B81" s="6" t="s">
        <v>196</v>
      </c>
      <c r="C81" t="s">
        <v>13</v>
      </c>
      <c r="D81" s="8">
        <v>4</v>
      </c>
      <c r="E81">
        <v>10</v>
      </c>
      <c r="F81" s="163" t="s">
        <v>70</v>
      </c>
      <c r="G81" s="163" t="s">
        <v>957</v>
      </c>
      <c r="I81" s="245">
        <v>1.8611743778757712</v>
      </c>
      <c r="J81" s="245">
        <v>29.062861292441216</v>
      </c>
      <c r="K81" s="245">
        <v>8.3237777777777815</v>
      </c>
      <c r="L81" s="242">
        <v>-27.798777777777779</v>
      </c>
      <c r="N81">
        <f t="shared" si="1"/>
        <v>15.615334940088612</v>
      </c>
    </row>
    <row r="82" spans="1:14">
      <c r="A82" s="6" t="s">
        <v>71</v>
      </c>
      <c r="B82" s="6" t="s">
        <v>196</v>
      </c>
      <c r="C82" t="s">
        <v>13</v>
      </c>
      <c r="D82" s="8">
        <v>4</v>
      </c>
      <c r="E82">
        <v>20</v>
      </c>
      <c r="F82" s="163" t="s">
        <v>71</v>
      </c>
      <c r="G82" s="163" t="s">
        <v>958</v>
      </c>
      <c r="I82" s="245">
        <v>1.3242240264902905</v>
      </c>
      <c r="J82" s="245">
        <v>16.293242555878752</v>
      </c>
      <c r="K82" s="245">
        <v>10.728777777777776</v>
      </c>
      <c r="L82" s="242">
        <v>-27.183777777777777</v>
      </c>
      <c r="N82">
        <f t="shared" si="1"/>
        <v>12.303992549555375</v>
      </c>
    </row>
    <row r="83" spans="1:14">
      <c r="A83" s="6" t="s">
        <v>72</v>
      </c>
      <c r="B83" s="6" t="s">
        <v>196</v>
      </c>
      <c r="C83" t="s">
        <v>13</v>
      </c>
      <c r="D83" s="8">
        <v>4</v>
      </c>
      <c r="E83">
        <v>5</v>
      </c>
      <c r="F83" s="153" t="s">
        <v>72</v>
      </c>
      <c r="G83" s="153" t="s">
        <v>959</v>
      </c>
      <c r="H83" s="59"/>
      <c r="I83" s="246">
        <v>2.2471210400558541</v>
      </c>
      <c r="J83" s="246">
        <v>42.694149847401533</v>
      </c>
      <c r="K83" s="246">
        <v>4.7447777777777773</v>
      </c>
      <c r="L83" s="244">
        <v>-27.039777777777779</v>
      </c>
      <c r="M83" s="59"/>
      <c r="N83">
        <f t="shared" si="1"/>
        <v>18.999488272487685</v>
      </c>
    </row>
    <row r="84" spans="1:14">
      <c r="A84" s="6" t="s">
        <v>73</v>
      </c>
      <c r="B84" s="6" t="s">
        <v>196</v>
      </c>
      <c r="C84" t="s">
        <v>13</v>
      </c>
      <c r="D84" s="8">
        <v>5</v>
      </c>
      <c r="E84">
        <v>5</v>
      </c>
      <c r="F84" s="153" t="s">
        <v>73</v>
      </c>
      <c r="G84" s="153" t="s">
        <v>960</v>
      </c>
      <c r="H84" s="59"/>
      <c r="I84" s="246">
        <v>1.9881065382982264</v>
      </c>
      <c r="J84" s="246">
        <v>31.054743894348853</v>
      </c>
      <c r="K84" s="246">
        <v>5.4397777777777776</v>
      </c>
      <c r="L84" s="244">
        <v>-26.835777777777778</v>
      </c>
      <c r="M84" s="59"/>
      <c r="N84">
        <f t="shared" si="1"/>
        <v>15.620261437765302</v>
      </c>
    </row>
    <row r="85" spans="1:14">
      <c r="A85" s="6" t="s">
        <v>74</v>
      </c>
      <c r="B85" s="6" t="s">
        <v>196</v>
      </c>
      <c r="C85" t="s">
        <v>13</v>
      </c>
      <c r="D85" s="8">
        <v>5</v>
      </c>
      <c r="E85">
        <v>10</v>
      </c>
      <c r="F85" s="153" t="s">
        <v>74</v>
      </c>
      <c r="G85" s="153" t="s">
        <v>961</v>
      </c>
      <c r="H85" s="59"/>
      <c r="I85" s="246">
        <v>1.3156700639325452</v>
      </c>
      <c r="J85" s="246">
        <v>18.963716670144397</v>
      </c>
      <c r="K85" s="246">
        <v>8.3517777777777802</v>
      </c>
      <c r="L85" s="244">
        <v>-27.514777777777777</v>
      </c>
      <c r="M85" s="59"/>
      <c r="N85">
        <f t="shared" si="1"/>
        <v>14.413732735897131</v>
      </c>
    </row>
    <row r="86" spans="1:14">
      <c r="A86" s="6" t="s">
        <v>75</v>
      </c>
      <c r="B86" s="6" t="s">
        <v>196</v>
      </c>
      <c r="C86" t="s">
        <v>13</v>
      </c>
      <c r="D86" s="8">
        <v>5</v>
      </c>
      <c r="E86">
        <v>20</v>
      </c>
      <c r="F86" s="153" t="s">
        <v>75</v>
      </c>
      <c r="G86" s="153" t="s">
        <v>962</v>
      </c>
      <c r="H86" s="59"/>
      <c r="I86" s="246">
        <v>0.92842094943207176</v>
      </c>
      <c r="J86" s="246">
        <v>13.089966233506223</v>
      </c>
      <c r="K86" s="246">
        <v>8.47077777777778</v>
      </c>
      <c r="L86" s="244">
        <v>-26.540777777777777</v>
      </c>
      <c r="M86" s="59"/>
      <c r="N86">
        <f t="shared" si="1"/>
        <v>14.099171546606676</v>
      </c>
    </row>
    <row r="87" spans="1:14">
      <c r="A87" s="6" t="s">
        <v>76</v>
      </c>
      <c r="B87" s="6" t="s">
        <v>196</v>
      </c>
      <c r="C87" t="s">
        <v>13</v>
      </c>
      <c r="D87" s="8">
        <v>5</v>
      </c>
      <c r="E87">
        <v>30</v>
      </c>
      <c r="F87" s="153" t="s">
        <v>76</v>
      </c>
      <c r="G87" s="153" t="s">
        <v>963</v>
      </c>
      <c r="H87" s="59"/>
      <c r="I87" s="246">
        <v>6.7588194976655649E-2</v>
      </c>
      <c r="J87" s="246">
        <v>0.68595529592606952</v>
      </c>
      <c r="K87" s="246">
        <v>10.611777777777778</v>
      </c>
      <c r="L87" s="244">
        <v>-29.449777777777779</v>
      </c>
      <c r="M87" s="59"/>
      <c r="N87">
        <f t="shared" si="1"/>
        <v>10.149040023379708</v>
      </c>
    </row>
    <row r="88" spans="1:14">
      <c r="A88" s="6" t="s">
        <v>77</v>
      </c>
      <c r="B88" s="6" t="s">
        <v>196</v>
      </c>
      <c r="C88" t="s">
        <v>13</v>
      </c>
      <c r="D88" s="8">
        <v>6</v>
      </c>
      <c r="E88">
        <v>5</v>
      </c>
      <c r="F88" s="153" t="s">
        <v>77</v>
      </c>
      <c r="G88" s="153" t="s">
        <v>964</v>
      </c>
      <c r="H88" s="59"/>
      <c r="I88" s="246">
        <v>0.13861382175243508</v>
      </c>
      <c r="J88" s="246">
        <v>2.0877210192207727</v>
      </c>
      <c r="K88" s="246">
        <v>4.1347777777777779</v>
      </c>
      <c r="L88" s="244">
        <v>-29.859777777777779</v>
      </c>
      <c r="M88" s="59"/>
      <c r="N88">
        <f t="shared" si="1"/>
        <v>15.061420230873166</v>
      </c>
    </row>
    <row r="89" spans="1:14">
      <c r="A89" s="6" t="s">
        <v>78</v>
      </c>
      <c r="B89" s="6" t="s">
        <v>196</v>
      </c>
      <c r="C89" t="s">
        <v>13</v>
      </c>
      <c r="D89" s="8">
        <v>6</v>
      </c>
      <c r="E89">
        <v>10</v>
      </c>
      <c r="F89" s="153" t="s">
        <v>78</v>
      </c>
      <c r="G89" s="153" t="s">
        <v>965</v>
      </c>
      <c r="H89" s="59"/>
      <c r="I89" s="246">
        <v>4.1189958528489876E-2</v>
      </c>
      <c r="J89" s="246">
        <v>0.48143153182388482</v>
      </c>
      <c r="K89" s="246">
        <v>4.6217777777777798</v>
      </c>
      <c r="L89" s="244">
        <v>-34.282777777777774</v>
      </c>
      <c r="M89" s="59"/>
      <c r="N89">
        <f t="shared" si="1"/>
        <v>11.688080032683036</v>
      </c>
    </row>
    <row r="90" spans="1:14">
      <c r="A90" s="6" t="s">
        <v>79</v>
      </c>
      <c r="B90" s="6" t="s">
        <v>196</v>
      </c>
      <c r="C90" t="s">
        <v>13</v>
      </c>
      <c r="D90" s="8">
        <v>6</v>
      </c>
      <c r="E90">
        <v>20</v>
      </c>
      <c r="F90" s="153" t="s">
        <v>79</v>
      </c>
      <c r="G90" s="153" t="s">
        <v>966</v>
      </c>
      <c r="H90" s="59"/>
      <c r="I90" s="246">
        <v>3.3015395198326088E-2</v>
      </c>
      <c r="J90" s="246">
        <v>0.37742708717570689</v>
      </c>
      <c r="K90" s="246">
        <v>6.2257777777777825</v>
      </c>
      <c r="L90" s="244">
        <v>-35.149777777777771</v>
      </c>
      <c r="M90" s="59"/>
      <c r="N90">
        <f t="shared" si="1"/>
        <v>11.431851259343484</v>
      </c>
    </row>
    <row r="91" spans="1:14">
      <c r="A91" s="7" t="s">
        <v>80</v>
      </c>
      <c r="B91" s="7" t="s">
        <v>196</v>
      </c>
      <c r="C91" s="4" t="s">
        <v>13</v>
      </c>
      <c r="D91" s="4">
        <v>6</v>
      </c>
      <c r="E91" s="4">
        <v>30</v>
      </c>
      <c r="F91" s="153" t="s">
        <v>80</v>
      </c>
      <c r="G91" s="153" t="s">
        <v>1001</v>
      </c>
      <c r="H91" s="59"/>
      <c r="I91" s="246">
        <v>3.5912311215410705E-2</v>
      </c>
      <c r="J91" s="246">
        <v>0.40952898113973835</v>
      </c>
      <c r="K91" s="246">
        <v>0.80577777777778081</v>
      </c>
      <c r="L91" s="244">
        <v>-30.237777777777779</v>
      </c>
      <c r="M91" s="59"/>
      <c r="N91">
        <f t="shared" si="1"/>
        <v>11.403581871500409</v>
      </c>
    </row>
    <row r="92" spans="1:14">
      <c r="A92" s="6" t="s">
        <v>81</v>
      </c>
      <c r="B92" s="6" t="s">
        <v>197</v>
      </c>
      <c r="C92" t="s">
        <v>12</v>
      </c>
      <c r="D92" s="8">
        <v>1</v>
      </c>
      <c r="E92">
        <v>5</v>
      </c>
      <c r="F92" s="153" t="s">
        <v>81</v>
      </c>
      <c r="G92" s="153" t="s">
        <v>1002</v>
      </c>
      <c r="H92" s="59"/>
      <c r="I92" s="246">
        <v>1.770674794883081</v>
      </c>
      <c r="J92" s="246">
        <v>22.771826059765683</v>
      </c>
      <c r="K92" s="246">
        <v>16.908777777777782</v>
      </c>
      <c r="L92" s="244">
        <v>-27.457777777777778</v>
      </c>
      <c r="M92" s="59"/>
      <c r="N92">
        <f t="shared" si="1"/>
        <v>12.860535500687083</v>
      </c>
    </row>
    <row r="93" spans="1:14">
      <c r="A93" s="6" t="s">
        <v>82</v>
      </c>
      <c r="B93" s="6" t="s">
        <v>197</v>
      </c>
      <c r="C93" t="s">
        <v>12</v>
      </c>
      <c r="D93" s="8">
        <v>1</v>
      </c>
      <c r="E93">
        <v>10</v>
      </c>
      <c r="F93" s="163" t="s">
        <v>82</v>
      </c>
      <c r="G93" s="163" t="s">
        <v>1003</v>
      </c>
      <c r="I93" s="245">
        <v>2.0555106763729714</v>
      </c>
      <c r="J93" s="245">
        <v>22.583354219489078</v>
      </c>
      <c r="K93" s="245">
        <v>18.295777777777776</v>
      </c>
      <c r="L93" s="242">
        <v>-25.34577777777778</v>
      </c>
      <c r="N93">
        <f t="shared" si="1"/>
        <v>10.986736522010329</v>
      </c>
    </row>
    <row r="94" spans="1:14">
      <c r="A94" s="6" t="s">
        <v>83</v>
      </c>
      <c r="B94" s="6" t="s">
        <v>197</v>
      </c>
      <c r="C94" t="s">
        <v>12</v>
      </c>
      <c r="D94" s="8">
        <v>1</v>
      </c>
      <c r="E94">
        <v>20</v>
      </c>
      <c r="F94" s="163" t="s">
        <v>83</v>
      </c>
      <c r="G94" s="163" t="s">
        <v>1004</v>
      </c>
      <c r="I94" s="245">
        <v>1.8903407692979393</v>
      </c>
      <c r="J94" s="245">
        <v>20.448709195313981</v>
      </c>
      <c r="K94" s="245">
        <v>16.931777777777778</v>
      </c>
      <c r="L94" s="242">
        <v>-26.236777777777778</v>
      </c>
      <c r="N94">
        <f t="shared" si="1"/>
        <v>10.8174724512282</v>
      </c>
    </row>
    <row r="95" spans="1:14">
      <c r="A95" s="6" t="s">
        <v>84</v>
      </c>
      <c r="B95" s="6" t="s">
        <v>197</v>
      </c>
      <c r="C95" t="s">
        <v>12</v>
      </c>
      <c r="D95" s="8">
        <v>2</v>
      </c>
      <c r="E95">
        <v>5</v>
      </c>
      <c r="F95" s="163" t="s">
        <v>84</v>
      </c>
      <c r="G95" s="163" t="s">
        <v>1005</v>
      </c>
      <c r="I95" s="245">
        <v>2.0653259335909677</v>
      </c>
      <c r="J95" s="245">
        <v>29.17283413284752</v>
      </c>
      <c r="K95" s="245">
        <v>11.363777777777781</v>
      </c>
      <c r="L95" s="242">
        <v>-27.119777777777777</v>
      </c>
      <c r="N95">
        <f t="shared" si="1"/>
        <v>14.125050994796215</v>
      </c>
    </row>
    <row r="96" spans="1:14">
      <c r="A96" s="6" t="s">
        <v>85</v>
      </c>
      <c r="B96" s="6" t="s">
        <v>197</v>
      </c>
      <c r="C96" t="s">
        <v>12</v>
      </c>
      <c r="D96" s="8">
        <v>2</v>
      </c>
      <c r="E96">
        <v>10</v>
      </c>
      <c r="F96" s="163" t="s">
        <v>85</v>
      </c>
      <c r="G96" s="163" t="s">
        <v>1006</v>
      </c>
      <c r="I96" s="245">
        <v>1.8721364860473588</v>
      </c>
      <c r="J96" s="245">
        <v>26.930287135241919</v>
      </c>
      <c r="K96" s="245">
        <v>11.271777777777782</v>
      </c>
      <c r="L96" s="242">
        <v>-25.588777777777779</v>
      </c>
      <c r="N96">
        <f t="shared" si="1"/>
        <v>14.384788361290807</v>
      </c>
    </row>
    <row r="97" spans="1:14">
      <c r="A97" s="6" t="s">
        <v>86</v>
      </c>
      <c r="B97" s="6" t="s">
        <v>197</v>
      </c>
      <c r="C97" t="s">
        <v>12</v>
      </c>
      <c r="D97" s="8">
        <v>2</v>
      </c>
      <c r="E97">
        <v>20</v>
      </c>
      <c r="F97" s="153" t="s">
        <v>86</v>
      </c>
      <c r="G97" s="153" t="s">
        <v>967</v>
      </c>
      <c r="H97" s="59"/>
      <c r="I97" s="246">
        <v>2.1063720195079765</v>
      </c>
      <c r="J97" s="246">
        <v>30.400524508805475</v>
      </c>
      <c r="K97" s="246">
        <v>8.7587777777777767</v>
      </c>
      <c r="L97" s="244">
        <v>-27.24077777777778</v>
      </c>
      <c r="M97" s="59"/>
      <c r="N97">
        <f t="shared" si="1"/>
        <v>14.432647332595444</v>
      </c>
    </row>
    <row r="98" spans="1:14">
      <c r="A98" s="6" t="s">
        <v>87</v>
      </c>
      <c r="B98" s="6" t="s">
        <v>197</v>
      </c>
      <c r="C98" t="s">
        <v>12</v>
      </c>
      <c r="D98" s="8">
        <v>3</v>
      </c>
      <c r="E98">
        <v>5</v>
      </c>
      <c r="F98" s="165" t="s">
        <v>87</v>
      </c>
      <c r="G98" s="165" t="s">
        <v>968</v>
      </c>
      <c r="H98" s="166"/>
      <c r="I98" s="247">
        <v>2.5465195970030461</v>
      </c>
      <c r="J98" s="247">
        <v>42.329630970315293</v>
      </c>
      <c r="K98" s="247">
        <v>12.238833333333336</v>
      </c>
      <c r="L98" s="243">
        <v>-22.206600000000002</v>
      </c>
      <c r="M98" s="166" t="s">
        <v>1087</v>
      </c>
      <c r="N98">
        <f t="shared" si="1"/>
        <v>16.622542791397439</v>
      </c>
    </row>
    <row r="99" spans="1:14">
      <c r="A99" s="6" t="s">
        <v>88</v>
      </c>
      <c r="B99" s="6" t="s">
        <v>197</v>
      </c>
      <c r="C99" t="s">
        <v>12</v>
      </c>
      <c r="D99" s="8">
        <v>3</v>
      </c>
      <c r="E99">
        <v>10</v>
      </c>
      <c r="F99" s="153" t="s">
        <v>88</v>
      </c>
      <c r="G99" s="153" t="s">
        <v>969</v>
      </c>
      <c r="H99" s="59"/>
      <c r="I99" s="245">
        <v>0.13109254130048187</v>
      </c>
      <c r="J99" s="245">
        <v>1.5470339548258305</v>
      </c>
      <c r="K99" s="245">
        <v>11.388777777777779</v>
      </c>
      <c r="L99" s="242">
        <v>-28.983777777777778</v>
      </c>
      <c r="N99">
        <f t="shared" si="1"/>
        <v>11.80108295619824</v>
      </c>
    </row>
    <row r="100" spans="1:14">
      <c r="A100" s="6" t="s">
        <v>89</v>
      </c>
      <c r="B100" s="6" t="s">
        <v>197</v>
      </c>
      <c r="C100" t="s">
        <v>12</v>
      </c>
      <c r="D100" s="8">
        <v>3</v>
      </c>
      <c r="E100">
        <v>20</v>
      </c>
      <c r="F100" s="153" t="s">
        <v>89</v>
      </c>
      <c r="G100" s="153" t="s">
        <v>970</v>
      </c>
      <c r="H100" s="59"/>
      <c r="I100" s="245">
        <v>0.30529248342607734</v>
      </c>
      <c r="J100" s="245">
        <v>3.8540838176275245</v>
      </c>
      <c r="K100" s="245">
        <v>12.667777777777776</v>
      </c>
      <c r="L100" s="242">
        <v>-27.419777777777778</v>
      </c>
      <c r="N100">
        <f t="shared" si="1"/>
        <v>12.624234224098549</v>
      </c>
    </row>
    <row r="101" spans="1:14">
      <c r="A101" s="6" t="s">
        <v>90</v>
      </c>
      <c r="B101" s="6" t="s">
        <v>197</v>
      </c>
      <c r="C101" t="s">
        <v>12</v>
      </c>
      <c r="D101" s="8">
        <v>3</v>
      </c>
      <c r="E101">
        <v>30</v>
      </c>
      <c r="F101" s="153" t="s">
        <v>90</v>
      </c>
      <c r="G101" s="153" t="s">
        <v>1007</v>
      </c>
      <c r="H101" s="59"/>
      <c r="I101" s="245">
        <v>0.17102728333473241</v>
      </c>
      <c r="J101" s="245">
        <v>1.9029283360532723</v>
      </c>
      <c r="K101" s="245">
        <v>11.825777777777777</v>
      </c>
      <c r="L101" s="242">
        <v>-27.99977777777778</v>
      </c>
      <c r="N101">
        <f t="shared" si="1"/>
        <v>11.126460638030983</v>
      </c>
    </row>
    <row r="102" spans="1:14">
      <c r="A102" s="6" t="s">
        <v>91</v>
      </c>
      <c r="B102" s="6" t="s">
        <v>197</v>
      </c>
      <c r="C102" t="s">
        <v>12</v>
      </c>
      <c r="D102" s="8">
        <v>4</v>
      </c>
      <c r="E102">
        <v>5</v>
      </c>
      <c r="F102" s="163" t="s">
        <v>91</v>
      </c>
      <c r="G102" s="163" t="s">
        <v>1008</v>
      </c>
      <c r="I102" s="245">
        <v>1.275171521321425</v>
      </c>
      <c r="J102" s="245">
        <v>16.554162550124019</v>
      </c>
      <c r="K102" s="245">
        <v>13.730777777777778</v>
      </c>
      <c r="L102" s="242">
        <v>-25.588777777777779</v>
      </c>
      <c r="N102">
        <f t="shared" si="1"/>
        <v>12.981910490731002</v>
      </c>
    </row>
    <row r="103" spans="1:14">
      <c r="A103" s="6" t="s">
        <v>92</v>
      </c>
      <c r="B103" s="6" t="s">
        <v>197</v>
      </c>
      <c r="C103" t="s">
        <v>12</v>
      </c>
      <c r="D103" s="8">
        <v>4</v>
      </c>
      <c r="E103">
        <v>10</v>
      </c>
      <c r="F103" s="163" t="s">
        <v>92</v>
      </c>
      <c r="G103" s="163" t="s">
        <v>1009</v>
      </c>
      <c r="I103" s="245">
        <v>1.3761719423021115</v>
      </c>
      <c r="J103" s="245">
        <v>16.96771462109924</v>
      </c>
      <c r="K103" s="245">
        <v>13.847777777777782</v>
      </c>
      <c r="L103" s="242">
        <v>-24.818777777777779</v>
      </c>
      <c r="N103">
        <f t="shared" si="1"/>
        <v>12.329647262474351</v>
      </c>
    </row>
    <row r="104" spans="1:14">
      <c r="A104" s="6" t="s">
        <v>93</v>
      </c>
      <c r="B104" s="6" t="s">
        <v>197</v>
      </c>
      <c r="C104" t="s">
        <v>12</v>
      </c>
      <c r="D104" s="8">
        <v>4</v>
      </c>
      <c r="E104">
        <v>20</v>
      </c>
      <c r="F104" s="163" t="s">
        <v>93</v>
      </c>
      <c r="G104" s="163" t="s">
        <v>1010</v>
      </c>
      <c r="I104" s="245">
        <v>1.1476983936245511</v>
      </c>
      <c r="J104" s="245">
        <v>16.979492068976885</v>
      </c>
      <c r="K104" s="245">
        <v>12.28177777777778</v>
      </c>
      <c r="L104" s="242">
        <v>-24.715777777777777</v>
      </c>
      <c r="N104">
        <f t="shared" si="1"/>
        <v>14.794385147960242</v>
      </c>
    </row>
    <row r="105" spans="1:14">
      <c r="A105" s="6" t="s">
        <v>94</v>
      </c>
      <c r="B105" s="6" t="s">
        <v>197</v>
      </c>
      <c r="C105" t="s">
        <v>12</v>
      </c>
      <c r="D105" s="8">
        <v>5</v>
      </c>
      <c r="E105">
        <v>5</v>
      </c>
      <c r="F105" s="165" t="s">
        <v>94</v>
      </c>
      <c r="G105" s="165" t="s">
        <v>1011</v>
      </c>
      <c r="H105" s="166"/>
      <c r="I105" s="247">
        <v>2.4474409276877238</v>
      </c>
      <c r="J105" s="247">
        <v>30.723550975534657</v>
      </c>
      <c r="K105" s="247">
        <v>13.57983333333333</v>
      </c>
      <c r="L105" s="243">
        <v>-23.754599999999996</v>
      </c>
      <c r="M105" s="166" t="s">
        <v>1087</v>
      </c>
      <c r="N105">
        <f t="shared" si="1"/>
        <v>12.553337090984027</v>
      </c>
    </row>
    <row r="106" spans="1:14">
      <c r="A106" s="6" t="s">
        <v>95</v>
      </c>
      <c r="B106" s="6" t="s">
        <v>197</v>
      </c>
      <c r="C106" t="s">
        <v>12</v>
      </c>
      <c r="D106" s="8">
        <v>5</v>
      </c>
      <c r="E106">
        <v>10</v>
      </c>
      <c r="F106" s="153" t="s">
        <v>95</v>
      </c>
      <c r="G106" s="153" t="s">
        <v>1012</v>
      </c>
      <c r="H106" s="59"/>
      <c r="I106" s="246">
        <v>2.4112899311394571</v>
      </c>
      <c r="J106" s="246">
        <v>26.937577256002932</v>
      </c>
      <c r="K106" s="246">
        <v>14.457777777777782</v>
      </c>
      <c r="L106" s="244">
        <v>-26.505777777777777</v>
      </c>
      <c r="M106" s="59"/>
      <c r="N106">
        <f t="shared" si="1"/>
        <v>11.171438535088793</v>
      </c>
    </row>
    <row r="107" spans="1:14">
      <c r="A107" s="6" t="s">
        <v>96</v>
      </c>
      <c r="B107" s="6" t="s">
        <v>197</v>
      </c>
      <c r="C107" t="s">
        <v>12</v>
      </c>
      <c r="D107" s="8">
        <v>5</v>
      </c>
      <c r="E107">
        <v>20</v>
      </c>
      <c r="F107" s="153" t="s">
        <v>96</v>
      </c>
      <c r="G107" s="153" t="s">
        <v>1013</v>
      </c>
      <c r="H107" s="59"/>
      <c r="I107" s="246">
        <v>2.0773174321516801</v>
      </c>
      <c r="J107" s="246">
        <v>24.890053975453398</v>
      </c>
      <c r="K107" s="246">
        <v>12.862777777777776</v>
      </c>
      <c r="L107" s="244">
        <v>-25.936777777777777</v>
      </c>
      <c r="M107" s="59"/>
      <c r="N107">
        <f t="shared" si="1"/>
        <v>11.981825016349255</v>
      </c>
    </row>
    <row r="108" spans="1:14">
      <c r="A108" s="6" t="s">
        <v>97</v>
      </c>
      <c r="B108" s="6" t="s">
        <v>197</v>
      </c>
      <c r="C108" t="s">
        <v>12</v>
      </c>
      <c r="D108" s="8">
        <v>6</v>
      </c>
      <c r="E108">
        <v>5</v>
      </c>
      <c r="F108" s="153" t="s">
        <v>97</v>
      </c>
      <c r="G108" s="153" t="s">
        <v>1014</v>
      </c>
      <c r="H108" s="59"/>
      <c r="I108" s="246">
        <v>1.9912021031059601</v>
      </c>
      <c r="J108" s="246">
        <v>25.357904929210235</v>
      </c>
      <c r="K108" s="246">
        <v>14.856777777777776</v>
      </c>
      <c r="L108" s="244">
        <v>-26.664777777777779</v>
      </c>
      <c r="M108" s="59"/>
      <c r="N108">
        <f t="shared" si="1"/>
        <v>12.734972954104416</v>
      </c>
    </row>
    <row r="109" spans="1:14">
      <c r="A109" s="6" t="s">
        <v>98</v>
      </c>
      <c r="B109" s="6" t="s">
        <v>197</v>
      </c>
      <c r="C109" t="s">
        <v>12</v>
      </c>
      <c r="D109" s="8">
        <v>6</v>
      </c>
      <c r="E109">
        <v>10</v>
      </c>
      <c r="F109" s="153" t="s">
        <v>98</v>
      </c>
      <c r="G109" s="153" t="s">
        <v>1015</v>
      </c>
      <c r="H109" s="59"/>
      <c r="I109" s="246">
        <v>1.9899827414290601</v>
      </c>
      <c r="J109" s="246">
        <v>22.735635419203405</v>
      </c>
      <c r="K109" s="246">
        <v>15.478777777777776</v>
      </c>
      <c r="L109" s="244">
        <v>-25.552777777777777</v>
      </c>
      <c r="M109" s="59"/>
      <c r="N109">
        <f t="shared" si="1"/>
        <v>11.425041507081781</v>
      </c>
    </row>
    <row r="110" spans="1:14">
      <c r="A110" s="6" t="s">
        <v>99</v>
      </c>
      <c r="B110" s="6" t="s">
        <v>197</v>
      </c>
      <c r="C110" t="s">
        <v>12</v>
      </c>
      <c r="D110" s="8">
        <v>6</v>
      </c>
      <c r="E110">
        <v>20</v>
      </c>
      <c r="F110" s="153" t="s">
        <v>99</v>
      </c>
      <c r="G110" s="153" t="s">
        <v>1016</v>
      </c>
      <c r="H110" s="59"/>
      <c r="I110" s="246">
        <v>2.1784603169996708</v>
      </c>
      <c r="J110" s="246">
        <v>29.083237838707156</v>
      </c>
      <c r="K110" s="246">
        <v>12.329777777777782</v>
      </c>
      <c r="L110" s="244">
        <v>-26.602777777777778</v>
      </c>
      <c r="M110" s="59"/>
      <c r="N110">
        <f t="shared" si="1"/>
        <v>13.350363838053585</v>
      </c>
    </row>
    <row r="111" spans="1:14">
      <c r="A111" s="6" t="s">
        <v>100</v>
      </c>
      <c r="B111" s="6" t="s">
        <v>197</v>
      </c>
      <c r="C111" t="s">
        <v>12</v>
      </c>
      <c r="D111" s="8">
        <v>6</v>
      </c>
      <c r="E111">
        <v>30</v>
      </c>
      <c r="F111" s="163" t="s">
        <v>100</v>
      </c>
      <c r="G111" s="163" t="s">
        <v>1017</v>
      </c>
      <c r="I111" s="245">
        <v>0.99133034475748971</v>
      </c>
      <c r="J111" s="245">
        <v>18.856157113541279</v>
      </c>
      <c r="K111" s="245">
        <v>9.4687777777777775</v>
      </c>
      <c r="L111" s="242">
        <v>-27.826777777777778</v>
      </c>
      <c r="N111">
        <f t="shared" si="1"/>
        <v>19.021063173602421</v>
      </c>
    </row>
    <row r="112" spans="1:14">
      <c r="A112" s="6" t="s">
        <v>101</v>
      </c>
      <c r="B112" s="6" t="s">
        <v>197</v>
      </c>
      <c r="C112" t="s">
        <v>13</v>
      </c>
      <c r="D112" s="8">
        <v>1</v>
      </c>
      <c r="E112">
        <v>5</v>
      </c>
      <c r="F112" s="165" t="s">
        <v>101</v>
      </c>
      <c r="G112" s="165" t="s">
        <v>1018</v>
      </c>
      <c r="H112" s="166"/>
      <c r="I112" s="247">
        <v>2.2723168812025674</v>
      </c>
      <c r="J112" s="247">
        <v>45.629372880065489</v>
      </c>
      <c r="K112" s="247">
        <v>8.9228333333333332</v>
      </c>
      <c r="L112" s="243">
        <v>-22.647599999999997</v>
      </c>
      <c r="M112" s="166" t="s">
        <v>1087</v>
      </c>
      <c r="N112">
        <f t="shared" si="1"/>
        <v>20.080550057753069</v>
      </c>
    </row>
    <row r="113" spans="1:14">
      <c r="A113" s="6" t="s">
        <v>102</v>
      </c>
      <c r="B113" s="6" t="s">
        <v>197</v>
      </c>
      <c r="C113" t="s">
        <v>13</v>
      </c>
      <c r="D113" s="8">
        <v>1</v>
      </c>
      <c r="E113">
        <v>10</v>
      </c>
      <c r="F113" s="165" t="s">
        <v>102</v>
      </c>
      <c r="G113" s="165" t="s">
        <v>1019</v>
      </c>
      <c r="H113" s="166"/>
      <c r="I113" s="247">
        <v>2.3366266305553447</v>
      </c>
      <c r="J113" s="247">
        <v>39.442271842711484</v>
      </c>
      <c r="K113" s="247">
        <v>9.7218333333333327</v>
      </c>
      <c r="L113" s="243">
        <v>-22.226599999999998</v>
      </c>
      <c r="M113" s="166" t="s">
        <v>1087</v>
      </c>
      <c r="N113">
        <f t="shared" si="1"/>
        <v>16.880006128038207</v>
      </c>
    </row>
    <row r="114" spans="1:14">
      <c r="A114" s="6" t="s">
        <v>103</v>
      </c>
      <c r="B114" s="6" t="s">
        <v>197</v>
      </c>
      <c r="C114" t="s">
        <v>13</v>
      </c>
      <c r="D114" s="8">
        <v>1</v>
      </c>
      <c r="E114">
        <v>20</v>
      </c>
      <c r="F114" s="153" t="s">
        <v>103</v>
      </c>
      <c r="G114" s="153" t="s">
        <v>1020</v>
      </c>
      <c r="H114" s="153" t="s">
        <v>1021</v>
      </c>
      <c r="I114" s="246">
        <v>1.43392587096724</v>
      </c>
      <c r="J114" s="246">
        <v>33.468133771636083</v>
      </c>
      <c r="K114" s="246">
        <v>7.6407777777777817</v>
      </c>
      <c r="L114" s="244">
        <v>-26.039777777777779</v>
      </c>
      <c r="M114" s="59"/>
      <c r="N114">
        <f t="shared" si="1"/>
        <v>23.340211965811381</v>
      </c>
    </row>
    <row r="115" spans="1:14">
      <c r="A115" s="6" t="s">
        <v>104</v>
      </c>
      <c r="B115" s="6" t="s">
        <v>197</v>
      </c>
      <c r="C115" t="s">
        <v>13</v>
      </c>
      <c r="D115" s="8">
        <v>2</v>
      </c>
      <c r="E115">
        <v>5</v>
      </c>
      <c r="F115" s="153" t="s">
        <v>104</v>
      </c>
      <c r="G115" s="153" t="s">
        <v>895</v>
      </c>
      <c r="H115" s="153" t="s">
        <v>1022</v>
      </c>
      <c r="I115" s="246">
        <v>2.2926756536975903</v>
      </c>
      <c r="J115" s="246">
        <v>39.767405757520486</v>
      </c>
      <c r="K115" s="246">
        <v>6.7497777777777763</v>
      </c>
      <c r="L115" s="244">
        <v>-26.039777777777779</v>
      </c>
      <c r="M115" s="59"/>
      <c r="N115">
        <f t="shared" si="1"/>
        <v>17.345412855666808</v>
      </c>
    </row>
    <row r="116" spans="1:14">
      <c r="A116" s="6" t="s">
        <v>105</v>
      </c>
      <c r="B116" s="6" t="s">
        <v>197</v>
      </c>
      <c r="C116" t="s">
        <v>13</v>
      </c>
      <c r="D116" s="8">
        <v>2</v>
      </c>
      <c r="E116">
        <v>10</v>
      </c>
      <c r="F116" s="153" t="s">
        <v>105</v>
      </c>
      <c r="G116" s="153" t="s">
        <v>896</v>
      </c>
      <c r="H116" s="59"/>
      <c r="I116" s="246">
        <v>1.8893586213503752</v>
      </c>
      <c r="J116" s="246">
        <v>31.919423865457507</v>
      </c>
      <c r="K116" s="246">
        <v>8.0597777777777786</v>
      </c>
      <c r="L116" s="244">
        <v>-27.009777777777778</v>
      </c>
      <c r="M116" s="59"/>
      <c r="N116">
        <f t="shared" si="1"/>
        <v>16.894317206250573</v>
      </c>
    </row>
    <row r="117" spans="1:14">
      <c r="A117" s="6" t="s">
        <v>106</v>
      </c>
      <c r="B117" s="6" t="s">
        <v>197</v>
      </c>
      <c r="C117" t="s">
        <v>13</v>
      </c>
      <c r="D117" s="8">
        <v>2</v>
      </c>
      <c r="E117">
        <v>20</v>
      </c>
      <c r="F117" s="153" t="s">
        <v>106</v>
      </c>
      <c r="G117" s="153" t="s">
        <v>897</v>
      </c>
      <c r="H117" s="59"/>
      <c r="I117" s="246">
        <v>1.8978991775353351</v>
      </c>
      <c r="J117" s="246">
        <v>32.427923272274484</v>
      </c>
      <c r="K117" s="246">
        <v>6.0457777777777757</v>
      </c>
      <c r="L117" s="244">
        <v>-27.959777777777777</v>
      </c>
      <c r="M117" s="59"/>
      <c r="N117">
        <f t="shared" si="1"/>
        <v>17.086220203955349</v>
      </c>
    </row>
    <row r="118" spans="1:14">
      <c r="A118" s="6" t="s">
        <v>107</v>
      </c>
      <c r="B118" s="6" t="s">
        <v>197</v>
      </c>
      <c r="C118" t="s">
        <v>13</v>
      </c>
      <c r="D118" s="8">
        <v>2</v>
      </c>
      <c r="E118">
        <v>30</v>
      </c>
      <c r="F118" s="163" t="s">
        <v>107</v>
      </c>
      <c r="G118" s="163" t="s">
        <v>898</v>
      </c>
      <c r="I118" s="245">
        <v>0.85342782875229184</v>
      </c>
      <c r="J118" s="245">
        <v>18.257654811034321</v>
      </c>
      <c r="K118" s="245">
        <v>7.5557777777777808</v>
      </c>
      <c r="L118" s="242">
        <v>-26.323777777777778</v>
      </c>
      <c r="N118">
        <f t="shared" si="1"/>
        <v>21.393320203451697</v>
      </c>
    </row>
    <row r="119" spans="1:14">
      <c r="A119" s="6" t="s">
        <v>108</v>
      </c>
      <c r="B119" s="6" t="s">
        <v>197</v>
      </c>
      <c r="C119" t="s">
        <v>13</v>
      </c>
      <c r="D119" s="8">
        <v>3</v>
      </c>
      <c r="E119">
        <v>5</v>
      </c>
      <c r="F119" s="165" t="s">
        <v>108</v>
      </c>
      <c r="G119" s="165" t="s">
        <v>899</v>
      </c>
      <c r="H119" s="166"/>
      <c r="I119" s="247">
        <v>2.6992576715794541</v>
      </c>
      <c r="J119" s="247">
        <v>45.26738640869479</v>
      </c>
      <c r="K119" s="247">
        <v>13.781833333333335</v>
      </c>
      <c r="L119" s="243">
        <v>-22.476599999999998</v>
      </c>
      <c r="M119" s="166" t="s">
        <v>1087</v>
      </c>
      <c r="N119">
        <f t="shared" si="1"/>
        <v>16.770309439264039</v>
      </c>
    </row>
    <row r="120" spans="1:14">
      <c r="A120" s="6" t="s">
        <v>109</v>
      </c>
      <c r="B120" s="6" t="s">
        <v>197</v>
      </c>
      <c r="C120" t="s">
        <v>13</v>
      </c>
      <c r="D120" s="8">
        <v>3</v>
      </c>
      <c r="E120">
        <v>10</v>
      </c>
      <c r="F120" s="165" t="s">
        <v>109</v>
      </c>
      <c r="G120" s="165" t="s">
        <v>900</v>
      </c>
      <c r="H120" s="166"/>
      <c r="I120" s="247">
        <v>2.8163076541255867</v>
      </c>
      <c r="J120" s="247">
        <v>41.542906851479898</v>
      </c>
      <c r="K120" s="247">
        <v>13.095833333333335</v>
      </c>
      <c r="L120" s="243">
        <v>-21.494599999999998</v>
      </c>
      <c r="M120" s="166" t="s">
        <v>1087</v>
      </c>
      <c r="N120">
        <f t="shared" si="1"/>
        <v>14.750841155661394</v>
      </c>
    </row>
    <row r="121" spans="1:14">
      <c r="A121" s="6" t="s">
        <v>110</v>
      </c>
      <c r="B121" s="6" t="s">
        <v>197</v>
      </c>
      <c r="C121" t="s">
        <v>13</v>
      </c>
      <c r="D121" s="8">
        <v>3</v>
      </c>
      <c r="E121">
        <v>20</v>
      </c>
      <c r="F121" s="163" t="s">
        <v>110</v>
      </c>
      <c r="G121" s="163" t="s">
        <v>901</v>
      </c>
      <c r="I121" s="245">
        <v>1.7098998902566227</v>
      </c>
      <c r="J121" s="245">
        <v>22.299807436953532</v>
      </c>
      <c r="K121" s="245">
        <v>12.934777777777779</v>
      </c>
      <c r="L121" s="242">
        <v>-26.052777777777777</v>
      </c>
      <c r="N121">
        <f t="shared" si="1"/>
        <v>13.041586565402238</v>
      </c>
    </row>
    <row r="122" spans="1:14">
      <c r="A122" s="6" t="s">
        <v>111</v>
      </c>
      <c r="B122" s="6" t="s">
        <v>197</v>
      </c>
      <c r="C122" t="s">
        <v>13</v>
      </c>
      <c r="D122" s="8">
        <v>3</v>
      </c>
      <c r="E122">
        <v>30</v>
      </c>
      <c r="F122" s="153" t="s">
        <v>111</v>
      </c>
      <c r="G122" s="153" t="s">
        <v>902</v>
      </c>
      <c r="H122" s="59"/>
      <c r="I122" s="245">
        <v>0.80011323280574231</v>
      </c>
      <c r="J122" s="245">
        <v>24.258317796842487</v>
      </c>
      <c r="K122" s="245">
        <v>9.6717777777777805</v>
      </c>
      <c r="L122" s="242">
        <v>-26.564777777777778</v>
      </c>
      <c r="N122">
        <f t="shared" si="1"/>
        <v>30.318605920034958</v>
      </c>
    </row>
    <row r="123" spans="1:14">
      <c r="A123" s="6" t="s">
        <v>112</v>
      </c>
      <c r="B123" s="6" t="s">
        <v>197</v>
      </c>
      <c r="C123" t="s">
        <v>13</v>
      </c>
      <c r="D123" s="8">
        <v>4</v>
      </c>
      <c r="E123">
        <v>5</v>
      </c>
      <c r="F123" s="153" t="s">
        <v>112</v>
      </c>
      <c r="G123" s="153" t="s">
        <v>903</v>
      </c>
      <c r="H123" s="59"/>
      <c r="I123" s="245">
        <v>1.6262398062710515</v>
      </c>
      <c r="J123" s="245">
        <v>48.92082858712746</v>
      </c>
      <c r="K123" s="245">
        <v>5.7717777777777819</v>
      </c>
      <c r="L123" s="242">
        <v>-28.539777777777779</v>
      </c>
      <c r="N123">
        <f t="shared" si="1"/>
        <v>30.082173858050087</v>
      </c>
    </row>
    <row r="124" spans="1:14">
      <c r="A124" s="6" t="s">
        <v>113</v>
      </c>
      <c r="B124" s="6" t="s">
        <v>197</v>
      </c>
      <c r="C124" t="s">
        <v>13</v>
      </c>
      <c r="D124" s="8">
        <v>4</v>
      </c>
      <c r="E124">
        <v>10</v>
      </c>
      <c r="F124" s="165" t="s">
        <v>113</v>
      </c>
      <c r="G124" s="165" t="s">
        <v>904</v>
      </c>
      <c r="H124" s="166"/>
      <c r="I124" s="247">
        <v>2.2690439734556835</v>
      </c>
      <c r="J124" s="247">
        <v>44.022719874026464</v>
      </c>
      <c r="K124" s="247">
        <v>7.6188333333333311</v>
      </c>
      <c r="L124" s="243">
        <v>-23.419600000000003</v>
      </c>
      <c r="M124" s="166" t="s">
        <v>1087</v>
      </c>
      <c r="N124">
        <f t="shared" si="1"/>
        <v>19.401439720439278</v>
      </c>
    </row>
    <row r="125" spans="1:14">
      <c r="A125" s="6" t="s">
        <v>114</v>
      </c>
      <c r="B125" s="6" t="s">
        <v>197</v>
      </c>
      <c r="C125" t="s">
        <v>13</v>
      </c>
      <c r="D125" s="8">
        <v>4</v>
      </c>
      <c r="E125">
        <v>20</v>
      </c>
      <c r="F125" s="163" t="s">
        <v>114</v>
      </c>
      <c r="G125" s="163" t="s">
        <v>905</v>
      </c>
      <c r="I125" s="245">
        <v>0.54766560534702224</v>
      </c>
      <c r="J125" s="245">
        <v>12.567751500019595</v>
      </c>
      <c r="K125" s="245">
        <v>7.2527777777777764</v>
      </c>
      <c r="L125" s="242">
        <v>-27.139777777777777</v>
      </c>
      <c r="N125">
        <f t="shared" si="1"/>
        <v>22.947856095611808</v>
      </c>
    </row>
    <row r="126" spans="1:14">
      <c r="A126" s="6" t="s">
        <v>115</v>
      </c>
      <c r="B126" s="6" t="s">
        <v>197</v>
      </c>
      <c r="C126" t="s">
        <v>13</v>
      </c>
      <c r="D126" s="8">
        <v>4</v>
      </c>
      <c r="E126">
        <v>30</v>
      </c>
      <c r="F126" s="153" t="s">
        <v>115</v>
      </c>
      <c r="G126" s="153" t="s">
        <v>906</v>
      </c>
      <c r="H126" s="59"/>
      <c r="I126" s="245">
        <v>0.40414086357538886</v>
      </c>
      <c r="J126" s="245">
        <v>8.3422197019740327</v>
      </c>
      <c r="K126" s="245">
        <v>8.4007777777777797</v>
      </c>
      <c r="L126" s="242">
        <v>-27.167777777777779</v>
      </c>
      <c r="N126">
        <f t="shared" si="1"/>
        <v>20.641861424680869</v>
      </c>
    </row>
    <row r="127" spans="1:14">
      <c r="A127" s="6" t="s">
        <v>116</v>
      </c>
      <c r="B127" s="6" t="s">
        <v>197</v>
      </c>
      <c r="C127" t="s">
        <v>13</v>
      </c>
      <c r="D127" s="8">
        <v>5</v>
      </c>
      <c r="E127">
        <v>5</v>
      </c>
      <c r="F127" s="153" t="s">
        <v>116</v>
      </c>
      <c r="G127" s="153" t="s">
        <v>907</v>
      </c>
      <c r="H127" s="59"/>
      <c r="I127" s="245">
        <v>1.5103231544993383</v>
      </c>
      <c r="J127" s="246">
        <v>34.421058322803475</v>
      </c>
      <c r="K127" s="245">
        <v>7.0647777777777812</v>
      </c>
      <c r="L127" s="244">
        <v>-27.439777777777778</v>
      </c>
      <c r="N127">
        <f t="shared" si="1"/>
        <v>22.790525471493428</v>
      </c>
    </row>
    <row r="128" spans="1:14">
      <c r="A128" s="6" t="s">
        <v>117</v>
      </c>
      <c r="B128" s="6" t="s">
        <v>197</v>
      </c>
      <c r="C128" t="s">
        <v>13</v>
      </c>
      <c r="D128" s="8">
        <v>5</v>
      </c>
      <c r="E128">
        <v>10</v>
      </c>
      <c r="F128" s="153" t="s">
        <v>117</v>
      </c>
      <c r="G128" s="153" t="s">
        <v>908</v>
      </c>
      <c r="H128" s="59"/>
      <c r="I128" s="245">
        <v>1.9506364083463223</v>
      </c>
      <c r="J128" s="245">
        <v>30.561626457225877</v>
      </c>
      <c r="K128" s="245">
        <v>7.7077777777777818</v>
      </c>
      <c r="L128" s="242">
        <v>-28.11577777777778</v>
      </c>
      <c r="N128">
        <f t="shared" si="1"/>
        <v>15.667515651025347</v>
      </c>
    </row>
    <row r="129" spans="1:14">
      <c r="A129" s="6" t="s">
        <v>118</v>
      </c>
      <c r="B129" s="6" t="s">
        <v>197</v>
      </c>
      <c r="C129" t="s">
        <v>13</v>
      </c>
      <c r="D129" s="8">
        <v>5</v>
      </c>
      <c r="E129">
        <v>20</v>
      </c>
      <c r="F129" s="153" t="s">
        <v>118</v>
      </c>
      <c r="G129" s="153" t="s">
        <v>909</v>
      </c>
      <c r="H129" s="59"/>
      <c r="I129" s="245">
        <v>0.72226816743958011</v>
      </c>
      <c r="J129" s="245">
        <v>18.177282197394913</v>
      </c>
      <c r="K129" s="245">
        <v>8.9597777777777772</v>
      </c>
      <c r="L129" s="242">
        <v>-26.61577777777778</v>
      </c>
      <c r="N129">
        <f t="shared" si="1"/>
        <v>25.166943549281502</v>
      </c>
    </row>
    <row r="130" spans="1:14">
      <c r="A130" s="6" t="s">
        <v>119</v>
      </c>
      <c r="B130" s="6" t="s">
        <v>197</v>
      </c>
      <c r="C130" t="s">
        <v>13</v>
      </c>
      <c r="D130" s="8">
        <v>5</v>
      </c>
      <c r="E130">
        <v>30</v>
      </c>
      <c r="F130" s="153" t="s">
        <v>119</v>
      </c>
      <c r="G130" s="153" t="s">
        <v>910</v>
      </c>
      <c r="H130" s="59"/>
      <c r="I130" s="245">
        <v>0.27706550445163963</v>
      </c>
      <c r="J130" s="245">
        <v>4.8692397817565682</v>
      </c>
      <c r="K130" s="245">
        <v>9.240777777777776</v>
      </c>
      <c r="L130" s="242">
        <v>-28.047777777777778</v>
      </c>
      <c r="N130">
        <f t="shared" si="1"/>
        <v>17.574327022029077</v>
      </c>
    </row>
    <row r="131" spans="1:14">
      <c r="A131" s="6" t="s">
        <v>120</v>
      </c>
      <c r="B131" s="6" t="s">
        <v>197</v>
      </c>
      <c r="C131" t="s">
        <v>13</v>
      </c>
      <c r="D131" s="8">
        <v>6</v>
      </c>
      <c r="E131">
        <v>5</v>
      </c>
      <c r="F131" s="153" t="s">
        <v>120</v>
      </c>
      <c r="G131" s="153" t="s">
        <v>911</v>
      </c>
      <c r="H131" s="59"/>
      <c r="I131" s="245">
        <v>2.2149280324192224</v>
      </c>
      <c r="J131" s="245">
        <v>49.428588994869166</v>
      </c>
      <c r="K131" s="245">
        <v>6.4757777777777825</v>
      </c>
      <c r="L131" s="242">
        <v>-27.439777777777778</v>
      </c>
      <c r="N131">
        <f t="shared" si="1"/>
        <v>22.316115138459608</v>
      </c>
    </row>
    <row r="132" spans="1:14">
      <c r="A132" s="6" t="s">
        <v>121</v>
      </c>
      <c r="B132" s="6" t="s">
        <v>197</v>
      </c>
      <c r="C132" t="s">
        <v>13</v>
      </c>
      <c r="D132" s="8">
        <v>6</v>
      </c>
      <c r="E132">
        <v>10</v>
      </c>
      <c r="F132" s="153" t="s">
        <v>121</v>
      </c>
      <c r="G132" s="153" t="s">
        <v>912</v>
      </c>
      <c r="H132" s="59"/>
      <c r="I132" s="245">
        <v>1.7783065147906274</v>
      </c>
      <c r="J132" s="246">
        <v>34.045638427281425</v>
      </c>
      <c r="K132" s="245">
        <v>5.9617777777777796</v>
      </c>
      <c r="L132" s="244">
        <v>-25.739777777777778</v>
      </c>
      <c r="N132">
        <f t="shared" si="1"/>
        <v>19.144977620064481</v>
      </c>
    </row>
    <row r="133" spans="1:14">
      <c r="A133" s="7" t="s">
        <v>122</v>
      </c>
      <c r="B133" s="7" t="s">
        <v>197</v>
      </c>
      <c r="C133" s="4" t="s">
        <v>13</v>
      </c>
      <c r="D133" s="4">
        <v>6</v>
      </c>
      <c r="E133" s="4">
        <v>20</v>
      </c>
      <c r="F133" s="153" t="s">
        <v>122</v>
      </c>
      <c r="G133" s="153" t="s">
        <v>913</v>
      </c>
      <c r="H133" s="59"/>
      <c r="I133" s="246">
        <v>5.2339495749650501E-2</v>
      </c>
      <c r="J133" s="246">
        <v>0.73989061407369894</v>
      </c>
      <c r="K133" s="246">
        <v>3.887777777777778</v>
      </c>
      <c r="L133" s="244">
        <v>-30.370777777777779</v>
      </c>
      <c r="M133" s="59"/>
      <c r="N133">
        <f t="shared" si="1"/>
        <v>14.136372608798769</v>
      </c>
    </row>
    <row r="134" spans="1:14">
      <c r="A134" s="6" t="s">
        <v>123</v>
      </c>
      <c r="B134" s="6" t="s">
        <v>198</v>
      </c>
      <c r="C134" t="s">
        <v>12</v>
      </c>
      <c r="D134" s="8">
        <v>1</v>
      </c>
      <c r="E134">
        <v>5</v>
      </c>
      <c r="F134" s="165" t="s">
        <v>123</v>
      </c>
      <c r="G134" s="165" t="s">
        <v>914</v>
      </c>
      <c r="H134" s="166"/>
      <c r="I134" s="247">
        <v>2.7845847085318889</v>
      </c>
      <c r="J134" s="247">
        <v>35.155055087928552</v>
      </c>
      <c r="K134" s="247">
        <v>14.51883333333333</v>
      </c>
      <c r="L134" s="243">
        <v>-23.1126</v>
      </c>
      <c r="M134" s="166" t="s">
        <v>1087</v>
      </c>
      <c r="N134">
        <f t="shared" si="1"/>
        <v>12.624882619018361</v>
      </c>
    </row>
    <row r="135" spans="1:14">
      <c r="A135" s="6" t="s">
        <v>124</v>
      </c>
      <c r="B135" s="6" t="s">
        <v>198</v>
      </c>
      <c r="C135" t="s">
        <v>12</v>
      </c>
      <c r="D135" s="8">
        <v>1</v>
      </c>
      <c r="E135">
        <v>10</v>
      </c>
      <c r="F135" s="163" t="s">
        <v>124</v>
      </c>
      <c r="G135" s="163" t="s">
        <v>915</v>
      </c>
      <c r="I135" s="245">
        <v>1.7997954159084875</v>
      </c>
      <c r="J135" s="245">
        <v>22.18793239577515</v>
      </c>
      <c r="K135" s="245">
        <v>13.15677777777778</v>
      </c>
      <c r="L135" s="242">
        <v>-26.356777777777779</v>
      </c>
      <c r="N135">
        <f t="shared" si="1"/>
        <v>12.328030285917407</v>
      </c>
    </row>
    <row r="136" spans="1:14">
      <c r="A136" s="6" t="s">
        <v>125</v>
      </c>
      <c r="B136" s="6" t="s">
        <v>198</v>
      </c>
      <c r="C136" t="s">
        <v>12</v>
      </c>
      <c r="D136" s="8">
        <v>1</v>
      </c>
      <c r="E136">
        <v>20</v>
      </c>
      <c r="F136" s="163" t="s">
        <v>125</v>
      </c>
      <c r="G136" s="163" t="s">
        <v>916</v>
      </c>
      <c r="I136" s="245">
        <v>1.6504284481931701</v>
      </c>
      <c r="J136" s="245">
        <v>20.058776067914561</v>
      </c>
      <c r="K136" s="245">
        <v>12.962777777777777</v>
      </c>
      <c r="L136" s="242">
        <v>-26.273777777777777</v>
      </c>
      <c r="N136">
        <f t="shared" ref="N136:N201" si="2">J136/I136</f>
        <v>12.153678088786091</v>
      </c>
    </row>
    <row r="137" spans="1:14">
      <c r="A137" s="6" t="s">
        <v>126</v>
      </c>
      <c r="B137" s="6" t="s">
        <v>198</v>
      </c>
      <c r="C137" t="s">
        <v>12</v>
      </c>
      <c r="D137" s="8">
        <v>1</v>
      </c>
      <c r="E137">
        <v>30</v>
      </c>
      <c r="F137" s="163" t="s">
        <v>126</v>
      </c>
      <c r="G137" s="163" t="s">
        <v>917</v>
      </c>
      <c r="I137" s="245">
        <v>1.317728664280122</v>
      </c>
      <c r="J137" s="245">
        <v>17.083057958769707</v>
      </c>
      <c r="K137" s="245">
        <v>11.741777777777781</v>
      </c>
      <c r="L137" s="242">
        <v>-27.421777777777777</v>
      </c>
      <c r="N137">
        <f t="shared" si="2"/>
        <v>12.964017875487453</v>
      </c>
    </row>
    <row r="138" spans="1:14">
      <c r="A138" s="6" t="s">
        <v>1194</v>
      </c>
      <c r="B138" s="6" t="s">
        <v>198</v>
      </c>
      <c r="C138" s="59" t="s">
        <v>12</v>
      </c>
      <c r="D138" s="6">
        <v>2</v>
      </c>
      <c r="E138" s="59">
        <v>5</v>
      </c>
      <c r="F138" s="153" t="s">
        <v>127</v>
      </c>
      <c r="G138" s="153" t="s">
        <v>918</v>
      </c>
      <c r="H138" s="59"/>
      <c r="I138" s="246">
        <v>2.7891589002756012</v>
      </c>
      <c r="J138" s="246">
        <v>44.487134082992412</v>
      </c>
      <c r="K138" s="246">
        <v>9.677624999999999</v>
      </c>
      <c r="L138" s="244">
        <v>-28.097333333333331</v>
      </c>
      <c r="M138" s="59"/>
      <c r="N138" s="59">
        <f t="shared" si="2"/>
        <v>15.950017791598954</v>
      </c>
    </row>
    <row r="139" spans="1:14">
      <c r="A139" s="6" t="s">
        <v>1195</v>
      </c>
      <c r="B139" s="6" t="s">
        <v>198</v>
      </c>
      <c r="C139" s="59" t="s">
        <v>12</v>
      </c>
      <c r="D139" s="6">
        <v>2</v>
      </c>
      <c r="E139" s="59">
        <v>10</v>
      </c>
      <c r="F139" s="153"/>
      <c r="G139" s="153"/>
      <c r="H139" s="59"/>
      <c r="I139" s="246">
        <v>2.2252596925246477</v>
      </c>
      <c r="J139" s="246">
        <v>29.685645443838411</v>
      </c>
      <c r="K139" s="246">
        <v>11.160625</v>
      </c>
      <c r="L139" s="244">
        <v>-27.075333333333333</v>
      </c>
      <c r="M139" s="59"/>
      <c r="N139" s="59">
        <f t="shared" si="2"/>
        <v>13.340306097109428</v>
      </c>
    </row>
    <row r="140" spans="1:14">
      <c r="A140" s="6" t="s">
        <v>1196</v>
      </c>
      <c r="B140" s="6" t="s">
        <v>198</v>
      </c>
      <c r="C140" s="59" t="s">
        <v>12</v>
      </c>
      <c r="D140" s="6">
        <v>2</v>
      </c>
      <c r="E140" s="59">
        <v>20</v>
      </c>
      <c r="F140" s="153"/>
      <c r="G140" s="153"/>
      <c r="H140" s="59"/>
      <c r="I140" s="246">
        <v>1.4758617937320033</v>
      </c>
      <c r="J140" s="246">
        <v>19.892690886443081</v>
      </c>
      <c r="K140" s="246">
        <v>8.7396250000000002</v>
      </c>
      <c r="L140" s="244">
        <v>-26.292333333333332</v>
      </c>
      <c r="M140" s="59"/>
      <c r="N140" s="59">
        <f t="shared" si="2"/>
        <v>13.478694936699016</v>
      </c>
    </row>
    <row r="141" spans="1:14">
      <c r="A141" s="136" t="s">
        <v>578</v>
      </c>
      <c r="B141" s="6" t="s">
        <v>198</v>
      </c>
      <c r="C141" t="s">
        <v>12</v>
      </c>
      <c r="D141" s="6">
        <v>3</v>
      </c>
      <c r="E141">
        <v>5</v>
      </c>
      <c r="N141" s="59" t="e">
        <f t="shared" si="2"/>
        <v>#DIV/0!</v>
      </c>
    </row>
    <row r="142" spans="1:14">
      <c r="A142" s="6" t="s">
        <v>128</v>
      </c>
      <c r="B142" s="6" t="s">
        <v>198</v>
      </c>
      <c r="C142" t="s">
        <v>12</v>
      </c>
      <c r="D142" s="8">
        <v>4</v>
      </c>
      <c r="E142">
        <v>5</v>
      </c>
      <c r="F142" s="165" t="s">
        <v>128</v>
      </c>
      <c r="G142" s="165" t="s">
        <v>920</v>
      </c>
      <c r="H142" s="166"/>
      <c r="I142" s="247">
        <v>2.7099479887129596</v>
      </c>
      <c r="J142" s="247">
        <v>36.13520526723925</v>
      </c>
      <c r="K142" s="247">
        <v>14.728833333333331</v>
      </c>
      <c r="L142" s="243">
        <v>-23.281599999999997</v>
      </c>
      <c r="M142" s="166" t="s">
        <v>1087</v>
      </c>
      <c r="N142" s="59">
        <f t="shared" si="2"/>
        <v>13.334280000112107</v>
      </c>
    </row>
    <row r="143" spans="1:14">
      <c r="A143" s="6" t="s">
        <v>129</v>
      </c>
      <c r="B143" s="6" t="s">
        <v>198</v>
      </c>
      <c r="C143" t="s">
        <v>12</v>
      </c>
      <c r="D143" s="8">
        <v>4</v>
      </c>
      <c r="E143">
        <v>10</v>
      </c>
      <c r="F143" s="163" t="s">
        <v>129</v>
      </c>
      <c r="G143" s="163" t="s">
        <v>921</v>
      </c>
      <c r="H143" s="163" t="s">
        <v>1023</v>
      </c>
      <c r="I143" s="245">
        <v>1.9380173452792637</v>
      </c>
      <c r="J143" s="245">
        <v>25.564902711427035</v>
      </c>
      <c r="K143" s="245">
        <v>12.825777777777777</v>
      </c>
      <c r="L143" s="242">
        <v>-25.812777777777779</v>
      </c>
      <c r="N143" s="59">
        <f t="shared" si="2"/>
        <v>13.191266204969487</v>
      </c>
    </row>
    <row r="144" spans="1:14">
      <c r="A144" s="6" t="s">
        <v>130</v>
      </c>
      <c r="B144" s="6" t="s">
        <v>198</v>
      </c>
      <c r="C144" t="s">
        <v>12</v>
      </c>
      <c r="D144" s="8">
        <v>4</v>
      </c>
      <c r="E144">
        <v>20</v>
      </c>
      <c r="F144" s="163" t="s">
        <v>130</v>
      </c>
      <c r="G144" s="163" t="s">
        <v>922</v>
      </c>
      <c r="I144" s="245">
        <v>1.3853807139716907</v>
      </c>
      <c r="J144" s="245">
        <v>18.053031206233833</v>
      </c>
      <c r="K144" s="245">
        <v>12.351999999999997</v>
      </c>
      <c r="L144" s="242">
        <v>-25.481000000000002</v>
      </c>
      <c r="M144" s="181"/>
      <c r="N144">
        <f t="shared" si="2"/>
        <v>13.031097534538606</v>
      </c>
    </row>
    <row r="145" spans="1:14">
      <c r="A145" s="6" t="s">
        <v>131</v>
      </c>
      <c r="B145" s="6" t="s">
        <v>198</v>
      </c>
      <c r="C145" t="s">
        <v>12</v>
      </c>
      <c r="D145" s="8">
        <v>4</v>
      </c>
      <c r="E145">
        <v>30</v>
      </c>
      <c r="F145" s="163" t="s">
        <v>131</v>
      </c>
      <c r="G145" s="163" t="s">
        <v>923</v>
      </c>
      <c r="I145" s="245">
        <v>0.85928818867117818</v>
      </c>
      <c r="J145" s="245">
        <v>12.746892202799867</v>
      </c>
      <c r="K145" s="245">
        <v>9.9549999999999983</v>
      </c>
      <c r="L145" s="242">
        <v>-25.346</v>
      </c>
      <c r="M145" s="181"/>
      <c r="N145">
        <f t="shared" si="2"/>
        <v>14.834245798853509</v>
      </c>
    </row>
    <row r="146" spans="1:14">
      <c r="A146" s="6" t="s">
        <v>132</v>
      </c>
      <c r="B146" s="6" t="s">
        <v>198</v>
      </c>
      <c r="C146" t="s">
        <v>12</v>
      </c>
      <c r="D146" s="8">
        <v>5</v>
      </c>
      <c r="E146">
        <v>5</v>
      </c>
      <c r="F146" s="165" t="s">
        <v>132</v>
      </c>
      <c r="G146" s="165" t="s">
        <v>924</v>
      </c>
      <c r="I146" s="247">
        <v>3.2093816062992717</v>
      </c>
      <c r="J146" s="247">
        <v>48.188631452232464</v>
      </c>
      <c r="K146" s="247">
        <v>12.977833333333333</v>
      </c>
      <c r="L146" s="243">
        <v>-22.585599999999999</v>
      </c>
      <c r="M146" s="166" t="s">
        <v>1087</v>
      </c>
      <c r="N146">
        <f t="shared" si="2"/>
        <v>15.014927286194125</v>
      </c>
    </row>
    <row r="147" spans="1:14">
      <c r="A147" s="6" t="s">
        <v>133</v>
      </c>
      <c r="B147" s="6" t="s">
        <v>198</v>
      </c>
      <c r="C147" t="s">
        <v>12</v>
      </c>
      <c r="D147" s="8">
        <v>5</v>
      </c>
      <c r="E147">
        <v>10</v>
      </c>
      <c r="F147" s="163" t="s">
        <v>133</v>
      </c>
      <c r="G147" s="163" t="s">
        <v>925</v>
      </c>
      <c r="I147" s="245">
        <v>1.2880669489878773</v>
      </c>
      <c r="J147" s="245">
        <v>18.956337916624712</v>
      </c>
      <c r="K147" s="245">
        <v>11.062999999999995</v>
      </c>
      <c r="L147" s="242">
        <v>-25.451000000000001</v>
      </c>
      <c r="M147" s="181"/>
      <c r="N147">
        <f t="shared" si="2"/>
        <v>14.716888692408425</v>
      </c>
    </row>
    <row r="148" spans="1:14">
      <c r="A148" s="6" t="s">
        <v>134</v>
      </c>
      <c r="B148" s="6" t="s">
        <v>198</v>
      </c>
      <c r="C148" t="s">
        <v>12</v>
      </c>
      <c r="D148" s="8">
        <v>5</v>
      </c>
      <c r="E148">
        <v>20</v>
      </c>
      <c r="F148" s="163" t="s">
        <v>134</v>
      </c>
      <c r="G148" s="163" t="s">
        <v>926</v>
      </c>
      <c r="I148" s="245">
        <v>1.0824990852002583</v>
      </c>
      <c r="J148" s="245">
        <v>15.339094083534754</v>
      </c>
      <c r="K148" s="245">
        <v>11.056999999999995</v>
      </c>
      <c r="L148" s="242">
        <v>-26.209</v>
      </c>
      <c r="M148" s="181"/>
      <c r="N148">
        <f t="shared" si="2"/>
        <v>14.170075793363907</v>
      </c>
    </row>
    <row r="149" spans="1:14">
      <c r="A149" s="7" t="s">
        <v>1197</v>
      </c>
      <c r="B149" s="6" t="s">
        <v>198</v>
      </c>
      <c r="C149" t="s">
        <v>12</v>
      </c>
      <c r="D149" s="8">
        <v>6</v>
      </c>
      <c r="E149">
        <v>5</v>
      </c>
      <c r="I149" s="242">
        <v>2.2236570877621564</v>
      </c>
      <c r="J149" s="242">
        <v>33.736605007697626</v>
      </c>
      <c r="K149" s="242">
        <v>7.5196250000000004</v>
      </c>
      <c r="L149" s="242">
        <v>-28.051333333333332</v>
      </c>
      <c r="N149">
        <f t="shared" si="2"/>
        <v>15.171676061640181</v>
      </c>
    </row>
    <row r="150" spans="1:14">
      <c r="A150" s="6" t="s">
        <v>136</v>
      </c>
      <c r="B150" s="6" t="s">
        <v>198</v>
      </c>
      <c r="C150" t="s">
        <v>12</v>
      </c>
      <c r="D150" s="8">
        <v>6</v>
      </c>
      <c r="E150">
        <v>10</v>
      </c>
      <c r="F150" s="163" t="s">
        <v>136</v>
      </c>
      <c r="G150" s="163" t="s">
        <v>928</v>
      </c>
      <c r="I150" s="245">
        <v>1.1832407005610404</v>
      </c>
      <c r="J150" s="245">
        <v>16.203516569856504</v>
      </c>
      <c r="K150" s="245">
        <v>10.516999999999996</v>
      </c>
      <c r="L150" s="242">
        <v>-26.718</v>
      </c>
      <c r="M150" s="181"/>
      <c r="N150">
        <f t="shared" si="2"/>
        <v>13.694184591667202</v>
      </c>
    </row>
    <row r="151" spans="1:14">
      <c r="A151" s="6" t="s">
        <v>137</v>
      </c>
      <c r="B151" s="6" t="s">
        <v>198</v>
      </c>
      <c r="C151" t="s">
        <v>12</v>
      </c>
      <c r="D151" s="8">
        <v>6</v>
      </c>
      <c r="E151">
        <v>20</v>
      </c>
      <c r="F151" s="163" t="s">
        <v>137</v>
      </c>
      <c r="G151" s="163" t="s">
        <v>929</v>
      </c>
      <c r="I151" s="245">
        <v>1.5947357762851146</v>
      </c>
      <c r="J151" s="245">
        <v>21.900253863023583</v>
      </c>
      <c r="K151" s="245">
        <v>9.0449999999999946</v>
      </c>
      <c r="L151" s="242">
        <v>-26.615000000000002</v>
      </c>
      <c r="M151" s="181"/>
      <c r="N151">
        <f t="shared" si="2"/>
        <v>13.732841633514685</v>
      </c>
    </row>
    <row r="152" spans="1:14">
      <c r="A152" s="6" t="s">
        <v>138</v>
      </c>
      <c r="B152" s="6" t="s">
        <v>198</v>
      </c>
      <c r="C152" t="s">
        <v>12</v>
      </c>
      <c r="D152" s="8">
        <v>6</v>
      </c>
      <c r="E152">
        <v>30</v>
      </c>
      <c r="F152" s="163" t="s">
        <v>138</v>
      </c>
      <c r="G152" s="163" t="s">
        <v>930</v>
      </c>
      <c r="I152" s="245">
        <v>1.2231148267022081</v>
      </c>
      <c r="J152" s="245">
        <v>18.228519509400183</v>
      </c>
      <c r="K152" s="245">
        <v>8.9109999999999943</v>
      </c>
      <c r="L152" s="242">
        <v>-26.625</v>
      </c>
      <c r="M152" s="181"/>
      <c r="N152">
        <f t="shared" si="2"/>
        <v>14.903359121684725</v>
      </c>
    </row>
    <row r="153" spans="1:14">
      <c r="A153" s="6" t="s">
        <v>139</v>
      </c>
      <c r="B153" s="6" t="s">
        <v>198</v>
      </c>
      <c r="C153" t="s">
        <v>13</v>
      </c>
      <c r="D153" s="8">
        <v>1</v>
      </c>
      <c r="E153">
        <v>5</v>
      </c>
      <c r="F153" s="163" t="s">
        <v>139</v>
      </c>
      <c r="G153" s="163" t="s">
        <v>931</v>
      </c>
      <c r="I153" s="245">
        <v>1.2094438761866817</v>
      </c>
      <c r="J153" s="245">
        <v>50.474601830968879</v>
      </c>
      <c r="K153" s="245">
        <v>0.89199999999999591</v>
      </c>
      <c r="L153" s="244">
        <v>-24.423000000000002</v>
      </c>
      <c r="M153" s="181"/>
      <c r="N153">
        <f t="shared" si="2"/>
        <v>41.733728058645326</v>
      </c>
    </row>
    <row r="154" spans="1:14">
      <c r="A154" s="6" t="s">
        <v>140</v>
      </c>
      <c r="B154" s="6" t="s">
        <v>198</v>
      </c>
      <c r="C154" t="s">
        <v>13</v>
      </c>
      <c r="D154" s="8">
        <v>1</v>
      </c>
      <c r="E154">
        <v>10</v>
      </c>
      <c r="F154" s="163" t="s">
        <v>140</v>
      </c>
      <c r="G154" s="163" t="s">
        <v>932</v>
      </c>
      <c r="I154" s="245">
        <v>1.416420710943282</v>
      </c>
      <c r="J154" s="245">
        <v>32.825771092268567</v>
      </c>
      <c r="K154" s="245">
        <v>7.6639999999999944</v>
      </c>
      <c r="L154" s="242">
        <v>-25.502000000000002</v>
      </c>
      <c r="M154" s="181"/>
      <c r="N154">
        <f t="shared" si="2"/>
        <v>23.175156109096893</v>
      </c>
    </row>
    <row r="155" spans="1:14">
      <c r="A155" s="6" t="s">
        <v>141</v>
      </c>
      <c r="B155" s="6" t="s">
        <v>198</v>
      </c>
      <c r="C155" t="s">
        <v>13</v>
      </c>
      <c r="D155" s="8">
        <v>2</v>
      </c>
      <c r="E155">
        <v>5</v>
      </c>
      <c r="F155" s="163" t="s">
        <v>141</v>
      </c>
      <c r="G155" s="163" t="s">
        <v>933</v>
      </c>
      <c r="I155" s="245">
        <v>1.746277533917038</v>
      </c>
      <c r="J155" s="246">
        <v>48.963276973066684</v>
      </c>
      <c r="K155" s="245">
        <v>8.2999999999999972</v>
      </c>
      <c r="L155" s="244">
        <v>-25.043000000000003</v>
      </c>
      <c r="M155" s="181"/>
      <c r="N155">
        <f t="shared" si="2"/>
        <v>28.038657098931004</v>
      </c>
    </row>
    <row r="156" spans="1:14">
      <c r="A156" s="6" t="s">
        <v>142</v>
      </c>
      <c r="B156" s="6" t="s">
        <v>198</v>
      </c>
      <c r="C156" t="s">
        <v>13</v>
      </c>
      <c r="D156" s="8">
        <v>2</v>
      </c>
      <c r="E156">
        <v>10</v>
      </c>
      <c r="F156" s="163" t="s">
        <v>142</v>
      </c>
      <c r="G156" s="163" t="s">
        <v>934</v>
      </c>
      <c r="I156" s="245">
        <v>1.9153777698503314</v>
      </c>
      <c r="J156" s="245">
        <v>33.476530600952628</v>
      </c>
      <c r="K156" s="245">
        <v>11.992999999999995</v>
      </c>
      <c r="L156" s="242">
        <v>-25.851000000000003</v>
      </c>
      <c r="M156" s="181"/>
      <c r="N156">
        <f t="shared" si="2"/>
        <v>17.477769204541048</v>
      </c>
    </row>
    <row r="157" spans="1:14">
      <c r="A157" s="6" t="s">
        <v>143</v>
      </c>
      <c r="B157" s="6" t="s">
        <v>198</v>
      </c>
      <c r="C157" t="s">
        <v>13</v>
      </c>
      <c r="D157" s="8">
        <v>2</v>
      </c>
      <c r="E157">
        <v>20</v>
      </c>
      <c r="F157" s="163" t="s">
        <v>143</v>
      </c>
      <c r="G157" s="163" t="s">
        <v>935</v>
      </c>
      <c r="I157" s="245">
        <v>1.3630000907327058</v>
      </c>
      <c r="J157" s="245">
        <v>24.775191699756853</v>
      </c>
      <c r="K157" s="245">
        <v>11.154999999999994</v>
      </c>
      <c r="L157" s="242">
        <v>-26.149000000000001</v>
      </c>
      <c r="M157" s="181"/>
      <c r="N157">
        <f t="shared" si="2"/>
        <v>18.17695528284117</v>
      </c>
    </row>
    <row r="158" spans="1:14">
      <c r="A158" s="6" t="s">
        <v>144</v>
      </c>
      <c r="B158" s="6" t="s">
        <v>198</v>
      </c>
      <c r="C158" t="s">
        <v>13</v>
      </c>
      <c r="D158" s="8">
        <v>3</v>
      </c>
      <c r="E158">
        <v>5</v>
      </c>
      <c r="F158" s="163" t="s">
        <v>144</v>
      </c>
      <c r="G158" s="163" t="s">
        <v>936</v>
      </c>
      <c r="I158" s="245">
        <v>1.5825282501466587</v>
      </c>
      <c r="J158" s="245">
        <v>44.206883780306143</v>
      </c>
      <c r="K158" s="245">
        <v>-1.3580000000000041</v>
      </c>
      <c r="L158" s="242">
        <v>-24.973000000000003</v>
      </c>
      <c r="M158" s="181"/>
      <c r="N158">
        <f t="shared" si="2"/>
        <v>27.934340999100225</v>
      </c>
    </row>
    <row r="159" spans="1:14">
      <c r="A159" s="6" t="s">
        <v>145</v>
      </c>
      <c r="B159" s="6" t="s">
        <v>198</v>
      </c>
      <c r="C159" t="s">
        <v>13</v>
      </c>
      <c r="D159" s="8">
        <v>4</v>
      </c>
      <c r="E159">
        <v>5</v>
      </c>
      <c r="F159" s="163" t="s">
        <v>145</v>
      </c>
      <c r="G159" s="163" t="s">
        <v>937</v>
      </c>
      <c r="I159" s="245">
        <v>1.6532780090861763</v>
      </c>
      <c r="J159" s="245">
        <v>48.529963451450939</v>
      </c>
      <c r="K159" s="245">
        <v>-2.6410000000000018</v>
      </c>
      <c r="L159" s="242">
        <v>-27.033000000000001</v>
      </c>
      <c r="M159" s="181"/>
      <c r="N159">
        <f t="shared" si="2"/>
        <v>29.353782718174013</v>
      </c>
    </row>
    <row r="160" spans="1:14">
      <c r="A160" s="6" t="s">
        <v>146</v>
      </c>
      <c r="B160" s="6" t="s">
        <v>198</v>
      </c>
      <c r="C160" t="s">
        <v>13</v>
      </c>
      <c r="D160" s="8">
        <v>4</v>
      </c>
      <c r="E160">
        <v>10</v>
      </c>
      <c r="F160" s="163" t="s">
        <v>146</v>
      </c>
      <c r="G160" s="163" t="s">
        <v>938</v>
      </c>
      <c r="I160" s="245">
        <v>1.3996485611315537</v>
      </c>
      <c r="J160" s="245">
        <v>27.967754735085322</v>
      </c>
      <c r="K160" s="245">
        <v>4.1639999999999979</v>
      </c>
      <c r="L160" s="242">
        <v>-26.228000000000002</v>
      </c>
      <c r="M160" s="181"/>
      <c r="N160">
        <f t="shared" si="2"/>
        <v>19.981983700590263</v>
      </c>
    </row>
    <row r="161" spans="1:14">
      <c r="A161" s="6" t="s">
        <v>147</v>
      </c>
      <c r="B161" s="6" t="s">
        <v>198</v>
      </c>
      <c r="C161" t="s">
        <v>13</v>
      </c>
      <c r="D161" s="8">
        <v>5</v>
      </c>
      <c r="E161">
        <v>5</v>
      </c>
      <c r="F161" s="163" t="s">
        <v>147</v>
      </c>
      <c r="G161" s="163" t="s">
        <v>939</v>
      </c>
      <c r="I161" s="245">
        <v>1.4318917558418571</v>
      </c>
      <c r="J161" s="245">
        <v>50.838349124467221</v>
      </c>
      <c r="K161" s="245">
        <v>-1.1400000000000041</v>
      </c>
      <c r="L161" s="242">
        <v>-25.883000000000003</v>
      </c>
      <c r="M161" s="181"/>
      <c r="N161">
        <f t="shared" si="2"/>
        <v>35.504324204016143</v>
      </c>
    </row>
    <row r="162" spans="1:14">
      <c r="A162" s="6" t="s">
        <v>148</v>
      </c>
      <c r="B162" s="6" t="s">
        <v>198</v>
      </c>
      <c r="C162" t="s">
        <v>13</v>
      </c>
      <c r="D162" s="8">
        <v>5</v>
      </c>
      <c r="E162">
        <v>10</v>
      </c>
      <c r="F162" s="163" t="s">
        <v>148</v>
      </c>
      <c r="G162" s="163" t="s">
        <v>940</v>
      </c>
      <c r="I162" s="245">
        <v>1.4225562239384828</v>
      </c>
      <c r="J162" s="245">
        <v>49.089313305035461</v>
      </c>
      <c r="K162" s="245">
        <v>-1.3400000000000034</v>
      </c>
      <c r="L162" s="242">
        <v>-26.593</v>
      </c>
      <c r="M162" s="181"/>
      <c r="N162">
        <f t="shared" si="2"/>
        <v>34.507819430241575</v>
      </c>
    </row>
    <row r="163" spans="1:14">
      <c r="A163" s="6" t="s">
        <v>149</v>
      </c>
      <c r="B163" s="6" t="s">
        <v>198</v>
      </c>
      <c r="C163" t="s">
        <v>13</v>
      </c>
      <c r="D163" s="8">
        <v>5</v>
      </c>
      <c r="E163">
        <v>20</v>
      </c>
      <c r="F163" s="163" t="s">
        <v>149</v>
      </c>
      <c r="G163" s="163" t="s">
        <v>941</v>
      </c>
      <c r="I163" s="245">
        <v>1.8705502848476798</v>
      </c>
      <c r="J163" s="245">
        <v>47.042545135286652</v>
      </c>
      <c r="K163" s="245">
        <v>1.9749999999999979</v>
      </c>
      <c r="L163" s="242">
        <v>-25.483000000000001</v>
      </c>
      <c r="M163" s="181"/>
      <c r="N163">
        <f t="shared" si="2"/>
        <v>25.149040641330505</v>
      </c>
    </row>
    <row r="164" spans="1:14">
      <c r="A164" s="6" t="s">
        <v>150</v>
      </c>
      <c r="B164" s="6" t="s">
        <v>198</v>
      </c>
      <c r="C164" t="s">
        <v>13</v>
      </c>
      <c r="D164" s="8">
        <v>5</v>
      </c>
      <c r="E164">
        <v>30</v>
      </c>
      <c r="F164" s="163" t="s">
        <v>150</v>
      </c>
      <c r="G164" s="163" t="s">
        <v>942</v>
      </c>
      <c r="I164" s="245">
        <v>1.7521516512557467</v>
      </c>
      <c r="J164" s="245">
        <v>25.969110507865285</v>
      </c>
      <c r="K164" s="245">
        <v>7.2259999999999991</v>
      </c>
      <c r="L164" s="242">
        <v>-26.528000000000002</v>
      </c>
      <c r="M164" s="181"/>
      <c r="N164">
        <f t="shared" si="2"/>
        <v>14.821268746488654</v>
      </c>
    </row>
    <row r="165" spans="1:14">
      <c r="A165" s="6" t="s">
        <v>151</v>
      </c>
      <c r="B165" s="6" t="s">
        <v>198</v>
      </c>
      <c r="C165" t="s">
        <v>13</v>
      </c>
      <c r="D165" s="8">
        <v>6</v>
      </c>
      <c r="E165">
        <v>5</v>
      </c>
      <c r="F165" s="163" t="s">
        <v>151</v>
      </c>
      <c r="G165" s="163" t="s">
        <v>943</v>
      </c>
      <c r="I165" s="245">
        <v>1.8568655874558402</v>
      </c>
      <c r="J165" s="245">
        <v>49.76862787242397</v>
      </c>
      <c r="K165" s="245">
        <v>2.5029999999999966</v>
      </c>
      <c r="L165" s="242">
        <v>-26.293000000000003</v>
      </c>
      <c r="M165" s="181"/>
      <c r="N165">
        <f t="shared" si="2"/>
        <v>26.802493518453211</v>
      </c>
    </row>
    <row r="166" spans="1:14">
      <c r="A166" s="6" t="s">
        <v>152</v>
      </c>
      <c r="B166" s="6" t="s">
        <v>198</v>
      </c>
      <c r="C166" t="s">
        <v>13</v>
      </c>
      <c r="D166" s="8">
        <v>6</v>
      </c>
      <c r="E166">
        <v>10</v>
      </c>
      <c r="F166" s="163" t="s">
        <v>152</v>
      </c>
      <c r="G166" s="163" t="s">
        <v>944</v>
      </c>
      <c r="I166" s="245">
        <v>1.7995582645718216</v>
      </c>
      <c r="J166" s="245">
        <v>49.507403145789922</v>
      </c>
      <c r="K166" s="245">
        <v>4.389999999999997</v>
      </c>
      <c r="L166" s="242">
        <v>-25.283000000000001</v>
      </c>
      <c r="M166" s="181"/>
      <c r="N166">
        <f t="shared" si="2"/>
        <v>27.510864260663148</v>
      </c>
    </row>
    <row r="167" spans="1:14">
      <c r="A167" s="7" t="s">
        <v>153</v>
      </c>
      <c r="B167" s="7" t="s">
        <v>198</v>
      </c>
      <c r="C167" s="4" t="s">
        <v>13</v>
      </c>
      <c r="D167" s="4">
        <v>6</v>
      </c>
      <c r="E167" s="4">
        <v>20</v>
      </c>
      <c r="F167" s="165" t="s">
        <v>153</v>
      </c>
      <c r="G167" s="165" t="s">
        <v>945</v>
      </c>
      <c r="I167" s="247">
        <v>2.683595679487758</v>
      </c>
      <c r="J167" s="247">
        <v>47.008083899869838</v>
      </c>
      <c r="K167" s="247">
        <v>11.071833333333334</v>
      </c>
      <c r="L167" s="243">
        <v>-21.660600000000002</v>
      </c>
      <c r="M167" s="166" t="s">
        <v>1087</v>
      </c>
      <c r="N167">
        <f t="shared" si="2"/>
        <v>17.516827985370245</v>
      </c>
    </row>
    <row r="168" spans="1:14">
      <c r="A168" s="6" t="s">
        <v>154</v>
      </c>
      <c r="B168" s="6" t="s">
        <v>548</v>
      </c>
      <c r="C168" t="s">
        <v>12</v>
      </c>
      <c r="D168" s="8">
        <v>1</v>
      </c>
      <c r="E168">
        <v>5</v>
      </c>
      <c r="F168" s="165" t="s">
        <v>154</v>
      </c>
      <c r="G168" s="165" t="s">
        <v>946</v>
      </c>
      <c r="I168" s="247">
        <v>2.5581178217000642</v>
      </c>
      <c r="J168" s="247">
        <v>29.555109940345265</v>
      </c>
      <c r="K168" s="247">
        <v>17.136833333333332</v>
      </c>
      <c r="L168" s="243">
        <v>-22.0916</v>
      </c>
      <c r="M168" s="166" t="s">
        <v>1087</v>
      </c>
      <c r="N168">
        <f t="shared" si="2"/>
        <v>11.553459222884285</v>
      </c>
    </row>
    <row r="169" spans="1:14">
      <c r="A169" s="6" t="s">
        <v>155</v>
      </c>
      <c r="B169" s="6" t="s">
        <v>548</v>
      </c>
      <c r="C169" t="s">
        <v>12</v>
      </c>
      <c r="D169" s="8">
        <v>1</v>
      </c>
      <c r="E169">
        <v>10</v>
      </c>
      <c r="F169" s="163" t="s">
        <v>155</v>
      </c>
      <c r="G169" s="163" t="s">
        <v>947</v>
      </c>
      <c r="I169" s="245">
        <v>2.0676646066113959</v>
      </c>
      <c r="J169" s="245">
        <v>22.912620991627374</v>
      </c>
      <c r="K169" s="245">
        <v>15.423999999999999</v>
      </c>
      <c r="L169" s="242">
        <v>-25.776</v>
      </c>
      <c r="M169" s="181"/>
      <c r="N169">
        <f t="shared" si="2"/>
        <v>11.081401170365757</v>
      </c>
    </row>
    <row r="170" spans="1:14">
      <c r="A170" s="6" t="s">
        <v>156</v>
      </c>
      <c r="B170" s="6" t="s">
        <v>548</v>
      </c>
      <c r="C170" t="s">
        <v>12</v>
      </c>
      <c r="D170" s="8">
        <v>1</v>
      </c>
      <c r="E170">
        <v>20</v>
      </c>
      <c r="F170" s="165" t="s">
        <v>156</v>
      </c>
      <c r="G170" s="165" t="s">
        <v>948</v>
      </c>
      <c r="I170" s="247">
        <v>2.5777692820265354</v>
      </c>
      <c r="J170" s="247">
        <v>29.315278261186855</v>
      </c>
      <c r="K170" s="247">
        <v>15.15883333333333</v>
      </c>
      <c r="L170" s="243">
        <v>-22.251599999999996</v>
      </c>
      <c r="M170" s="166" t="s">
        <v>1087</v>
      </c>
      <c r="N170">
        <f t="shared" si="2"/>
        <v>11.372343702590946</v>
      </c>
    </row>
    <row r="171" spans="1:14">
      <c r="A171" s="6" t="s">
        <v>157</v>
      </c>
      <c r="B171" s="6" t="s">
        <v>548</v>
      </c>
      <c r="C171" t="s">
        <v>12</v>
      </c>
      <c r="D171" s="8">
        <v>1</v>
      </c>
      <c r="E171">
        <v>30</v>
      </c>
      <c r="F171" s="163" t="s">
        <v>157</v>
      </c>
      <c r="G171" s="163" t="s">
        <v>949</v>
      </c>
      <c r="I171" s="245">
        <v>1.7716094919482006</v>
      </c>
      <c r="J171" s="245">
        <v>17.562776019537225</v>
      </c>
      <c r="K171" s="245">
        <v>15.576999999999998</v>
      </c>
      <c r="L171" s="242">
        <v>-25.264000000000003</v>
      </c>
      <c r="M171" s="181"/>
      <c r="N171">
        <f t="shared" si="2"/>
        <v>9.9134578468665921</v>
      </c>
    </row>
    <row r="172" spans="1:14">
      <c r="A172" s="6" t="s">
        <v>1198</v>
      </c>
      <c r="B172" s="6" t="s">
        <v>548</v>
      </c>
      <c r="C172" t="s">
        <v>12</v>
      </c>
      <c r="D172" s="8">
        <v>2</v>
      </c>
      <c r="E172">
        <v>5</v>
      </c>
      <c r="I172" s="241">
        <v>2.3687664322771127</v>
      </c>
      <c r="J172" s="241">
        <v>43.903819268115008</v>
      </c>
      <c r="K172" s="249">
        <v>12.895624999999999</v>
      </c>
      <c r="L172" s="249">
        <v>-28.495333333333331</v>
      </c>
      <c r="N172">
        <f t="shared" si="2"/>
        <v>18.534465310668025</v>
      </c>
    </row>
    <row r="173" spans="1:14">
      <c r="A173" s="6" t="s">
        <v>159</v>
      </c>
      <c r="B173" s="6" t="s">
        <v>548</v>
      </c>
      <c r="C173" t="s">
        <v>12</v>
      </c>
      <c r="D173" s="8">
        <v>2</v>
      </c>
      <c r="E173">
        <v>10</v>
      </c>
      <c r="F173" s="163" t="s">
        <v>159</v>
      </c>
      <c r="G173" s="163" t="s">
        <v>951</v>
      </c>
      <c r="I173" s="245">
        <v>1.4681421664443493</v>
      </c>
      <c r="J173" s="245">
        <v>18.98616339257153</v>
      </c>
      <c r="K173" s="245">
        <v>14.821999999999996</v>
      </c>
      <c r="L173" s="242">
        <v>-25.308</v>
      </c>
      <c r="M173" s="181"/>
      <c r="N173">
        <f t="shared" si="2"/>
        <v>12.93210141804834</v>
      </c>
    </row>
    <row r="174" spans="1:14">
      <c r="A174" s="6" t="s">
        <v>160</v>
      </c>
      <c r="B174" s="6" t="s">
        <v>548</v>
      </c>
      <c r="C174" t="s">
        <v>12</v>
      </c>
      <c r="D174" s="8">
        <v>2</v>
      </c>
      <c r="E174">
        <v>20</v>
      </c>
      <c r="F174" s="163" t="s">
        <v>160</v>
      </c>
      <c r="G174" s="163" t="s">
        <v>952</v>
      </c>
      <c r="I174" s="245">
        <v>2.2127287894482959</v>
      </c>
      <c r="J174" s="245">
        <v>25.932472927853734</v>
      </c>
      <c r="K174" s="245">
        <v>14.274000000000001</v>
      </c>
      <c r="L174" s="242">
        <v>-26.012</v>
      </c>
      <c r="M174" s="181"/>
      <c r="N174">
        <f t="shared" si="2"/>
        <v>11.719679814135526</v>
      </c>
    </row>
    <row r="175" spans="1:14">
      <c r="A175" s="6" t="s">
        <v>161</v>
      </c>
      <c r="B175" s="6" t="s">
        <v>548</v>
      </c>
      <c r="C175" t="s">
        <v>12</v>
      </c>
      <c r="D175" s="8">
        <v>2</v>
      </c>
      <c r="E175">
        <v>30</v>
      </c>
      <c r="F175" s="153" t="s">
        <v>161</v>
      </c>
      <c r="G175" s="153" t="s">
        <v>953</v>
      </c>
      <c r="I175" s="246">
        <v>2.2124366350602447</v>
      </c>
      <c r="J175" s="245">
        <v>25.355119409907022</v>
      </c>
      <c r="K175" s="246">
        <v>14.007999999999996</v>
      </c>
      <c r="L175" s="242">
        <v>-25.860000000000003</v>
      </c>
      <c r="M175" s="181"/>
      <c r="N175">
        <f t="shared" si="2"/>
        <v>11.460269192847008</v>
      </c>
    </row>
    <row r="176" spans="1:14">
      <c r="A176" s="6" t="s">
        <v>1199</v>
      </c>
      <c r="B176" s="6" t="s">
        <v>548</v>
      </c>
      <c r="C176" t="s">
        <v>12</v>
      </c>
      <c r="D176" s="8">
        <v>3</v>
      </c>
      <c r="E176">
        <v>5</v>
      </c>
      <c r="I176" s="242">
        <v>1.7237837581440545</v>
      </c>
      <c r="J176" s="242">
        <v>45.027947215504305</v>
      </c>
      <c r="K176" s="242">
        <v>15.411625000000001</v>
      </c>
      <c r="L176" s="242">
        <v>-27.745333333333331</v>
      </c>
      <c r="N176">
        <f t="shared" si="2"/>
        <v>26.121575286209058</v>
      </c>
    </row>
    <row r="177" spans="1:14">
      <c r="A177" s="6" t="s">
        <v>1200</v>
      </c>
      <c r="B177" s="6" t="s">
        <v>548</v>
      </c>
      <c r="C177" t="s">
        <v>12</v>
      </c>
      <c r="D177" s="8">
        <v>3</v>
      </c>
      <c r="E177">
        <v>10</v>
      </c>
      <c r="I177" s="242">
        <v>2.6547667583324901</v>
      </c>
      <c r="J177" s="242">
        <v>44.170832994987585</v>
      </c>
      <c r="K177" s="242">
        <v>14.162624999999998</v>
      </c>
      <c r="L177" s="242">
        <v>-28.057333333333332</v>
      </c>
      <c r="N177">
        <f t="shared" si="2"/>
        <v>16.638310260722164</v>
      </c>
    </row>
    <row r="178" spans="1:14">
      <c r="A178" s="6" t="s">
        <v>164</v>
      </c>
      <c r="B178" s="6" t="s">
        <v>548</v>
      </c>
      <c r="C178" t="s">
        <v>12</v>
      </c>
      <c r="D178" s="8">
        <v>3</v>
      </c>
      <c r="E178">
        <v>20</v>
      </c>
      <c r="F178" s="163" t="s">
        <v>164</v>
      </c>
      <c r="G178" s="163" t="s">
        <v>956</v>
      </c>
      <c r="I178" s="245">
        <v>1.741644244943106</v>
      </c>
      <c r="J178" s="245">
        <v>20.538439378034333</v>
      </c>
      <c r="K178" s="245">
        <v>15.641999999999996</v>
      </c>
      <c r="L178" s="242">
        <v>-25.258000000000003</v>
      </c>
      <c r="M178" s="181"/>
      <c r="N178">
        <f t="shared" si="2"/>
        <v>11.792557198559949</v>
      </c>
    </row>
    <row r="179" spans="1:14">
      <c r="A179" s="6" t="s">
        <v>165</v>
      </c>
      <c r="B179" s="6" t="s">
        <v>548</v>
      </c>
      <c r="C179" t="s">
        <v>12</v>
      </c>
      <c r="D179" s="8">
        <v>3</v>
      </c>
      <c r="E179">
        <v>30</v>
      </c>
      <c r="F179" s="163" t="s">
        <v>165</v>
      </c>
      <c r="G179" s="163" t="s">
        <v>957</v>
      </c>
      <c r="I179" s="245">
        <v>1.6535821902333061</v>
      </c>
      <c r="J179" s="245">
        <v>18.596693866131382</v>
      </c>
      <c r="K179" s="245">
        <v>16.653999999999996</v>
      </c>
      <c r="L179" s="242">
        <v>-26.262</v>
      </c>
      <c r="M179" s="181"/>
      <c r="N179">
        <f t="shared" si="2"/>
        <v>11.246307547317953</v>
      </c>
    </row>
    <row r="180" spans="1:14">
      <c r="A180" s="6" t="s">
        <v>166</v>
      </c>
      <c r="B180" s="6" t="s">
        <v>548</v>
      </c>
      <c r="C180" t="s">
        <v>12</v>
      </c>
      <c r="D180" s="8">
        <v>4</v>
      </c>
      <c r="E180">
        <v>5</v>
      </c>
      <c r="F180" s="153" t="s">
        <v>166</v>
      </c>
      <c r="G180" s="153" t="s">
        <v>958</v>
      </c>
      <c r="I180" s="246">
        <v>2.1179202744024153</v>
      </c>
      <c r="J180" s="245">
        <v>26.237743224203381</v>
      </c>
      <c r="K180" s="246">
        <v>18.062999999999995</v>
      </c>
      <c r="L180" s="242">
        <v>-26.804000000000002</v>
      </c>
      <c r="M180" s="181"/>
      <c r="N180">
        <f t="shared" si="2"/>
        <v>12.388447072969509</v>
      </c>
    </row>
    <row r="181" spans="1:14">
      <c r="A181" s="6" t="s">
        <v>167</v>
      </c>
      <c r="B181" s="6" t="s">
        <v>548</v>
      </c>
      <c r="C181" t="s">
        <v>12</v>
      </c>
      <c r="D181" s="8">
        <v>4</v>
      </c>
      <c r="E181">
        <v>10</v>
      </c>
      <c r="F181" s="163" t="s">
        <v>167</v>
      </c>
      <c r="G181" s="163" t="s">
        <v>959</v>
      </c>
      <c r="I181" s="245">
        <v>1.8763709152243999</v>
      </c>
      <c r="J181" s="245">
        <v>24.037547221081585</v>
      </c>
      <c r="K181" s="245">
        <v>16.781999999999996</v>
      </c>
      <c r="L181" s="242">
        <v>-26.011000000000003</v>
      </c>
      <c r="M181" s="181"/>
      <c r="N181">
        <f t="shared" si="2"/>
        <v>12.810658610217732</v>
      </c>
    </row>
    <row r="182" spans="1:14">
      <c r="A182" s="6" t="s">
        <v>168</v>
      </c>
      <c r="B182" s="6" t="s">
        <v>548</v>
      </c>
      <c r="C182" t="s">
        <v>12</v>
      </c>
      <c r="D182" s="8">
        <v>4</v>
      </c>
      <c r="E182">
        <v>20</v>
      </c>
      <c r="F182" s="163" t="s">
        <v>168</v>
      </c>
      <c r="G182" s="163" t="s">
        <v>960</v>
      </c>
      <c r="I182" s="245">
        <v>1.7783038524188326</v>
      </c>
      <c r="J182" s="245">
        <v>21.381642267147239</v>
      </c>
      <c r="K182" s="245">
        <v>15.61</v>
      </c>
      <c r="L182" s="242">
        <v>-25.965</v>
      </c>
      <c r="M182" s="181"/>
      <c r="N182">
        <f t="shared" si="2"/>
        <v>12.023615783131845</v>
      </c>
    </row>
    <row r="183" spans="1:14">
      <c r="A183" s="6" t="s">
        <v>169</v>
      </c>
      <c r="B183" s="6" t="s">
        <v>548</v>
      </c>
      <c r="C183" t="s">
        <v>12</v>
      </c>
      <c r="D183" s="8">
        <v>4</v>
      </c>
      <c r="E183">
        <v>30</v>
      </c>
      <c r="F183" s="163" t="s">
        <v>169</v>
      </c>
      <c r="G183" s="163" t="s">
        <v>961</v>
      </c>
      <c r="I183" s="245">
        <v>1.4778960496125129</v>
      </c>
      <c r="J183" s="245">
        <v>16.775728516128073</v>
      </c>
      <c r="K183" s="245">
        <v>14.768000000000001</v>
      </c>
      <c r="L183" s="242">
        <v>-26.276</v>
      </c>
      <c r="M183" s="181"/>
      <c r="N183">
        <f t="shared" si="2"/>
        <v>11.351088272092259</v>
      </c>
    </row>
    <row r="184" spans="1:14">
      <c r="A184" s="6" t="s">
        <v>1201</v>
      </c>
      <c r="B184" s="6" t="s">
        <v>548</v>
      </c>
      <c r="C184" t="s">
        <v>12</v>
      </c>
      <c r="D184" s="8">
        <v>5</v>
      </c>
      <c r="E184">
        <v>5</v>
      </c>
      <c r="I184" s="242">
        <v>3.4159137601651421</v>
      </c>
      <c r="J184" s="242">
        <v>44.327192124220971</v>
      </c>
      <c r="K184" s="242">
        <v>14.784624999999998</v>
      </c>
      <c r="L184" s="242">
        <v>-28.461333333333332</v>
      </c>
      <c r="N184">
        <f t="shared" si="2"/>
        <v>12.976671905814735</v>
      </c>
    </row>
    <row r="185" spans="1:14">
      <c r="A185" s="6" t="s">
        <v>171</v>
      </c>
      <c r="B185" s="6" t="s">
        <v>548</v>
      </c>
      <c r="C185" t="s">
        <v>12</v>
      </c>
      <c r="D185" s="8">
        <v>5</v>
      </c>
      <c r="E185">
        <v>10</v>
      </c>
      <c r="F185" s="163" t="s">
        <v>171</v>
      </c>
      <c r="G185" s="163" t="s">
        <v>963</v>
      </c>
      <c r="I185" s="245">
        <v>1.5972079296009263</v>
      </c>
      <c r="J185" s="245">
        <v>20.519350606121424</v>
      </c>
      <c r="K185" s="245">
        <v>16.024999999999999</v>
      </c>
      <c r="L185" s="242">
        <v>-27.592000000000002</v>
      </c>
      <c r="M185" s="181"/>
      <c r="N185">
        <f t="shared" si="2"/>
        <v>12.847012731303137</v>
      </c>
    </row>
    <row r="186" spans="1:14">
      <c r="A186" s="6" t="s">
        <v>172</v>
      </c>
      <c r="B186" s="6" t="s">
        <v>548</v>
      </c>
      <c r="C186" t="s">
        <v>12</v>
      </c>
      <c r="D186" s="8">
        <v>5</v>
      </c>
      <c r="E186">
        <v>20</v>
      </c>
      <c r="F186" s="163" t="s">
        <v>172</v>
      </c>
      <c r="G186" s="163" t="s">
        <v>964</v>
      </c>
      <c r="I186" s="245">
        <v>1.3976987970778141</v>
      </c>
      <c r="J186" s="245">
        <v>18.374596845145732</v>
      </c>
      <c r="K186" s="245">
        <v>13.470999999999997</v>
      </c>
      <c r="L186" s="242">
        <v>-26.025000000000002</v>
      </c>
      <c r="M186" s="181"/>
      <c r="N186">
        <f t="shared" si="2"/>
        <v>13.146320855081028</v>
      </c>
    </row>
    <row r="187" spans="1:14">
      <c r="A187" s="6" t="s">
        <v>173</v>
      </c>
      <c r="B187" s="6" t="s">
        <v>548</v>
      </c>
      <c r="C187" t="s">
        <v>12</v>
      </c>
      <c r="D187" s="8">
        <v>5</v>
      </c>
      <c r="E187">
        <v>30</v>
      </c>
      <c r="F187" s="163" t="s">
        <v>173</v>
      </c>
      <c r="G187" s="163" t="s">
        <v>965</v>
      </c>
      <c r="I187" s="245">
        <v>1.9437061507651885</v>
      </c>
      <c r="J187" s="245">
        <v>23.486868504750298</v>
      </c>
      <c r="K187" s="245">
        <v>14.32</v>
      </c>
      <c r="L187" s="242">
        <v>-27</v>
      </c>
      <c r="M187" s="181"/>
      <c r="N187">
        <f t="shared" si="2"/>
        <v>12.083548995049537</v>
      </c>
    </row>
    <row r="188" spans="1:14">
      <c r="A188" s="6" t="s">
        <v>174</v>
      </c>
      <c r="B188" s="6" t="s">
        <v>548</v>
      </c>
      <c r="C188" t="s">
        <v>12</v>
      </c>
      <c r="D188" s="8">
        <v>6</v>
      </c>
      <c r="E188">
        <v>5</v>
      </c>
      <c r="F188" s="165" t="s">
        <v>174</v>
      </c>
      <c r="G188" s="165" t="s">
        <v>966</v>
      </c>
      <c r="I188" s="247">
        <v>3.1793527293766819</v>
      </c>
      <c r="J188" s="247">
        <v>51.328115447610386</v>
      </c>
      <c r="K188" s="247">
        <v>14.912833333333335</v>
      </c>
      <c r="L188" s="243">
        <v>-23.733600000000003</v>
      </c>
      <c r="M188" s="166" t="s">
        <v>1087</v>
      </c>
      <c r="N188">
        <f t="shared" si="2"/>
        <v>16.144202866623534</v>
      </c>
    </row>
    <row r="189" spans="1:14">
      <c r="A189" s="6" t="s">
        <v>175</v>
      </c>
      <c r="B189" s="6" t="s">
        <v>548</v>
      </c>
      <c r="C189" t="s">
        <v>12</v>
      </c>
      <c r="D189" s="8">
        <v>6</v>
      </c>
      <c r="E189">
        <v>10</v>
      </c>
      <c r="F189" s="165" t="s">
        <v>175</v>
      </c>
      <c r="G189" s="165" t="s">
        <v>1001</v>
      </c>
      <c r="I189" s="247">
        <v>2.7322322063467235</v>
      </c>
      <c r="J189" s="247">
        <v>36.055672673068962</v>
      </c>
      <c r="K189" s="247">
        <v>18.569833333333332</v>
      </c>
      <c r="L189" s="243">
        <v>-24.391599999999997</v>
      </c>
      <c r="M189" s="166" t="s">
        <v>1087</v>
      </c>
      <c r="N189">
        <f t="shared" si="2"/>
        <v>13.196415952244088</v>
      </c>
    </row>
    <row r="190" spans="1:14">
      <c r="A190" s="6" t="s">
        <v>176</v>
      </c>
      <c r="B190" s="6" t="s">
        <v>548</v>
      </c>
      <c r="C190" t="s">
        <v>12</v>
      </c>
      <c r="D190" s="8">
        <v>6</v>
      </c>
      <c r="E190">
        <v>20</v>
      </c>
      <c r="F190" s="163" t="s">
        <v>176</v>
      </c>
      <c r="G190" s="163" t="s">
        <v>1002</v>
      </c>
      <c r="I190" s="245">
        <v>1.3020948614461185</v>
      </c>
      <c r="J190" s="245">
        <v>17.166614037421567</v>
      </c>
      <c r="K190" s="245">
        <v>12.224999999999994</v>
      </c>
      <c r="L190" s="242">
        <v>-27.273</v>
      </c>
      <c r="M190" s="181"/>
      <c r="N190">
        <f t="shared" si="2"/>
        <v>13.183842856392328</v>
      </c>
    </row>
    <row r="191" spans="1:14">
      <c r="A191" s="6" t="s">
        <v>177</v>
      </c>
      <c r="B191" s="6" t="s">
        <v>548</v>
      </c>
      <c r="C191" t="s">
        <v>12</v>
      </c>
      <c r="D191" s="8">
        <v>6</v>
      </c>
      <c r="E191">
        <v>30</v>
      </c>
      <c r="F191" s="163" t="s">
        <v>177</v>
      </c>
      <c r="G191" s="163" t="s">
        <v>1003</v>
      </c>
      <c r="I191" s="245">
        <v>1.7590080583364451</v>
      </c>
      <c r="J191" s="245">
        <v>24.181863158266523</v>
      </c>
      <c r="K191" s="245">
        <v>13.564</v>
      </c>
      <c r="L191" s="242">
        <v>-26.448</v>
      </c>
      <c r="M191" s="181"/>
      <c r="N191">
        <f t="shared" si="2"/>
        <v>13.747443079445667</v>
      </c>
    </row>
    <row r="192" spans="1:14">
      <c r="A192" s="6" t="s">
        <v>178</v>
      </c>
      <c r="B192" s="6" t="s">
        <v>548</v>
      </c>
      <c r="C192" t="s">
        <v>13</v>
      </c>
      <c r="D192" s="8">
        <v>1</v>
      </c>
      <c r="E192">
        <v>5</v>
      </c>
      <c r="F192" s="153" t="s">
        <v>178</v>
      </c>
      <c r="G192" s="153" t="s">
        <v>1004</v>
      </c>
      <c r="I192" s="246">
        <v>2.0324593441018011</v>
      </c>
      <c r="J192" s="245">
        <v>48.940953139707759</v>
      </c>
      <c r="K192" s="246">
        <v>6.5249999999999986</v>
      </c>
      <c r="L192" s="242">
        <v>-25.343</v>
      </c>
      <c r="M192" s="181"/>
      <c r="N192">
        <f t="shared" si="2"/>
        <v>24.079671399939414</v>
      </c>
    </row>
    <row r="193" spans="1:14">
      <c r="A193" s="6" t="s">
        <v>179</v>
      </c>
      <c r="B193" s="6" t="s">
        <v>548</v>
      </c>
      <c r="C193" t="s">
        <v>13</v>
      </c>
      <c r="D193" s="8">
        <v>1</v>
      </c>
      <c r="E193">
        <v>10</v>
      </c>
      <c r="F193" s="163" t="s">
        <v>179</v>
      </c>
      <c r="G193" s="163" t="s">
        <v>1005</v>
      </c>
      <c r="I193" s="245">
        <v>1.4002903970384344</v>
      </c>
      <c r="J193" s="245">
        <v>35.442431596466996</v>
      </c>
      <c r="K193" s="245">
        <v>7.1499999999999986</v>
      </c>
      <c r="L193" s="242">
        <v>-26.786000000000001</v>
      </c>
      <c r="M193" s="181"/>
      <c r="N193">
        <f t="shared" si="2"/>
        <v>25.310772445077472</v>
      </c>
    </row>
    <row r="194" spans="1:14">
      <c r="A194" s="6" t="s">
        <v>180</v>
      </c>
      <c r="B194" s="6" t="s">
        <v>548</v>
      </c>
      <c r="C194" t="s">
        <v>13</v>
      </c>
      <c r="D194" s="8">
        <v>1</v>
      </c>
      <c r="E194">
        <v>20</v>
      </c>
      <c r="F194" s="163" t="s">
        <v>180</v>
      </c>
      <c r="G194" s="163" t="s">
        <v>1006</v>
      </c>
      <c r="I194" s="245">
        <v>1.4581470108140038</v>
      </c>
      <c r="J194" s="246">
        <v>45.363775562632789</v>
      </c>
      <c r="K194" s="245">
        <v>3.3699999999999974</v>
      </c>
      <c r="L194" s="244">
        <v>-26.483000000000001</v>
      </c>
      <c r="M194" s="181"/>
      <c r="N194">
        <f t="shared" si="2"/>
        <v>31.110563767715487</v>
      </c>
    </row>
    <row r="195" spans="1:14">
      <c r="A195" s="6" t="s">
        <v>181</v>
      </c>
      <c r="B195" s="6" t="s">
        <v>548</v>
      </c>
      <c r="C195" t="s">
        <v>13</v>
      </c>
      <c r="D195" s="8">
        <v>2</v>
      </c>
      <c r="E195">
        <v>5</v>
      </c>
      <c r="F195" s="165" t="s">
        <v>181</v>
      </c>
      <c r="G195" s="165" t="s">
        <v>967</v>
      </c>
      <c r="I195" s="247">
        <v>3.0355721534674611</v>
      </c>
      <c r="J195" s="247">
        <v>40.741468378001684</v>
      </c>
      <c r="K195" s="247">
        <v>6.328833333333332</v>
      </c>
      <c r="L195" s="243">
        <v>-23.300600000000003</v>
      </c>
      <c r="M195" s="166" t="s">
        <v>1087</v>
      </c>
      <c r="N195">
        <f t="shared" si="2"/>
        <v>13.421347383050568</v>
      </c>
    </row>
    <row r="196" spans="1:14">
      <c r="A196" s="6" t="s">
        <v>182</v>
      </c>
      <c r="B196" s="6" t="s">
        <v>548</v>
      </c>
      <c r="C196" t="s">
        <v>13</v>
      </c>
      <c r="D196" s="8">
        <v>2</v>
      </c>
      <c r="E196">
        <v>10</v>
      </c>
      <c r="F196" s="165" t="s">
        <v>182</v>
      </c>
      <c r="G196" s="165" t="s">
        <v>968</v>
      </c>
      <c r="I196" s="247">
        <v>2.639897154554554</v>
      </c>
      <c r="J196" s="247">
        <v>43.842743391421678</v>
      </c>
      <c r="K196" s="247">
        <v>1.3078333333333312</v>
      </c>
      <c r="L196" s="243">
        <v>-24.697600000000001</v>
      </c>
      <c r="M196" s="166" t="s">
        <v>1087</v>
      </c>
      <c r="N196">
        <f t="shared" si="2"/>
        <v>16.607746750959901</v>
      </c>
    </row>
    <row r="197" spans="1:14">
      <c r="A197" s="6" t="s">
        <v>183</v>
      </c>
      <c r="B197" s="6" t="s">
        <v>548</v>
      </c>
      <c r="C197" t="s">
        <v>13</v>
      </c>
      <c r="D197" s="8">
        <v>2</v>
      </c>
      <c r="E197">
        <v>20</v>
      </c>
      <c r="F197" s="153" t="s">
        <v>183</v>
      </c>
      <c r="G197" s="153" t="s">
        <v>969</v>
      </c>
      <c r="I197" s="246">
        <v>2.0736933607944099</v>
      </c>
      <c r="J197" s="245">
        <v>44.207433669674138</v>
      </c>
      <c r="K197" s="246">
        <v>5.3009999999999984</v>
      </c>
      <c r="L197" s="242">
        <v>-27.483000000000001</v>
      </c>
      <c r="M197" s="181"/>
      <c r="N197">
        <f t="shared" si="2"/>
        <v>21.318211508734706</v>
      </c>
    </row>
    <row r="198" spans="1:14">
      <c r="A198" s="6" t="s">
        <v>184</v>
      </c>
      <c r="B198" s="6" t="s">
        <v>548</v>
      </c>
      <c r="C198" t="s">
        <v>13</v>
      </c>
      <c r="D198" s="8">
        <v>3</v>
      </c>
      <c r="E198">
        <v>5</v>
      </c>
      <c r="F198" s="165" t="s">
        <v>184</v>
      </c>
      <c r="G198" s="165" t="s">
        <v>970</v>
      </c>
      <c r="I198" s="247">
        <v>2.4419524404339525</v>
      </c>
      <c r="J198" s="247">
        <v>39.024411502902367</v>
      </c>
      <c r="K198" s="247">
        <v>2.9708333333333314</v>
      </c>
      <c r="L198" s="243">
        <v>-19.4636</v>
      </c>
      <c r="M198" s="166" t="s">
        <v>1087</v>
      </c>
      <c r="N198">
        <f t="shared" si="2"/>
        <v>15.980823728068778</v>
      </c>
    </row>
    <row r="199" spans="1:14">
      <c r="A199" s="6" t="s">
        <v>185</v>
      </c>
      <c r="B199" s="6" t="s">
        <v>548</v>
      </c>
      <c r="C199" t="s">
        <v>13</v>
      </c>
      <c r="D199" s="8">
        <v>4</v>
      </c>
      <c r="E199">
        <v>5</v>
      </c>
      <c r="F199" s="163" t="s">
        <v>185</v>
      </c>
      <c r="G199" s="163" t="s">
        <v>1007</v>
      </c>
      <c r="I199" s="245">
        <v>2.1229762093130815</v>
      </c>
      <c r="J199" s="245">
        <v>49.915005283463373</v>
      </c>
      <c r="K199" s="245">
        <v>1.1169999999999973</v>
      </c>
      <c r="L199" s="242">
        <v>-26.853000000000002</v>
      </c>
      <c r="M199" s="181"/>
      <c r="N199">
        <f t="shared" si="2"/>
        <v>23.511806239041213</v>
      </c>
    </row>
    <row r="200" spans="1:14">
      <c r="A200" s="6" t="s">
        <v>186</v>
      </c>
      <c r="B200" s="6" t="s">
        <v>548</v>
      </c>
      <c r="C200" t="s">
        <v>13</v>
      </c>
      <c r="D200" s="8">
        <v>4</v>
      </c>
      <c r="E200">
        <v>10</v>
      </c>
      <c r="F200" s="165" t="s">
        <v>186</v>
      </c>
      <c r="G200" s="165" t="s">
        <v>1008</v>
      </c>
      <c r="I200" s="247">
        <v>2.6951843937587445</v>
      </c>
      <c r="J200" s="247">
        <v>46.673549027844643</v>
      </c>
      <c r="K200" s="247">
        <v>3.9738333333333316</v>
      </c>
      <c r="L200" s="243">
        <v>-22.864600000000003</v>
      </c>
      <c r="M200" s="166" t="s">
        <v>1087</v>
      </c>
      <c r="N200">
        <f t="shared" si="2"/>
        <v>17.31738620033823</v>
      </c>
    </row>
    <row r="201" spans="1:14">
      <c r="A201" s="6" t="s">
        <v>187</v>
      </c>
      <c r="B201" s="6" t="s">
        <v>548</v>
      </c>
      <c r="C201" t="s">
        <v>13</v>
      </c>
      <c r="D201" s="8">
        <v>4</v>
      </c>
      <c r="E201">
        <v>20</v>
      </c>
      <c r="F201" s="163" t="s">
        <v>187</v>
      </c>
      <c r="G201" s="163" t="s">
        <v>1009</v>
      </c>
      <c r="I201" s="245">
        <v>2.0851609807709339</v>
      </c>
      <c r="J201" s="245">
        <v>37.257641343658612</v>
      </c>
      <c r="K201" s="245">
        <v>3.4209999999999958</v>
      </c>
      <c r="L201" s="242">
        <v>-25.202000000000002</v>
      </c>
      <c r="M201" s="181"/>
      <c r="N201">
        <f t="shared" si="2"/>
        <v>17.867992777173285</v>
      </c>
    </row>
    <row r="202" spans="1:14">
      <c r="A202" s="6" t="s">
        <v>188</v>
      </c>
      <c r="B202" s="6" t="s">
        <v>548</v>
      </c>
      <c r="C202" t="s">
        <v>13</v>
      </c>
      <c r="D202" s="8">
        <v>5</v>
      </c>
      <c r="E202">
        <v>5</v>
      </c>
      <c r="F202" s="165" t="s">
        <v>188</v>
      </c>
      <c r="G202" s="165" t="s">
        <v>1010</v>
      </c>
      <c r="I202" s="247">
        <v>2.5240001442799089</v>
      </c>
      <c r="J202" s="247">
        <v>41.243209723730089</v>
      </c>
      <c r="K202" s="247">
        <v>1.4868333333333332</v>
      </c>
      <c r="L202" s="243">
        <v>-22.141599999999997</v>
      </c>
      <c r="M202" s="166" t="s">
        <v>1087</v>
      </c>
      <c r="N202">
        <f t="shared" ref="N202:N209" si="3">J202/I202</f>
        <v>16.340414962811611</v>
      </c>
    </row>
    <row r="203" spans="1:14">
      <c r="A203" s="6" t="s">
        <v>189</v>
      </c>
      <c r="B203" s="6" t="s">
        <v>548</v>
      </c>
      <c r="C203" t="s">
        <v>13</v>
      </c>
      <c r="D203" s="8">
        <v>5</v>
      </c>
      <c r="E203">
        <v>10</v>
      </c>
      <c r="F203" s="153" t="s">
        <v>189</v>
      </c>
      <c r="G203" s="153" t="s">
        <v>1011</v>
      </c>
      <c r="I203" s="246">
        <v>2.5570820874859939</v>
      </c>
      <c r="J203" s="245">
        <v>38.529215312246521</v>
      </c>
      <c r="K203" s="246">
        <v>10.928999999999995</v>
      </c>
      <c r="L203" s="242">
        <v>-26.742000000000001</v>
      </c>
      <c r="M203" s="181"/>
      <c r="N203">
        <f t="shared" si="3"/>
        <v>15.06764898194046</v>
      </c>
    </row>
    <row r="204" spans="1:14">
      <c r="A204" s="6" t="s">
        <v>190</v>
      </c>
      <c r="B204" s="6" t="s">
        <v>548</v>
      </c>
      <c r="C204" t="s">
        <v>13</v>
      </c>
      <c r="D204" s="8">
        <v>5</v>
      </c>
      <c r="E204">
        <v>20</v>
      </c>
      <c r="F204" s="163" t="s">
        <v>190</v>
      </c>
      <c r="G204" s="163" t="s">
        <v>1012</v>
      </c>
      <c r="I204" s="245">
        <v>1.1119685929137273</v>
      </c>
      <c r="J204" s="245">
        <v>22.847911851500903</v>
      </c>
      <c r="K204" s="245">
        <v>3.0029999999999966</v>
      </c>
      <c r="L204" s="242">
        <v>-28.959</v>
      </c>
      <c r="M204" s="181"/>
      <c r="N204">
        <f t="shared" si="3"/>
        <v>20.547263652143069</v>
      </c>
    </row>
    <row r="205" spans="1:14">
      <c r="A205" s="6" t="s">
        <v>191</v>
      </c>
      <c r="B205" s="6" t="s">
        <v>548</v>
      </c>
      <c r="C205" t="s">
        <v>13</v>
      </c>
      <c r="D205" s="8">
        <v>5</v>
      </c>
      <c r="E205">
        <v>30</v>
      </c>
      <c r="F205" s="163" t="s">
        <v>191</v>
      </c>
      <c r="G205" s="163" t="s">
        <v>1013</v>
      </c>
      <c r="I205" s="245">
        <v>1.4095646738468508</v>
      </c>
      <c r="J205" s="245">
        <v>36.025574862409165</v>
      </c>
      <c r="K205" s="245">
        <v>2.102999999999998</v>
      </c>
      <c r="L205" s="242">
        <v>-28.642000000000003</v>
      </c>
      <c r="M205" s="181"/>
      <c r="N205">
        <f t="shared" si="3"/>
        <v>25.557943903412085</v>
      </c>
    </row>
    <row r="206" spans="1:14">
      <c r="A206" s="6" t="s">
        <v>192</v>
      </c>
      <c r="B206" s="6" t="s">
        <v>548</v>
      </c>
      <c r="C206" t="s">
        <v>13</v>
      </c>
      <c r="D206" s="8">
        <v>6</v>
      </c>
      <c r="E206">
        <v>5</v>
      </c>
      <c r="F206" s="163" t="s">
        <v>192</v>
      </c>
      <c r="G206" s="163" t="s">
        <v>1014</v>
      </c>
      <c r="I206" s="245">
        <v>2.160417064967036</v>
      </c>
      <c r="J206" s="245">
        <v>48.400797671526149</v>
      </c>
      <c r="K206" s="245">
        <v>0.84299999999999642</v>
      </c>
      <c r="L206" s="242">
        <v>-26.283000000000001</v>
      </c>
      <c r="M206" s="181"/>
      <c r="N206">
        <f t="shared" si="3"/>
        <v>22.403450915281795</v>
      </c>
    </row>
    <row r="207" spans="1:14">
      <c r="A207" s="6" t="s">
        <v>193</v>
      </c>
      <c r="B207" s="6" t="s">
        <v>548</v>
      </c>
      <c r="C207" t="s">
        <v>13</v>
      </c>
      <c r="D207" s="8">
        <v>6</v>
      </c>
      <c r="E207">
        <v>10</v>
      </c>
      <c r="F207" s="163" t="s">
        <v>193</v>
      </c>
      <c r="G207" s="163" t="s">
        <v>1015</v>
      </c>
      <c r="I207" s="245">
        <v>2.1507642081963856</v>
      </c>
      <c r="J207" s="246">
        <v>46.979295687120491</v>
      </c>
      <c r="K207" s="245">
        <v>0.97699999999999676</v>
      </c>
      <c r="L207" s="244">
        <v>-25.183</v>
      </c>
      <c r="M207" s="181"/>
      <c r="N207">
        <f t="shared" si="3"/>
        <v>21.843071178182274</v>
      </c>
    </row>
    <row r="208" spans="1:14">
      <c r="A208" s="6" t="s">
        <v>194</v>
      </c>
      <c r="B208" s="6" t="s">
        <v>548</v>
      </c>
      <c r="C208" t="s">
        <v>13</v>
      </c>
      <c r="D208" s="8">
        <v>6</v>
      </c>
      <c r="E208">
        <v>20</v>
      </c>
      <c r="F208" s="163" t="s">
        <v>194</v>
      </c>
      <c r="G208" s="163" t="s">
        <v>1016</v>
      </c>
      <c r="I208" s="245">
        <v>1.2939643589833651</v>
      </c>
      <c r="J208" s="246">
        <v>43.167140652202555</v>
      </c>
      <c r="K208" s="245">
        <v>2.4539999999999971</v>
      </c>
      <c r="L208" s="242">
        <v>-25.383000000000003</v>
      </c>
      <c r="M208" s="181"/>
      <c r="N208">
        <f t="shared" si="3"/>
        <v>33.360378400312264</v>
      </c>
    </row>
    <row r="209" spans="1:14">
      <c r="A209" s="7" t="s">
        <v>195</v>
      </c>
      <c r="B209" s="6" t="s">
        <v>548</v>
      </c>
      <c r="C209" s="4" t="s">
        <v>13</v>
      </c>
      <c r="D209" s="4">
        <v>6</v>
      </c>
      <c r="E209" s="4">
        <v>30</v>
      </c>
      <c r="F209" s="163" t="s">
        <v>195</v>
      </c>
      <c r="G209" s="163" t="s">
        <v>1017</v>
      </c>
      <c r="I209" s="245">
        <v>0.47561244097142658</v>
      </c>
      <c r="J209" s="245">
        <v>16.156991968216634</v>
      </c>
      <c r="K209" s="245">
        <v>4.3329999999999984</v>
      </c>
      <c r="L209" s="242">
        <v>-27.394000000000002</v>
      </c>
      <c r="M209" s="181"/>
      <c r="N209">
        <f t="shared" si="3"/>
        <v>33.970919547891512</v>
      </c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K63"/>
  <sheetViews>
    <sheetView workbookViewId="0">
      <selection activeCell="I28" sqref="I28:I39"/>
    </sheetView>
  </sheetViews>
  <sheetFormatPr baseColWidth="10" defaultRowHeight="16"/>
  <cols>
    <col min="5" max="11" width="10.83203125" style="44"/>
  </cols>
  <sheetData>
    <row r="3" spans="1:11">
      <c r="A3" s="70" t="s">
        <v>10</v>
      </c>
      <c r="B3" s="71" t="s">
        <v>8</v>
      </c>
      <c r="C3" s="71" t="s">
        <v>11</v>
      </c>
      <c r="D3" s="72" t="s">
        <v>212</v>
      </c>
      <c r="E3" s="189" t="s">
        <v>1054</v>
      </c>
      <c r="F3" s="189" t="s">
        <v>1055</v>
      </c>
      <c r="G3" s="189" t="s">
        <v>1056</v>
      </c>
      <c r="H3" s="189" t="s">
        <v>1057</v>
      </c>
      <c r="I3" s="189" t="s">
        <v>1040</v>
      </c>
      <c r="J3" s="189" t="s">
        <v>1053</v>
      </c>
      <c r="K3" s="189" t="s">
        <v>1041</v>
      </c>
    </row>
    <row r="4" spans="1:11">
      <c r="A4" s="15" t="s">
        <v>0</v>
      </c>
      <c r="B4" t="s">
        <v>9</v>
      </c>
      <c r="C4" t="s">
        <v>12</v>
      </c>
      <c r="D4" s="3">
        <v>1</v>
      </c>
    </row>
    <row r="5" spans="1:11">
      <c r="A5" s="15" t="s">
        <v>642</v>
      </c>
      <c r="B5" t="s">
        <v>9</v>
      </c>
      <c r="C5" t="s">
        <v>12</v>
      </c>
      <c r="D5" s="3">
        <v>2</v>
      </c>
    </row>
    <row r="6" spans="1:11">
      <c r="A6" s="15" t="s">
        <v>1</v>
      </c>
      <c r="B6" t="s">
        <v>9</v>
      </c>
      <c r="C6" t="s">
        <v>12</v>
      </c>
      <c r="D6" s="3">
        <v>3</v>
      </c>
    </row>
    <row r="7" spans="1:11">
      <c r="A7" s="15" t="s">
        <v>2</v>
      </c>
      <c r="B7" t="s">
        <v>9</v>
      </c>
      <c r="C7" t="s">
        <v>12</v>
      </c>
      <c r="D7" s="3">
        <v>4</v>
      </c>
    </row>
    <row r="8" spans="1:11">
      <c r="A8" s="15" t="s">
        <v>3</v>
      </c>
      <c r="B8" t="s">
        <v>9</v>
      </c>
      <c r="C8" t="s">
        <v>12</v>
      </c>
      <c r="D8" s="3">
        <v>5</v>
      </c>
    </row>
    <row r="9" spans="1:11">
      <c r="A9" s="15" t="s">
        <v>643</v>
      </c>
      <c r="B9" t="s">
        <v>9</v>
      </c>
      <c r="C9" t="s">
        <v>12</v>
      </c>
      <c r="D9" s="3">
        <v>6</v>
      </c>
    </row>
    <row r="10" spans="1:11">
      <c r="A10" s="15" t="s">
        <v>4</v>
      </c>
      <c r="B10" t="s">
        <v>9</v>
      </c>
      <c r="C10" t="s">
        <v>13</v>
      </c>
      <c r="D10" s="3">
        <v>1</v>
      </c>
    </row>
    <row r="11" spans="1:11">
      <c r="A11" s="15" t="s">
        <v>640</v>
      </c>
      <c r="B11" t="s">
        <v>9</v>
      </c>
      <c r="C11" t="s">
        <v>13</v>
      </c>
      <c r="D11" s="3">
        <v>2</v>
      </c>
    </row>
    <row r="12" spans="1:11">
      <c r="A12" s="15" t="s">
        <v>5</v>
      </c>
      <c r="B12" t="s">
        <v>9</v>
      </c>
      <c r="C12" t="s">
        <v>13</v>
      </c>
      <c r="D12" s="3">
        <v>3</v>
      </c>
    </row>
    <row r="13" spans="1:11">
      <c r="A13" s="15" t="s">
        <v>6</v>
      </c>
      <c r="B13" t="s">
        <v>9</v>
      </c>
      <c r="C13" t="s">
        <v>13</v>
      </c>
      <c r="D13" s="3">
        <v>4</v>
      </c>
    </row>
    <row r="14" spans="1:11">
      <c r="A14" s="15" t="s">
        <v>7</v>
      </c>
      <c r="B14" t="s">
        <v>9</v>
      </c>
      <c r="C14" t="s">
        <v>13</v>
      </c>
      <c r="D14" s="3">
        <v>5</v>
      </c>
    </row>
    <row r="15" spans="1:11">
      <c r="A15" s="15" t="s">
        <v>641</v>
      </c>
      <c r="B15" s="4" t="s">
        <v>9</v>
      </c>
      <c r="C15" s="4" t="s">
        <v>13</v>
      </c>
      <c r="D15" s="5">
        <v>6</v>
      </c>
    </row>
    <row r="16" spans="1:11">
      <c r="A16" s="15" t="s">
        <v>225</v>
      </c>
      <c r="B16" s="6" t="s">
        <v>196</v>
      </c>
      <c r="C16" t="s">
        <v>12</v>
      </c>
      <c r="D16" s="3">
        <v>1</v>
      </c>
      <c r="E16" s="44">
        <v>5985.3737373699996</v>
      </c>
      <c r="F16" s="44">
        <v>4059.9797979800001</v>
      </c>
      <c r="G16" s="44">
        <v>12591.989899</v>
      </c>
      <c r="H16" s="44">
        <v>19060.676767699999</v>
      </c>
      <c r="I16" s="44">
        <v>0.64731574781000001</v>
      </c>
      <c r="J16" s="44">
        <v>0.52708057442099998</v>
      </c>
      <c r="K16" s="44">
        <v>0.20468717632899999</v>
      </c>
    </row>
    <row r="17" spans="1:11">
      <c r="A17" s="15" t="s">
        <v>226</v>
      </c>
      <c r="B17" s="6" t="s">
        <v>196</v>
      </c>
      <c r="C17" t="s">
        <v>12</v>
      </c>
      <c r="D17" s="3">
        <v>2</v>
      </c>
      <c r="E17" s="44">
        <v>5261.09</v>
      </c>
      <c r="F17" s="44">
        <v>2773.12</v>
      </c>
      <c r="G17" s="44">
        <v>12379.94</v>
      </c>
      <c r="H17" s="44">
        <v>19668.14</v>
      </c>
      <c r="I17" s="44">
        <v>0.749973754883</v>
      </c>
      <c r="J17" s="44">
        <v>0.60579341888399996</v>
      </c>
      <c r="K17" s="44">
        <v>0.22756340026899999</v>
      </c>
    </row>
    <row r="18" spans="1:11">
      <c r="A18" s="15" t="s">
        <v>227</v>
      </c>
      <c r="B18" s="6" t="s">
        <v>196</v>
      </c>
      <c r="C18" t="s">
        <v>12</v>
      </c>
      <c r="D18" s="3">
        <v>3</v>
      </c>
      <c r="E18" s="44">
        <v>4680.05940594</v>
      </c>
      <c r="F18" s="44">
        <v>3121.07920792</v>
      </c>
      <c r="G18" s="44">
        <v>12284.0792079</v>
      </c>
      <c r="H18" s="44">
        <v>18317.188118800001</v>
      </c>
      <c r="I18" s="44">
        <v>0.71862498368399996</v>
      </c>
      <c r="J18" s="44">
        <v>0.57132347031399999</v>
      </c>
      <c r="K18" s="44">
        <v>0.200040458453</v>
      </c>
    </row>
    <row r="19" spans="1:11">
      <c r="A19" s="15" t="s">
        <v>228</v>
      </c>
      <c r="B19" s="6" t="s">
        <v>196</v>
      </c>
      <c r="C19" t="s">
        <v>12</v>
      </c>
      <c r="D19" s="3">
        <v>4</v>
      </c>
      <c r="E19" s="44">
        <v>5194.2475247499997</v>
      </c>
      <c r="F19" s="44">
        <v>3711.91089109</v>
      </c>
      <c r="G19" s="44">
        <v>11751.7722772</v>
      </c>
      <c r="H19" s="44">
        <v>17180.613861400001</v>
      </c>
      <c r="I19" s="44">
        <v>0.65175870385500001</v>
      </c>
      <c r="J19" s="44">
        <v>0.51860186133099995</v>
      </c>
      <c r="K19" s="44">
        <v>0.18794112630400001</v>
      </c>
    </row>
    <row r="20" spans="1:11">
      <c r="A20" s="15" t="s">
        <v>229</v>
      </c>
      <c r="B20" s="6" t="s">
        <v>196</v>
      </c>
      <c r="C20" t="s">
        <v>12</v>
      </c>
      <c r="D20" s="3">
        <v>5</v>
      </c>
      <c r="E20" s="44">
        <v>2834.0776698999998</v>
      </c>
      <c r="F20" s="44">
        <v>2449.50485437</v>
      </c>
      <c r="G20" s="44">
        <v>5268.9611650500001</v>
      </c>
      <c r="H20" s="44">
        <v>7543.7961164999997</v>
      </c>
      <c r="I20" s="44">
        <v>0.51280730904899996</v>
      </c>
      <c r="J20" s="44">
        <v>0.329455440484</v>
      </c>
      <c r="K20" s="44">
        <v>0.18346649466199999</v>
      </c>
    </row>
    <row r="21" spans="1:11">
      <c r="A21" s="15" t="s">
        <v>230</v>
      </c>
      <c r="B21" s="6" t="s">
        <v>196</v>
      </c>
      <c r="C21" t="s">
        <v>12</v>
      </c>
      <c r="D21" s="3">
        <v>6</v>
      </c>
      <c r="E21" s="44">
        <v>8503.2277227699997</v>
      </c>
      <c r="F21" s="44">
        <v>4540.6930693100003</v>
      </c>
      <c r="G21" s="44">
        <v>17820.732673300001</v>
      </c>
      <c r="H21" s="44">
        <v>26471.475247499999</v>
      </c>
      <c r="I21" s="44">
        <v>0.70477181613999995</v>
      </c>
      <c r="J21" s="44">
        <v>0.60240762540600001</v>
      </c>
      <c r="K21" s="44">
        <v>0.194732571592</v>
      </c>
    </row>
    <row r="22" spans="1:11">
      <c r="A22" s="15" t="s">
        <v>231</v>
      </c>
      <c r="B22" s="6" t="s">
        <v>196</v>
      </c>
      <c r="C22" t="s">
        <v>13</v>
      </c>
      <c r="D22" s="3">
        <v>1</v>
      </c>
      <c r="E22" s="44">
        <v>4018.1287128700001</v>
      </c>
      <c r="F22" s="44">
        <v>3078.4752475199998</v>
      </c>
      <c r="G22" s="44">
        <v>8142.3069306899997</v>
      </c>
      <c r="H22" s="44">
        <v>10521.534653500001</v>
      </c>
      <c r="I22" s="44">
        <v>0.54649995105100002</v>
      </c>
      <c r="J22" s="44">
        <v>0.39359872647999999</v>
      </c>
      <c r="K22" s="44">
        <v>0.12820393024099999</v>
      </c>
    </row>
    <row r="23" spans="1:11">
      <c r="A23" s="15" t="s">
        <v>232</v>
      </c>
      <c r="B23" s="6" t="s">
        <v>196</v>
      </c>
      <c r="C23" t="s">
        <v>13</v>
      </c>
      <c r="D23" s="3">
        <v>2</v>
      </c>
      <c r="E23" s="44">
        <v>2701.5841584200002</v>
      </c>
      <c r="F23" s="44">
        <v>2209.97029703</v>
      </c>
      <c r="G23" s="44">
        <v>7855.7920792100003</v>
      </c>
      <c r="H23" s="44">
        <v>11271.4059406</v>
      </c>
      <c r="I23" s="44">
        <v>0.67134124453699995</v>
      </c>
      <c r="J23" s="44">
        <v>0.48310387488599998</v>
      </c>
      <c r="K23" s="44">
        <v>0.17875395670999999</v>
      </c>
    </row>
    <row r="24" spans="1:11">
      <c r="A24" s="15" t="s">
        <v>233</v>
      </c>
      <c r="B24" s="6" t="s">
        <v>196</v>
      </c>
      <c r="C24" t="s">
        <v>13</v>
      </c>
      <c r="D24" s="3">
        <v>3</v>
      </c>
      <c r="E24" s="44">
        <v>3411.87</v>
      </c>
      <c r="F24" s="44">
        <v>2431.36</v>
      </c>
      <c r="G24" s="44">
        <v>8142.56</v>
      </c>
      <c r="H24" s="44">
        <v>11140.92</v>
      </c>
      <c r="I24" s="44">
        <v>0.640768356323</v>
      </c>
      <c r="J24" s="44">
        <v>0.46129562377900002</v>
      </c>
      <c r="K24" s="44">
        <v>0.15612384796100001</v>
      </c>
    </row>
    <row r="25" spans="1:11">
      <c r="A25" s="15" t="s">
        <v>234</v>
      </c>
      <c r="B25" s="6" t="s">
        <v>196</v>
      </c>
      <c r="C25" t="s">
        <v>13</v>
      </c>
      <c r="D25" s="3">
        <v>4</v>
      </c>
      <c r="E25" s="44">
        <v>2636.5445544600002</v>
      </c>
      <c r="F25" s="44">
        <v>1674</v>
      </c>
      <c r="G25" s="44">
        <v>6242.8811881199999</v>
      </c>
      <c r="H25" s="44">
        <v>8040.7623762399999</v>
      </c>
      <c r="I25" s="44">
        <v>0.65584209177800001</v>
      </c>
      <c r="J25" s="44">
        <v>0.42273443996299997</v>
      </c>
      <c r="K25" s="44">
        <v>0.127918375601</v>
      </c>
    </row>
    <row r="26" spans="1:11">
      <c r="A26" s="15" t="s">
        <v>235</v>
      </c>
      <c r="B26" s="6" t="s">
        <v>196</v>
      </c>
      <c r="C26" t="s">
        <v>13</v>
      </c>
      <c r="D26" s="3">
        <v>5</v>
      </c>
      <c r="E26" s="44">
        <v>3088.02970297</v>
      </c>
      <c r="F26" s="44">
        <v>1933.35643564</v>
      </c>
      <c r="G26" s="44">
        <v>8694.3465346499997</v>
      </c>
      <c r="H26" s="44">
        <v>11738.9405941</v>
      </c>
      <c r="I26" s="44">
        <v>0.71696147352200001</v>
      </c>
      <c r="J26" s="44">
        <v>0.51510756086599996</v>
      </c>
      <c r="K26" s="44">
        <v>0.150468476928</v>
      </c>
    </row>
    <row r="27" spans="1:11">
      <c r="A27" s="16" t="s">
        <v>236</v>
      </c>
      <c r="B27" s="7" t="s">
        <v>196</v>
      </c>
      <c r="C27" s="4" t="s">
        <v>13</v>
      </c>
      <c r="D27" s="5">
        <v>6</v>
      </c>
      <c r="E27" s="44">
        <v>2693.2884615399998</v>
      </c>
      <c r="F27" s="44">
        <v>2064.4326923100002</v>
      </c>
      <c r="G27" s="44">
        <v>5758.3942307699999</v>
      </c>
      <c r="H27" s="44">
        <v>8214.1153846199995</v>
      </c>
      <c r="I27" s="44">
        <v>0.59767326941900001</v>
      </c>
      <c r="J27" s="44">
        <v>0.39426092001099999</v>
      </c>
      <c r="K27" s="44">
        <v>0.17680443250200001</v>
      </c>
    </row>
    <row r="28" spans="1:11">
      <c r="A28" s="17" t="s">
        <v>237</v>
      </c>
      <c r="B28" s="6" t="s">
        <v>197</v>
      </c>
      <c r="C28" t="s">
        <v>12</v>
      </c>
      <c r="D28" s="3">
        <v>1</v>
      </c>
      <c r="I28" s="44">
        <v>0.65672858142500001</v>
      </c>
    </row>
    <row r="29" spans="1:11">
      <c r="A29" s="17" t="s">
        <v>238</v>
      </c>
      <c r="B29" s="6" t="s">
        <v>197</v>
      </c>
      <c r="C29" t="s">
        <v>12</v>
      </c>
      <c r="D29" s="3">
        <v>2</v>
      </c>
      <c r="I29" s="44">
        <v>0.65289003708799997</v>
      </c>
    </row>
    <row r="30" spans="1:11">
      <c r="A30" s="17" t="s">
        <v>239</v>
      </c>
      <c r="B30" s="6" t="s">
        <v>197</v>
      </c>
      <c r="C30" t="s">
        <v>12</v>
      </c>
      <c r="D30" s="3">
        <v>3</v>
      </c>
      <c r="I30" s="44">
        <v>0.77346082728499999</v>
      </c>
    </row>
    <row r="31" spans="1:11">
      <c r="A31" s="17" t="s">
        <v>240</v>
      </c>
      <c r="B31" s="6" t="s">
        <v>197</v>
      </c>
      <c r="C31" t="s">
        <v>12</v>
      </c>
      <c r="D31" s="3">
        <v>4</v>
      </c>
      <c r="I31" s="44">
        <v>0.71187152792700004</v>
      </c>
    </row>
    <row r="32" spans="1:11">
      <c r="A32" s="17" t="s">
        <v>241</v>
      </c>
      <c r="B32" s="6" t="s">
        <v>197</v>
      </c>
      <c r="C32" t="s">
        <v>12</v>
      </c>
      <c r="D32" s="3">
        <v>5</v>
      </c>
      <c r="I32" s="44">
        <v>0.568588426378</v>
      </c>
    </row>
    <row r="33" spans="1:11">
      <c r="A33" s="17" t="s">
        <v>242</v>
      </c>
      <c r="B33" s="6" t="s">
        <v>197</v>
      </c>
      <c r="C33" t="s">
        <v>12</v>
      </c>
      <c r="D33" s="3">
        <v>6</v>
      </c>
      <c r="I33" s="44">
        <v>0.67500724373300003</v>
      </c>
    </row>
    <row r="34" spans="1:11">
      <c r="A34" s="17" t="s">
        <v>243</v>
      </c>
      <c r="B34" s="6" t="s">
        <v>197</v>
      </c>
      <c r="C34" t="s">
        <v>13</v>
      </c>
      <c r="D34" s="3">
        <v>1</v>
      </c>
      <c r="I34" s="44">
        <v>0.70402740029699995</v>
      </c>
    </row>
    <row r="35" spans="1:11">
      <c r="A35" s="17" t="s">
        <v>244</v>
      </c>
      <c r="B35" s="6" t="s">
        <v>197</v>
      </c>
      <c r="C35" t="s">
        <v>13</v>
      </c>
      <c r="D35" s="3">
        <v>2</v>
      </c>
      <c r="I35" s="44">
        <v>0.69802652238499996</v>
      </c>
    </row>
    <row r="36" spans="1:11">
      <c r="A36" s="17" t="s">
        <v>245</v>
      </c>
      <c r="B36" s="6" t="s">
        <v>197</v>
      </c>
      <c r="C36" t="s">
        <v>13</v>
      </c>
      <c r="D36" s="3">
        <v>3</v>
      </c>
      <c r="I36" s="44">
        <v>0.78306795987199995</v>
      </c>
    </row>
    <row r="37" spans="1:11">
      <c r="A37" s="17" t="s">
        <v>246</v>
      </c>
      <c r="B37" s="6" t="s">
        <v>197</v>
      </c>
      <c r="C37" t="s">
        <v>13</v>
      </c>
      <c r="D37" s="3">
        <v>4</v>
      </c>
      <c r="I37" s="44">
        <v>0.75756127885799995</v>
      </c>
    </row>
    <row r="38" spans="1:11">
      <c r="A38" s="17" t="s">
        <v>247</v>
      </c>
      <c r="B38" s="6" t="s">
        <v>197</v>
      </c>
      <c r="C38" t="s">
        <v>13</v>
      </c>
      <c r="D38" s="3">
        <v>5</v>
      </c>
      <c r="I38" s="44">
        <v>0.71386017976000005</v>
      </c>
    </row>
    <row r="39" spans="1:11">
      <c r="A39" s="16" t="s">
        <v>248</v>
      </c>
      <c r="B39" s="7" t="s">
        <v>197</v>
      </c>
      <c r="C39" s="4" t="s">
        <v>13</v>
      </c>
      <c r="D39" s="5">
        <v>6</v>
      </c>
      <c r="I39" s="44">
        <v>0.79565452293100003</v>
      </c>
    </row>
    <row r="40" spans="1:11">
      <c r="A40" s="17" t="s">
        <v>249</v>
      </c>
      <c r="B40" s="6" t="s">
        <v>198</v>
      </c>
      <c r="C40" t="s">
        <v>12</v>
      </c>
      <c r="D40" s="3">
        <v>1</v>
      </c>
      <c r="E40" s="44">
        <v>4638.6517857099998</v>
      </c>
      <c r="F40" s="44">
        <v>2927.7142857099998</v>
      </c>
      <c r="G40" s="44">
        <v>16274.9508929</v>
      </c>
      <c r="H40" s="44">
        <v>25815.2946429</v>
      </c>
      <c r="I40" s="44">
        <v>0.79660688127799995</v>
      </c>
      <c r="J40" s="44">
        <v>0.67269011906200005</v>
      </c>
      <c r="K40" s="44">
        <v>0.22792630536200001</v>
      </c>
    </row>
    <row r="41" spans="1:11">
      <c r="A41" s="17" t="s">
        <v>250</v>
      </c>
      <c r="B41" s="6" t="s">
        <v>198</v>
      </c>
      <c r="C41" t="s">
        <v>12</v>
      </c>
      <c r="D41" s="3">
        <v>2</v>
      </c>
      <c r="E41" s="44">
        <v>7198.7688888900002</v>
      </c>
      <c r="F41" s="44">
        <v>5824.2355555599997</v>
      </c>
      <c r="G41" s="44">
        <v>20420.333333300001</v>
      </c>
      <c r="H41" s="44">
        <v>31046.720000000001</v>
      </c>
      <c r="I41" s="44">
        <v>0.685835706923</v>
      </c>
      <c r="J41" s="44">
        <v>0.59882480197499999</v>
      </c>
      <c r="K41" s="44">
        <v>0.207960510254</v>
      </c>
    </row>
    <row r="42" spans="1:11">
      <c r="A42" s="17" t="s">
        <v>251</v>
      </c>
      <c r="B42" s="6" t="s">
        <v>198</v>
      </c>
      <c r="C42" t="s">
        <v>12</v>
      </c>
      <c r="D42" s="3">
        <v>3</v>
      </c>
      <c r="E42" s="44">
        <v>6270.9864864900001</v>
      </c>
      <c r="F42" s="44">
        <v>4140.5945945900003</v>
      </c>
      <c r="G42" s="44">
        <v>20446.486486500002</v>
      </c>
      <c r="H42" s="44">
        <v>32751.279279300001</v>
      </c>
      <c r="I42" s="44">
        <v>0.77748534056499996</v>
      </c>
      <c r="J42" s="44">
        <v>0.67848858532599998</v>
      </c>
      <c r="K42" s="44">
        <v>0.23303772522499999</v>
      </c>
    </row>
    <row r="43" spans="1:11">
      <c r="A43" s="17" t="s">
        <v>252</v>
      </c>
      <c r="B43" s="6" t="s">
        <v>198</v>
      </c>
      <c r="C43" t="s">
        <v>12</v>
      </c>
      <c r="D43" s="3">
        <v>4</v>
      </c>
      <c r="E43" s="44">
        <v>4702.7488789199997</v>
      </c>
      <c r="F43" s="44">
        <v>2996.7802690600001</v>
      </c>
      <c r="G43" s="44">
        <v>17186.304932700001</v>
      </c>
      <c r="H43" s="44">
        <v>27172.448430500001</v>
      </c>
      <c r="I43" s="44">
        <v>0.80014010715899997</v>
      </c>
      <c r="J43" s="44">
        <v>0.67798802670900005</v>
      </c>
      <c r="K43" s="44">
        <v>0.22733871391499999</v>
      </c>
    </row>
    <row r="44" spans="1:11">
      <c r="A44" s="17" t="s">
        <v>253</v>
      </c>
      <c r="B44" s="6" t="s">
        <v>198</v>
      </c>
      <c r="C44" t="s">
        <v>12</v>
      </c>
      <c r="D44" s="3">
        <v>5</v>
      </c>
      <c r="E44" s="44">
        <v>5923.8108108099996</v>
      </c>
      <c r="F44" s="44">
        <v>3696.17117117</v>
      </c>
      <c r="G44" s="44">
        <v>19880.968468499999</v>
      </c>
      <c r="H44" s="44">
        <v>32555.8018018</v>
      </c>
      <c r="I44" s="44">
        <v>0.78329069120399997</v>
      </c>
      <c r="J44" s="44">
        <v>0.67845394375099999</v>
      </c>
      <c r="K44" s="44">
        <v>0.240141172667</v>
      </c>
    </row>
    <row r="45" spans="1:11">
      <c r="A45" s="17" t="s">
        <v>254</v>
      </c>
      <c r="B45" s="6" t="s">
        <v>198</v>
      </c>
      <c r="C45" t="s">
        <v>12</v>
      </c>
      <c r="D45" s="3">
        <v>6</v>
      </c>
      <c r="E45" s="44">
        <v>5513.7882882900003</v>
      </c>
      <c r="F45" s="44">
        <v>4028.6036036</v>
      </c>
      <c r="G45" s="44">
        <v>18156.860360400002</v>
      </c>
      <c r="H45" s="44">
        <v>28349.8288288</v>
      </c>
      <c r="I45" s="44">
        <v>0.750648567268</v>
      </c>
      <c r="J45" s="44">
        <v>0.64506695721600005</v>
      </c>
      <c r="K45" s="44">
        <v>0.22007077878699999</v>
      </c>
    </row>
    <row r="46" spans="1:11">
      <c r="A46" s="17" t="s">
        <v>255</v>
      </c>
      <c r="B46" s="6" t="s">
        <v>198</v>
      </c>
      <c r="C46" t="s">
        <v>13</v>
      </c>
      <c r="D46" s="3">
        <v>1</v>
      </c>
      <c r="E46" s="44">
        <v>4367.8370044100002</v>
      </c>
      <c r="F46" s="44">
        <v>4000.2951541900002</v>
      </c>
      <c r="G46" s="44">
        <v>11772.4493392</v>
      </c>
      <c r="H46" s="44">
        <v>17658.193832600002</v>
      </c>
      <c r="I46" s="44">
        <v>0.62977687482800004</v>
      </c>
      <c r="J46" s="44">
        <v>0.50688991462599997</v>
      </c>
      <c r="K46" s="44">
        <v>0.200228871753</v>
      </c>
    </row>
    <row r="47" spans="1:11">
      <c r="A47" s="17" t="s">
        <v>256</v>
      </c>
      <c r="B47" s="6" t="s">
        <v>198</v>
      </c>
      <c r="C47" t="s">
        <v>13</v>
      </c>
      <c r="D47" s="3">
        <v>2</v>
      </c>
      <c r="E47" s="44">
        <v>5531.6919642900002</v>
      </c>
      <c r="F47" s="44">
        <v>5369.8303571400002</v>
      </c>
      <c r="G47" s="44">
        <v>11264.6026786</v>
      </c>
      <c r="H47" s="44">
        <v>16694.9196429</v>
      </c>
      <c r="I47" s="44">
        <v>0.50960404532299997</v>
      </c>
      <c r="J47" s="44">
        <v>0.41169878414700001</v>
      </c>
      <c r="K47" s="44">
        <v>0.19527842317300001</v>
      </c>
    </row>
    <row r="48" spans="1:11">
      <c r="A48" s="17" t="s">
        <v>257</v>
      </c>
      <c r="B48" s="6" t="s">
        <v>198</v>
      </c>
      <c r="C48" t="s">
        <v>13</v>
      </c>
      <c r="D48" s="3">
        <v>3</v>
      </c>
      <c r="E48" s="44">
        <v>4030.1371681400001</v>
      </c>
      <c r="F48" s="44">
        <v>4042.74336283</v>
      </c>
      <c r="G48" s="44">
        <v>10906.960177000001</v>
      </c>
      <c r="H48" s="44">
        <v>17523.194690299999</v>
      </c>
      <c r="I48" s="44">
        <v>0.62456796021600003</v>
      </c>
      <c r="J48" s="44">
        <v>0.50210783966899997</v>
      </c>
      <c r="K48" s="44">
        <v>0.233097852859</v>
      </c>
    </row>
    <row r="49" spans="1:11">
      <c r="A49" s="17" t="s">
        <v>258</v>
      </c>
      <c r="B49" s="6" t="s">
        <v>198</v>
      </c>
      <c r="C49" t="s">
        <v>13</v>
      </c>
      <c r="D49" s="3">
        <v>4</v>
      </c>
      <c r="E49" s="44">
        <v>4112.3982300899997</v>
      </c>
      <c r="F49" s="44">
        <v>2865.9115044199998</v>
      </c>
      <c r="G49" s="44">
        <v>15118.6504425</v>
      </c>
      <c r="H49" s="44">
        <v>24950.495575199999</v>
      </c>
      <c r="I49" s="44">
        <v>0.79377537280099997</v>
      </c>
      <c r="J49" s="44">
        <v>0.66742483493500004</v>
      </c>
      <c r="K49" s="44">
        <v>0.24555499996800001</v>
      </c>
    </row>
    <row r="50" spans="1:11">
      <c r="A50" s="17" t="s">
        <v>259</v>
      </c>
      <c r="B50" s="6" t="s">
        <v>198</v>
      </c>
      <c r="C50" t="s">
        <v>13</v>
      </c>
      <c r="D50" s="3">
        <v>5</v>
      </c>
      <c r="E50" s="44">
        <v>5549.1390134499998</v>
      </c>
      <c r="F50" s="44">
        <v>3573.0941704000002</v>
      </c>
      <c r="G50" s="44">
        <v>19118.573991000001</v>
      </c>
      <c r="H50" s="44">
        <v>30360.215246600001</v>
      </c>
      <c r="I50" s="44">
        <v>0.78738396477799999</v>
      </c>
      <c r="J50" s="44">
        <v>0.68151095950600005</v>
      </c>
      <c r="K50" s="44">
        <v>0.227127417321</v>
      </c>
    </row>
    <row r="51" spans="1:11">
      <c r="A51" s="16" t="s">
        <v>260</v>
      </c>
      <c r="B51" s="7" t="s">
        <v>198</v>
      </c>
      <c r="C51" s="4" t="s">
        <v>13</v>
      </c>
      <c r="D51" s="5">
        <v>6</v>
      </c>
      <c r="E51" s="44">
        <v>4816.00438596</v>
      </c>
      <c r="F51" s="44">
        <v>3592.7192982500001</v>
      </c>
      <c r="G51" s="44">
        <v>13684.9385965</v>
      </c>
      <c r="H51" s="44">
        <v>20348.9912281</v>
      </c>
      <c r="I51" s="44">
        <v>0.69954935709599997</v>
      </c>
      <c r="J51" s="44">
        <v>0.57264548853800001</v>
      </c>
      <c r="K51" s="44">
        <v>0.19584505181600001</v>
      </c>
    </row>
    <row r="52" spans="1:11">
      <c r="A52" s="17" t="s">
        <v>261</v>
      </c>
      <c r="B52" s="6" t="s">
        <v>548</v>
      </c>
      <c r="C52" t="s">
        <v>12</v>
      </c>
      <c r="D52" s="3">
        <v>1</v>
      </c>
      <c r="E52" s="44">
        <v>3671.90070922</v>
      </c>
      <c r="F52" s="44">
        <v>2682.95035461</v>
      </c>
      <c r="G52" s="44">
        <v>19853.758865200001</v>
      </c>
      <c r="H52" s="44">
        <v>22540.8297872</v>
      </c>
      <c r="I52" s="44">
        <v>0.78644458960100005</v>
      </c>
      <c r="J52" s="44">
        <v>0.65090909917299999</v>
      </c>
      <c r="K52" s="44">
        <v>6.33939715987E-2</v>
      </c>
    </row>
    <row r="53" spans="1:11">
      <c r="A53" s="17" t="s">
        <v>262</v>
      </c>
      <c r="B53" s="6" t="s">
        <v>548</v>
      </c>
      <c r="C53" t="s">
        <v>12</v>
      </c>
      <c r="D53" s="3">
        <v>2</v>
      </c>
      <c r="E53" s="44">
        <v>3698.1666666699998</v>
      </c>
      <c r="F53" s="44">
        <v>4754.6527777800002</v>
      </c>
      <c r="G53" s="44">
        <v>19265.166666699999</v>
      </c>
      <c r="H53" s="44">
        <v>21837.965277800002</v>
      </c>
      <c r="I53" s="44">
        <v>0.64243480894299998</v>
      </c>
      <c r="J53" s="44">
        <v>0.53650675879599996</v>
      </c>
      <c r="K53" s="44">
        <v>6.2486330668099999E-2</v>
      </c>
    </row>
    <row r="54" spans="1:11">
      <c r="A54" s="17" t="s">
        <v>263</v>
      </c>
      <c r="B54" s="6" t="s">
        <v>548</v>
      </c>
      <c r="C54" t="s">
        <v>12</v>
      </c>
      <c r="D54" s="3">
        <v>3</v>
      </c>
      <c r="E54" s="44">
        <v>3573.85314685</v>
      </c>
      <c r="F54" s="44">
        <v>3694.2377622399999</v>
      </c>
      <c r="G54" s="44">
        <v>20697.013986000002</v>
      </c>
      <c r="H54" s="44">
        <v>25153.706293700001</v>
      </c>
      <c r="I54" s="44">
        <v>0.74397491241699998</v>
      </c>
      <c r="J54" s="44">
        <v>0.62947061178599995</v>
      </c>
      <c r="K54" s="44">
        <v>9.7263829691400003E-2</v>
      </c>
    </row>
    <row r="55" spans="1:11">
      <c r="A55" s="17" t="s">
        <v>264</v>
      </c>
      <c r="B55" s="6" t="s">
        <v>548</v>
      </c>
      <c r="C55" t="s">
        <v>12</v>
      </c>
      <c r="D55" s="3">
        <v>4</v>
      </c>
      <c r="E55" s="44">
        <v>3717.0675675699999</v>
      </c>
      <c r="F55" s="44">
        <v>2366.87162162</v>
      </c>
      <c r="G55" s="44">
        <v>23345.6756757</v>
      </c>
      <c r="H55" s="44">
        <v>28303.418918899999</v>
      </c>
      <c r="I55" s="44">
        <v>0.845021943788</v>
      </c>
      <c r="J55" s="44">
        <v>0.72111758670299997</v>
      </c>
      <c r="K55" s="44">
        <v>9.5759662422E-2</v>
      </c>
    </row>
    <row r="56" spans="1:11">
      <c r="A56" s="17" t="s">
        <v>265</v>
      </c>
      <c r="B56" s="6" t="s">
        <v>548</v>
      </c>
      <c r="C56" t="s">
        <v>12</v>
      </c>
      <c r="D56" s="3">
        <v>5</v>
      </c>
      <c r="E56" s="44">
        <v>3394.4755244799999</v>
      </c>
      <c r="F56" s="44">
        <v>3512.62237762</v>
      </c>
      <c r="G56" s="44">
        <v>20079.8881119</v>
      </c>
      <c r="H56" s="44">
        <v>24925.069930099999</v>
      </c>
      <c r="I56" s="44">
        <v>0.75234638560900002</v>
      </c>
      <c r="J56" s="44">
        <v>0.635031319998</v>
      </c>
      <c r="K56" s="44">
        <v>0.107508719384</v>
      </c>
    </row>
    <row r="57" spans="1:11">
      <c r="A57" s="17" t="s">
        <v>266</v>
      </c>
      <c r="B57" s="6" t="s">
        <v>548</v>
      </c>
      <c r="C57" t="s">
        <v>12</v>
      </c>
      <c r="D57" s="3">
        <v>6</v>
      </c>
      <c r="E57" s="44">
        <v>5358.1180555600004</v>
      </c>
      <c r="F57" s="44">
        <v>3813.1458333300002</v>
      </c>
      <c r="G57" s="44">
        <v>26032.326388900001</v>
      </c>
      <c r="H57" s="44">
        <v>32863.381944399996</v>
      </c>
      <c r="I57" s="44">
        <v>0.79204061296299999</v>
      </c>
      <c r="J57" s="44">
        <v>0.69280407163799995</v>
      </c>
      <c r="K57" s="44">
        <v>0.116065926022</v>
      </c>
    </row>
    <row r="58" spans="1:11">
      <c r="A58" s="17" t="s">
        <v>267</v>
      </c>
      <c r="B58" s="6" t="s">
        <v>548</v>
      </c>
      <c r="C58" t="s">
        <v>13</v>
      </c>
      <c r="D58" s="3">
        <v>1</v>
      </c>
      <c r="E58" s="44">
        <v>3606.2676056300002</v>
      </c>
      <c r="F58" s="44">
        <v>4971.8169014100004</v>
      </c>
      <c r="G58" s="44">
        <v>14164.4366197</v>
      </c>
      <c r="H58" s="44">
        <v>14677.6830986</v>
      </c>
      <c r="I58" s="44">
        <v>0.49251663852700001</v>
      </c>
      <c r="J58" s="44">
        <v>0.38890629083299999</v>
      </c>
      <c r="K58" s="44">
        <v>1.77943202811E-2</v>
      </c>
    </row>
    <row r="59" spans="1:11">
      <c r="A59" s="17" t="s">
        <v>268</v>
      </c>
      <c r="B59" s="6" t="s">
        <v>548</v>
      </c>
      <c r="C59" t="s">
        <v>13</v>
      </c>
      <c r="D59" s="3">
        <v>2</v>
      </c>
      <c r="E59" s="44">
        <v>3611.1888111899998</v>
      </c>
      <c r="F59" s="44">
        <v>5408.4825174799998</v>
      </c>
      <c r="G59" s="44">
        <v>13586.4405594</v>
      </c>
      <c r="H59" s="44">
        <v>15484.335664300001</v>
      </c>
      <c r="I59" s="44">
        <v>0.48203186888799998</v>
      </c>
      <c r="J59" s="44">
        <v>0.385280529102</v>
      </c>
      <c r="K59" s="44">
        <v>6.5143925326700006E-2</v>
      </c>
    </row>
    <row r="60" spans="1:11">
      <c r="A60" s="17" t="s">
        <v>269</v>
      </c>
      <c r="B60" s="6" t="s">
        <v>548</v>
      </c>
      <c r="C60" t="s">
        <v>13</v>
      </c>
      <c r="D60" s="3">
        <v>3</v>
      </c>
      <c r="E60" s="44">
        <v>2662.3286713299999</v>
      </c>
      <c r="F60" s="44">
        <v>3630.7482517499998</v>
      </c>
      <c r="G60" s="44">
        <v>14413.7902098</v>
      </c>
      <c r="H60" s="44">
        <v>15729.433566399999</v>
      </c>
      <c r="I60" s="44">
        <v>0.62193639795300004</v>
      </c>
      <c r="J60" s="44">
        <v>0.48961388647999998</v>
      </c>
      <c r="K60" s="44">
        <v>4.3586617583200003E-2</v>
      </c>
    </row>
    <row r="61" spans="1:11">
      <c r="A61" s="17" t="s">
        <v>270</v>
      </c>
      <c r="B61" s="6" t="s">
        <v>548</v>
      </c>
      <c r="C61" t="s">
        <v>13</v>
      </c>
      <c r="D61" s="3">
        <v>4</v>
      </c>
      <c r="E61" s="44">
        <v>3110.88111888</v>
      </c>
      <c r="F61" s="44">
        <v>4074.8041957999999</v>
      </c>
      <c r="G61" s="44">
        <v>13483.594405600001</v>
      </c>
      <c r="H61" s="44">
        <v>14835.832167799999</v>
      </c>
      <c r="I61" s="44">
        <v>0.56805740036300001</v>
      </c>
      <c r="J61" s="44">
        <v>0.44468600933399999</v>
      </c>
      <c r="K61" s="44">
        <v>4.7512581298399997E-2</v>
      </c>
    </row>
    <row r="62" spans="1:11">
      <c r="A62" s="17" t="s">
        <v>271</v>
      </c>
      <c r="B62" s="6" t="s">
        <v>548</v>
      </c>
      <c r="C62" t="s">
        <v>13</v>
      </c>
      <c r="D62" s="3">
        <v>5</v>
      </c>
      <c r="E62" s="44">
        <v>3598.4930555599999</v>
      </c>
      <c r="F62" s="44">
        <v>5109.3263888900001</v>
      </c>
      <c r="G62" s="44">
        <v>14816.2777778</v>
      </c>
      <c r="H62" s="44">
        <v>17161.201388900001</v>
      </c>
      <c r="I62" s="44">
        <v>0.54083071814600003</v>
      </c>
      <c r="J62" s="44">
        <v>0.43761385811699999</v>
      </c>
      <c r="K62" s="44">
        <v>7.3431034882899995E-2</v>
      </c>
    </row>
    <row r="63" spans="1:11">
      <c r="A63" s="16" t="s">
        <v>272</v>
      </c>
      <c r="B63" s="7" t="s">
        <v>548</v>
      </c>
      <c r="C63" s="4" t="s">
        <v>13</v>
      </c>
      <c r="D63" s="5">
        <v>6</v>
      </c>
      <c r="E63" s="44">
        <v>2868.4557823099999</v>
      </c>
      <c r="F63" s="44">
        <v>3775.6530612199999</v>
      </c>
      <c r="G63" s="44">
        <v>12738.1564626</v>
      </c>
      <c r="H63" s="44">
        <v>14086.5306122</v>
      </c>
      <c r="I63" s="44">
        <v>0.57652614878999997</v>
      </c>
      <c r="J63" s="44">
        <v>0.44571421097699998</v>
      </c>
      <c r="K63" s="44">
        <v>5.0243513924700001E-2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U192"/>
  <sheetViews>
    <sheetView workbookViewId="0">
      <pane xSplit="5" ySplit="3" topLeftCell="U4" activePane="bottomRight" state="frozen"/>
      <selection pane="topRight" activeCell="F1" sqref="F1"/>
      <selection pane="bottomLeft" activeCell="A4" sqref="A4"/>
      <selection pane="bottomRight" activeCell="AD4" sqref="AD4"/>
    </sheetView>
  </sheetViews>
  <sheetFormatPr baseColWidth="10" defaultRowHeight="16"/>
  <cols>
    <col min="4" max="4" width="11.5" bestFit="1" customWidth="1"/>
    <col min="5" max="5" width="11.5" style="3" customWidth="1"/>
    <col min="6" max="6" width="10.83203125" style="8"/>
    <col min="7" max="7" width="12.33203125" style="94" bestFit="1" customWidth="1"/>
    <col min="8" max="8" width="10.83203125" style="3"/>
    <col min="9" max="11" width="10.83203125" style="8"/>
    <col min="12" max="12" width="10.83203125" style="36"/>
    <col min="13" max="14" width="10.83203125" style="8"/>
    <col min="15" max="15" width="18.5" style="8" bestFit="1" customWidth="1"/>
    <col min="16" max="16" width="10.83203125" style="3"/>
    <col min="17" max="17" width="15.5" style="51" customWidth="1"/>
    <col min="18" max="18" width="16" style="105" customWidth="1"/>
    <col min="19" max="19" width="16" style="51" bestFit="1" customWidth="1"/>
    <col min="20" max="20" width="12.1640625" style="51" bestFit="1" customWidth="1"/>
    <col min="21" max="21" width="16.83203125" style="51" bestFit="1" customWidth="1"/>
    <col min="22" max="22" width="12.1640625" style="51" bestFit="1" customWidth="1"/>
    <col min="23" max="23" width="10.83203125" style="51" bestFit="1" customWidth="1"/>
    <col min="24" max="24" width="11.6640625" style="51" bestFit="1" customWidth="1"/>
    <col min="25" max="25" width="9.5" style="51" bestFit="1" customWidth="1"/>
    <col min="26" max="26" width="12.1640625" style="105" customWidth="1"/>
    <col min="27" max="27" width="12.1640625" style="51" customWidth="1"/>
    <col min="28" max="28" width="10.83203125" style="8"/>
    <col min="30" max="30" width="10.83203125" style="6"/>
    <col min="31" max="31" width="12.5" style="59" customWidth="1"/>
    <col min="32" max="34" width="10.83203125" style="59"/>
    <col min="36" max="36" width="10.83203125" style="6"/>
    <col min="37" max="37" width="5.83203125" style="6" bestFit="1" customWidth="1"/>
    <col min="38" max="38" width="10.83203125" style="59"/>
    <col min="39" max="39" width="10.83203125" style="6"/>
    <col min="40" max="40" width="10.83203125" style="59"/>
    <col min="42" max="43" width="10.83203125" style="59"/>
    <col min="47" max="47" width="10.83203125" style="6"/>
  </cols>
  <sheetData>
    <row r="1" spans="1:47" ht="19">
      <c r="A1" s="19"/>
      <c r="B1" s="19"/>
      <c r="C1" s="19"/>
      <c r="D1" s="19"/>
      <c r="E1" s="21"/>
      <c r="F1" s="20" t="s">
        <v>463</v>
      </c>
      <c r="G1" s="90"/>
      <c r="H1" s="21"/>
      <c r="I1" s="20"/>
      <c r="J1" s="20"/>
      <c r="K1" s="20"/>
      <c r="L1" s="33"/>
      <c r="M1" s="20"/>
      <c r="N1" s="20"/>
      <c r="O1" s="20"/>
      <c r="P1" s="21"/>
      <c r="Q1" s="130"/>
      <c r="R1" s="131"/>
      <c r="S1" s="130"/>
      <c r="T1" s="130"/>
      <c r="U1" s="130"/>
      <c r="V1" s="130"/>
      <c r="W1" s="130"/>
      <c r="X1" s="130"/>
      <c r="Y1" s="130"/>
      <c r="Z1" s="131"/>
      <c r="AA1" s="130"/>
      <c r="AB1" s="20"/>
    </row>
    <row r="2" spans="1:47">
      <c r="A2" s="9"/>
      <c r="B2" s="9"/>
      <c r="C2" s="9"/>
      <c r="D2" s="9"/>
      <c r="E2" s="23"/>
      <c r="F2" s="18" t="s">
        <v>723</v>
      </c>
      <c r="G2" s="91"/>
      <c r="H2" s="23"/>
      <c r="I2" s="18" t="s">
        <v>724</v>
      </c>
      <c r="J2" s="22"/>
      <c r="K2" s="22"/>
      <c r="L2" s="34"/>
      <c r="M2" s="22"/>
      <c r="N2" s="22"/>
      <c r="O2" s="22"/>
      <c r="P2" s="23"/>
      <c r="Q2" s="132"/>
      <c r="R2" s="133"/>
      <c r="S2" t="s">
        <v>864</v>
      </c>
      <c r="T2" s="132"/>
      <c r="U2" s="132" t="s">
        <v>863</v>
      </c>
      <c r="V2" s="132"/>
      <c r="W2" s="132"/>
      <c r="X2" s="132"/>
      <c r="Y2" s="132"/>
      <c r="Z2" s="133"/>
      <c r="AA2" s="132" t="s">
        <v>1024</v>
      </c>
      <c r="AB2" s="22"/>
      <c r="AE2" s="134"/>
      <c r="AN2" s="134"/>
    </row>
    <row r="3" spans="1:47" s="9" customFormat="1">
      <c r="A3" s="1" t="s">
        <v>10</v>
      </c>
      <c r="B3" s="1" t="s">
        <v>8</v>
      </c>
      <c r="C3" s="1" t="s">
        <v>11</v>
      </c>
      <c r="D3" s="1" t="s">
        <v>212</v>
      </c>
      <c r="E3" s="2" t="s">
        <v>20</v>
      </c>
      <c r="F3" s="18" t="s">
        <v>464</v>
      </c>
      <c r="G3" s="92" t="s">
        <v>471</v>
      </c>
      <c r="H3" s="2" t="s">
        <v>375</v>
      </c>
      <c r="I3" s="18" t="s">
        <v>725</v>
      </c>
      <c r="J3" s="1" t="s">
        <v>726</v>
      </c>
      <c r="K3" s="1" t="s">
        <v>727</v>
      </c>
      <c r="L3" s="47" t="s">
        <v>851</v>
      </c>
      <c r="M3" s="1" t="s">
        <v>766</v>
      </c>
      <c r="N3" s="1" t="s">
        <v>765</v>
      </c>
      <c r="O3" s="106" t="s">
        <v>852</v>
      </c>
      <c r="P3" s="2" t="s">
        <v>375</v>
      </c>
      <c r="Q3" s="30" t="s">
        <v>849</v>
      </c>
      <c r="R3" s="139" t="s">
        <v>850</v>
      </c>
      <c r="S3" s="1" t="s">
        <v>861</v>
      </c>
      <c r="T3" s="1" t="s">
        <v>855</v>
      </c>
      <c r="U3" s="1" t="s">
        <v>862</v>
      </c>
      <c r="V3" s="1" t="s">
        <v>856</v>
      </c>
      <c r="W3" s="143" t="s">
        <v>857</v>
      </c>
      <c r="X3" s="143" t="s">
        <v>858</v>
      </c>
      <c r="Y3" s="61" t="s">
        <v>874</v>
      </c>
      <c r="Z3" s="108" t="s">
        <v>875</v>
      </c>
      <c r="AA3" s="108" t="s">
        <v>861</v>
      </c>
      <c r="AB3" s="143" t="s">
        <v>866</v>
      </c>
      <c r="AC3" s="61" t="s">
        <v>876</v>
      </c>
      <c r="AD3" s="108" t="s">
        <v>877</v>
      </c>
      <c r="AE3" s="134"/>
      <c r="AF3" s="134"/>
      <c r="AG3" s="134"/>
      <c r="AH3" s="134"/>
      <c r="AJ3" s="138" t="s">
        <v>822</v>
      </c>
      <c r="AK3" s="138" t="s">
        <v>865</v>
      </c>
      <c r="AL3" s="134" t="s">
        <v>867</v>
      </c>
      <c r="AM3" s="61" t="s">
        <v>871</v>
      </c>
      <c r="AN3" s="61"/>
      <c r="AO3" s="61" t="s">
        <v>821</v>
      </c>
      <c r="AP3" s="61"/>
      <c r="AQ3" s="144"/>
      <c r="AR3" s="61"/>
      <c r="AS3" s="61" t="s">
        <v>725</v>
      </c>
      <c r="AT3" s="61" t="s">
        <v>497</v>
      </c>
      <c r="AU3" s="145"/>
    </row>
    <row r="4" spans="1:47">
      <c r="A4" t="s">
        <v>0</v>
      </c>
      <c r="B4" t="s">
        <v>9</v>
      </c>
      <c r="C4" t="s">
        <v>12</v>
      </c>
      <c r="D4" s="8">
        <v>1</v>
      </c>
      <c r="E4">
        <v>5</v>
      </c>
      <c r="F4" s="26">
        <v>42776</v>
      </c>
      <c r="G4" s="93">
        <v>1</v>
      </c>
      <c r="I4">
        <v>5</v>
      </c>
      <c r="J4">
        <v>4</v>
      </c>
      <c r="K4"/>
      <c r="L4" s="44">
        <v>2.5</v>
      </c>
      <c r="M4">
        <v>0.28167908161620098</v>
      </c>
      <c r="N4">
        <v>0.20300000000000001</v>
      </c>
      <c r="O4">
        <f>M4/L4*5</f>
        <v>0.56335816323240195</v>
      </c>
      <c r="Q4" s="51">
        <f>'Olsen P ref'!$B$76*'Soil samples'!AI4%</f>
        <v>2.5919974088746045</v>
      </c>
      <c r="R4" s="105">
        <f>'Olsen P ref'!$B$76*'Soil samples'!AH4%</f>
        <v>2.4080025911253955</v>
      </c>
      <c r="S4" s="51">
        <f>IF(O4-'Olsen P ref'!$K$68&gt;0,O4-'Olsen P ref'!$K$68,0)</f>
        <v>0.36399833263208126</v>
      </c>
      <c r="T4" s="8">
        <f>S4/1000</f>
        <v>3.6399833263208126E-4</v>
      </c>
      <c r="U4" s="8">
        <f>(T4*50)/5</f>
        <v>3.6399833263208127E-3</v>
      </c>
      <c r="V4">
        <f>U4*('Olsen P ref'!$B$75+Q4)</f>
        <v>0.37343315998225157</v>
      </c>
      <c r="W4">
        <f>V4/R4</f>
        <v>0.15508004906577993</v>
      </c>
      <c r="X4" s="8">
        <f>W4*1000</f>
        <v>155.08004906577995</v>
      </c>
      <c r="Y4" s="51">
        <f>W4*'Soil samples'!AK4/100</f>
        <v>2.3966940207660884E-2</v>
      </c>
      <c r="Z4" s="105">
        <f>Y4*1000000/1000</f>
        <v>23.966940207660887</v>
      </c>
      <c r="AA4" s="51">
        <f>S4</f>
        <v>0.36399833263208126</v>
      </c>
      <c r="AB4">
        <f>X4</f>
        <v>155.08004906577995</v>
      </c>
      <c r="AC4">
        <f>(AB4/1000)*'Soil samples'!AR4/100</f>
        <v>2.3966940207660884E-2</v>
      </c>
      <c r="AD4" s="6">
        <f>AC4*1000000/1000</f>
        <v>23.966940207660887</v>
      </c>
      <c r="AE4" s="135"/>
      <c r="AF4" s="6"/>
      <c r="AG4" s="6"/>
      <c r="AH4" s="6"/>
      <c r="AJ4" s="137" t="s">
        <v>51</v>
      </c>
      <c r="AK4" s="6">
        <v>5</v>
      </c>
      <c r="AL4" s="59">
        <f>COUNT(X39,X43,X48,X51,X53)</f>
        <v>5</v>
      </c>
      <c r="AM4" s="59">
        <f>AVERAGE(X$39,X$43,X$48,X$51,X$53)</f>
        <v>217.76358228303496</v>
      </c>
      <c r="AO4">
        <f>IF(S4&lt;'Olsen P ref'!$K$72,1,0)</f>
        <v>0</v>
      </c>
      <c r="AS4" s="160" t="s">
        <v>986</v>
      </c>
      <c r="AT4" s="24">
        <v>42850</v>
      </c>
    </row>
    <row r="5" spans="1:47">
      <c r="A5" t="s">
        <v>1</v>
      </c>
      <c r="B5" t="s">
        <v>9</v>
      </c>
      <c r="C5" t="s">
        <v>12</v>
      </c>
      <c r="D5" s="8">
        <v>1</v>
      </c>
      <c r="E5">
        <v>20</v>
      </c>
      <c r="F5" s="26">
        <v>42776</v>
      </c>
      <c r="G5" s="93">
        <v>1</v>
      </c>
      <c r="I5">
        <v>5</v>
      </c>
      <c r="J5">
        <v>14</v>
      </c>
      <c r="K5"/>
      <c r="L5" s="44">
        <v>2.5</v>
      </c>
      <c r="M5">
        <v>0.50559962593918295</v>
      </c>
      <c r="N5">
        <v>0.36299999999999999</v>
      </c>
      <c r="O5">
        <f>M5/L5*5</f>
        <v>1.0111992518783659</v>
      </c>
      <c r="Q5" s="51">
        <f>'Olsen P ref'!$B$76*'Soil samples'!AI5%</f>
        <v>1.7655199683669438</v>
      </c>
      <c r="R5" s="105">
        <f>'Olsen P ref'!$B$76*'Soil samples'!AH5%</f>
        <v>3.2344800316330562</v>
      </c>
      <c r="S5" s="51">
        <f>IF(O5-'Olsen P ref'!$K$68&gt;0,O5-'Olsen P ref'!$K$68,0)</f>
        <v>0.8118394212780452</v>
      </c>
      <c r="T5" s="8">
        <f t="shared" ref="T5:T68" si="0">S5/1000</f>
        <v>8.1183942127804518E-4</v>
      </c>
      <c r="U5" s="8">
        <f t="shared" ref="U5:U68" si="1">(T5*50)/5</f>
        <v>8.1183942127804505E-3</v>
      </c>
      <c r="V5">
        <f>U5*('Olsen P ref'!$B$75+Q5)</f>
        <v>0.82617260837178363</v>
      </c>
      <c r="W5">
        <f t="shared" ref="W5:W7" si="2">V5/R5</f>
        <v>0.25542671473988277</v>
      </c>
      <c r="X5" s="8">
        <f t="shared" ref="X5:X68" si="3">W5*1000</f>
        <v>255.42671473988275</v>
      </c>
      <c r="Y5" s="51">
        <f>W5*'Soil samples'!AK5/100</f>
        <v>0.13701246537237652</v>
      </c>
      <c r="Z5" s="105">
        <f t="shared" ref="Z5:Z68" si="4">Y5*1000000/1000</f>
        <v>137.01246537237651</v>
      </c>
      <c r="AA5" s="51">
        <f t="shared" ref="AA5:AA68" si="5">S5</f>
        <v>0.8118394212780452</v>
      </c>
      <c r="AB5">
        <f t="shared" ref="AB5:AB68" si="6">X5</f>
        <v>255.42671473988275</v>
      </c>
      <c r="AC5">
        <f>(AB5/1000)*'Soil samples'!AR5/100</f>
        <v>0.13701246537237652</v>
      </c>
      <c r="AD5" s="6">
        <f t="shared" ref="AD5:AD68" si="7">AC5*1000000/1000</f>
        <v>137.01246537237651</v>
      </c>
      <c r="AE5" s="135"/>
      <c r="AF5" s="6"/>
      <c r="AG5" s="6"/>
      <c r="AH5" s="6"/>
      <c r="AJ5" s="137" t="s">
        <v>63</v>
      </c>
      <c r="AK5" s="6">
        <v>5</v>
      </c>
      <c r="AL5" s="59">
        <f>COUNT(X56,X68,X69,X73)</f>
        <v>4</v>
      </c>
      <c r="AM5" s="6">
        <f>AVERAGE(X$56,X$68,X$69,X$73)</f>
        <v>106.96777931588228</v>
      </c>
      <c r="AO5">
        <f>IF(S5&lt;'Olsen P ref'!$K$72,1,0)</f>
        <v>0</v>
      </c>
      <c r="AS5" s="160" t="s">
        <v>987</v>
      </c>
      <c r="AT5" s="24">
        <v>42851</v>
      </c>
    </row>
    <row r="6" spans="1:47">
      <c r="A6" t="s">
        <v>2</v>
      </c>
      <c r="B6" t="s">
        <v>9</v>
      </c>
      <c r="C6" t="s">
        <v>12</v>
      </c>
      <c r="D6" s="8">
        <v>1</v>
      </c>
      <c r="E6">
        <v>30</v>
      </c>
      <c r="F6" s="26">
        <v>42776</v>
      </c>
      <c r="G6" s="93">
        <v>1</v>
      </c>
      <c r="I6">
        <v>6</v>
      </c>
      <c r="J6">
        <v>7</v>
      </c>
      <c r="K6"/>
      <c r="L6" s="44">
        <v>2.5</v>
      </c>
      <c r="M6">
        <v>0.60916287768856203</v>
      </c>
      <c r="N6">
        <v>0.437</v>
      </c>
      <c r="O6">
        <f>M6/L6*5</f>
        <v>1.2183257553771241</v>
      </c>
      <c r="Q6" s="51">
        <f>'Olsen P ref'!$B$76*'Soil samples'!AI6%</f>
        <v>1.69014438979492</v>
      </c>
      <c r="R6" s="105">
        <f>'Olsen P ref'!$B$76*'Soil samples'!AH6%</f>
        <v>3.30985561020508</v>
      </c>
      <c r="S6" s="51">
        <f>IF(O6-'Olsen P ref'!$K$68&gt;0,O6-'Olsen P ref'!$K$68,0)</f>
        <v>1.0189659247768035</v>
      </c>
      <c r="T6" s="8">
        <f t="shared" si="0"/>
        <v>1.0189659247768035E-3</v>
      </c>
      <c r="U6" s="8">
        <f t="shared" si="1"/>
        <v>1.0189659247768035E-2</v>
      </c>
      <c r="V6">
        <f>U6*('Olsen P ref'!$B$75+Q6)</f>
        <v>1.0361879201883406</v>
      </c>
      <c r="W6">
        <f t="shared" si="2"/>
        <v>0.31306136648182609</v>
      </c>
      <c r="X6" s="8">
        <f t="shared" si="3"/>
        <v>313.0613664818261</v>
      </c>
      <c r="Y6" s="51">
        <f>W6*'Soil samples'!AK6/100</f>
        <v>0.21156884954405539</v>
      </c>
      <c r="Z6" s="105">
        <f t="shared" si="4"/>
        <v>211.56884954405538</v>
      </c>
      <c r="AA6" s="51">
        <f t="shared" si="5"/>
        <v>1.0189659247768035</v>
      </c>
      <c r="AB6">
        <f t="shared" si="6"/>
        <v>313.0613664818261</v>
      </c>
      <c r="AC6">
        <f>(AB6/1000)*'Soil samples'!AR6/100</f>
        <v>0.21156884954405539</v>
      </c>
      <c r="AD6" s="6">
        <f t="shared" si="7"/>
        <v>211.56884954405538</v>
      </c>
      <c r="AE6" s="135"/>
      <c r="AF6" s="6"/>
      <c r="AG6" s="6"/>
      <c r="AH6" s="6"/>
      <c r="AJ6" s="137" t="s">
        <v>66</v>
      </c>
      <c r="AK6" s="6">
        <v>5</v>
      </c>
      <c r="AL6" s="59">
        <f>COUNT(X56,X68,X69,X73)</f>
        <v>4</v>
      </c>
      <c r="AM6" s="6">
        <f>AVERAGE(X$56,X$68,X$69,X$73)</f>
        <v>106.96777931588228</v>
      </c>
      <c r="AO6">
        <f>IF(S6&lt;'Olsen P ref'!$K$72,1,0)</f>
        <v>0</v>
      </c>
      <c r="AS6" s="160" t="s">
        <v>988</v>
      </c>
      <c r="AT6" s="24">
        <v>42858</v>
      </c>
    </row>
    <row r="7" spans="1:47">
      <c r="A7" t="s">
        <v>3</v>
      </c>
      <c r="B7" t="s">
        <v>9</v>
      </c>
      <c r="C7" t="s">
        <v>12</v>
      </c>
      <c r="D7" s="8">
        <v>2</v>
      </c>
      <c r="E7">
        <v>5</v>
      </c>
      <c r="F7" s="26">
        <v>42795</v>
      </c>
      <c r="G7" s="94">
        <v>1</v>
      </c>
      <c r="I7">
        <v>1</v>
      </c>
      <c r="J7">
        <v>5</v>
      </c>
      <c r="K7"/>
      <c r="L7" s="44">
        <v>5</v>
      </c>
      <c r="M7">
        <v>0.61322419767479497</v>
      </c>
      <c r="N7">
        <v>0.436</v>
      </c>
      <c r="O7">
        <f>M7/L7*5</f>
        <v>0.61322419767479497</v>
      </c>
      <c r="Q7" s="51">
        <f>'Olsen P ref'!$B$76*'Soil samples'!AI7%</f>
        <v>2.8295173687498303</v>
      </c>
      <c r="R7" s="105">
        <f>'Olsen P ref'!$B$76*'Soil samples'!AH7%</f>
        <v>2.1704826312501697</v>
      </c>
      <c r="S7" s="51">
        <f>IF(O7-'Olsen P ref'!$K$68&gt;0,O7-'Olsen P ref'!$K$68,0)</f>
        <v>0.41386436707447427</v>
      </c>
      <c r="T7" s="8">
        <f t="shared" si="0"/>
        <v>4.1386436707447429E-4</v>
      </c>
      <c r="U7" s="8">
        <f t="shared" si="1"/>
        <v>4.1386436707447427E-3</v>
      </c>
      <c r="V7">
        <f>U7*('Olsen P ref'!$B$75+Q7)</f>
        <v>0.42557473122391309</v>
      </c>
      <c r="W7">
        <f t="shared" si="2"/>
        <v>0.19607377875158927</v>
      </c>
      <c r="X7" s="8">
        <f t="shared" si="3"/>
        <v>196.07377875158926</v>
      </c>
      <c r="Y7" s="51">
        <f>W7*'Soil samples'!AK7/100</f>
        <v>2.7500639131689271E-2</v>
      </c>
      <c r="Z7" s="105">
        <f t="shared" si="4"/>
        <v>27.500639131689269</v>
      </c>
      <c r="AA7" s="51">
        <f t="shared" si="5"/>
        <v>0.41386436707447427</v>
      </c>
      <c r="AB7">
        <f t="shared" si="6"/>
        <v>196.07377875158926</v>
      </c>
      <c r="AC7">
        <f>(AB7/1000)*'Soil samples'!AR7/100</f>
        <v>2.7500639131689271E-2</v>
      </c>
      <c r="AD7" s="6">
        <f t="shared" si="7"/>
        <v>27.500639131689269</v>
      </c>
      <c r="AE7" s="135"/>
      <c r="AF7" s="6"/>
      <c r="AG7" s="6"/>
      <c r="AH7" s="6"/>
      <c r="AJ7" s="111" t="s">
        <v>101</v>
      </c>
      <c r="AK7" s="6">
        <v>5</v>
      </c>
      <c r="AL7" s="59">
        <f>COUNT(X100,X104,X112)</f>
        <v>3</v>
      </c>
      <c r="AM7" s="6">
        <f>AVERAGE(X$100,X$104,X$112)</f>
        <v>80.12641690671785</v>
      </c>
      <c r="AO7">
        <f>IF(S7&lt;'Olsen P ref'!$K$72,1,0)</f>
        <v>0</v>
      </c>
      <c r="AS7" s="160"/>
    </row>
    <row r="8" spans="1:47">
      <c r="A8" t="s">
        <v>21</v>
      </c>
      <c r="B8" t="s">
        <v>9</v>
      </c>
      <c r="C8" t="s">
        <v>12</v>
      </c>
      <c r="D8" s="8">
        <v>2</v>
      </c>
      <c r="E8">
        <v>20</v>
      </c>
      <c r="F8" s="26">
        <v>42795</v>
      </c>
      <c r="G8" s="94">
        <v>1</v>
      </c>
      <c r="I8">
        <v>1</v>
      </c>
      <c r="J8">
        <v>9</v>
      </c>
      <c r="K8"/>
      <c r="L8" s="44">
        <v>5</v>
      </c>
      <c r="M8">
        <v>0.81983062923022099</v>
      </c>
      <c r="N8">
        <v>0.58299999999999996</v>
      </c>
      <c r="O8">
        <f t="shared" ref="O8:O18" si="8">M8/L8*5</f>
        <v>0.81983062923022099</v>
      </c>
      <c r="Q8" s="51">
        <f>'Olsen P ref'!$B$76*'Soil samples'!AI8%</f>
        <v>2.3025478916291697</v>
      </c>
      <c r="R8" s="105">
        <f>'Olsen P ref'!$B$76*'Soil samples'!AH8%</f>
        <v>2.6974521083708303</v>
      </c>
      <c r="S8" s="51">
        <f>IF(O8-'Olsen P ref'!$K$68&gt;0,O8-'Olsen P ref'!$K$68,0)</f>
        <v>0.62047079862990029</v>
      </c>
      <c r="T8" s="8">
        <f t="shared" si="0"/>
        <v>6.204707986299003E-4</v>
      </c>
      <c r="U8" s="8">
        <f t="shared" si="1"/>
        <v>6.2047079862990028E-3</v>
      </c>
      <c r="V8">
        <f>U8*('Olsen P ref'!$B$75+Q8)</f>
        <v>0.63475743592192779</v>
      </c>
      <c r="W8">
        <f t="shared" ref="W8:W71" si="9">V8/R8</f>
        <v>0.2353174071013627</v>
      </c>
      <c r="X8" s="8">
        <f t="shared" si="3"/>
        <v>235.3174071013627</v>
      </c>
      <c r="Y8" s="51">
        <f>W8*'Soil samples'!AK8/100</f>
        <v>9.5112054198541685E-2</v>
      </c>
      <c r="Z8" s="105">
        <f t="shared" si="4"/>
        <v>95.112054198541685</v>
      </c>
      <c r="AA8" s="51">
        <f t="shared" si="5"/>
        <v>0.62047079862990029</v>
      </c>
      <c r="AB8">
        <f t="shared" si="6"/>
        <v>235.3174071013627</v>
      </c>
      <c r="AC8">
        <f>(AB8/1000)*'Soil samples'!AR8/100</f>
        <v>9.5112054198541685E-2</v>
      </c>
      <c r="AD8" s="6">
        <f t="shared" si="7"/>
        <v>95.112054198541685</v>
      </c>
      <c r="AE8" s="135"/>
      <c r="AF8" s="6"/>
      <c r="AG8" s="6"/>
      <c r="AH8" s="6"/>
      <c r="AJ8" s="111" t="s">
        <v>112</v>
      </c>
      <c r="AK8" s="6">
        <v>5</v>
      </c>
      <c r="AL8" s="59">
        <f>COUNT(X100,X104,X112)</f>
        <v>3</v>
      </c>
      <c r="AM8" s="6">
        <f>AVERAGE(X$100,X$104,X$112)</f>
        <v>80.12641690671785</v>
      </c>
      <c r="AO8">
        <f>IF(S8&lt;'Olsen P ref'!$K$72,1,0)</f>
        <v>0</v>
      </c>
      <c r="AS8" s="160"/>
    </row>
    <row r="9" spans="1:47">
      <c r="A9" t="s">
        <v>22</v>
      </c>
      <c r="B9" t="s">
        <v>9</v>
      </c>
      <c r="C9" t="s">
        <v>12</v>
      </c>
      <c r="D9" s="8">
        <v>2</v>
      </c>
      <c r="E9">
        <v>30</v>
      </c>
      <c r="F9" s="26">
        <v>42795</v>
      </c>
      <c r="G9" s="94">
        <v>1</v>
      </c>
      <c r="I9">
        <v>1</v>
      </c>
      <c r="J9">
        <v>16</v>
      </c>
      <c r="K9"/>
      <c r="L9" s="44">
        <v>5</v>
      </c>
      <c r="M9">
        <v>0.97302859548560505</v>
      </c>
      <c r="N9">
        <v>0.69199999999999995</v>
      </c>
      <c r="O9">
        <f t="shared" si="8"/>
        <v>0.97302859548560505</v>
      </c>
      <c r="Q9" s="51">
        <f>'Olsen P ref'!$B$76*'Soil samples'!AI9%</f>
        <v>1.9278251669642266</v>
      </c>
      <c r="R9" s="105">
        <f>'Olsen P ref'!$B$76*'Soil samples'!AH9%</f>
        <v>3.0721748330357732</v>
      </c>
      <c r="S9" s="51">
        <f>IF(O9-'Olsen P ref'!$K$68&gt;0,O9-'Olsen P ref'!$K$68,0)</f>
        <v>0.77366876488528435</v>
      </c>
      <c r="T9" s="8">
        <f t="shared" si="0"/>
        <v>7.7366876488528438E-4</v>
      </c>
      <c r="U9" s="8">
        <f t="shared" si="1"/>
        <v>7.7366876488528438E-3</v>
      </c>
      <c r="V9">
        <f>U9*('Olsen P ref'!$B$75+Q9)</f>
        <v>0.7885837460436842</v>
      </c>
      <c r="W9">
        <f t="shared" si="9"/>
        <v>0.2566858297138136</v>
      </c>
      <c r="X9" s="8">
        <f t="shared" si="3"/>
        <v>256.68582971381358</v>
      </c>
      <c r="Y9" s="51">
        <f>W9*'Soil samples'!AK9/100</f>
        <v>0.1653029248456771</v>
      </c>
      <c r="Z9" s="105">
        <f t="shared" si="4"/>
        <v>165.3029248456771</v>
      </c>
      <c r="AA9" s="51">
        <f t="shared" si="5"/>
        <v>0.77366876488528435</v>
      </c>
      <c r="AB9">
        <f t="shared" si="6"/>
        <v>256.68582971381358</v>
      </c>
      <c r="AC9">
        <f>(AB9/1000)*'Soil samples'!AR9/100</f>
        <v>0.1653029248456771</v>
      </c>
      <c r="AD9" s="6">
        <f t="shared" si="7"/>
        <v>165.3029248456771</v>
      </c>
      <c r="AE9" s="135"/>
      <c r="AF9" s="6"/>
      <c r="AG9" s="6"/>
      <c r="AH9" s="6"/>
      <c r="AJ9" s="111" t="s">
        <v>120</v>
      </c>
      <c r="AK9" s="6">
        <v>5</v>
      </c>
      <c r="AL9" s="59">
        <f>COUNT(X100,X104,X112)</f>
        <v>3</v>
      </c>
      <c r="AM9" s="6">
        <f>AVERAGE(X$100,X$104,X$112)</f>
        <v>80.12641690671785</v>
      </c>
      <c r="AO9">
        <f>IF(S9&lt;'Olsen P ref'!$K$72,1,0)</f>
        <v>0</v>
      </c>
    </row>
    <row r="10" spans="1:47">
      <c r="A10" t="s">
        <v>23</v>
      </c>
      <c r="B10" t="s">
        <v>9</v>
      </c>
      <c r="C10" t="s">
        <v>12</v>
      </c>
      <c r="D10" s="8">
        <v>3</v>
      </c>
      <c r="E10">
        <v>5</v>
      </c>
      <c r="F10" s="26">
        <v>42760</v>
      </c>
      <c r="G10" s="94">
        <v>2</v>
      </c>
      <c r="H10" s="3" t="s">
        <v>511</v>
      </c>
      <c r="I10">
        <v>7</v>
      </c>
      <c r="J10">
        <v>15</v>
      </c>
      <c r="K10"/>
      <c r="L10" s="44">
        <v>2.5</v>
      </c>
      <c r="M10">
        <v>0.36844829254135603</v>
      </c>
      <c r="N10">
        <v>0.26500000000000001</v>
      </c>
      <c r="O10">
        <f t="shared" si="8"/>
        <v>0.73689658508271205</v>
      </c>
      <c r="Q10" s="51">
        <f>'Olsen P ref'!$B$76*'Soil samples'!AI10%</f>
        <v>2.5734340552457531</v>
      </c>
      <c r="R10" s="105">
        <f>'Olsen P ref'!$B$76*'Soil samples'!AH10%</f>
        <v>2.4265659447542474</v>
      </c>
      <c r="S10" s="51">
        <f>IF(O10-'Olsen P ref'!$K$68&gt;0,O10-'Olsen P ref'!$K$68,0)</f>
        <v>0.53753675448239135</v>
      </c>
      <c r="T10" s="8">
        <f t="shared" si="0"/>
        <v>5.375367544823913E-4</v>
      </c>
      <c r="U10" s="8">
        <f t="shared" si="1"/>
        <v>5.3753675448239124E-3</v>
      </c>
      <c r="V10">
        <f>U10*('Olsen P ref'!$B$75+Q10)</f>
        <v>0.55136990838170385</v>
      </c>
      <c r="W10">
        <f t="shared" si="9"/>
        <v>0.22722230548634206</v>
      </c>
      <c r="X10" s="8">
        <f t="shared" si="3"/>
        <v>227.22230548634207</v>
      </c>
      <c r="Y10" s="51">
        <f>W10*'Soil samples'!AK10/100</f>
        <v>4.9777675328700213E-2</v>
      </c>
      <c r="Z10" s="105">
        <f t="shared" si="4"/>
        <v>49.777675328700212</v>
      </c>
      <c r="AA10" s="51">
        <f t="shared" si="5"/>
        <v>0.53753675448239135</v>
      </c>
      <c r="AB10">
        <f t="shared" si="6"/>
        <v>227.22230548634207</v>
      </c>
      <c r="AC10">
        <f>(AB10/1000)*'Soil samples'!AR10/100</f>
        <v>4.9777675328700213E-2</v>
      </c>
      <c r="AD10" s="6">
        <f t="shared" si="7"/>
        <v>49.777675328700212</v>
      </c>
      <c r="AE10" s="135"/>
      <c r="AF10" s="6"/>
      <c r="AG10" s="6"/>
      <c r="AH10" s="6"/>
      <c r="AJ10" s="136" t="s">
        <v>127</v>
      </c>
      <c r="AK10" s="6">
        <v>5</v>
      </c>
      <c r="AL10" s="59">
        <f>COUNT(X119)</f>
        <v>1</v>
      </c>
      <c r="AM10" s="6">
        <f>AVERAGE(X$119)</f>
        <v>165.64000584608323</v>
      </c>
      <c r="AO10">
        <f>IF(S10&lt;'Olsen P ref'!$K$72,1,0)</f>
        <v>0</v>
      </c>
    </row>
    <row r="11" spans="1:47">
      <c r="A11" t="s">
        <v>14</v>
      </c>
      <c r="B11" t="s">
        <v>9</v>
      </c>
      <c r="C11" t="s">
        <v>12</v>
      </c>
      <c r="D11" s="8">
        <v>3</v>
      </c>
      <c r="E11">
        <v>20</v>
      </c>
      <c r="F11" s="26">
        <v>42760</v>
      </c>
      <c r="G11" s="94">
        <v>2</v>
      </c>
      <c r="H11" s="3" t="s">
        <v>511</v>
      </c>
      <c r="I11">
        <v>7</v>
      </c>
      <c r="J11">
        <v>8</v>
      </c>
      <c r="K11"/>
      <c r="L11" s="44">
        <v>2.5</v>
      </c>
      <c r="M11">
        <v>0.69593208861371803</v>
      </c>
      <c r="N11">
        <v>0.499</v>
      </c>
      <c r="O11">
        <f t="shared" si="8"/>
        <v>1.3918641772274358</v>
      </c>
      <c r="Q11" s="51">
        <f>'Olsen P ref'!$B$76*'Soil samples'!AI11%</f>
        <v>2.0231310494141623</v>
      </c>
      <c r="R11" s="105">
        <f>'Olsen P ref'!$B$76*'Soil samples'!AH11%</f>
        <v>2.9768689505858377</v>
      </c>
      <c r="S11" s="51">
        <f>IF(O11-'Olsen P ref'!$K$68&gt;0,O11-'Olsen P ref'!$K$68,0)</f>
        <v>1.1925043466271152</v>
      </c>
      <c r="T11" s="8">
        <f t="shared" si="0"/>
        <v>1.1925043466271153E-3</v>
      </c>
      <c r="U11" s="8">
        <f t="shared" si="1"/>
        <v>1.1925043466271153E-2</v>
      </c>
      <c r="V11">
        <f>U11*('Olsen P ref'!$B$75+Q11)</f>
        <v>1.2166302723293421</v>
      </c>
      <c r="W11">
        <f t="shared" si="9"/>
        <v>0.40869460245803341</v>
      </c>
      <c r="X11" s="8">
        <f t="shared" si="3"/>
        <v>408.69460245803339</v>
      </c>
      <c r="Y11" s="51">
        <f>W11*'Soil samples'!AK11/100</f>
        <v>0.19157060268097822</v>
      </c>
      <c r="Z11" s="105">
        <f t="shared" si="4"/>
        <v>191.57060268097823</v>
      </c>
      <c r="AA11" s="51">
        <f t="shared" si="5"/>
        <v>1.1925043466271152</v>
      </c>
      <c r="AB11">
        <f t="shared" si="6"/>
        <v>408.69460245803339</v>
      </c>
      <c r="AC11">
        <f>(AB11/1000)*'Soil samples'!AR11/100</f>
        <v>0.19157060268097822</v>
      </c>
      <c r="AD11" s="6">
        <f t="shared" si="7"/>
        <v>191.57060268097823</v>
      </c>
      <c r="AE11" s="135"/>
      <c r="AF11" s="6"/>
      <c r="AG11" s="6"/>
      <c r="AH11" s="6"/>
      <c r="AJ11" s="136" t="s">
        <v>578</v>
      </c>
      <c r="AK11" s="6">
        <v>5</v>
      </c>
      <c r="AL11" s="59">
        <f>COUNT(X119)</f>
        <v>1</v>
      </c>
      <c r="AM11" s="6">
        <f>AVERAGE(X$119)</f>
        <v>165.64000584608323</v>
      </c>
      <c r="AO11">
        <f>IF(S11&lt;'Olsen P ref'!$K$72,1,0)</f>
        <v>0</v>
      </c>
    </row>
    <row r="12" spans="1:47">
      <c r="A12" t="s">
        <v>15</v>
      </c>
      <c r="B12" t="s">
        <v>9</v>
      </c>
      <c r="C12" t="s">
        <v>12</v>
      </c>
      <c r="D12" s="8">
        <v>3</v>
      </c>
      <c r="E12">
        <v>30</v>
      </c>
      <c r="F12" s="26">
        <v>42760</v>
      </c>
      <c r="G12" s="94">
        <v>2</v>
      </c>
      <c r="H12" s="3" t="s">
        <v>511</v>
      </c>
      <c r="I12">
        <v>7</v>
      </c>
      <c r="J12">
        <v>4</v>
      </c>
      <c r="K12"/>
      <c r="L12" s="44">
        <v>2.5</v>
      </c>
      <c r="M12">
        <v>0.70013059881977402</v>
      </c>
      <c r="N12">
        <v>0.502</v>
      </c>
      <c r="O12">
        <f t="shared" si="8"/>
        <v>1.4002611976395478</v>
      </c>
      <c r="Q12" s="51">
        <f>'Olsen P ref'!$B$76*'Soil samples'!AI12%</f>
        <v>2.0217320343494203</v>
      </c>
      <c r="R12" s="105">
        <f>'Olsen P ref'!$B$76*'Soil samples'!AH12%</f>
        <v>2.9782679656505802</v>
      </c>
      <c r="S12" s="51">
        <f>IF(O12-'Olsen P ref'!$K$68&gt;0,O12-'Olsen P ref'!$K$68,0)</f>
        <v>1.2009013670392272</v>
      </c>
      <c r="T12" s="8">
        <f t="shared" si="0"/>
        <v>1.2009013670392272E-3</v>
      </c>
      <c r="U12" s="8">
        <f t="shared" si="1"/>
        <v>1.2009013670392272E-2</v>
      </c>
      <c r="V12">
        <f>U12*('Olsen P ref'!$B$75+Q12)</f>
        <v>1.2251803746775993</v>
      </c>
      <c r="W12">
        <f t="shared" si="9"/>
        <v>0.41137345222392302</v>
      </c>
      <c r="X12" s="8">
        <f t="shared" si="3"/>
        <v>411.37345222392304</v>
      </c>
      <c r="Y12" s="51">
        <f>W12*'Soil samples'!AK12/100</f>
        <v>0.21974835200217421</v>
      </c>
      <c r="Z12" s="105">
        <f t="shared" si="4"/>
        <v>219.74835200217422</v>
      </c>
      <c r="AA12" s="51">
        <f t="shared" si="5"/>
        <v>1.2009013670392272</v>
      </c>
      <c r="AB12">
        <f t="shared" si="6"/>
        <v>411.37345222392304</v>
      </c>
      <c r="AC12">
        <f>(AB12/1000)*'Soil samples'!AR12/100</f>
        <v>0.21974835200217421</v>
      </c>
      <c r="AD12" s="6">
        <f t="shared" si="7"/>
        <v>219.74835200217422</v>
      </c>
      <c r="AE12" s="135"/>
      <c r="AF12" s="6"/>
      <c r="AG12" s="6"/>
      <c r="AH12" s="6"/>
      <c r="AJ12" s="136" t="s">
        <v>128</v>
      </c>
      <c r="AK12" s="6">
        <v>5</v>
      </c>
      <c r="AL12" s="59">
        <f>COUNT(X119)</f>
        <v>1</v>
      </c>
      <c r="AM12" s="6">
        <f>AVERAGE(X$119)</f>
        <v>165.64000584608323</v>
      </c>
      <c r="AO12">
        <f>IF(S12&lt;'Olsen P ref'!$K$72,1,0)</f>
        <v>0</v>
      </c>
    </row>
    <row r="13" spans="1:47">
      <c r="A13" t="s">
        <v>16</v>
      </c>
      <c r="B13" t="s">
        <v>9</v>
      </c>
      <c r="C13" t="s">
        <v>12</v>
      </c>
      <c r="D13" s="8">
        <v>4</v>
      </c>
      <c r="E13">
        <v>5</v>
      </c>
      <c r="F13" s="26">
        <v>42794</v>
      </c>
      <c r="G13" s="93">
        <v>1</v>
      </c>
      <c r="I13">
        <v>6</v>
      </c>
      <c r="J13">
        <v>18</v>
      </c>
      <c r="K13"/>
      <c r="L13" s="44">
        <v>2.5</v>
      </c>
      <c r="M13">
        <v>0.66374351036728896</v>
      </c>
      <c r="N13">
        <v>0.47599999999999998</v>
      </c>
      <c r="O13">
        <f t="shared" si="8"/>
        <v>1.3274870207345779</v>
      </c>
      <c r="Q13" s="51">
        <f>'Olsen P ref'!$B$76*'Soil samples'!AI13%</f>
        <v>0.98598598598598597</v>
      </c>
      <c r="R13" s="105">
        <f>'Olsen P ref'!$B$76*'Soil samples'!AH13%</f>
        <v>4.0140140140140144</v>
      </c>
      <c r="S13" s="51">
        <f>IF(O13-'Olsen P ref'!$K$68&gt;0,O13-'Olsen P ref'!$K$68,0)</f>
        <v>1.1281271901342573</v>
      </c>
      <c r="T13" s="8">
        <f t="shared" si="0"/>
        <v>1.1281271901342573E-3</v>
      </c>
      <c r="U13" s="8">
        <f t="shared" si="1"/>
        <v>1.1281271901342574E-2</v>
      </c>
      <c r="V13">
        <f>U13*('Olsen P ref'!$B$75+Q13)</f>
        <v>1.1392503661330788</v>
      </c>
      <c r="W13">
        <f t="shared" si="9"/>
        <v>0.28381823335834055</v>
      </c>
      <c r="X13" s="8">
        <f t="shared" si="3"/>
        <v>283.81823335834054</v>
      </c>
      <c r="Y13" s="51">
        <f>W13*'Soil samples'!AK13/100</f>
        <v>0.15111016856389153</v>
      </c>
      <c r="Z13" s="105">
        <f t="shared" si="4"/>
        <v>151.11016856389153</v>
      </c>
      <c r="AA13" s="51">
        <f t="shared" si="5"/>
        <v>1.1281271901342573</v>
      </c>
      <c r="AB13">
        <f t="shared" si="6"/>
        <v>283.81823335834054</v>
      </c>
      <c r="AC13">
        <f>(AB13/1000)*'Soil samples'!AR13/100</f>
        <v>0.15111016856389153</v>
      </c>
      <c r="AD13" s="6">
        <f t="shared" si="7"/>
        <v>151.11016856389153</v>
      </c>
      <c r="AE13" s="135"/>
      <c r="AF13" s="6"/>
      <c r="AG13" s="6"/>
      <c r="AH13" s="6"/>
      <c r="AJ13" s="136" t="s">
        <v>132</v>
      </c>
      <c r="AK13" s="6">
        <v>5</v>
      </c>
      <c r="AL13" s="59">
        <f>COUNT(X119)</f>
        <v>1</v>
      </c>
      <c r="AM13" s="6">
        <f>AVERAGE(X$119)</f>
        <v>165.64000584608323</v>
      </c>
      <c r="AO13">
        <f>IF(S13&lt;'Olsen P ref'!$K$72,1,0)</f>
        <v>0</v>
      </c>
    </row>
    <row r="14" spans="1:47">
      <c r="A14" t="s">
        <v>24</v>
      </c>
      <c r="B14" t="s">
        <v>9</v>
      </c>
      <c r="C14" t="s">
        <v>12</v>
      </c>
      <c r="D14" s="8">
        <v>4</v>
      </c>
      <c r="E14">
        <v>20</v>
      </c>
      <c r="F14" s="26">
        <v>42794</v>
      </c>
      <c r="G14" s="93">
        <v>2</v>
      </c>
      <c r="H14" s="3" t="s">
        <v>685</v>
      </c>
      <c r="I14">
        <v>2</v>
      </c>
      <c r="J14">
        <v>18</v>
      </c>
      <c r="K14"/>
      <c r="L14" s="44">
        <v>2.5</v>
      </c>
      <c r="M14">
        <v>0.75939473428543702</v>
      </c>
      <c r="N14">
        <v>0.54</v>
      </c>
      <c r="O14">
        <f t="shared" si="8"/>
        <v>1.518789468570874</v>
      </c>
      <c r="Q14" s="51">
        <f>'Olsen P ref'!$B$76*'Soil samples'!AI14%</f>
        <v>0.96120938328101957</v>
      </c>
      <c r="R14" s="105">
        <f>'Olsen P ref'!$B$76*'Soil samples'!AH14%</f>
        <v>4.0387906167189804</v>
      </c>
      <c r="S14" s="51">
        <f>IF(O14-'Olsen P ref'!$K$68&gt;0,O14-'Olsen P ref'!$K$68,0)</f>
        <v>1.3194296379705535</v>
      </c>
      <c r="T14" s="8">
        <f t="shared" si="0"/>
        <v>1.3194296379705536E-3</v>
      </c>
      <c r="U14" s="8">
        <f t="shared" si="1"/>
        <v>1.3194296379705536E-2</v>
      </c>
      <c r="V14">
        <f>U14*('Olsen P ref'!$B$75+Q14)</f>
        <v>1.3321121194565173</v>
      </c>
      <c r="W14">
        <f t="shared" si="9"/>
        <v>0.32982945784366863</v>
      </c>
      <c r="X14" s="8">
        <f t="shared" si="3"/>
        <v>329.82945784366865</v>
      </c>
      <c r="Y14" s="51">
        <f>W14*'Soil samples'!AK14/100</f>
        <v>0.19933725755547324</v>
      </c>
      <c r="Z14" s="105">
        <f t="shared" si="4"/>
        <v>199.33725755547326</v>
      </c>
      <c r="AA14" s="51">
        <f t="shared" si="5"/>
        <v>1.3194296379705535</v>
      </c>
      <c r="AB14">
        <f t="shared" si="6"/>
        <v>329.82945784366865</v>
      </c>
      <c r="AC14">
        <f>(AB14/1000)*'Soil samples'!AR14/100</f>
        <v>0.19933725755547324</v>
      </c>
      <c r="AD14" s="6">
        <f t="shared" si="7"/>
        <v>199.33725755547326</v>
      </c>
      <c r="AE14" s="135"/>
      <c r="AF14" s="6"/>
      <c r="AG14" s="6"/>
      <c r="AH14" s="6"/>
      <c r="AJ14" s="136" t="s">
        <v>135</v>
      </c>
      <c r="AK14" s="6">
        <v>5</v>
      </c>
      <c r="AL14" s="59">
        <f>COUNT(X119)</f>
        <v>1</v>
      </c>
      <c r="AM14" s="6">
        <f>AVERAGE(X$119)</f>
        <v>165.64000584608323</v>
      </c>
      <c r="AO14">
        <f>IF(S14&lt;'Olsen P ref'!$K$72,1,0)</f>
        <v>0</v>
      </c>
    </row>
    <row r="15" spans="1:47">
      <c r="A15" t="s">
        <v>25</v>
      </c>
      <c r="B15" t="s">
        <v>9</v>
      </c>
      <c r="C15" t="s">
        <v>12</v>
      </c>
      <c r="D15" s="8">
        <v>4</v>
      </c>
      <c r="E15">
        <v>30</v>
      </c>
      <c r="F15" s="26">
        <v>42794</v>
      </c>
      <c r="G15" s="94">
        <v>2</v>
      </c>
      <c r="H15" s="3" t="s">
        <v>685</v>
      </c>
      <c r="I15">
        <v>2</v>
      </c>
      <c r="J15">
        <v>3</v>
      </c>
      <c r="K15"/>
      <c r="L15" s="44">
        <v>2.5</v>
      </c>
      <c r="M15">
        <v>0.62165711324848605</v>
      </c>
      <c r="N15">
        <v>0.442</v>
      </c>
      <c r="O15">
        <f t="shared" si="8"/>
        <v>1.2433142264969721</v>
      </c>
      <c r="Q15" s="51">
        <f>'Olsen P ref'!$B$76*'Soil samples'!AI15%</f>
        <v>1.3432104913678622</v>
      </c>
      <c r="R15" s="105">
        <f>'Olsen P ref'!$B$76*'Soil samples'!AH15%</f>
        <v>3.656789508632138</v>
      </c>
      <c r="S15" s="51">
        <f>IF(O15-'Olsen P ref'!$K$68&gt;0,O15-'Olsen P ref'!$K$68,0)</f>
        <v>1.0439543958966515</v>
      </c>
      <c r="T15" s="8">
        <f t="shared" si="0"/>
        <v>1.0439543958966515E-3</v>
      </c>
      <c r="U15" s="8">
        <f>(T15*50)/5</f>
        <v>1.0439543958966516E-2</v>
      </c>
      <c r="V15">
        <f>U15*('Olsen P ref'!$B$75+Q15)</f>
        <v>1.0579769008674313</v>
      </c>
      <c r="W15">
        <f t="shared" si="9"/>
        <v>0.28931851241915729</v>
      </c>
      <c r="X15" s="8">
        <f t="shared" si="3"/>
        <v>289.31851241915729</v>
      </c>
      <c r="Y15" s="51">
        <f>W15*'Soil samples'!AK15/100</f>
        <v>0.12029197362862698</v>
      </c>
      <c r="Z15" s="105">
        <f t="shared" si="4"/>
        <v>120.29197362862698</v>
      </c>
      <c r="AA15" s="51">
        <f t="shared" si="5"/>
        <v>1.0439543958966515</v>
      </c>
      <c r="AB15">
        <f t="shared" si="6"/>
        <v>289.31851241915729</v>
      </c>
      <c r="AC15">
        <f>(AB15/1000)*'Soil samples'!AR15/100</f>
        <v>0.12029197362862698</v>
      </c>
      <c r="AD15" s="6">
        <f t="shared" si="7"/>
        <v>120.29197362862698</v>
      </c>
      <c r="AE15" s="135"/>
      <c r="AF15" s="6"/>
      <c r="AG15" s="6"/>
      <c r="AH15" s="6"/>
      <c r="AJ15" s="137" t="s">
        <v>145</v>
      </c>
      <c r="AK15" s="6">
        <v>5</v>
      </c>
      <c r="AL15" s="59">
        <f>COUNT(X136,X138,X141,X148)</f>
        <v>4</v>
      </c>
      <c r="AM15" s="6">
        <f>AVERAGE(X$136,X$138,X$141,X$148)</f>
        <v>177.30708801236358</v>
      </c>
      <c r="AO15">
        <f>IF(S15&lt;'Olsen P ref'!$K$72,1,0)</f>
        <v>0</v>
      </c>
    </row>
    <row r="16" spans="1:47">
      <c r="A16" t="s">
        <v>26</v>
      </c>
      <c r="B16" t="s">
        <v>9</v>
      </c>
      <c r="C16" t="s">
        <v>12</v>
      </c>
      <c r="D16" s="8">
        <v>5</v>
      </c>
      <c r="E16">
        <v>5</v>
      </c>
      <c r="F16" s="26">
        <v>42798</v>
      </c>
      <c r="G16" s="94">
        <v>1</v>
      </c>
      <c r="I16">
        <v>2</v>
      </c>
      <c r="J16">
        <v>20</v>
      </c>
      <c r="K16"/>
      <c r="L16" s="44">
        <v>2.5</v>
      </c>
      <c r="M16">
        <v>0.80577576994073596</v>
      </c>
      <c r="N16">
        <v>0.57299999999999995</v>
      </c>
      <c r="O16">
        <f t="shared" si="8"/>
        <v>1.6115515398814719</v>
      </c>
      <c r="Q16" s="51">
        <f>'Olsen P ref'!$B$76*'Soil samples'!AI16%</f>
        <v>1.1956679749963663</v>
      </c>
      <c r="R16" s="105">
        <f>'Olsen P ref'!$B$76*'Soil samples'!AH16%</f>
        <v>3.8043320250036339</v>
      </c>
      <c r="S16" s="51">
        <f>IF(O16-'Olsen P ref'!$K$68&gt;0,O16-'Olsen P ref'!$K$68,0)</f>
        <v>1.4121917092811513</v>
      </c>
      <c r="T16" s="8">
        <f t="shared" si="0"/>
        <v>1.4121917092811513E-3</v>
      </c>
      <c r="U16" s="8">
        <f t="shared" si="1"/>
        <v>1.4121917092811515E-2</v>
      </c>
      <c r="V16">
        <f>U16*('Olsen P ref'!$B$75+Q16)</f>
        <v>1.42907683329458</v>
      </c>
      <c r="W16">
        <f t="shared" si="9"/>
        <v>0.37564461353585848</v>
      </c>
      <c r="X16" s="8">
        <f t="shared" si="3"/>
        <v>375.64461353585847</v>
      </c>
      <c r="Y16" s="51">
        <f>W16*'Soil samples'!AK16/100</f>
        <v>9.3661695654126728E-2</v>
      </c>
      <c r="Z16" s="105">
        <f t="shared" si="4"/>
        <v>93.661695654126731</v>
      </c>
      <c r="AA16" s="51">
        <f t="shared" si="5"/>
        <v>1.4121917092811513</v>
      </c>
      <c r="AB16">
        <f t="shared" si="6"/>
        <v>375.64461353585847</v>
      </c>
      <c r="AC16">
        <f>(AB16/1000)*'Soil samples'!AR16/100</f>
        <v>9.3661695654126728E-2</v>
      </c>
      <c r="AD16" s="6">
        <f t="shared" si="7"/>
        <v>93.661695654126731</v>
      </c>
      <c r="AE16" s="135"/>
      <c r="AF16" s="6"/>
      <c r="AG16" s="6"/>
      <c r="AH16" s="6"/>
      <c r="AJ16" s="137" t="s">
        <v>147</v>
      </c>
      <c r="AK16" s="6">
        <v>5</v>
      </c>
      <c r="AL16" s="59">
        <f>COUNT(X136,X138,X141,X148)</f>
        <v>4</v>
      </c>
      <c r="AM16" s="6">
        <f>AVERAGE(X$136,X$138,X$141,X$148)</f>
        <v>177.30708801236358</v>
      </c>
      <c r="AO16">
        <f>IF(S16&lt;'Olsen P ref'!$K$72,1,0)</f>
        <v>0</v>
      </c>
    </row>
    <row r="17" spans="1:47">
      <c r="A17" t="s">
        <v>27</v>
      </c>
      <c r="B17" t="s">
        <v>9</v>
      </c>
      <c r="C17" t="s">
        <v>12</v>
      </c>
      <c r="D17" s="8">
        <v>5</v>
      </c>
      <c r="E17">
        <v>20</v>
      </c>
      <c r="F17" s="26">
        <v>42798</v>
      </c>
      <c r="G17" s="94">
        <v>1</v>
      </c>
      <c r="I17">
        <v>2</v>
      </c>
      <c r="J17">
        <v>15</v>
      </c>
      <c r="K17"/>
      <c r="L17" s="44">
        <v>2.5</v>
      </c>
      <c r="M17">
        <v>0.88869943974869703</v>
      </c>
      <c r="N17">
        <v>0.63200000000000001</v>
      </c>
      <c r="O17">
        <f t="shared" si="8"/>
        <v>1.7773988794973941</v>
      </c>
      <c r="Q17" s="51">
        <f>'Olsen P ref'!$B$76*'Soil samples'!AI17%</f>
        <v>1.5064278650697729</v>
      </c>
      <c r="R17" s="105">
        <f>'Olsen P ref'!$B$76*'Soil samples'!AH17%</f>
        <v>3.4935721349302269</v>
      </c>
      <c r="S17" s="51">
        <f>IF(O17-'Olsen P ref'!$K$68&gt;0,O17-'Olsen P ref'!$K$68,0)</f>
        <v>1.5780390488970735</v>
      </c>
      <c r="T17" s="8">
        <f t="shared" si="0"/>
        <v>1.5780390488970735E-3</v>
      </c>
      <c r="U17" s="8">
        <f t="shared" si="1"/>
        <v>1.5780390488970737E-2</v>
      </c>
      <c r="V17">
        <f>U17*('Olsen P ref'!$B$75+Q17)</f>
        <v>1.6018110688513412</v>
      </c>
      <c r="W17">
        <f t="shared" si="9"/>
        <v>0.45850236004453715</v>
      </c>
      <c r="X17" s="8">
        <f t="shared" si="3"/>
        <v>458.50236004453717</v>
      </c>
      <c r="Y17" s="51">
        <f>W17*'Soil samples'!AK17/100</f>
        <v>0.20391054906477568</v>
      </c>
      <c r="Z17" s="105">
        <f t="shared" si="4"/>
        <v>203.91054906477567</v>
      </c>
      <c r="AA17" s="51">
        <f t="shared" si="5"/>
        <v>1.5780390488970735</v>
      </c>
      <c r="AB17">
        <f t="shared" si="6"/>
        <v>458.50236004453717</v>
      </c>
      <c r="AC17">
        <f>(AB17/1000)*'Soil samples'!AR17/100</f>
        <v>0.20391054906477568</v>
      </c>
      <c r="AD17" s="6">
        <f t="shared" si="7"/>
        <v>203.91054906477567</v>
      </c>
      <c r="AE17" s="135"/>
      <c r="AF17" s="6"/>
      <c r="AG17" s="6"/>
      <c r="AH17" s="6"/>
      <c r="AJ17" s="137" t="s">
        <v>148</v>
      </c>
      <c r="AK17" s="6">
        <v>10</v>
      </c>
      <c r="AL17" s="59">
        <f>COUNT(X137,X139,X143,X149)</f>
        <v>4</v>
      </c>
      <c r="AM17" s="6">
        <f>AVERAGE(X$137,X$139,X$143,X$149)</f>
        <v>123.86348263518551</v>
      </c>
      <c r="AO17">
        <f>IF(S17&lt;'Olsen P ref'!$K$72,1,0)</f>
        <v>0</v>
      </c>
    </row>
    <row r="18" spans="1:47">
      <c r="A18" t="s">
        <v>28</v>
      </c>
      <c r="B18" t="s">
        <v>9</v>
      </c>
      <c r="C18" t="s">
        <v>12</v>
      </c>
      <c r="D18" s="8">
        <v>5</v>
      </c>
      <c r="E18">
        <v>30</v>
      </c>
      <c r="F18" s="26">
        <v>42798</v>
      </c>
      <c r="G18" s="94">
        <v>1</v>
      </c>
      <c r="I18">
        <v>8</v>
      </c>
      <c r="J18">
        <v>3</v>
      </c>
      <c r="K18"/>
      <c r="L18" s="44">
        <v>1.25</v>
      </c>
      <c r="M18">
        <v>0.61056238109058103</v>
      </c>
      <c r="N18">
        <v>0.438</v>
      </c>
      <c r="O18">
        <f t="shared" si="8"/>
        <v>2.4422495243623241</v>
      </c>
      <c r="P18" s="3" t="s">
        <v>761</v>
      </c>
      <c r="Q18" s="51">
        <f>'Olsen P ref'!$B$76*'Soil samples'!AI18%</f>
        <v>1.2155861745630716</v>
      </c>
      <c r="R18" s="105">
        <f>'Olsen P ref'!$B$76*'Soil samples'!AH18%</f>
        <v>3.7844138254369284</v>
      </c>
      <c r="S18" s="51">
        <f>IF(O18-'Olsen P ref'!$K$68&gt;0,O18-'Olsen P ref'!$K$68,0)</f>
        <v>2.2428896937620033</v>
      </c>
      <c r="T18" s="8">
        <f t="shared" si="0"/>
        <v>2.2428896937620032E-3</v>
      </c>
      <c r="U18" s="8">
        <f t="shared" si="1"/>
        <v>2.2428896937620034E-2</v>
      </c>
      <c r="V18">
        <f>U18*('Olsen P ref'!$B$75+Q18)</f>
        <v>2.2701539507900743</v>
      </c>
      <c r="W18">
        <f t="shared" si="9"/>
        <v>0.59986937356883119</v>
      </c>
      <c r="X18" s="8">
        <f t="shared" si="3"/>
        <v>599.86937356883118</v>
      </c>
      <c r="Y18" s="51">
        <f>W18*'Soil samples'!AK18/100</f>
        <v>0.35300893934785654</v>
      </c>
      <c r="Z18" s="105">
        <f t="shared" si="4"/>
        <v>353.00893934785654</v>
      </c>
      <c r="AA18" s="51">
        <f t="shared" si="5"/>
        <v>2.2428896937620033</v>
      </c>
      <c r="AB18">
        <f t="shared" si="6"/>
        <v>599.86937356883118</v>
      </c>
      <c r="AC18">
        <f>(AB18/1000)*'Soil samples'!AR18/100</f>
        <v>0.35300893934785654</v>
      </c>
      <c r="AD18" s="6">
        <f t="shared" si="7"/>
        <v>353.00893934785654</v>
      </c>
      <c r="AE18" s="135"/>
      <c r="AF18" s="6"/>
      <c r="AG18" s="6"/>
      <c r="AH18" s="6"/>
      <c r="AJ18" s="136" t="s">
        <v>154</v>
      </c>
      <c r="AK18" s="6">
        <v>5</v>
      </c>
      <c r="AL18" s="59">
        <f>COUNT(X163)</f>
        <v>1</v>
      </c>
      <c r="AM18" s="6">
        <f>AVERAGE(X$163)</f>
        <v>234.6041625781871</v>
      </c>
      <c r="AO18">
        <f>IF(S18&lt;'Olsen P ref'!$K$72,1,0)</f>
        <v>0</v>
      </c>
    </row>
    <row r="19" spans="1:47">
      <c r="A19" t="s">
        <v>17</v>
      </c>
      <c r="B19" t="s">
        <v>9</v>
      </c>
      <c r="C19" t="s">
        <v>12</v>
      </c>
      <c r="D19" s="8">
        <v>6</v>
      </c>
      <c r="E19">
        <v>5</v>
      </c>
      <c r="F19" s="26">
        <v>42760</v>
      </c>
      <c r="G19" s="94">
        <v>2</v>
      </c>
      <c r="H19" s="3" t="s">
        <v>511</v>
      </c>
      <c r="I19">
        <v>10</v>
      </c>
      <c r="J19">
        <v>5</v>
      </c>
      <c r="K19"/>
      <c r="L19" s="44">
        <v>2.5</v>
      </c>
      <c r="M19">
        <v>0.86766389012526202</v>
      </c>
      <c r="N19">
        <v>0.627</v>
      </c>
      <c r="O19">
        <f>M19/L19*5</f>
        <v>1.735327780250524</v>
      </c>
      <c r="Q19" s="51">
        <f>'Olsen P ref'!$B$76*'Soil samples'!AI19%</f>
        <v>0.89832556048772216</v>
      </c>
      <c r="R19" s="105">
        <f>'Olsen P ref'!$B$76*'Soil samples'!AH19%</f>
        <v>4.1016744395122782</v>
      </c>
      <c r="S19" s="51">
        <f>IF(O19-'Olsen P ref'!$K$68&gt;0,O19-'Olsen P ref'!$K$68,0)</f>
        <v>1.5359679496502034</v>
      </c>
      <c r="T19" s="8">
        <f t="shared" si="0"/>
        <v>1.5359679496502034E-3</v>
      </c>
      <c r="U19" s="8">
        <f t="shared" si="1"/>
        <v>1.5359679496502035E-2</v>
      </c>
      <c r="V19">
        <f>U19*('Olsen P ref'!$B$75+Q19)</f>
        <v>1.5497659423428105</v>
      </c>
      <c r="W19">
        <f t="shared" si="9"/>
        <v>0.37783738451145576</v>
      </c>
      <c r="X19" s="8">
        <f t="shared" si="3"/>
        <v>377.83738451145575</v>
      </c>
      <c r="Y19" s="51">
        <f>W19*'Soil samples'!AK19/100</f>
        <v>0.1218735937058386</v>
      </c>
      <c r="Z19" s="105">
        <f t="shared" si="4"/>
        <v>121.8735937058386</v>
      </c>
      <c r="AA19" s="51">
        <f t="shared" si="5"/>
        <v>1.5359679496502034</v>
      </c>
      <c r="AB19">
        <f t="shared" si="6"/>
        <v>377.83738451145575</v>
      </c>
      <c r="AC19">
        <f>(AB19/1000)*'Soil samples'!AR19/100</f>
        <v>0.1218735937058386</v>
      </c>
      <c r="AD19" s="6">
        <f t="shared" si="7"/>
        <v>121.8735937058386</v>
      </c>
      <c r="AE19" s="135"/>
      <c r="AF19" s="6"/>
      <c r="AG19" s="6"/>
      <c r="AH19" s="6"/>
      <c r="AJ19" s="136" t="s">
        <v>158</v>
      </c>
      <c r="AK19" s="6">
        <v>5</v>
      </c>
      <c r="AL19" s="59">
        <f>COUNT(X163)</f>
        <v>1</v>
      </c>
      <c r="AM19" s="6">
        <f>AVERAGE(X$163)</f>
        <v>234.6041625781871</v>
      </c>
      <c r="AO19">
        <f>IF(S19&lt;'Olsen P ref'!$K$72,1,0)</f>
        <v>0</v>
      </c>
    </row>
    <row r="20" spans="1:47">
      <c r="A20" t="s">
        <v>18</v>
      </c>
      <c r="B20" t="s">
        <v>9</v>
      </c>
      <c r="C20" t="s">
        <v>12</v>
      </c>
      <c r="D20" s="8">
        <v>6</v>
      </c>
      <c r="E20">
        <v>20</v>
      </c>
      <c r="F20" s="26">
        <v>42760</v>
      </c>
      <c r="G20" s="94">
        <v>3</v>
      </c>
      <c r="H20" s="3" t="s">
        <v>511</v>
      </c>
      <c r="I20">
        <v>10</v>
      </c>
      <c r="J20">
        <v>11</v>
      </c>
      <c r="K20" t="s">
        <v>788</v>
      </c>
      <c r="L20" s="44">
        <v>2.5</v>
      </c>
      <c r="M20">
        <v>0.65793539772366005</v>
      </c>
      <c r="N20">
        <v>0.47499999999999998</v>
      </c>
      <c r="O20">
        <f>M20/L20*5</f>
        <v>1.3158707954473201</v>
      </c>
      <c r="Q20" s="51">
        <f>'Olsen P ref'!$B$76*'Soil samples'!AI20%</f>
        <v>1.3199831823360284</v>
      </c>
      <c r="R20" s="105">
        <f>'Olsen P ref'!$B$76*'Soil samples'!AH20%</f>
        <v>3.6800168176639714</v>
      </c>
      <c r="S20" s="51">
        <f>IF(O20-'Olsen P ref'!$K$68&gt;0,O20-'Olsen P ref'!$K$68,0)</f>
        <v>1.1165109648469995</v>
      </c>
      <c r="T20" s="8">
        <f t="shared" si="0"/>
        <v>1.1165109648469994E-3</v>
      </c>
      <c r="U20" s="8">
        <f t="shared" si="1"/>
        <v>1.1165109648469994E-2</v>
      </c>
      <c r="V20">
        <f>U20*('Olsen P ref'!$B$75+Q20)</f>
        <v>1.1312487218119176</v>
      </c>
      <c r="W20">
        <f t="shared" si="9"/>
        <v>0.30740313913294021</v>
      </c>
      <c r="X20" s="8">
        <f t="shared" si="3"/>
        <v>307.40313913294023</v>
      </c>
      <c r="Y20" s="51">
        <f>W20*'Soil samples'!AK20/100</f>
        <v>0.15308057703558861</v>
      </c>
      <c r="Z20" s="105">
        <f t="shared" si="4"/>
        <v>153.08057703558862</v>
      </c>
      <c r="AA20" s="51">
        <f t="shared" si="5"/>
        <v>1.1165109648469995</v>
      </c>
      <c r="AB20">
        <f t="shared" si="6"/>
        <v>307.40313913294023</v>
      </c>
      <c r="AC20">
        <f>(AB20/1000)*'Soil samples'!AR20/100</f>
        <v>0.15308057703558861</v>
      </c>
      <c r="AD20" s="6">
        <f t="shared" si="7"/>
        <v>153.08057703558862</v>
      </c>
      <c r="AE20" s="135"/>
      <c r="AF20" s="6"/>
      <c r="AG20" s="6"/>
      <c r="AH20" s="6"/>
      <c r="AJ20" s="136" t="s">
        <v>162</v>
      </c>
      <c r="AK20" s="6">
        <v>5</v>
      </c>
      <c r="AL20" s="59">
        <f>COUNT(X163)</f>
        <v>1</v>
      </c>
      <c r="AM20" s="6">
        <f>AVERAGE(X$163)</f>
        <v>234.6041625781871</v>
      </c>
      <c r="AO20">
        <f>IF(S20&lt;'Olsen P ref'!$K$72,1,0)</f>
        <v>0</v>
      </c>
    </row>
    <row r="21" spans="1:47">
      <c r="A21" t="s">
        <v>19</v>
      </c>
      <c r="B21" t="s">
        <v>9</v>
      </c>
      <c r="C21" t="s">
        <v>12</v>
      </c>
      <c r="D21" s="8">
        <v>6</v>
      </c>
      <c r="E21">
        <v>30</v>
      </c>
      <c r="F21" s="26">
        <v>42760</v>
      </c>
      <c r="G21" s="94">
        <v>2</v>
      </c>
      <c r="H21" s="3" t="s">
        <v>511</v>
      </c>
      <c r="I21">
        <v>11</v>
      </c>
      <c r="J21">
        <v>17</v>
      </c>
      <c r="K21"/>
      <c r="L21" s="44">
        <v>2.5</v>
      </c>
      <c r="M21">
        <v>0.77245819291663997</v>
      </c>
      <c r="N21">
        <v>0.55800000000000005</v>
      </c>
      <c r="O21">
        <f>M21/L21*5</f>
        <v>1.5449163858332797</v>
      </c>
      <c r="Q21" s="51">
        <f>'Olsen P ref'!$B$76*'Soil samples'!AI21%</f>
        <v>1.1677010602534268</v>
      </c>
      <c r="R21" s="105">
        <f>'Olsen P ref'!$B$76*'Soil samples'!AH21%</f>
        <v>3.8322989397465737</v>
      </c>
      <c r="S21" s="51">
        <f>IF(O21-'Olsen P ref'!$K$68&gt;0,O21-'Olsen P ref'!$K$68,0)</f>
        <v>1.3455565552329591</v>
      </c>
      <c r="T21" s="8">
        <f t="shared" si="0"/>
        <v>1.3455565552329591E-3</v>
      </c>
      <c r="U21" s="8">
        <f t="shared" si="1"/>
        <v>1.3455565552329591E-2</v>
      </c>
      <c r="V21">
        <f>U21*('Olsen P ref'!$B$75+Q21)</f>
        <v>1.3612686333947237</v>
      </c>
      <c r="W21">
        <f t="shared" si="9"/>
        <v>0.35520940688534675</v>
      </c>
      <c r="X21" s="8">
        <f t="shared" si="3"/>
        <v>355.20940688534677</v>
      </c>
      <c r="Y21" s="51">
        <f>W21*'Soil samples'!AK21/100</f>
        <v>0.1259445739616798</v>
      </c>
      <c r="Z21" s="105">
        <f t="shared" si="4"/>
        <v>125.94457396167979</v>
      </c>
      <c r="AA21" s="51">
        <f t="shared" si="5"/>
        <v>1.3455565552329591</v>
      </c>
      <c r="AB21">
        <f t="shared" si="6"/>
        <v>355.20940688534677</v>
      </c>
      <c r="AC21">
        <f>(AB21/1000)*'Soil samples'!AR21/100</f>
        <v>0.1259445739616798</v>
      </c>
      <c r="AD21" s="6">
        <f t="shared" si="7"/>
        <v>125.94457396167979</v>
      </c>
      <c r="AE21" s="135"/>
      <c r="AF21" s="6"/>
      <c r="AG21" s="6"/>
      <c r="AH21" s="6"/>
      <c r="AJ21" s="137" t="s">
        <v>163</v>
      </c>
      <c r="AK21" s="6">
        <v>10</v>
      </c>
      <c r="AL21" s="59">
        <f>COUNT(X152,X156,X164,X168,X172)</f>
        <v>5</v>
      </c>
      <c r="AM21" s="6">
        <f>AVERAGE(X$152,X$156,X$164,X$168,X$172)</f>
        <v>311.20889559912609</v>
      </c>
      <c r="AO21">
        <f>IF(S21&lt;'Olsen P ref'!$K$72,1,0)</f>
        <v>0</v>
      </c>
    </row>
    <row r="22" spans="1:47">
      <c r="A22" t="s">
        <v>4</v>
      </c>
      <c r="B22" t="s">
        <v>9</v>
      </c>
      <c r="C22" t="s">
        <v>13</v>
      </c>
      <c r="D22" s="8">
        <v>1</v>
      </c>
      <c r="E22">
        <v>5</v>
      </c>
      <c r="F22" s="26">
        <v>42776</v>
      </c>
      <c r="G22" s="93">
        <v>1</v>
      </c>
      <c r="I22">
        <v>6</v>
      </c>
      <c r="J22">
        <v>2</v>
      </c>
      <c r="K22"/>
      <c r="L22" s="44">
        <v>5</v>
      </c>
      <c r="M22">
        <v>0.45801651027054902</v>
      </c>
      <c r="N22">
        <v>0.32900000000000001</v>
      </c>
      <c r="O22">
        <f>M22/L22*5</f>
        <v>0.45801651027054902</v>
      </c>
      <c r="Q22" s="51">
        <f>'Olsen P ref'!$B$76*'Soil samples'!AI22%</f>
        <v>1.6679133877901122</v>
      </c>
      <c r="R22" s="105">
        <f>'Olsen P ref'!$B$76*'Soil samples'!AH22%</f>
        <v>3.332086612209888</v>
      </c>
      <c r="S22" s="51">
        <f>IF(O22-'Olsen P ref'!$K$68&gt;0,O22-'Olsen P ref'!$K$68,0)</f>
        <v>0.25865667967022832</v>
      </c>
      <c r="T22" s="8">
        <f t="shared" si="0"/>
        <v>2.5865667967022831E-4</v>
      </c>
      <c r="U22" s="8">
        <f t="shared" si="1"/>
        <v>2.5865667967022834E-3</v>
      </c>
      <c r="V22">
        <f>U22*('Olsen P ref'!$B$75+Q22)</f>
        <v>0.26297084905886142</v>
      </c>
      <c r="W22">
        <f t="shared" si="9"/>
        <v>7.8920772375858303E-2</v>
      </c>
      <c r="X22" s="8">
        <f t="shared" si="3"/>
        <v>78.920772375858306</v>
      </c>
      <c r="Y22" s="51">
        <f>W22*'Soil samples'!AK22/100</f>
        <v>4.3416487179618019E-2</v>
      </c>
      <c r="Z22" s="105">
        <f t="shared" si="4"/>
        <v>43.416487179618017</v>
      </c>
      <c r="AA22" s="51">
        <f t="shared" si="5"/>
        <v>0.25865667967022832</v>
      </c>
      <c r="AB22">
        <f t="shared" si="6"/>
        <v>78.920772375858306</v>
      </c>
      <c r="AC22">
        <f>(AB22/1000)*'Soil samples'!AR22/100</f>
        <v>4.3416487179618019E-2</v>
      </c>
      <c r="AD22" s="6">
        <f t="shared" si="7"/>
        <v>43.416487179618017</v>
      </c>
      <c r="AE22" s="135"/>
      <c r="AF22" s="6"/>
      <c r="AG22" s="6"/>
      <c r="AH22" s="6"/>
      <c r="AJ22" s="136" t="s">
        <v>170</v>
      </c>
      <c r="AK22" s="6">
        <v>5</v>
      </c>
      <c r="AL22" s="59">
        <f>COUNT(X163)</f>
        <v>1</v>
      </c>
      <c r="AM22" s="6">
        <f>AVERAGE(X$163)</f>
        <v>234.6041625781871</v>
      </c>
      <c r="AO22">
        <f>IF(S22&lt;'Olsen P ref'!$K$72,1,0)</f>
        <v>0</v>
      </c>
    </row>
    <row r="23" spans="1:47">
      <c r="A23" t="s">
        <v>5</v>
      </c>
      <c r="B23" t="s">
        <v>9</v>
      </c>
      <c r="C23" t="s">
        <v>13</v>
      </c>
      <c r="D23" s="8">
        <v>1</v>
      </c>
      <c r="E23">
        <v>20</v>
      </c>
      <c r="F23" s="26">
        <v>42776</v>
      </c>
      <c r="G23" s="93">
        <v>1</v>
      </c>
      <c r="I23">
        <v>5</v>
      </c>
      <c r="J23">
        <v>5</v>
      </c>
      <c r="K23"/>
      <c r="L23" s="44">
        <v>5</v>
      </c>
      <c r="M23">
        <v>0.44961948985843703</v>
      </c>
      <c r="N23">
        <v>0.32300000000000001</v>
      </c>
      <c r="O23">
        <f t="shared" ref="O23:O28" si="10">M23/L23*5</f>
        <v>0.44961948985843703</v>
      </c>
      <c r="Q23" s="51">
        <f>'Olsen P ref'!$B$76*'Soil samples'!AI23%</f>
        <v>1.6481830570992564</v>
      </c>
      <c r="R23" s="105">
        <f>'Olsen P ref'!$B$76*'Soil samples'!AH23%</f>
        <v>3.3518169429007436</v>
      </c>
      <c r="S23" s="51">
        <f>IF(O23-'Olsen P ref'!$K$68&gt;0,O23-'Olsen P ref'!$K$68,0)</f>
        <v>0.25025965925811633</v>
      </c>
      <c r="T23" s="8">
        <f t="shared" si="0"/>
        <v>2.5025965925811632E-4</v>
      </c>
      <c r="U23" s="8">
        <f t="shared" si="1"/>
        <v>2.5025965925811631E-3</v>
      </c>
      <c r="V23">
        <f>U23*('Olsen P ref'!$B$75+Q23)</f>
        <v>0.25438439656076295</v>
      </c>
      <c r="W23">
        <f t="shared" si="9"/>
        <v>7.5894477799438698E-2</v>
      </c>
      <c r="X23" s="8">
        <f t="shared" si="3"/>
        <v>75.894477799438704</v>
      </c>
      <c r="Y23" s="51">
        <f>W23*'Soil samples'!AK23/100</f>
        <v>4.2685701742896015E-2</v>
      </c>
      <c r="Z23" s="105">
        <f t="shared" si="4"/>
        <v>42.685701742896015</v>
      </c>
      <c r="AA23" s="51">
        <f t="shared" si="5"/>
        <v>0.25025965925811633</v>
      </c>
      <c r="AB23">
        <f t="shared" si="6"/>
        <v>75.894477799438704</v>
      </c>
      <c r="AC23">
        <f>(AB23/1000)*'Soil samples'!AR23/100</f>
        <v>4.2685701742896015E-2</v>
      </c>
      <c r="AD23" s="6">
        <f t="shared" si="7"/>
        <v>42.685701742896015</v>
      </c>
      <c r="AE23" s="135"/>
      <c r="AF23" s="6"/>
      <c r="AG23" s="6"/>
      <c r="AH23" s="6"/>
      <c r="AJ23" s="136" t="s">
        <v>174</v>
      </c>
      <c r="AK23" s="6">
        <v>5</v>
      </c>
      <c r="AL23" s="59">
        <f>COUNT(X163)</f>
        <v>1</v>
      </c>
      <c r="AM23" s="6">
        <f>AVERAGE(X$163)</f>
        <v>234.6041625781871</v>
      </c>
      <c r="AO23">
        <f>IF(S23&lt;'Olsen P ref'!$K$72,1,0)</f>
        <v>0</v>
      </c>
    </row>
    <row r="24" spans="1:47">
      <c r="A24" t="s">
        <v>6</v>
      </c>
      <c r="B24" t="s">
        <v>9</v>
      </c>
      <c r="C24" t="s">
        <v>13</v>
      </c>
      <c r="D24" s="8">
        <v>1</v>
      </c>
      <c r="E24">
        <v>30</v>
      </c>
      <c r="F24" s="26">
        <v>42776</v>
      </c>
      <c r="G24" s="93">
        <v>1</v>
      </c>
      <c r="I24">
        <v>6</v>
      </c>
      <c r="J24">
        <v>6</v>
      </c>
      <c r="K24"/>
      <c r="L24" s="44">
        <v>5</v>
      </c>
      <c r="M24">
        <v>0.49860210892909002</v>
      </c>
      <c r="N24">
        <v>0.35799999999999998</v>
      </c>
      <c r="O24">
        <f t="shared" si="10"/>
        <v>0.49860210892908996</v>
      </c>
      <c r="Q24" s="51">
        <f>'Olsen P ref'!$B$76*'Soil samples'!AI24%</f>
        <v>0.79489979976501313</v>
      </c>
      <c r="R24" s="105">
        <f>'Olsen P ref'!$B$76*'Soil samples'!AH24%</f>
        <v>4.2051002002349867</v>
      </c>
      <c r="S24" s="51">
        <f>IF(O24-'Olsen P ref'!$K$68&gt;0,O24-'Olsen P ref'!$K$68,0)</f>
        <v>0.29924227832876926</v>
      </c>
      <c r="T24" s="8">
        <f t="shared" si="0"/>
        <v>2.9924227832876929E-4</v>
      </c>
      <c r="U24" s="8">
        <f t="shared" si="1"/>
        <v>2.9924227832876927E-3</v>
      </c>
      <c r="V24">
        <f>U24*('Olsen P ref'!$B$75+Q24)</f>
        <v>0.30162095460001692</v>
      </c>
      <c r="W24">
        <f t="shared" si="9"/>
        <v>7.1727412008675065E-2</v>
      </c>
      <c r="X24" s="8">
        <f t="shared" si="3"/>
        <v>71.72741200867506</v>
      </c>
      <c r="Y24" s="51">
        <f>W24*'Soil samples'!AK24/100</f>
        <v>4.9670938803530802E-2</v>
      </c>
      <c r="Z24" s="105">
        <f t="shared" si="4"/>
        <v>49.670938803530802</v>
      </c>
      <c r="AA24" s="51">
        <f t="shared" si="5"/>
        <v>0.29924227832876926</v>
      </c>
      <c r="AB24">
        <f t="shared" si="6"/>
        <v>71.72741200867506</v>
      </c>
      <c r="AC24">
        <f>(AB24/1000)*'Soil samples'!AR24/100</f>
        <v>4.9670938803530802E-2</v>
      </c>
      <c r="AD24" s="6">
        <f t="shared" si="7"/>
        <v>49.670938803530802</v>
      </c>
      <c r="AE24" s="135"/>
      <c r="AF24" s="6"/>
      <c r="AG24" s="6"/>
      <c r="AH24" s="6"/>
      <c r="AJ24" s="137" t="s">
        <v>185</v>
      </c>
      <c r="AK24" s="6">
        <v>5</v>
      </c>
      <c r="AL24" s="59">
        <f>COUNT(X175,X178,X181,X185,X189)</f>
        <v>5</v>
      </c>
      <c r="AM24" s="6">
        <f>AVERAGE(X$175,X$178,X$181,X$185,X$189)</f>
        <v>127.18853601631841</v>
      </c>
      <c r="AO24">
        <f>IF(S24&lt;'Olsen P ref'!$K$72,1,0)</f>
        <v>0</v>
      </c>
    </row>
    <row r="25" spans="1:47">
      <c r="A25" t="s">
        <v>7</v>
      </c>
      <c r="B25" t="s">
        <v>9</v>
      </c>
      <c r="C25" t="s">
        <v>13</v>
      </c>
      <c r="D25" s="8">
        <v>2</v>
      </c>
      <c r="E25">
        <v>5</v>
      </c>
      <c r="F25" s="26">
        <v>42760</v>
      </c>
      <c r="G25" s="94">
        <v>2</v>
      </c>
      <c r="H25" s="3" t="s">
        <v>511</v>
      </c>
      <c r="I25">
        <v>11</v>
      </c>
      <c r="J25">
        <v>2</v>
      </c>
      <c r="K25"/>
      <c r="L25" s="44">
        <v>5</v>
      </c>
      <c r="M25">
        <v>0.26883385261016102</v>
      </c>
      <c r="N25">
        <v>0.193</v>
      </c>
      <c r="O25">
        <f t="shared" si="10"/>
        <v>0.26883385261016102</v>
      </c>
      <c r="Q25" s="51">
        <f>'Olsen P ref'!$B$76*'Soil samples'!AI25%</f>
        <v>1.2146261543044381</v>
      </c>
      <c r="R25" s="105">
        <f>'Olsen P ref'!$B$76*'Soil samples'!AH25%</f>
        <v>3.7853738456955615</v>
      </c>
      <c r="S25" s="51">
        <f>IF(O25-'Olsen P ref'!$K$68&gt;0,O25-'Olsen P ref'!$K$68,0)</f>
        <v>6.9474022009840347E-2</v>
      </c>
      <c r="T25" s="8">
        <f t="shared" si="0"/>
        <v>6.9474022009840354E-5</v>
      </c>
      <c r="U25" s="8">
        <f t="shared" si="1"/>
        <v>6.9474022009840348E-4</v>
      </c>
      <c r="V25">
        <f>U25*('Olsen P ref'!$B$75+Q25)</f>
        <v>7.0317871651619096E-2</v>
      </c>
      <c r="W25">
        <f t="shared" si="9"/>
        <v>1.8576202646821586E-2</v>
      </c>
      <c r="X25" s="8">
        <f t="shared" si="3"/>
        <v>18.576202646821585</v>
      </c>
      <c r="Y25" s="51">
        <f>W25*'Soil samples'!AK25/100</f>
        <v>1.3367427400972791E-2</v>
      </c>
      <c r="Z25" s="105">
        <f t="shared" si="4"/>
        <v>13.36742740097279</v>
      </c>
      <c r="AA25" s="51">
        <f t="shared" si="5"/>
        <v>6.9474022009840347E-2</v>
      </c>
      <c r="AB25">
        <f t="shared" si="6"/>
        <v>18.576202646821585</v>
      </c>
      <c r="AC25">
        <f>(AB25/1000)*'Soil samples'!AR25/100</f>
        <v>1.3367427400972791E-2</v>
      </c>
      <c r="AD25" s="6">
        <f t="shared" si="7"/>
        <v>13.36742740097279</v>
      </c>
      <c r="AE25" s="135"/>
      <c r="AF25" s="6"/>
      <c r="AG25" s="6"/>
      <c r="AH25" s="6"/>
      <c r="AO25">
        <f>IF(S25&lt;'Olsen P ref'!$K$72,1,0)</f>
        <v>0</v>
      </c>
    </row>
    <row r="26" spans="1:47">
      <c r="A26" t="s">
        <v>29</v>
      </c>
      <c r="B26" t="s">
        <v>9</v>
      </c>
      <c r="C26" t="s">
        <v>13</v>
      </c>
      <c r="D26" s="8">
        <v>2</v>
      </c>
      <c r="E26">
        <v>20</v>
      </c>
      <c r="F26" s="26">
        <v>42760</v>
      </c>
      <c r="G26" s="94">
        <v>2</v>
      </c>
      <c r="H26" s="3" t="s">
        <v>511</v>
      </c>
      <c r="I26">
        <v>11</v>
      </c>
      <c r="J26">
        <v>11</v>
      </c>
      <c r="K26"/>
      <c r="L26" s="44">
        <v>5</v>
      </c>
      <c r="M26">
        <v>0.35162141540026698</v>
      </c>
      <c r="N26">
        <v>0.253</v>
      </c>
      <c r="O26">
        <f t="shared" si="10"/>
        <v>0.35162141540026698</v>
      </c>
      <c r="Q26" s="51">
        <f>'Olsen P ref'!$B$76*'Soil samples'!AI26%</f>
        <v>0.36024265479861906</v>
      </c>
      <c r="R26" s="105">
        <f>'Olsen P ref'!$B$76*'Soil samples'!AH26%</f>
        <v>4.6397573452013807</v>
      </c>
      <c r="S26" s="51">
        <f>IF(O26-'Olsen P ref'!$K$68&gt;0,O26-'Olsen P ref'!$K$68,0)</f>
        <v>0.15226158479994631</v>
      </c>
      <c r="T26" s="8">
        <f t="shared" si="0"/>
        <v>1.5226158479994631E-4</v>
      </c>
      <c r="U26" s="8">
        <f t="shared" si="1"/>
        <v>1.5226158479994631E-3</v>
      </c>
      <c r="V26">
        <f>U26*('Olsen P ref'!$B$75+Q26)</f>
        <v>0.1528100959752681</v>
      </c>
      <c r="W26">
        <f t="shared" si="9"/>
        <v>3.2934932714382206E-2</v>
      </c>
      <c r="X26" s="8">
        <f t="shared" si="3"/>
        <v>32.934932714382207</v>
      </c>
      <c r="Y26" s="51">
        <f>W26*'Soil samples'!AK26/100</f>
        <v>3.0320579243412707E-2</v>
      </c>
      <c r="Z26" s="105">
        <f t="shared" si="4"/>
        <v>30.320579243412705</v>
      </c>
      <c r="AA26" s="51">
        <f t="shared" si="5"/>
        <v>0.15226158479994631</v>
      </c>
      <c r="AB26">
        <f t="shared" si="6"/>
        <v>32.934932714382207</v>
      </c>
      <c r="AC26">
        <f>(AB26/1000)*'Soil samples'!AR26/100</f>
        <v>3.0320579243412707E-2</v>
      </c>
      <c r="AD26" s="6">
        <f t="shared" si="7"/>
        <v>30.320579243412705</v>
      </c>
      <c r="AE26" s="135"/>
      <c r="AF26" s="6"/>
      <c r="AG26" s="6"/>
      <c r="AH26" s="6"/>
      <c r="AJ26" s="137" t="s">
        <v>51</v>
      </c>
      <c r="AK26" s="6">
        <v>5</v>
      </c>
      <c r="AL26" s="59">
        <f>COUNT(X61,X65,X70,X73,X75)</f>
        <v>5</v>
      </c>
      <c r="AM26" s="200">
        <f>AVERAGE(S$39,S$43,S$48,S$51,S$53)</f>
        <v>0.49883219115576533</v>
      </c>
      <c r="AO26">
        <f>IF(S26&lt;'Olsen P ref'!$K$72,1,0)</f>
        <v>0</v>
      </c>
    </row>
    <row r="27" spans="1:47">
      <c r="A27" t="s">
        <v>30</v>
      </c>
      <c r="B27" t="s">
        <v>9</v>
      </c>
      <c r="C27" t="s">
        <v>13</v>
      </c>
      <c r="D27" s="8">
        <v>2</v>
      </c>
      <c r="E27">
        <v>30</v>
      </c>
      <c r="F27" s="26">
        <v>42760</v>
      </c>
      <c r="G27" s="94">
        <v>2</v>
      </c>
      <c r="H27" s="3" t="s">
        <v>511</v>
      </c>
      <c r="I27">
        <v>12</v>
      </c>
      <c r="J27">
        <v>8</v>
      </c>
      <c r="K27"/>
      <c r="L27" s="44">
        <v>5</v>
      </c>
      <c r="M27">
        <v>0.51719654098047896</v>
      </c>
      <c r="N27">
        <v>0.373</v>
      </c>
      <c r="O27">
        <f t="shared" si="10"/>
        <v>0.51719654098047896</v>
      </c>
      <c r="Q27" s="51">
        <f>'Olsen P ref'!$B$76*'Soil samples'!AI27%</f>
        <v>0.22847664220753783</v>
      </c>
      <c r="R27" s="105">
        <f>'Olsen P ref'!$B$76*'Soil samples'!AH27%</f>
        <v>4.7715233577924625</v>
      </c>
      <c r="S27" s="51">
        <f>IF(O27-'Olsen P ref'!$K$68&gt;0,O27-'Olsen P ref'!$K$68,0)</f>
        <v>0.31783671038015826</v>
      </c>
      <c r="T27" s="8">
        <f t="shared" si="0"/>
        <v>3.1783671038015829E-4</v>
      </c>
      <c r="U27" s="8">
        <f t="shared" si="1"/>
        <v>3.1783671038015824E-3</v>
      </c>
      <c r="V27">
        <f>U27*('Olsen P ref'!$B$75+Q27)</f>
        <v>0.31856289302373775</v>
      </c>
      <c r="W27">
        <f t="shared" si="9"/>
        <v>6.676335189756262E-2</v>
      </c>
      <c r="X27" s="8">
        <f t="shared" si="3"/>
        <v>66.763351897562615</v>
      </c>
      <c r="Y27" s="51">
        <f>W27*'Soil samples'!AK27/100</f>
        <v>8.9917562184880215E-2</v>
      </c>
      <c r="Z27" s="105">
        <f t="shared" si="4"/>
        <v>89.917562184880211</v>
      </c>
      <c r="AA27" s="51">
        <f t="shared" si="5"/>
        <v>0.31783671038015826</v>
      </c>
      <c r="AB27">
        <f t="shared" si="6"/>
        <v>66.763351897562615</v>
      </c>
      <c r="AC27">
        <f>(AB27/1000)*'Soil samples'!AR27/100</f>
        <v>8.9917562184880215E-2</v>
      </c>
      <c r="AD27" s="6">
        <f t="shared" si="7"/>
        <v>89.917562184880211</v>
      </c>
      <c r="AE27" s="135"/>
      <c r="AF27" s="6"/>
      <c r="AG27" s="6"/>
      <c r="AH27" s="6"/>
      <c r="AJ27" s="137" t="s">
        <v>63</v>
      </c>
      <c r="AK27" s="6">
        <v>5</v>
      </c>
      <c r="AL27" s="59">
        <f>COUNT(X78,X90,X91,X95)</f>
        <v>4</v>
      </c>
      <c r="AM27" s="201">
        <f>AVERAGE(S$56,S$68,S$69,S$73)</f>
        <v>0.23993617596683003</v>
      </c>
      <c r="AO27">
        <f>IF(S27&lt;'Olsen P ref'!$K$72,1,0)</f>
        <v>0</v>
      </c>
    </row>
    <row r="28" spans="1:47">
      <c r="A28" t="s">
        <v>31</v>
      </c>
      <c r="B28" t="s">
        <v>9</v>
      </c>
      <c r="C28" t="s">
        <v>13</v>
      </c>
      <c r="D28" s="8">
        <v>3</v>
      </c>
      <c r="E28">
        <v>5</v>
      </c>
      <c r="F28" s="26">
        <v>42795</v>
      </c>
      <c r="G28" s="94">
        <v>2</v>
      </c>
      <c r="H28" s="3" t="s">
        <v>684</v>
      </c>
      <c r="I28">
        <v>1</v>
      </c>
      <c r="J28">
        <v>18</v>
      </c>
      <c r="K28"/>
      <c r="L28" s="44">
        <v>5</v>
      </c>
      <c r="M28">
        <v>0.253419799863985</v>
      </c>
      <c r="N28">
        <v>0.18</v>
      </c>
      <c r="O28">
        <f t="shared" si="10"/>
        <v>0.253419799863985</v>
      </c>
      <c r="Q28" s="51">
        <f>'Olsen P ref'!$B$76*'Soil samples'!AI28%</f>
        <v>1.9480670183613173</v>
      </c>
      <c r="R28" s="105">
        <f>'Olsen P ref'!$B$76*'Soil samples'!AH28%</f>
        <v>3.0519329816386827</v>
      </c>
      <c r="S28" s="51">
        <f>IF(O28-'Olsen P ref'!$K$68&gt;0,O28-'Olsen P ref'!$K$68,0)</f>
        <v>5.4059969263664326E-2</v>
      </c>
      <c r="T28" s="8">
        <f t="shared" si="0"/>
        <v>5.4059969263664324E-5</v>
      </c>
      <c r="U28" s="8">
        <f t="shared" si="1"/>
        <v>5.4059969263664325E-4</v>
      </c>
      <c r="V28">
        <f>U28*('Olsen P ref'!$B$75+Q28)</f>
        <v>5.5113093695026032E-2</v>
      </c>
      <c r="W28">
        <f t="shared" si="9"/>
        <v>1.8058421998976535E-2</v>
      </c>
      <c r="X28" s="8">
        <f t="shared" si="3"/>
        <v>18.058421998976534</v>
      </c>
      <c r="Y28" s="51">
        <f>W28*'Soil samples'!AK28/100</f>
        <v>8.6472444007495847E-3</v>
      </c>
      <c r="Z28" s="105">
        <f t="shared" si="4"/>
        <v>8.6472444007495852</v>
      </c>
      <c r="AA28" s="51">
        <f t="shared" si="5"/>
        <v>5.4059969263664326E-2</v>
      </c>
      <c r="AB28">
        <f t="shared" si="6"/>
        <v>18.058421998976534</v>
      </c>
      <c r="AC28">
        <f>(AB28/1000)*'Soil samples'!AR28/100</f>
        <v>8.6472444007495847E-3</v>
      </c>
      <c r="AD28" s="6">
        <f t="shared" si="7"/>
        <v>8.6472444007495852</v>
      </c>
      <c r="AE28" s="135"/>
      <c r="AF28" s="6"/>
      <c r="AG28" s="6"/>
      <c r="AH28" s="6"/>
      <c r="AJ28" s="137" t="s">
        <v>66</v>
      </c>
      <c r="AK28" s="6">
        <v>5</v>
      </c>
      <c r="AL28" s="59">
        <f>COUNT(X78,X90,X91,X95)</f>
        <v>4</v>
      </c>
      <c r="AM28" s="201">
        <f>AVERAGE(S$56,S$68,S$69,S$73)</f>
        <v>0.23993617596683003</v>
      </c>
      <c r="AO28">
        <f>IF(S28&lt;'Olsen P ref'!$K$72,1,0)</f>
        <v>1</v>
      </c>
    </row>
    <row r="29" spans="1:47">
      <c r="A29" t="s">
        <v>32</v>
      </c>
      <c r="B29" t="s">
        <v>9</v>
      </c>
      <c r="C29" t="s">
        <v>13</v>
      </c>
      <c r="D29" s="8">
        <v>3</v>
      </c>
      <c r="E29">
        <v>20</v>
      </c>
      <c r="F29" s="26">
        <v>42795</v>
      </c>
      <c r="G29" s="94">
        <v>1</v>
      </c>
      <c r="I29">
        <v>2</v>
      </c>
      <c r="J29">
        <v>4</v>
      </c>
      <c r="K29"/>
      <c r="L29" s="44">
        <v>5</v>
      </c>
      <c r="M29">
        <v>0.48391949221153502</v>
      </c>
      <c r="N29">
        <v>0.34399999999999997</v>
      </c>
      <c r="O29">
        <f>M29/L29*5</f>
        <v>0.48391949221153502</v>
      </c>
      <c r="Q29" s="51">
        <f>'Olsen P ref'!$B$76*'Soil samples'!AI29%</f>
        <v>1.2542842318344924</v>
      </c>
      <c r="R29" s="105">
        <f>'Olsen P ref'!$B$76*'Soil samples'!AH29%</f>
        <v>3.7457157681655073</v>
      </c>
      <c r="S29" s="51">
        <f>IF(O29-'Olsen P ref'!$K$68&gt;0,O29-'Olsen P ref'!$K$68,0)</f>
        <v>0.28455966161121438</v>
      </c>
      <c r="T29" s="8">
        <f t="shared" si="0"/>
        <v>2.8455966161121437E-4</v>
      </c>
      <c r="U29" s="8">
        <f t="shared" si="1"/>
        <v>2.8455966161121437E-3</v>
      </c>
      <c r="V29">
        <f>U29*('Olsen P ref'!$B$75+Q29)</f>
        <v>0.28812884857696541</v>
      </c>
      <c r="W29">
        <f t="shared" si="9"/>
        <v>7.6922240343420045E-2</v>
      </c>
      <c r="X29" s="8">
        <f t="shared" si="3"/>
        <v>76.922240343420043</v>
      </c>
      <c r="Y29" s="51">
        <f>W29*'Soil samples'!AK29/100</f>
        <v>5.7942711448827747E-2</v>
      </c>
      <c r="Z29" s="105">
        <f t="shared" si="4"/>
        <v>57.942711448827744</v>
      </c>
      <c r="AA29" s="51">
        <f t="shared" si="5"/>
        <v>0.28455966161121438</v>
      </c>
      <c r="AB29">
        <f t="shared" si="6"/>
        <v>76.922240343420043</v>
      </c>
      <c r="AC29">
        <f>(AB29/1000)*'Soil samples'!AR29/100</f>
        <v>5.7942711448827747E-2</v>
      </c>
      <c r="AD29" s="6">
        <f t="shared" si="7"/>
        <v>57.942711448827744</v>
      </c>
      <c r="AE29" s="135"/>
      <c r="AF29" s="6"/>
      <c r="AG29" s="6"/>
      <c r="AH29" s="6"/>
      <c r="AJ29" s="111" t="s">
        <v>101</v>
      </c>
      <c r="AK29" s="6">
        <v>5</v>
      </c>
      <c r="AL29" s="59">
        <f>COUNT(X122,X126,X134)</f>
        <v>3</v>
      </c>
      <c r="AM29" s="201">
        <f>AVERAGE(S$100,S$104,S$112)</f>
        <v>0.18350413105543298</v>
      </c>
      <c r="AO29">
        <f>IF(S29&lt;'Olsen P ref'!$K$72,1,0)</f>
        <v>0</v>
      </c>
    </row>
    <row r="30" spans="1:47">
      <c r="A30" t="s">
        <v>33</v>
      </c>
      <c r="B30" t="s">
        <v>9</v>
      </c>
      <c r="C30" t="s">
        <v>13</v>
      </c>
      <c r="D30" s="8">
        <v>3</v>
      </c>
      <c r="E30">
        <v>30</v>
      </c>
      <c r="F30" s="26">
        <v>42795</v>
      </c>
      <c r="G30" s="94">
        <v>1</v>
      </c>
      <c r="I30">
        <v>4</v>
      </c>
      <c r="J30">
        <v>5</v>
      </c>
      <c r="K30"/>
      <c r="L30" s="44">
        <v>5</v>
      </c>
      <c r="M30">
        <v>0.32646319048079703</v>
      </c>
      <c r="N30">
        <v>0.23499999999999999</v>
      </c>
      <c r="O30">
        <f t="shared" ref="O30:O93" si="11">M30/L30*5</f>
        <v>0.32646319048079697</v>
      </c>
      <c r="Q30" s="51">
        <f>'Olsen P ref'!$B$76*'Soil samples'!AI30%</f>
        <v>0.64968117854001761</v>
      </c>
      <c r="R30" s="105">
        <f>'Olsen P ref'!$B$76*'Soil samples'!AH30%</f>
        <v>4.3503188214599824</v>
      </c>
      <c r="S30" s="51">
        <f>IF(O30-'Olsen P ref'!$K$68&gt;0,O30-'Olsen P ref'!$K$68,0)</f>
        <v>0.1271033598804763</v>
      </c>
      <c r="T30" s="8">
        <f t="shared" si="0"/>
        <v>1.271033598804763E-4</v>
      </c>
      <c r="U30" s="8">
        <f t="shared" si="1"/>
        <v>1.2710335988047629E-3</v>
      </c>
      <c r="V30">
        <f>U30*('Olsen P ref'!$B$75+Q30)</f>
        <v>0.12792912648691174</v>
      </c>
      <c r="W30">
        <f t="shared" si="9"/>
        <v>2.9406839300108647E-2</v>
      </c>
      <c r="X30" s="8">
        <f t="shared" si="3"/>
        <v>29.406839300108647</v>
      </c>
      <c r="Y30" s="51">
        <f>W30*'Soil samples'!AK30/100</f>
        <v>3.2041129019911921E-2</v>
      </c>
      <c r="Z30" s="105">
        <f t="shared" si="4"/>
        <v>32.041129019911921</v>
      </c>
      <c r="AA30" s="51">
        <f t="shared" si="5"/>
        <v>0.1271033598804763</v>
      </c>
      <c r="AB30">
        <f t="shared" si="6"/>
        <v>29.406839300108647</v>
      </c>
      <c r="AC30">
        <f>(AB30/1000)*'Soil samples'!AR30/100</f>
        <v>3.2041129019911921E-2</v>
      </c>
      <c r="AD30" s="6">
        <f t="shared" si="7"/>
        <v>32.041129019911921</v>
      </c>
      <c r="AE30" s="135"/>
      <c r="AF30" s="6"/>
      <c r="AG30" s="6"/>
      <c r="AH30" s="6"/>
      <c r="AJ30" s="111" t="s">
        <v>112</v>
      </c>
      <c r="AK30" s="6">
        <v>5</v>
      </c>
      <c r="AL30" s="59">
        <f>COUNT(X122,X126,X134)</f>
        <v>3</v>
      </c>
      <c r="AM30" s="201">
        <f>AVERAGE(S$100,S$104,S$112)</f>
        <v>0.18350413105543298</v>
      </c>
      <c r="AO30">
        <f>IF(S30&lt;'Olsen P ref'!$K$72,1,0)</f>
        <v>0</v>
      </c>
    </row>
    <row r="31" spans="1:47" s="110" customFormat="1">
      <c r="A31" s="110" t="s">
        <v>34</v>
      </c>
      <c r="B31" s="110" t="s">
        <v>9</v>
      </c>
      <c r="C31" s="110" t="s">
        <v>13</v>
      </c>
      <c r="D31" s="111">
        <v>4</v>
      </c>
      <c r="E31">
        <v>5</v>
      </c>
      <c r="F31" s="113">
        <v>42760</v>
      </c>
      <c r="G31" s="114">
        <v>2</v>
      </c>
      <c r="H31" s="112" t="s">
        <v>511</v>
      </c>
      <c r="I31" s="110">
        <v>12</v>
      </c>
      <c r="J31" s="110">
        <v>3</v>
      </c>
      <c r="L31" s="115">
        <v>5</v>
      </c>
      <c r="M31" s="116">
        <v>0.43578877090354162</v>
      </c>
      <c r="N31" s="117">
        <v>0.314</v>
      </c>
      <c r="O31">
        <f t="shared" si="11"/>
        <v>0.43578877090354162</v>
      </c>
      <c r="P31" s="112"/>
      <c r="Q31" s="51">
        <f>'Olsen P ref'!$B$76*'Soil samples'!AI31%</f>
        <v>1.5668303716987282</v>
      </c>
      <c r="R31" s="105">
        <f>'Olsen P ref'!$B$76*'Soil samples'!AH31%</f>
        <v>3.4331696283012718</v>
      </c>
      <c r="S31" s="51">
        <f>IF(O31-'Olsen P ref'!$K$68&gt;0,O31-'Olsen P ref'!$K$68,0)</f>
        <v>0.23642894030322095</v>
      </c>
      <c r="T31" s="8">
        <f t="shared" si="0"/>
        <v>2.3642894030322095E-4</v>
      </c>
      <c r="U31" s="8">
        <f t="shared" si="1"/>
        <v>2.3642894030322095E-3</v>
      </c>
      <c r="V31">
        <f>U31*('Olsen P ref'!$B$75+Q31)</f>
        <v>0.24013338074737728</v>
      </c>
      <c r="W31">
        <f t="shared" si="9"/>
        <v>6.9945096440281337E-2</v>
      </c>
      <c r="X31" s="8">
        <f t="shared" si="3"/>
        <v>69.945096440281333</v>
      </c>
      <c r="Y31" s="51">
        <f>W31*'Soil samples'!AK31/100</f>
        <v>5.1739138215829893E-2</v>
      </c>
      <c r="Z31" s="105">
        <f t="shared" si="4"/>
        <v>51.739138215829897</v>
      </c>
      <c r="AA31" s="51">
        <f t="shared" si="5"/>
        <v>0.23642894030322095</v>
      </c>
      <c r="AB31">
        <f t="shared" si="6"/>
        <v>69.945096440281333</v>
      </c>
      <c r="AC31">
        <f>(AB31/1000)*'Soil samples'!AR31/100</f>
        <v>5.1739138215829893E-2</v>
      </c>
      <c r="AD31" s="6">
        <f t="shared" si="7"/>
        <v>51.739138215829897</v>
      </c>
      <c r="AE31" s="135"/>
      <c r="AF31" s="6"/>
      <c r="AG31" s="6"/>
      <c r="AH31" s="6"/>
      <c r="AI31" s="59"/>
      <c r="AJ31" s="111" t="s">
        <v>120</v>
      </c>
      <c r="AK31" s="6">
        <v>5</v>
      </c>
      <c r="AL31" s="59">
        <f>COUNT(X122,X126,X134)</f>
        <v>3</v>
      </c>
      <c r="AM31" s="201">
        <f>AVERAGE(S$100,S$104,S$112)</f>
        <v>0.18350413105543298</v>
      </c>
      <c r="AN31" s="59"/>
      <c r="AO31">
        <f>IF(S31&lt;'Olsen P ref'!$K$72,1,0)</f>
        <v>0</v>
      </c>
      <c r="AP31" s="59"/>
      <c r="AQ31" s="59"/>
      <c r="AR31"/>
      <c r="AS31"/>
      <c r="AT31"/>
      <c r="AU31" s="6"/>
    </row>
    <row r="32" spans="1:47">
      <c r="A32" t="s">
        <v>35</v>
      </c>
      <c r="B32" t="s">
        <v>9</v>
      </c>
      <c r="C32" t="s">
        <v>13</v>
      </c>
      <c r="D32" s="8">
        <v>4</v>
      </c>
      <c r="E32">
        <v>20</v>
      </c>
      <c r="F32" s="26">
        <v>42760</v>
      </c>
      <c r="G32" s="94">
        <v>2</v>
      </c>
      <c r="H32" s="3" t="s">
        <v>511</v>
      </c>
      <c r="I32">
        <v>10</v>
      </c>
      <c r="J32">
        <v>3</v>
      </c>
      <c r="K32"/>
      <c r="L32" s="44">
        <v>5</v>
      </c>
      <c r="M32">
        <v>0.50201882113562701</v>
      </c>
      <c r="N32">
        <v>0.36199999999999999</v>
      </c>
      <c r="O32">
        <f t="shared" si="11"/>
        <v>0.50201882113562701</v>
      </c>
      <c r="Q32" s="51">
        <f>'Olsen P ref'!$B$76*'Soil samples'!AI32%</f>
        <v>1.4021484745619768</v>
      </c>
      <c r="R32" s="105">
        <f>'Olsen P ref'!$B$76*'Soil samples'!AH32%</f>
        <v>3.5978515254380232</v>
      </c>
      <c r="S32" s="51">
        <f>IF(O32-'Olsen P ref'!$K$68&gt;0,O32-'Olsen P ref'!$K$68,0)</f>
        <v>0.30265899053530632</v>
      </c>
      <c r="T32" s="8">
        <f t="shared" si="0"/>
        <v>3.0265899053530631E-4</v>
      </c>
      <c r="U32" s="8">
        <f t="shared" si="1"/>
        <v>3.026589905353063E-3</v>
      </c>
      <c r="V32">
        <f>U32*('Olsen P ref'!$B$75+Q32)</f>
        <v>0.30690271895422178</v>
      </c>
      <c r="W32">
        <f t="shared" si="9"/>
        <v>8.5301663168787289E-2</v>
      </c>
      <c r="X32" s="8">
        <f t="shared" si="3"/>
        <v>85.301663168787286</v>
      </c>
      <c r="Y32" s="51">
        <f>W32*'Soil samples'!AK32/100</f>
        <v>5.9361123900125573E-2</v>
      </c>
      <c r="Z32" s="105">
        <f t="shared" si="4"/>
        <v>59.361123900125577</v>
      </c>
      <c r="AA32" s="51">
        <f t="shared" si="5"/>
        <v>0.30265899053530632</v>
      </c>
      <c r="AB32">
        <f t="shared" si="6"/>
        <v>85.301663168787286</v>
      </c>
      <c r="AC32">
        <f>(AB32/1000)*'Soil samples'!AR32/100</f>
        <v>5.9361123900125573E-2</v>
      </c>
      <c r="AD32" s="6">
        <f t="shared" si="7"/>
        <v>59.361123900125577</v>
      </c>
      <c r="AE32" s="135"/>
      <c r="AF32" s="6"/>
      <c r="AG32" s="6"/>
      <c r="AH32" s="6"/>
      <c r="AJ32" s="136" t="s">
        <v>127</v>
      </c>
      <c r="AK32" s="6">
        <v>5</v>
      </c>
      <c r="AL32" s="59">
        <f>COUNT(X141)</f>
        <v>1</v>
      </c>
      <c r="AM32" s="201">
        <f>AVERAGE(S$119)</f>
        <v>0.30242018294326134</v>
      </c>
      <c r="AO32">
        <f>IF(S32&lt;'Olsen P ref'!$K$72,1,0)</f>
        <v>0</v>
      </c>
    </row>
    <row r="33" spans="1:41">
      <c r="A33" t="s">
        <v>36</v>
      </c>
      <c r="B33" t="s">
        <v>9</v>
      </c>
      <c r="C33" t="s">
        <v>13</v>
      </c>
      <c r="D33" s="8">
        <v>4</v>
      </c>
      <c r="E33">
        <v>30</v>
      </c>
      <c r="F33" s="26">
        <v>42760</v>
      </c>
      <c r="G33" s="94">
        <v>2</v>
      </c>
      <c r="H33" s="3" t="s">
        <v>511</v>
      </c>
      <c r="I33">
        <v>7</v>
      </c>
      <c r="J33">
        <v>14</v>
      </c>
      <c r="K33"/>
      <c r="L33" s="44">
        <v>5</v>
      </c>
      <c r="M33">
        <v>0.85267646963980503</v>
      </c>
      <c r="N33">
        <v>0.61099999999999999</v>
      </c>
      <c r="O33">
        <f t="shared" si="11"/>
        <v>0.85267646963980503</v>
      </c>
      <c r="Q33" s="51">
        <f>'Olsen P ref'!$B$76*'Soil samples'!AI33%</f>
        <v>1.0433778234086248</v>
      </c>
      <c r="R33" s="105">
        <f>'Olsen P ref'!$B$76*'Soil samples'!AH33%</f>
        <v>3.9566221765913752</v>
      </c>
      <c r="S33" s="51">
        <f>IF(O33-'Olsen P ref'!$K$68&gt;0,O33-'Olsen P ref'!$K$68,0)</f>
        <v>0.65331663903948434</v>
      </c>
      <c r="T33" s="8">
        <f t="shared" si="0"/>
        <v>6.5331663903948434E-4</v>
      </c>
      <c r="U33" s="8">
        <f t="shared" si="1"/>
        <v>6.5331663903948432E-3</v>
      </c>
      <c r="V33">
        <f>U33*('Olsen P ref'!$B$75+Q33)</f>
        <v>0.6601331999678608</v>
      </c>
      <c r="W33">
        <f t="shared" si="9"/>
        <v>0.16684261739051481</v>
      </c>
      <c r="X33" s="8">
        <f t="shared" si="3"/>
        <v>166.84261739051482</v>
      </c>
      <c r="Y33" s="51">
        <f>W33*'Soil samples'!AK33/100</f>
        <v>0.14019908900917424</v>
      </c>
      <c r="Z33" s="105">
        <f t="shared" si="4"/>
        <v>140.19908900917423</v>
      </c>
      <c r="AA33" s="51">
        <f t="shared" si="5"/>
        <v>0.65331663903948434</v>
      </c>
      <c r="AB33">
        <f t="shared" si="6"/>
        <v>166.84261739051482</v>
      </c>
      <c r="AC33">
        <f>(AB33/1000)*'Soil samples'!AR33/100</f>
        <v>0.14019908900917424</v>
      </c>
      <c r="AD33" s="6">
        <f t="shared" si="7"/>
        <v>140.19908900917423</v>
      </c>
      <c r="AE33" s="135"/>
      <c r="AF33" s="6"/>
      <c r="AG33" s="6"/>
      <c r="AH33" s="6"/>
      <c r="AJ33" s="136" t="s">
        <v>578</v>
      </c>
      <c r="AK33" s="6">
        <v>5</v>
      </c>
      <c r="AL33" s="59">
        <f>COUNT(X141)</f>
        <v>1</v>
      </c>
      <c r="AM33" s="201">
        <f>AVERAGE(S$119)</f>
        <v>0.30242018294326134</v>
      </c>
      <c r="AO33">
        <f>IF(S33&lt;'Olsen P ref'!$K$72,1,0)</f>
        <v>0</v>
      </c>
    </row>
    <row r="34" spans="1:41">
      <c r="A34" t="s">
        <v>37</v>
      </c>
      <c r="B34" t="s">
        <v>9</v>
      </c>
      <c r="C34" t="s">
        <v>13</v>
      </c>
      <c r="D34" s="8">
        <v>5</v>
      </c>
      <c r="E34">
        <v>5</v>
      </c>
      <c r="F34" s="26">
        <v>42798</v>
      </c>
      <c r="G34" s="94">
        <v>1</v>
      </c>
      <c r="I34">
        <v>3</v>
      </c>
      <c r="J34">
        <v>6</v>
      </c>
      <c r="K34"/>
      <c r="L34" s="44">
        <v>5</v>
      </c>
      <c r="M34">
        <v>0.19017293306130401</v>
      </c>
      <c r="N34">
        <v>0.13500000000000001</v>
      </c>
      <c r="O34">
        <f t="shared" si="11"/>
        <v>0.19017293306130401</v>
      </c>
      <c r="Q34" s="51">
        <f>'Olsen P ref'!$B$76*'Soil samples'!AI34%</f>
        <v>1.039951242568224</v>
      </c>
      <c r="R34" s="105">
        <f>'Olsen P ref'!$B$76*'Soil samples'!AH34%</f>
        <v>3.960048757431776</v>
      </c>
      <c r="S34" s="51">
        <f>IF(O34-'Olsen P ref'!$K$68&gt;0,O34-'Olsen P ref'!$K$68,0)</f>
        <v>0</v>
      </c>
      <c r="T34" s="8">
        <f t="shared" si="0"/>
        <v>0</v>
      </c>
      <c r="U34" s="8">
        <f t="shared" si="1"/>
        <v>0</v>
      </c>
      <c r="V34">
        <f>U34*('Olsen P ref'!$B$75+Q34)</f>
        <v>0</v>
      </c>
      <c r="W34">
        <f t="shared" si="9"/>
        <v>0</v>
      </c>
      <c r="X34" s="8">
        <f t="shared" si="3"/>
        <v>0</v>
      </c>
      <c r="Y34" s="51">
        <f>W34*'Soil samples'!AK34/100</f>
        <v>0</v>
      </c>
      <c r="Z34" s="105">
        <f t="shared" si="4"/>
        <v>0</v>
      </c>
      <c r="AA34" s="51">
        <f t="shared" si="5"/>
        <v>0</v>
      </c>
      <c r="AB34">
        <f t="shared" si="6"/>
        <v>0</v>
      </c>
      <c r="AC34">
        <f>(AB34/1000)*'Soil samples'!AR34/100</f>
        <v>0</v>
      </c>
      <c r="AD34" s="6">
        <f t="shared" si="7"/>
        <v>0</v>
      </c>
      <c r="AE34" s="135"/>
      <c r="AF34" s="6"/>
      <c r="AG34" s="6"/>
      <c r="AH34" s="6"/>
      <c r="AJ34" s="136" t="s">
        <v>128</v>
      </c>
      <c r="AK34" s="6">
        <v>5</v>
      </c>
      <c r="AL34" s="59">
        <f>COUNT(X141)</f>
        <v>1</v>
      </c>
      <c r="AM34" s="201">
        <f>AVERAGE(S$119)</f>
        <v>0.30242018294326134</v>
      </c>
      <c r="AO34">
        <f>IF(S34&lt;'Olsen P ref'!$K$72,1,0)</f>
        <v>1</v>
      </c>
    </row>
    <row r="35" spans="1:41">
      <c r="A35" t="s">
        <v>38</v>
      </c>
      <c r="B35" t="s">
        <v>9</v>
      </c>
      <c r="C35" t="s">
        <v>13</v>
      </c>
      <c r="D35" s="8">
        <v>5</v>
      </c>
      <c r="E35">
        <v>20</v>
      </c>
      <c r="F35" s="26">
        <v>42798</v>
      </c>
      <c r="G35" s="94">
        <v>1</v>
      </c>
      <c r="I35">
        <v>2</v>
      </c>
      <c r="J35">
        <v>10</v>
      </c>
      <c r="K35"/>
      <c r="L35" s="44">
        <v>5</v>
      </c>
      <c r="M35">
        <v>0.21406619385342801</v>
      </c>
      <c r="N35">
        <v>0.152</v>
      </c>
      <c r="O35">
        <f t="shared" si="11"/>
        <v>0.21406619385342801</v>
      </c>
      <c r="Q35" s="51">
        <f>'Olsen P ref'!$B$76*'Soil samples'!AI35%</f>
        <v>1.146940515197528</v>
      </c>
      <c r="R35" s="105">
        <f>'Olsen P ref'!$B$76*'Soil samples'!AH35%</f>
        <v>3.853059484802472</v>
      </c>
      <c r="S35" s="51">
        <f>IF(O35-'Olsen P ref'!$K$68&gt;0,O35-'Olsen P ref'!$K$68,0)</f>
        <v>1.4706363253107341E-2</v>
      </c>
      <c r="T35" s="8">
        <f t="shared" si="0"/>
        <v>1.470636325310734E-5</v>
      </c>
      <c r="U35" s="8">
        <f t="shared" si="1"/>
        <v>1.470636325310734E-4</v>
      </c>
      <c r="V35">
        <f>U35*('Olsen P ref'!$B$75+Q35)</f>
        <v>1.4875036491569349E-2</v>
      </c>
      <c r="W35">
        <f t="shared" si="9"/>
        <v>3.8605779511685688E-3</v>
      </c>
      <c r="X35" s="8">
        <f t="shared" si="3"/>
        <v>3.8605779511685689</v>
      </c>
      <c r="Y35" s="51">
        <f>W35*'Soil samples'!AK35/100</f>
        <v>2.3910133656548575E-3</v>
      </c>
      <c r="Z35" s="105">
        <f t="shared" si="4"/>
        <v>2.3910133656548576</v>
      </c>
      <c r="AA35" s="51">
        <f t="shared" si="5"/>
        <v>1.4706363253107341E-2</v>
      </c>
      <c r="AB35">
        <f t="shared" si="6"/>
        <v>3.8605779511685689</v>
      </c>
      <c r="AC35">
        <f>(AB35/1000)*'Soil samples'!AR35/100</f>
        <v>2.3910133656548575E-3</v>
      </c>
      <c r="AD35" s="6">
        <f t="shared" si="7"/>
        <v>2.3910133656548576</v>
      </c>
      <c r="AE35" s="135"/>
      <c r="AF35" s="6"/>
      <c r="AG35" s="6"/>
      <c r="AH35" s="6"/>
      <c r="AJ35" s="136" t="s">
        <v>132</v>
      </c>
      <c r="AK35" s="6">
        <v>5</v>
      </c>
      <c r="AL35" s="59">
        <f>COUNT(X141)</f>
        <v>1</v>
      </c>
      <c r="AM35" s="201">
        <f>AVERAGE(S$119)</f>
        <v>0.30242018294326134</v>
      </c>
      <c r="AO35">
        <f>IF(S35&lt;'Olsen P ref'!$K$72,1,0)</f>
        <v>1</v>
      </c>
    </row>
    <row r="36" spans="1:41">
      <c r="A36" t="s">
        <v>39</v>
      </c>
      <c r="B36" t="s">
        <v>9</v>
      </c>
      <c r="C36" t="s">
        <v>13</v>
      </c>
      <c r="D36" s="8">
        <v>6</v>
      </c>
      <c r="E36">
        <v>5</v>
      </c>
      <c r="F36" s="26">
        <v>42794</v>
      </c>
      <c r="G36" s="94">
        <v>1</v>
      </c>
      <c r="I36">
        <v>6</v>
      </c>
      <c r="J36">
        <v>8</v>
      </c>
      <c r="K36"/>
      <c r="L36" s="44">
        <v>5</v>
      </c>
      <c r="M36">
        <v>0.19490987069104501</v>
      </c>
      <c r="N36">
        <v>0.14099999999999999</v>
      </c>
      <c r="O36">
        <f t="shared" si="11"/>
        <v>0.19490987069104501</v>
      </c>
      <c r="Q36" s="51">
        <f>'Olsen P ref'!$B$76*'Soil samples'!AI36%</f>
        <v>1.9607225372820836</v>
      </c>
      <c r="R36" s="105">
        <f>'Olsen P ref'!$B$76*'Soil samples'!AH36%</f>
        <v>3.0392774627179167</v>
      </c>
      <c r="S36" s="51">
        <f>IF(O36-'Olsen P ref'!$K$68&gt;0,O36-'Olsen P ref'!$K$68,0)</f>
        <v>0</v>
      </c>
      <c r="T36" s="8">
        <f t="shared" si="0"/>
        <v>0</v>
      </c>
      <c r="U36" s="8">
        <f t="shared" si="1"/>
        <v>0</v>
      </c>
      <c r="V36">
        <f>U36*('Olsen P ref'!$B$75+Q36)</f>
        <v>0</v>
      </c>
      <c r="W36">
        <f t="shared" si="9"/>
        <v>0</v>
      </c>
      <c r="X36" s="8">
        <f t="shared" si="3"/>
        <v>0</v>
      </c>
      <c r="Y36" s="51">
        <f>W36*'Soil samples'!AK36/100</f>
        <v>0</v>
      </c>
      <c r="Z36" s="105">
        <f t="shared" si="4"/>
        <v>0</v>
      </c>
      <c r="AA36" s="51">
        <f t="shared" si="5"/>
        <v>0</v>
      </c>
      <c r="AB36">
        <f t="shared" si="6"/>
        <v>0</v>
      </c>
      <c r="AC36">
        <f>(AB36/1000)*'Soil samples'!AR36/100</f>
        <v>0</v>
      </c>
      <c r="AD36" s="6">
        <f t="shared" si="7"/>
        <v>0</v>
      </c>
      <c r="AE36" s="135"/>
      <c r="AF36" s="6"/>
      <c r="AG36" s="6"/>
      <c r="AH36" s="6"/>
      <c r="AJ36" s="136" t="s">
        <v>135</v>
      </c>
      <c r="AK36" s="6">
        <v>5</v>
      </c>
      <c r="AL36" s="59">
        <f>COUNT(X141)</f>
        <v>1</v>
      </c>
      <c r="AM36" s="201">
        <f>AVERAGE(S$119)</f>
        <v>0.30242018294326134</v>
      </c>
      <c r="AO36">
        <f>IF(S36&lt;'Olsen P ref'!$K$72,1,0)</f>
        <v>1</v>
      </c>
    </row>
    <row r="37" spans="1:41">
      <c r="A37" t="s">
        <v>40</v>
      </c>
      <c r="B37" t="s">
        <v>9</v>
      </c>
      <c r="C37" t="s">
        <v>13</v>
      </c>
      <c r="D37" s="8">
        <v>6</v>
      </c>
      <c r="E37">
        <v>20</v>
      </c>
      <c r="F37" s="26">
        <v>42794</v>
      </c>
      <c r="G37" s="94">
        <v>1</v>
      </c>
      <c r="I37">
        <v>6</v>
      </c>
      <c r="J37">
        <v>19</v>
      </c>
      <c r="K37"/>
      <c r="L37" s="44">
        <v>5</v>
      </c>
      <c r="M37">
        <v>0.14592725162039299</v>
      </c>
      <c r="N37">
        <v>0.106</v>
      </c>
      <c r="O37">
        <f t="shared" si="11"/>
        <v>0.14592725162039299</v>
      </c>
      <c r="Q37" s="51">
        <f>'Olsen P ref'!$B$76*'Soil samples'!AI37%</f>
        <v>0.46189744845341635</v>
      </c>
      <c r="R37" s="105">
        <f>'Olsen P ref'!$B$76*'Soil samples'!AH37%</f>
        <v>4.5381025515465829</v>
      </c>
      <c r="S37" s="51">
        <f>IF(O37-'Olsen P ref'!$K$68&gt;0,O37-'Olsen P ref'!$K$68,0)</f>
        <v>0</v>
      </c>
      <c r="T37" s="8">
        <f t="shared" si="0"/>
        <v>0</v>
      </c>
      <c r="U37" s="8">
        <f t="shared" si="1"/>
        <v>0</v>
      </c>
      <c r="V37">
        <f>U37*('Olsen P ref'!$B$75+Q37)</f>
        <v>0</v>
      </c>
      <c r="W37">
        <f t="shared" si="9"/>
        <v>0</v>
      </c>
      <c r="X37" s="8">
        <f t="shared" si="3"/>
        <v>0</v>
      </c>
      <c r="Y37" s="51">
        <f>W37*'Soil samples'!AK37/100</f>
        <v>0</v>
      </c>
      <c r="Z37" s="105">
        <f t="shared" si="4"/>
        <v>0</v>
      </c>
      <c r="AA37" s="51">
        <f t="shared" si="5"/>
        <v>0</v>
      </c>
      <c r="AB37">
        <f t="shared" si="6"/>
        <v>0</v>
      </c>
      <c r="AC37">
        <f>(AB37/1000)*'Soil samples'!AR37/100</f>
        <v>0</v>
      </c>
      <c r="AD37" s="6">
        <f t="shared" si="7"/>
        <v>0</v>
      </c>
      <c r="AE37" s="135"/>
      <c r="AF37" s="6"/>
      <c r="AG37" s="6"/>
      <c r="AH37" s="6"/>
      <c r="AJ37" s="137" t="s">
        <v>145</v>
      </c>
      <c r="AK37" s="6">
        <v>5</v>
      </c>
      <c r="AL37" s="59">
        <f>COUNT(X158,X160,X163,X170)</f>
        <v>3</v>
      </c>
      <c r="AM37" s="201">
        <f>AVERAGE(S$136,S$138,S$141,S$148)</f>
        <v>0.27435644589512209</v>
      </c>
      <c r="AO37">
        <f>IF(S37&lt;'Olsen P ref'!$K$72,1,0)</f>
        <v>1</v>
      </c>
    </row>
    <row r="38" spans="1:41">
      <c r="A38" s="4" t="s">
        <v>41</v>
      </c>
      <c r="B38" s="4" t="s">
        <v>9</v>
      </c>
      <c r="C38" s="4" t="s">
        <v>13</v>
      </c>
      <c r="D38" s="4">
        <v>6</v>
      </c>
      <c r="E38" s="4">
        <v>30</v>
      </c>
      <c r="F38" s="26">
        <v>42794</v>
      </c>
      <c r="G38" s="95">
        <v>1</v>
      </c>
      <c r="I38">
        <v>6</v>
      </c>
      <c r="J38">
        <v>11</v>
      </c>
      <c r="K38"/>
      <c r="L38" s="44">
        <v>5</v>
      </c>
      <c r="M38">
        <v>0.143128244816355</v>
      </c>
      <c r="N38">
        <v>0.104</v>
      </c>
      <c r="O38">
        <f t="shared" si="11"/>
        <v>0.143128244816355</v>
      </c>
      <c r="Q38" s="51">
        <f>'Olsen P ref'!$B$76*'Soil samples'!AI38%</f>
        <v>0.27123964975976517</v>
      </c>
      <c r="R38" s="105">
        <f>'Olsen P ref'!$B$76*'Soil samples'!AH38%</f>
        <v>4.7287603502402344</v>
      </c>
      <c r="S38" s="51">
        <f>IF(O38-'Olsen P ref'!$K$68&gt;0,O38-'Olsen P ref'!$K$68,0)</f>
        <v>0</v>
      </c>
      <c r="T38" s="8">
        <f t="shared" si="0"/>
        <v>0</v>
      </c>
      <c r="U38" s="8">
        <f t="shared" si="1"/>
        <v>0</v>
      </c>
      <c r="V38">
        <f>U38*('Olsen P ref'!$B$75+Q38)</f>
        <v>0</v>
      </c>
      <c r="W38">
        <f t="shared" si="9"/>
        <v>0</v>
      </c>
      <c r="X38" s="8">
        <f t="shared" si="3"/>
        <v>0</v>
      </c>
      <c r="Y38" s="51">
        <f>W38*'Soil samples'!AK38/100</f>
        <v>0</v>
      </c>
      <c r="Z38" s="105">
        <f t="shared" si="4"/>
        <v>0</v>
      </c>
      <c r="AA38" s="51">
        <f t="shared" si="5"/>
        <v>0</v>
      </c>
      <c r="AB38">
        <f t="shared" si="6"/>
        <v>0</v>
      </c>
      <c r="AC38">
        <f>(AB38/1000)*'Soil samples'!AR38/100</f>
        <v>0</v>
      </c>
      <c r="AD38" s="6">
        <f t="shared" si="7"/>
        <v>0</v>
      </c>
      <c r="AE38" s="135"/>
      <c r="AF38" s="6"/>
      <c r="AG38" s="6"/>
      <c r="AH38" s="6"/>
      <c r="AJ38" s="137" t="s">
        <v>147</v>
      </c>
      <c r="AK38" s="6">
        <v>5</v>
      </c>
      <c r="AL38" s="59">
        <f>COUNT(X158,X160,X163,X170)</f>
        <v>3</v>
      </c>
      <c r="AM38" s="201">
        <f>AVERAGE(S$136,S$138,S$141,S$148)</f>
        <v>0.27435644589512209</v>
      </c>
      <c r="AO38">
        <f>IF(S38&lt;'Olsen P ref'!$K$72,1,0)</f>
        <v>1</v>
      </c>
    </row>
    <row r="39" spans="1:41">
      <c r="A39" s="6" t="s">
        <v>43</v>
      </c>
      <c r="B39" s="6" t="s">
        <v>196</v>
      </c>
      <c r="C39" t="s">
        <v>12</v>
      </c>
      <c r="D39" s="8">
        <v>1</v>
      </c>
      <c r="E39" s="3">
        <v>5</v>
      </c>
      <c r="F39" s="26">
        <v>42768</v>
      </c>
      <c r="G39" s="94">
        <v>2</v>
      </c>
      <c r="H39" s="3" t="s">
        <v>576</v>
      </c>
      <c r="I39">
        <v>4</v>
      </c>
      <c r="J39">
        <v>11</v>
      </c>
      <c r="K39" t="s">
        <v>758</v>
      </c>
      <c r="L39" s="44">
        <v>2.5</v>
      </c>
      <c r="M39">
        <v>0.25788752378188401</v>
      </c>
      <c r="N39">
        <v>0.186</v>
      </c>
      <c r="O39">
        <f t="shared" si="11"/>
        <v>0.51577504756376802</v>
      </c>
      <c r="Q39" s="51">
        <f>'Olsen P ref'!$B$76*'Soil samples'!AI39%</f>
        <v>2.715964497684336</v>
      </c>
      <c r="R39" s="105">
        <f>'Olsen P ref'!$B$76*'Soil samples'!AH39%</f>
        <v>2.2840355023156635</v>
      </c>
      <c r="S39" s="51">
        <f>IF(O39-'Olsen P ref'!$K$68&gt;0,O39-'Olsen P ref'!$K$68,0)</f>
        <v>0.31641521696344732</v>
      </c>
      <c r="T39" s="8">
        <f t="shared" si="0"/>
        <v>3.1641521696344733E-4</v>
      </c>
      <c r="U39" s="8">
        <f t="shared" si="1"/>
        <v>3.1641521696344731E-3</v>
      </c>
      <c r="V39">
        <f>U39*('Olsen P ref'!$B$75+Q39)</f>
        <v>0.32500894192144542</v>
      </c>
      <c r="W39">
        <f t="shared" si="9"/>
        <v>0.14229592385579642</v>
      </c>
      <c r="X39" s="8">
        <f t="shared" si="3"/>
        <v>142.29592385579642</v>
      </c>
      <c r="Y39" s="51">
        <f>W39*'Soil samples'!AK39/100</f>
        <v>6.4546775865599065E-2</v>
      </c>
      <c r="Z39" s="105">
        <f t="shared" si="4"/>
        <v>64.546775865599059</v>
      </c>
      <c r="AA39" s="51">
        <f t="shared" si="5"/>
        <v>0.31641521696344732</v>
      </c>
      <c r="AB39">
        <f t="shared" si="6"/>
        <v>142.29592385579642</v>
      </c>
      <c r="AC39">
        <f>(AB39/1000)*'Soil samples'!AR39/100</f>
        <v>6.4546775865599065E-2</v>
      </c>
      <c r="AD39" s="6">
        <f t="shared" si="7"/>
        <v>64.546775865599059</v>
      </c>
      <c r="AE39" s="135"/>
      <c r="AF39" s="6"/>
      <c r="AG39" s="6"/>
      <c r="AH39" s="6"/>
      <c r="AJ39" s="137" t="s">
        <v>148</v>
      </c>
      <c r="AK39" s="6">
        <v>10</v>
      </c>
      <c r="AL39" s="59">
        <f>COUNT(X159,X161,X165,X171)</f>
        <v>2</v>
      </c>
      <c r="AM39" s="201">
        <f>AVERAGE(S$137,S$139,S$143,S$149)</f>
        <v>0.21225066643135806</v>
      </c>
      <c r="AO39">
        <f>IF(S39&lt;'Olsen P ref'!$K$72,1,0)</f>
        <v>0</v>
      </c>
    </row>
    <row r="40" spans="1:41">
      <c r="A40" s="6" t="s">
        <v>44</v>
      </c>
      <c r="B40" s="6" t="s">
        <v>196</v>
      </c>
      <c r="C40" t="s">
        <v>12</v>
      </c>
      <c r="D40" s="8">
        <v>1</v>
      </c>
      <c r="E40" s="3">
        <v>10</v>
      </c>
      <c r="F40" s="26">
        <v>42768</v>
      </c>
      <c r="G40" s="94">
        <v>2</v>
      </c>
      <c r="H40" s="3" t="s">
        <v>576</v>
      </c>
      <c r="I40">
        <v>4</v>
      </c>
      <c r="J40">
        <v>14</v>
      </c>
      <c r="K40" t="s">
        <v>759</v>
      </c>
      <c r="L40" s="44">
        <v>2.5</v>
      </c>
      <c r="M40">
        <v>0.21870142852536201</v>
      </c>
      <c r="N40">
        <v>0.158</v>
      </c>
      <c r="O40">
        <f t="shared" si="11"/>
        <v>0.43740285705072401</v>
      </c>
      <c r="Q40" s="51">
        <f>'Olsen P ref'!$B$76*'Soil samples'!AI40%</f>
        <v>2.692010493370216</v>
      </c>
      <c r="R40" s="105">
        <f>'Olsen P ref'!$B$76*'Soil samples'!AH40%</f>
        <v>2.307989506629784</v>
      </c>
      <c r="S40" s="51">
        <f>IF(O40-'Olsen P ref'!$K$68&gt;0,O40-'Olsen P ref'!$K$68,0)</f>
        <v>0.23804302645040334</v>
      </c>
      <c r="T40" s="8">
        <f t="shared" si="0"/>
        <v>2.3804302645040335E-4</v>
      </c>
      <c r="U40" s="8">
        <f t="shared" si="1"/>
        <v>2.3804302645040335E-3</v>
      </c>
      <c r="V40">
        <f>U40*('Olsen P ref'!$B$75+Q40)</f>
        <v>0.24445116970118425</v>
      </c>
      <c r="W40">
        <f t="shared" si="9"/>
        <v>0.1059151997870828</v>
      </c>
      <c r="X40" s="8">
        <f t="shared" si="3"/>
        <v>105.9151997870828</v>
      </c>
      <c r="Y40" s="51">
        <f>W40*'Soil samples'!AK40/100</f>
        <v>2.6043827619964186E-2</v>
      </c>
      <c r="Z40" s="105">
        <f t="shared" si="4"/>
        <v>26.043827619964187</v>
      </c>
      <c r="AA40" s="51">
        <f t="shared" si="5"/>
        <v>0.23804302645040334</v>
      </c>
      <c r="AB40">
        <f t="shared" si="6"/>
        <v>105.9151997870828</v>
      </c>
      <c r="AC40">
        <f>(AB40/1000)*'Soil samples'!AR40/100</f>
        <v>2.6043827619964186E-2</v>
      </c>
      <c r="AD40" s="6">
        <f t="shared" si="7"/>
        <v>26.043827619964187</v>
      </c>
      <c r="AE40" s="135"/>
      <c r="AF40" s="6"/>
      <c r="AG40" s="6"/>
      <c r="AH40" s="6"/>
      <c r="AJ40" s="136" t="s">
        <v>154</v>
      </c>
      <c r="AK40" s="6">
        <v>5</v>
      </c>
      <c r="AL40" s="59">
        <f>COUNT(X185)</f>
        <v>1</v>
      </c>
      <c r="AM40" s="201">
        <f>AVERAGE(S$163)</f>
        <v>0.64389901303580832</v>
      </c>
      <c r="AO40">
        <f>IF(S40&lt;'Olsen P ref'!$K$72,1,0)</f>
        <v>0</v>
      </c>
    </row>
    <row r="41" spans="1:41">
      <c r="A41" s="6" t="s">
        <v>45</v>
      </c>
      <c r="B41" s="6" t="s">
        <v>196</v>
      </c>
      <c r="C41" t="s">
        <v>12</v>
      </c>
      <c r="D41" s="8">
        <v>1</v>
      </c>
      <c r="E41" s="3">
        <v>20</v>
      </c>
      <c r="F41" s="26">
        <v>42768</v>
      </c>
      <c r="G41" s="94">
        <v>2</v>
      </c>
      <c r="H41" s="3" t="s">
        <v>577</v>
      </c>
      <c r="I41">
        <v>1</v>
      </c>
      <c r="J41">
        <v>1</v>
      </c>
      <c r="K41"/>
      <c r="L41" s="44">
        <v>5</v>
      </c>
      <c r="M41">
        <v>0.77626056543281896</v>
      </c>
      <c r="N41">
        <v>0.55200000000000005</v>
      </c>
      <c r="O41">
        <f t="shared" si="11"/>
        <v>0.77626056543281896</v>
      </c>
      <c r="Q41" s="51">
        <f>'Olsen P ref'!$B$76*'Soil samples'!AI41%</f>
        <v>1.8858691021201768</v>
      </c>
      <c r="R41" s="105">
        <f>'Olsen P ref'!$B$76*'Soil samples'!AH41%</f>
        <v>3.1141308978798232</v>
      </c>
      <c r="S41" s="51">
        <f>IF(O41-'Olsen P ref'!$K$68&gt;0,O41-'Olsen P ref'!$K$68,0)</f>
        <v>0.57690073483249826</v>
      </c>
      <c r="T41" s="8">
        <f t="shared" si="0"/>
        <v>5.7690073483249822E-4</v>
      </c>
      <c r="U41" s="8">
        <f t="shared" si="1"/>
        <v>5.7690073483249822E-3</v>
      </c>
      <c r="V41">
        <f>U41*('Olsen P ref'!$B$75+Q41)</f>
        <v>0.5877803275406086</v>
      </c>
      <c r="W41">
        <f t="shared" si="9"/>
        <v>0.18874618531314272</v>
      </c>
      <c r="X41" s="8">
        <f t="shared" si="3"/>
        <v>188.74618531314272</v>
      </c>
      <c r="Y41" s="51">
        <f>W41*'Soil samples'!AK41/100</f>
        <v>0.1028498017130557</v>
      </c>
      <c r="Z41" s="105">
        <f t="shared" si="4"/>
        <v>102.8498017130557</v>
      </c>
      <c r="AA41" s="51">
        <f t="shared" si="5"/>
        <v>0.57690073483249826</v>
      </c>
      <c r="AB41">
        <f t="shared" si="6"/>
        <v>188.74618531314272</v>
      </c>
      <c r="AC41">
        <f>(AB41/1000)*'Soil samples'!AR41/100</f>
        <v>0.1028498017130557</v>
      </c>
      <c r="AD41" s="6">
        <f t="shared" si="7"/>
        <v>102.8498017130557</v>
      </c>
      <c r="AE41" s="135"/>
      <c r="AF41" s="6"/>
      <c r="AG41" s="6"/>
      <c r="AH41" s="6"/>
      <c r="AJ41" s="136" t="s">
        <v>158</v>
      </c>
      <c r="AK41" s="6">
        <v>5</v>
      </c>
      <c r="AL41" s="59">
        <f>COUNT(X185)</f>
        <v>1</v>
      </c>
      <c r="AM41" s="201">
        <f>AVERAGE(S$163)</f>
        <v>0.64389901303580832</v>
      </c>
      <c r="AO41">
        <f>IF(S41&lt;'Olsen P ref'!$K$72,1,0)</f>
        <v>0</v>
      </c>
    </row>
    <row r="42" spans="1:41">
      <c r="A42" s="6" t="s">
        <v>46</v>
      </c>
      <c r="B42" s="6" t="s">
        <v>196</v>
      </c>
      <c r="C42" t="s">
        <v>12</v>
      </c>
      <c r="D42" s="8">
        <v>1</v>
      </c>
      <c r="E42" s="3">
        <v>30</v>
      </c>
      <c r="F42" s="26">
        <v>42768</v>
      </c>
      <c r="G42" s="93">
        <v>1</v>
      </c>
      <c r="I42">
        <v>9</v>
      </c>
      <c r="J42">
        <v>11</v>
      </c>
      <c r="K42"/>
      <c r="L42" s="44">
        <v>2.5</v>
      </c>
      <c r="M42">
        <v>0.30332867043937201</v>
      </c>
      <c r="N42">
        <v>0.218</v>
      </c>
      <c r="O42">
        <f t="shared" si="11"/>
        <v>0.60665734087874401</v>
      </c>
      <c r="Q42" s="51">
        <f>'Olsen P ref'!$B$76*'Soil samples'!AI42%</f>
        <v>1.1129151194332523</v>
      </c>
      <c r="R42" s="105">
        <f>'Olsen P ref'!$B$76*'Soil samples'!AH42%</f>
        <v>3.8870848805667482</v>
      </c>
      <c r="S42" s="51">
        <f>IF(O42-'Olsen P ref'!$K$68&gt;0,O42-'Olsen P ref'!$K$68,0)</f>
        <v>0.40729751027842331</v>
      </c>
      <c r="T42" s="8">
        <f t="shared" si="0"/>
        <v>4.0729751027842329E-4</v>
      </c>
      <c r="U42" s="8">
        <f t="shared" si="1"/>
        <v>4.0729751027842329E-3</v>
      </c>
      <c r="V42">
        <f>U42*('Olsen P ref'!$B$75+Q42)</f>
        <v>0.41183038585138709</v>
      </c>
      <c r="W42">
        <f t="shared" si="9"/>
        <v>0.10594839024748567</v>
      </c>
      <c r="X42" s="8">
        <f t="shared" si="3"/>
        <v>105.94839024748568</v>
      </c>
      <c r="Y42" s="51">
        <f>W42*'Soil samples'!AK42/100</f>
        <v>0.10805605663968693</v>
      </c>
      <c r="Z42" s="105">
        <f t="shared" si="4"/>
        <v>108.05605663968693</v>
      </c>
      <c r="AA42" s="51">
        <f t="shared" si="5"/>
        <v>0.40729751027842331</v>
      </c>
      <c r="AB42">
        <f t="shared" si="6"/>
        <v>105.94839024748568</v>
      </c>
      <c r="AC42">
        <f>(AB42/1000)*'Soil samples'!AR42/100</f>
        <v>0.10805605663968693</v>
      </c>
      <c r="AD42" s="6">
        <f t="shared" si="7"/>
        <v>108.05605663968693</v>
      </c>
      <c r="AE42" s="135"/>
      <c r="AF42" s="6"/>
      <c r="AG42" s="6"/>
      <c r="AH42" s="6"/>
      <c r="AJ42" s="136" t="s">
        <v>162</v>
      </c>
      <c r="AK42" s="6">
        <v>5</v>
      </c>
      <c r="AL42" s="59">
        <f>COUNT(X185)</f>
        <v>1</v>
      </c>
      <c r="AM42" s="201">
        <f>AVERAGE(S$163)</f>
        <v>0.64389901303580832</v>
      </c>
      <c r="AO42">
        <f>IF(S42&lt;'Olsen P ref'!$K$72,1,0)</f>
        <v>0</v>
      </c>
    </row>
    <row r="43" spans="1:41">
      <c r="A43" s="6" t="s">
        <v>47</v>
      </c>
      <c r="B43" s="6" t="s">
        <v>196</v>
      </c>
      <c r="C43" t="s">
        <v>12</v>
      </c>
      <c r="D43" s="8">
        <v>2</v>
      </c>
      <c r="E43" s="3">
        <v>5</v>
      </c>
      <c r="F43" s="26">
        <v>42798</v>
      </c>
      <c r="G43" s="94">
        <v>2</v>
      </c>
      <c r="I43">
        <v>3</v>
      </c>
      <c r="J43">
        <v>11</v>
      </c>
      <c r="K43"/>
      <c r="L43" s="44">
        <v>2.5</v>
      </c>
      <c r="M43">
        <v>0.62727905696427999</v>
      </c>
      <c r="N43">
        <v>0.44600000000000001</v>
      </c>
      <c r="O43">
        <f t="shared" si="11"/>
        <v>1.25455811392856</v>
      </c>
      <c r="Q43" s="51">
        <f>'Olsen P ref'!$B$76*'Soil samples'!AI43%</f>
        <v>1.6561168954093708</v>
      </c>
      <c r="R43" s="105">
        <f>'Olsen P ref'!$B$76*'Soil samples'!AH43%</f>
        <v>3.3438831045906294</v>
      </c>
      <c r="S43" s="51">
        <f>IF(O43-'Olsen P ref'!$K$68&gt;0,O43-'Olsen P ref'!$K$68,0)</f>
        <v>1.0551982833282394</v>
      </c>
      <c r="T43" s="8">
        <f t="shared" si="0"/>
        <v>1.0551982833282394E-3</v>
      </c>
      <c r="U43" s="8">
        <f t="shared" si="1"/>
        <v>1.0551982833282392E-2</v>
      </c>
      <c r="V43">
        <f>U43*('Olsen P ref'!$B$75+Q43)</f>
        <v>1.0726736003785078</v>
      </c>
      <c r="W43">
        <f t="shared" si="9"/>
        <v>0.32078681186728519</v>
      </c>
      <c r="X43" s="8">
        <f t="shared" si="3"/>
        <v>320.78681186728517</v>
      </c>
      <c r="Y43" s="51">
        <f>W43*'Soil samples'!AK43/100</f>
        <v>9.6068647649899225E-2</v>
      </c>
      <c r="Z43" s="105">
        <f t="shared" si="4"/>
        <v>96.068647649899233</v>
      </c>
      <c r="AA43" s="51">
        <f t="shared" si="5"/>
        <v>1.0551982833282394</v>
      </c>
      <c r="AB43">
        <f t="shared" si="6"/>
        <v>320.78681186728517</v>
      </c>
      <c r="AC43">
        <f>(AB43/1000)*'Soil samples'!AR43/100</f>
        <v>9.6068647649899225E-2</v>
      </c>
      <c r="AD43" s="6">
        <f t="shared" si="7"/>
        <v>96.068647649899233</v>
      </c>
      <c r="AE43" s="135"/>
      <c r="AF43" s="6"/>
      <c r="AG43" s="6"/>
      <c r="AH43" s="6"/>
      <c r="AJ43" s="137" t="s">
        <v>163</v>
      </c>
      <c r="AK43" s="6">
        <v>10</v>
      </c>
      <c r="AL43" s="59">
        <f>COUNT(X174,X178,X186,X190,X194)</f>
        <v>4</v>
      </c>
      <c r="AM43" s="201">
        <f>AVERAGE(S$152,S$156,S$164,S$168,S$172)</f>
        <v>0.78235862901219932</v>
      </c>
      <c r="AO43">
        <f>IF(S43&lt;'Olsen P ref'!$K$72,1,0)</f>
        <v>0</v>
      </c>
    </row>
    <row r="44" spans="1:41">
      <c r="A44" s="6" t="s">
        <v>48</v>
      </c>
      <c r="B44" s="6" t="s">
        <v>196</v>
      </c>
      <c r="C44" t="s">
        <v>12</v>
      </c>
      <c r="D44" s="8">
        <v>2</v>
      </c>
      <c r="E44" s="3">
        <v>10</v>
      </c>
      <c r="F44" s="26">
        <v>42798</v>
      </c>
      <c r="G44" s="94">
        <v>1</v>
      </c>
      <c r="I44">
        <v>3</v>
      </c>
      <c r="J44">
        <v>12</v>
      </c>
      <c r="K44"/>
      <c r="L44" s="44">
        <v>2.5</v>
      </c>
      <c r="M44">
        <v>0.64133391625376501</v>
      </c>
      <c r="N44">
        <v>0.45600000000000002</v>
      </c>
      <c r="O44">
        <f t="shared" si="11"/>
        <v>1.28266783250753</v>
      </c>
      <c r="Q44" s="51">
        <f>'Olsen P ref'!$B$76*'Soil samples'!AI44%</f>
        <v>1.707763964519333</v>
      </c>
      <c r="R44" s="105">
        <f>'Olsen P ref'!$B$76*'Soil samples'!AH44%</f>
        <v>3.2922360354806668</v>
      </c>
      <c r="S44" s="51">
        <f>IF(O44-'Olsen P ref'!$K$68&gt;0,O44-'Olsen P ref'!$K$68,0)</f>
        <v>1.0833080019072094</v>
      </c>
      <c r="T44" s="8">
        <f t="shared" si="0"/>
        <v>1.0833080019072095E-3</v>
      </c>
      <c r="U44" s="8">
        <f t="shared" si="1"/>
        <v>1.0833080019072095E-2</v>
      </c>
      <c r="V44">
        <f>U44*('Olsen P ref'!$B$75+Q44)</f>
        <v>1.1018083455885352</v>
      </c>
      <c r="W44">
        <f t="shared" si="9"/>
        <v>0.33466869741849209</v>
      </c>
      <c r="X44" s="8">
        <f t="shared" si="3"/>
        <v>334.66869741849212</v>
      </c>
      <c r="Y44" s="51">
        <f>W44*'Soil samples'!AK44/100</f>
        <v>0.14133997457209727</v>
      </c>
      <c r="Z44" s="105">
        <f t="shared" si="4"/>
        <v>141.33997457209728</v>
      </c>
      <c r="AA44" s="51">
        <f t="shared" si="5"/>
        <v>1.0833080019072094</v>
      </c>
      <c r="AB44">
        <f t="shared" si="6"/>
        <v>334.66869741849212</v>
      </c>
      <c r="AC44">
        <f>(AB44/1000)*'Soil samples'!AR44/100</f>
        <v>0.14133997457209727</v>
      </c>
      <c r="AD44" s="6">
        <f t="shared" si="7"/>
        <v>141.33997457209728</v>
      </c>
      <c r="AE44" s="135"/>
      <c r="AF44" s="6"/>
      <c r="AG44" s="6"/>
      <c r="AH44" s="6"/>
      <c r="AJ44" s="136" t="s">
        <v>170</v>
      </c>
      <c r="AK44" s="6">
        <v>5</v>
      </c>
      <c r="AL44" s="59">
        <f>COUNT(X185)</f>
        <v>1</v>
      </c>
      <c r="AM44" s="201">
        <f>AVERAGE(S$163)</f>
        <v>0.64389901303580832</v>
      </c>
      <c r="AO44">
        <f>IF(S44&lt;'Olsen P ref'!$K$72,1,0)</f>
        <v>0</v>
      </c>
    </row>
    <row r="45" spans="1:41">
      <c r="A45" s="6" t="s">
        <v>49</v>
      </c>
      <c r="B45" s="6" t="s">
        <v>196</v>
      </c>
      <c r="C45" t="s">
        <v>12</v>
      </c>
      <c r="D45" s="8">
        <v>2</v>
      </c>
      <c r="E45" s="3">
        <v>20</v>
      </c>
      <c r="F45" s="26">
        <v>42798</v>
      </c>
      <c r="G45" s="94">
        <v>1</v>
      </c>
      <c r="I45">
        <v>2</v>
      </c>
      <c r="J45">
        <v>5</v>
      </c>
      <c r="K45"/>
      <c r="L45" s="44">
        <v>2.5</v>
      </c>
      <c r="M45">
        <v>0.51905664043524702</v>
      </c>
      <c r="N45">
        <v>0.36899999999999999</v>
      </c>
      <c r="O45">
        <f t="shared" si="11"/>
        <v>1.038113280870494</v>
      </c>
      <c r="Q45" s="51">
        <f>'Olsen P ref'!$B$76*'Soil samples'!AI45%</f>
        <v>1.8599949099341124</v>
      </c>
      <c r="R45" s="105">
        <f>'Olsen P ref'!$B$76*'Soil samples'!AH45%</f>
        <v>3.1400050900658876</v>
      </c>
      <c r="S45" s="51">
        <f>IF(O45-'Olsen P ref'!$K$68&gt;0,O45-'Olsen P ref'!$K$68,0)</f>
        <v>0.83875345027017334</v>
      </c>
      <c r="T45" s="8">
        <f t="shared" si="0"/>
        <v>8.3875345027017338E-4</v>
      </c>
      <c r="U45" s="8">
        <f t="shared" si="1"/>
        <v>8.387534502701733E-3</v>
      </c>
      <c r="V45">
        <f>U45*('Olsen P ref'!$B$75+Q45)</f>
        <v>0.8543542217520953</v>
      </c>
      <c r="W45">
        <f t="shared" si="9"/>
        <v>0.27208689070442499</v>
      </c>
      <c r="X45" s="8">
        <f t="shared" si="3"/>
        <v>272.086890704425</v>
      </c>
      <c r="Y45" s="51">
        <f>W45*'Soil samples'!AK45/100</f>
        <v>0.12977640628414325</v>
      </c>
      <c r="Z45" s="105">
        <f t="shared" si="4"/>
        <v>129.77640628414323</v>
      </c>
      <c r="AA45" s="51">
        <f t="shared" si="5"/>
        <v>0.83875345027017334</v>
      </c>
      <c r="AB45">
        <f t="shared" si="6"/>
        <v>272.086890704425</v>
      </c>
      <c r="AC45">
        <f>(AB45/1000)*'Soil samples'!AR45/100</f>
        <v>0.12977640628414325</v>
      </c>
      <c r="AD45" s="6">
        <f t="shared" si="7"/>
        <v>129.77640628414323</v>
      </c>
      <c r="AE45" s="135"/>
      <c r="AF45" s="6"/>
      <c r="AG45" s="6"/>
      <c r="AH45" s="6"/>
      <c r="AJ45" s="136" t="s">
        <v>174</v>
      </c>
      <c r="AK45" s="6">
        <v>5</v>
      </c>
      <c r="AL45" s="59">
        <f>COUNT(X185)</f>
        <v>1</v>
      </c>
      <c r="AM45" s="201">
        <f>AVERAGE(S$163)</f>
        <v>0.64389901303580832</v>
      </c>
      <c r="AO45">
        <f>IF(S45&lt;'Olsen P ref'!$K$72,1,0)</f>
        <v>0</v>
      </c>
    </row>
    <row r="46" spans="1:41">
      <c r="A46" s="6" t="s">
        <v>50</v>
      </c>
      <c r="B46" s="6" t="s">
        <v>196</v>
      </c>
      <c r="C46" t="s">
        <v>12</v>
      </c>
      <c r="D46" s="8">
        <v>2</v>
      </c>
      <c r="E46" s="3">
        <v>30</v>
      </c>
      <c r="F46" s="26">
        <v>42798</v>
      </c>
      <c r="G46" s="94">
        <v>1</v>
      </c>
      <c r="I46">
        <v>4</v>
      </c>
      <c r="J46">
        <v>13</v>
      </c>
      <c r="K46"/>
      <c r="L46" s="44">
        <v>2.5</v>
      </c>
      <c r="M46">
        <v>0.44821998645641897</v>
      </c>
      <c r="N46">
        <v>0.32200000000000001</v>
      </c>
      <c r="O46">
        <f t="shared" si="11"/>
        <v>0.89643997291283795</v>
      </c>
      <c r="Q46" s="51">
        <f>'Olsen P ref'!$B$76*'Soil samples'!AI46%</f>
        <v>1.8439594008671656</v>
      </c>
      <c r="R46" s="105">
        <f>'Olsen P ref'!$B$76*'Soil samples'!AH46%</f>
        <v>3.1560405991328344</v>
      </c>
      <c r="S46" s="51">
        <f>IF(O46-'Olsen P ref'!$K$68&gt;0,O46-'Olsen P ref'!$K$68,0)</f>
        <v>0.69708014231251725</v>
      </c>
      <c r="T46" s="8">
        <f t="shared" si="0"/>
        <v>6.9708014231251723E-4</v>
      </c>
      <c r="U46" s="8">
        <f t="shared" si="1"/>
        <v>6.9708014231251725E-3</v>
      </c>
      <c r="V46">
        <f>U46*('Olsen P ref'!$B$75+Q46)</f>
        <v>0.70993401712826709</v>
      </c>
      <c r="W46">
        <f t="shared" si="9"/>
        <v>0.22494451349052075</v>
      </c>
      <c r="X46" s="8">
        <f t="shared" si="3"/>
        <v>224.94451349052073</v>
      </c>
      <c r="Y46" s="51">
        <f>W46*'Soil samples'!AK46/100</f>
        <v>0.11637238408766551</v>
      </c>
      <c r="Z46" s="105">
        <f t="shared" si="4"/>
        <v>116.37238408766551</v>
      </c>
      <c r="AA46" s="51">
        <f t="shared" si="5"/>
        <v>0.69708014231251725</v>
      </c>
      <c r="AB46">
        <f t="shared" si="6"/>
        <v>224.94451349052073</v>
      </c>
      <c r="AC46">
        <f>(AB46/1000)*'Soil samples'!AR46/100</f>
        <v>0.11637238408766551</v>
      </c>
      <c r="AD46" s="6">
        <f t="shared" si="7"/>
        <v>116.37238408766551</v>
      </c>
      <c r="AE46" s="135"/>
      <c r="AF46" s="6"/>
      <c r="AG46" s="6"/>
      <c r="AH46" s="6"/>
      <c r="AJ46" s="137" t="s">
        <v>185</v>
      </c>
      <c r="AK46" s="6">
        <v>5</v>
      </c>
      <c r="AL46" s="59">
        <f>COUNT(X197,X200,X203,X207,X211)</f>
        <v>0</v>
      </c>
      <c r="AM46" s="201">
        <f>AVERAGE(S$175,S$178,S$181,S$185,S$189)</f>
        <v>0.16373418266397871</v>
      </c>
      <c r="AO46">
        <f>IF(S46&lt;'Olsen P ref'!$K$72,1,0)</f>
        <v>0</v>
      </c>
    </row>
    <row r="47" spans="1:41">
      <c r="A47" s="206" t="s">
        <v>51</v>
      </c>
      <c r="B47" s="6" t="s">
        <v>196</v>
      </c>
      <c r="C47" t="s">
        <v>12</v>
      </c>
      <c r="D47" s="8">
        <v>3</v>
      </c>
      <c r="E47" s="3">
        <v>5</v>
      </c>
      <c r="F47" s="26" t="s">
        <v>469</v>
      </c>
      <c r="G47" s="94" t="s">
        <v>469</v>
      </c>
      <c r="H47" s="94" t="s">
        <v>469</v>
      </c>
      <c r="I47" s="94" t="s">
        <v>469</v>
      </c>
      <c r="J47" s="94" t="s">
        <v>469</v>
      </c>
      <c r="K47" s="94" t="s">
        <v>469</v>
      </c>
      <c r="L47" s="36" t="s">
        <v>469</v>
      </c>
      <c r="M47" s="94" t="s">
        <v>469</v>
      </c>
      <c r="N47" s="94" t="s">
        <v>469</v>
      </c>
      <c r="O47" s="94" t="s">
        <v>469</v>
      </c>
      <c r="P47" s="8" t="s">
        <v>469</v>
      </c>
      <c r="Q47" s="51">
        <f>'Olsen P ref'!$B$76*'Soil samples'!AI47%</f>
        <v>2.1061872909699</v>
      </c>
      <c r="R47" s="105">
        <f>'Olsen P ref'!$B$76*'Soil samples'!AH47%</f>
        <v>2.8938127090301</v>
      </c>
      <c r="S47" s="51" t="e">
        <f>IF(O47-'Olsen P ref'!$K$68&gt;0,O47-'Olsen P ref'!$K$68,0)</f>
        <v>#VALUE!</v>
      </c>
      <c r="T47" s="8" t="e">
        <f t="shared" si="0"/>
        <v>#VALUE!</v>
      </c>
      <c r="U47" s="8" t="e">
        <f t="shared" si="1"/>
        <v>#VALUE!</v>
      </c>
      <c r="V47" t="e">
        <f>U47*('Olsen P ref'!$B$75+Q47)</f>
        <v>#VALUE!</v>
      </c>
      <c r="W47" t="e">
        <f t="shared" si="9"/>
        <v>#VALUE!</v>
      </c>
      <c r="X47" s="8" t="e">
        <f t="shared" si="3"/>
        <v>#VALUE!</v>
      </c>
      <c r="Y47" s="51" t="e">
        <f>W47*'Soil samples'!AK47/100</f>
        <v>#VALUE!</v>
      </c>
      <c r="Z47" s="105" t="e">
        <f t="shared" si="4"/>
        <v>#VALUE!</v>
      </c>
      <c r="AA47" s="51">
        <f>AM26</f>
        <v>0.49883219115576533</v>
      </c>
      <c r="AB47">
        <f>AM4</f>
        <v>217.76358228303496</v>
      </c>
      <c r="AC47">
        <f>(AB47/1000)*'Soil samples'!AR47/100</f>
        <v>7.8266744129241866E-3</v>
      </c>
      <c r="AD47" s="6">
        <f t="shared" si="7"/>
        <v>7.826674412924187</v>
      </c>
      <c r="AE47" s="6"/>
      <c r="AF47" s="6"/>
      <c r="AG47" s="6"/>
      <c r="AH47" s="6"/>
      <c r="AO47" t="e">
        <f>IF(S47&lt;'Olsen P ref'!$K$72,1,0)</f>
        <v>#VALUE!</v>
      </c>
    </row>
    <row r="48" spans="1:41">
      <c r="A48" s="6" t="s">
        <v>52</v>
      </c>
      <c r="B48" s="6" t="s">
        <v>196</v>
      </c>
      <c r="C48" t="s">
        <v>12</v>
      </c>
      <c r="D48" s="8">
        <v>4</v>
      </c>
      <c r="E48" s="3">
        <v>5</v>
      </c>
      <c r="F48" s="26">
        <v>42765</v>
      </c>
      <c r="G48" s="94">
        <v>1</v>
      </c>
      <c r="I48">
        <v>10</v>
      </c>
      <c r="J48">
        <v>9</v>
      </c>
      <c r="K48"/>
      <c r="L48" s="44">
        <v>2.5</v>
      </c>
      <c r="M48">
        <v>0.29918929229986602</v>
      </c>
      <c r="N48">
        <v>0.215</v>
      </c>
      <c r="O48">
        <f t="shared" si="11"/>
        <v>0.59837858459973203</v>
      </c>
      <c r="Q48" s="51">
        <f>'Olsen P ref'!$B$76*'Soil samples'!AI48%</f>
        <v>3.596189164370982</v>
      </c>
      <c r="R48" s="105">
        <f>'Olsen P ref'!$B$76*'Soil samples'!AH48%</f>
        <v>1.4038108356290178</v>
      </c>
      <c r="S48" s="51">
        <f>IF(O48-'Olsen P ref'!$K$68&gt;0,O48-'Olsen P ref'!$K$68,0)</f>
        <v>0.39901875399941134</v>
      </c>
      <c r="T48" s="8">
        <f t="shared" si="0"/>
        <v>3.9901875399941131E-4</v>
      </c>
      <c r="U48" s="8">
        <f t="shared" si="1"/>
        <v>3.9901875399941129E-3</v>
      </c>
      <c r="V48">
        <f>U48*('Olsen P ref'!$B$75+Q48)</f>
        <v>0.41336822319454625</v>
      </c>
      <c r="W48">
        <f t="shared" si="9"/>
        <v>0.29446148491176499</v>
      </c>
      <c r="X48" s="8">
        <f t="shared" si="3"/>
        <v>294.46148491176501</v>
      </c>
      <c r="Y48" s="51">
        <f>W48*'Soil samples'!AK48/100</f>
        <v>3.697992124698412E-2</v>
      </c>
      <c r="Z48" s="105">
        <f t="shared" si="4"/>
        <v>36.979921246984119</v>
      </c>
      <c r="AA48" s="51">
        <f t="shared" si="5"/>
        <v>0.39901875399941134</v>
      </c>
      <c r="AB48">
        <f t="shared" si="6"/>
        <v>294.46148491176501</v>
      </c>
      <c r="AC48">
        <f>(AB48/1000)*'Soil samples'!AR48/100</f>
        <v>3.697992124698412E-2</v>
      </c>
      <c r="AD48" s="6">
        <f t="shared" si="7"/>
        <v>36.979921246984119</v>
      </c>
      <c r="AE48" s="135"/>
      <c r="AF48" s="6"/>
      <c r="AG48" s="6"/>
      <c r="AH48" s="6"/>
      <c r="AO48">
        <f>IF(S48&lt;'Olsen P ref'!$K$72,1,0)</f>
        <v>0</v>
      </c>
    </row>
    <row r="49" spans="1:47">
      <c r="A49" s="6" t="s">
        <v>53</v>
      </c>
      <c r="B49" s="6" t="s">
        <v>196</v>
      </c>
      <c r="C49" t="s">
        <v>12</v>
      </c>
      <c r="D49" s="8">
        <v>4</v>
      </c>
      <c r="E49" s="3">
        <v>10</v>
      </c>
      <c r="F49" s="26">
        <v>42765</v>
      </c>
      <c r="G49" s="94">
        <v>1</v>
      </c>
      <c r="I49">
        <v>12</v>
      </c>
      <c r="J49">
        <v>10</v>
      </c>
      <c r="K49"/>
      <c r="L49" s="44">
        <v>2.5</v>
      </c>
      <c r="M49">
        <v>0.43578877090354201</v>
      </c>
      <c r="N49">
        <v>0.314</v>
      </c>
      <c r="O49">
        <f t="shared" si="11"/>
        <v>0.87157754180708391</v>
      </c>
      <c r="Q49" s="51">
        <f>'Olsen P ref'!$B$76*'Soil samples'!AI49%</f>
        <v>1.7451937443968524</v>
      </c>
      <c r="R49" s="105">
        <f>'Olsen P ref'!$B$76*'Soil samples'!AH49%</f>
        <v>3.2548062556031478</v>
      </c>
      <c r="S49" s="51">
        <f>IF(O49-'Olsen P ref'!$K$68&gt;0,O49-'Olsen P ref'!$K$68,0)</f>
        <v>0.67221771120676321</v>
      </c>
      <c r="T49" s="8">
        <f t="shared" si="0"/>
        <v>6.7221771120676321E-4</v>
      </c>
      <c r="U49" s="8">
        <f t="shared" si="1"/>
        <v>6.7221771120676314E-3</v>
      </c>
      <c r="V49">
        <f>U49*('Olsen P ref'!$B$75+Q49)</f>
        <v>0.68394921265147135</v>
      </c>
      <c r="W49">
        <f t="shared" si="9"/>
        <v>0.21013515365900906</v>
      </c>
      <c r="X49" s="8">
        <f t="shared" si="3"/>
        <v>210.13515365900906</v>
      </c>
      <c r="Y49" s="51">
        <f>W49*'Soil samples'!AK49/100</f>
        <v>0.12435564584429055</v>
      </c>
      <c r="Z49" s="105">
        <f t="shared" si="4"/>
        <v>124.35564584429056</v>
      </c>
      <c r="AA49" s="51">
        <f t="shared" si="5"/>
        <v>0.67221771120676321</v>
      </c>
      <c r="AB49">
        <f t="shared" si="6"/>
        <v>210.13515365900906</v>
      </c>
      <c r="AC49">
        <f>(AB49/1000)*'Soil samples'!AR49/100</f>
        <v>0.12435564584429055</v>
      </c>
      <c r="AD49" s="6">
        <f t="shared" si="7"/>
        <v>124.35564584429056</v>
      </c>
      <c r="AE49" s="135"/>
      <c r="AF49" s="6"/>
      <c r="AG49" s="6"/>
      <c r="AH49" s="6"/>
      <c r="AO49">
        <f>IF(S49&lt;'Olsen P ref'!$K$72,1,0)</f>
        <v>0</v>
      </c>
    </row>
    <row r="50" spans="1:47">
      <c r="A50" s="6" t="s">
        <v>54</v>
      </c>
      <c r="B50" s="6" t="s">
        <v>196</v>
      </c>
      <c r="C50" t="s">
        <v>12</v>
      </c>
      <c r="D50" s="8">
        <v>4</v>
      </c>
      <c r="E50" s="3">
        <v>20</v>
      </c>
      <c r="F50" s="26">
        <v>42765</v>
      </c>
      <c r="G50" s="94">
        <v>1</v>
      </c>
      <c r="I50">
        <v>12</v>
      </c>
      <c r="J50">
        <v>16</v>
      </c>
      <c r="K50"/>
      <c r="L50" s="44">
        <v>2.5</v>
      </c>
      <c r="M50">
        <v>0.46338462516690998</v>
      </c>
      <c r="N50">
        <v>0.33400000000000002</v>
      </c>
      <c r="O50">
        <f t="shared" si="11"/>
        <v>0.92676925033381996</v>
      </c>
      <c r="Q50" s="51">
        <f>'Olsen P ref'!$B$76*'Soil samples'!AI50%</f>
        <v>1.7656008380306281</v>
      </c>
      <c r="R50" s="105">
        <f>'Olsen P ref'!$B$76*'Soil samples'!AH50%</f>
        <v>3.2343991619693719</v>
      </c>
      <c r="S50" s="51">
        <f>IF(O50-'Olsen P ref'!$K$68&gt;0,O50-'Olsen P ref'!$K$68,0)</f>
        <v>0.72740941973349926</v>
      </c>
      <c r="T50" s="8">
        <f t="shared" si="0"/>
        <v>7.274094197334993E-4</v>
      </c>
      <c r="U50" s="8">
        <f t="shared" si="1"/>
        <v>7.274094197334993E-3</v>
      </c>
      <c r="V50">
        <f>U50*('Olsen P ref'!$B$75+Q50)</f>
        <v>0.74025256654422766</v>
      </c>
      <c r="W50">
        <f t="shared" si="9"/>
        <v>0.22886864900543077</v>
      </c>
      <c r="X50" s="8">
        <f t="shared" si="3"/>
        <v>228.86864900543077</v>
      </c>
      <c r="Y50" s="51">
        <f>W50*'Soil samples'!AK50/100</f>
        <v>0.17835645338316625</v>
      </c>
      <c r="Z50" s="105">
        <f t="shared" si="4"/>
        <v>178.35645338316627</v>
      </c>
      <c r="AA50" s="51">
        <f t="shared" si="5"/>
        <v>0.72740941973349926</v>
      </c>
      <c r="AB50">
        <f t="shared" si="6"/>
        <v>228.86864900543077</v>
      </c>
      <c r="AC50">
        <f>(AB50/1000)*'Soil samples'!AR50/100</f>
        <v>0.17835645338316625</v>
      </c>
      <c r="AD50" s="6">
        <f t="shared" si="7"/>
        <v>178.35645338316627</v>
      </c>
      <c r="AE50" s="135"/>
      <c r="AF50" s="6"/>
      <c r="AG50" s="6"/>
      <c r="AH50" s="6"/>
      <c r="AO50">
        <f>IF(S50&lt;'Olsen P ref'!$K$72,1,0)</f>
        <v>0</v>
      </c>
    </row>
    <row r="51" spans="1:47">
      <c r="A51" s="6" t="s">
        <v>55</v>
      </c>
      <c r="B51" s="6" t="s">
        <v>196</v>
      </c>
      <c r="C51" t="s">
        <v>12</v>
      </c>
      <c r="D51" s="8">
        <v>5</v>
      </c>
      <c r="E51" s="3">
        <v>5</v>
      </c>
      <c r="F51" s="26">
        <v>42787</v>
      </c>
      <c r="G51" s="93">
        <v>1</v>
      </c>
      <c r="I51">
        <v>12</v>
      </c>
      <c r="J51">
        <v>18</v>
      </c>
      <c r="K51"/>
      <c r="L51" s="44">
        <v>2.5</v>
      </c>
      <c r="M51">
        <v>0.19570483881223399</v>
      </c>
      <c r="N51">
        <v>0.14000000000000001</v>
      </c>
      <c r="O51">
        <f t="shared" si="11"/>
        <v>0.39140967762446799</v>
      </c>
      <c r="Q51" s="51">
        <f>'Olsen P ref'!$B$76*'Soil samples'!AI51%</f>
        <v>3.3830949405175206</v>
      </c>
      <c r="R51" s="105">
        <f>'Olsen P ref'!$B$76*'Soil samples'!AH51%</f>
        <v>1.6169050594824794</v>
      </c>
      <c r="S51" s="51">
        <f>IF(O51-'Olsen P ref'!$K$68&gt;0,O51-'Olsen P ref'!$K$68,0)</f>
        <v>0.19204984702414732</v>
      </c>
      <c r="T51" s="8">
        <f t="shared" si="0"/>
        <v>1.9204984702414732E-4</v>
      </c>
      <c r="U51" s="8">
        <f t="shared" si="1"/>
        <v>1.9204984702414732E-3</v>
      </c>
      <c r="V51">
        <f>U51*('Olsen P ref'!$B$75+Q51)</f>
        <v>0.1985470756820929</v>
      </c>
      <c r="W51">
        <f t="shared" si="9"/>
        <v>0.12279451691841548</v>
      </c>
      <c r="X51" s="8">
        <f t="shared" si="3"/>
        <v>122.79451691841547</v>
      </c>
      <c r="Y51" s="51">
        <f>W51*'Soil samples'!AK51/100</f>
        <v>1.1682509933134329E-2</v>
      </c>
      <c r="Z51" s="105">
        <f t="shared" si="4"/>
        <v>11.68250993313433</v>
      </c>
      <c r="AA51" s="51">
        <f t="shared" si="5"/>
        <v>0.19204984702414732</v>
      </c>
      <c r="AB51">
        <f t="shared" si="6"/>
        <v>122.79451691841547</v>
      </c>
      <c r="AC51">
        <f>(AB51/1000)*'Soil samples'!AR51/100</f>
        <v>1.1682509933134329E-2</v>
      </c>
      <c r="AD51" s="6">
        <f t="shared" si="7"/>
        <v>11.68250993313433</v>
      </c>
      <c r="AE51" s="135"/>
      <c r="AF51" s="6"/>
      <c r="AG51" s="6"/>
      <c r="AH51" s="6"/>
      <c r="AO51">
        <f>IF(S51&lt;'Olsen P ref'!$K$72,1,0)</f>
        <v>0</v>
      </c>
    </row>
    <row r="52" spans="1:47">
      <c r="A52" s="6" t="s">
        <v>56</v>
      </c>
      <c r="B52" s="6" t="s">
        <v>196</v>
      </c>
      <c r="C52" t="s">
        <v>12</v>
      </c>
      <c r="D52" s="8">
        <v>5</v>
      </c>
      <c r="E52" s="3">
        <v>10</v>
      </c>
      <c r="F52" s="26">
        <v>42787</v>
      </c>
      <c r="G52" s="93">
        <v>1</v>
      </c>
      <c r="I52">
        <v>10</v>
      </c>
      <c r="J52">
        <v>4</v>
      </c>
      <c r="K52"/>
      <c r="L52" s="44">
        <v>2.5</v>
      </c>
      <c r="M52">
        <v>0.30608825586570898</v>
      </c>
      <c r="N52">
        <v>0.22</v>
      </c>
      <c r="O52">
        <f t="shared" si="11"/>
        <v>0.61217651173141796</v>
      </c>
      <c r="Q52" s="51">
        <f>'Olsen P ref'!$B$76*'Soil samples'!AI52%</f>
        <v>3.1687673886842607</v>
      </c>
      <c r="R52" s="105">
        <f>'Olsen P ref'!$B$76*'Soil samples'!AH52%</f>
        <v>1.8312326113157393</v>
      </c>
      <c r="S52" s="51">
        <f>IF(O52-'Olsen P ref'!$K$68&gt;0,O52-'Olsen P ref'!$K$68,0)</f>
        <v>0.41281668113109726</v>
      </c>
      <c r="T52" s="8">
        <f t="shared" si="0"/>
        <v>4.1281668113109726E-4</v>
      </c>
      <c r="U52" s="8">
        <f t="shared" si="1"/>
        <v>4.1281668113109724E-3</v>
      </c>
      <c r="V52">
        <f>U52*('Olsen P ref'!$B$75+Q52)</f>
        <v>0.42589788149782815</v>
      </c>
      <c r="W52">
        <f t="shared" si="9"/>
        <v>0.23257443039517564</v>
      </c>
      <c r="X52" s="8">
        <f t="shared" si="3"/>
        <v>232.57443039517565</v>
      </c>
      <c r="Y52" s="51">
        <f>W52*'Soil samples'!AK52/100</f>
        <v>5.3799420390805625E-2</v>
      </c>
      <c r="Z52" s="105">
        <f t="shared" si="4"/>
        <v>53.799420390805622</v>
      </c>
      <c r="AA52" s="51">
        <f t="shared" si="5"/>
        <v>0.41281668113109726</v>
      </c>
      <c r="AB52">
        <f t="shared" si="6"/>
        <v>232.57443039517565</v>
      </c>
      <c r="AC52">
        <f>(AB52/1000)*'Soil samples'!AR52/100</f>
        <v>5.3799420390805625E-2</v>
      </c>
      <c r="AD52" s="6">
        <f t="shared" si="7"/>
        <v>53.799420390805622</v>
      </c>
      <c r="AE52" s="135"/>
      <c r="AF52" s="6"/>
      <c r="AG52" s="6"/>
      <c r="AH52" s="6"/>
      <c r="AO52">
        <f>IF(S52&lt;'Olsen P ref'!$K$72,1,0)</f>
        <v>0</v>
      </c>
    </row>
    <row r="53" spans="1:47">
      <c r="A53" s="6" t="s">
        <v>57</v>
      </c>
      <c r="B53" s="6" t="s">
        <v>196</v>
      </c>
      <c r="C53" t="s">
        <v>12</v>
      </c>
      <c r="D53" s="8">
        <v>6</v>
      </c>
      <c r="E53" s="3">
        <v>5</v>
      </c>
      <c r="F53" s="26">
        <v>42765</v>
      </c>
      <c r="G53" s="94">
        <v>1</v>
      </c>
      <c r="I53">
        <v>11</v>
      </c>
      <c r="J53">
        <v>4</v>
      </c>
      <c r="K53"/>
      <c r="L53" s="44">
        <v>2.5</v>
      </c>
      <c r="M53">
        <v>0.36541934253195102</v>
      </c>
      <c r="N53">
        <v>0.26300000000000001</v>
      </c>
      <c r="O53">
        <f t="shared" si="11"/>
        <v>0.73083868506390204</v>
      </c>
      <c r="Q53" s="51">
        <f>'Olsen P ref'!$B$76*'Soil samples'!AI53%</f>
        <v>2.3897635325848334</v>
      </c>
      <c r="R53" s="105">
        <f>'Olsen P ref'!$B$76*'Soil samples'!AH53%</f>
        <v>2.6102364674151666</v>
      </c>
      <c r="S53" s="51">
        <f>IF(O53-'Olsen P ref'!$K$68&gt;0,O53-'Olsen P ref'!$K$68,0)</f>
        <v>0.53147885446358134</v>
      </c>
      <c r="T53" s="8">
        <f t="shared" si="0"/>
        <v>5.3147885446358132E-4</v>
      </c>
      <c r="U53" s="8">
        <f t="shared" si="1"/>
        <v>5.314788544635813E-3</v>
      </c>
      <c r="V53">
        <f>U53*('Olsen P ref'!$B$75+Q53)</f>
        <v>0.54417994231095157</v>
      </c>
      <c r="W53">
        <f t="shared" si="9"/>
        <v>0.20847917386191278</v>
      </c>
      <c r="X53" s="8">
        <f t="shared" si="3"/>
        <v>208.47917386191278</v>
      </c>
      <c r="Y53" s="51">
        <f>W53*'Soil samples'!AK53/100</f>
        <v>4.6266178695277098E-2</v>
      </c>
      <c r="Z53" s="105">
        <f t="shared" si="4"/>
        <v>46.266178695277098</v>
      </c>
      <c r="AA53" s="51">
        <f t="shared" si="5"/>
        <v>0.53147885446358134</v>
      </c>
      <c r="AB53">
        <f t="shared" si="6"/>
        <v>208.47917386191278</v>
      </c>
      <c r="AC53">
        <f>(AB53/1000)*'Soil samples'!AR53/100</f>
        <v>4.6266178695277098E-2</v>
      </c>
      <c r="AD53" s="6">
        <f t="shared" si="7"/>
        <v>46.266178695277098</v>
      </c>
      <c r="AE53" s="135"/>
      <c r="AF53" s="6"/>
      <c r="AG53" s="6"/>
      <c r="AH53" s="6"/>
      <c r="AO53">
        <f>IF(S53&lt;'Olsen P ref'!$K$72,1,0)</f>
        <v>0</v>
      </c>
    </row>
    <row r="54" spans="1:47">
      <c r="A54" s="6" t="s">
        <v>58</v>
      </c>
      <c r="B54" s="6" t="s">
        <v>196</v>
      </c>
      <c r="C54" t="s">
        <v>12</v>
      </c>
      <c r="D54" s="8">
        <v>6</v>
      </c>
      <c r="E54" s="3">
        <v>10</v>
      </c>
      <c r="F54" s="26">
        <v>42765</v>
      </c>
      <c r="G54" s="94">
        <v>1</v>
      </c>
      <c r="I54">
        <v>9</v>
      </c>
      <c r="J54">
        <v>5</v>
      </c>
      <c r="K54"/>
      <c r="L54" s="44">
        <v>2.5</v>
      </c>
      <c r="M54">
        <v>0.35300120811343499</v>
      </c>
      <c r="N54">
        <v>0.254</v>
      </c>
      <c r="O54">
        <f t="shared" si="11"/>
        <v>0.70600241622686988</v>
      </c>
      <c r="Q54" s="51">
        <f>'Olsen P ref'!$B$76*'Soil samples'!AI54%</f>
        <v>2.3462819930334691</v>
      </c>
      <c r="R54" s="105">
        <f>'Olsen P ref'!$B$76*'Soil samples'!AH54%</f>
        <v>2.6537180069665305</v>
      </c>
      <c r="S54" s="51">
        <f>IF(O54-'Olsen P ref'!$K$68&gt;0,O54-'Olsen P ref'!$K$68,0)</f>
        <v>0.50664258562654918</v>
      </c>
      <c r="T54" s="8">
        <f t="shared" si="0"/>
        <v>5.0664258562654917E-4</v>
      </c>
      <c r="U54" s="8">
        <f t="shared" si="1"/>
        <v>5.0664258562654919E-3</v>
      </c>
      <c r="V54">
        <f>U54*('Olsen P ref'!$B$75+Q54)</f>
        <v>0.51852984938214408</v>
      </c>
      <c r="W54">
        <f t="shared" si="9"/>
        <v>0.19539749439122825</v>
      </c>
      <c r="X54" s="8">
        <f t="shared" si="3"/>
        <v>195.39749439122824</v>
      </c>
      <c r="Y54" s="51">
        <f>W54*'Soil samples'!AK54/100</f>
        <v>3.670154273926815E-2</v>
      </c>
      <c r="Z54" s="105">
        <f t="shared" si="4"/>
        <v>36.701542739268149</v>
      </c>
      <c r="AA54" s="51">
        <f t="shared" si="5"/>
        <v>0.50664258562654918</v>
      </c>
      <c r="AB54">
        <f t="shared" si="6"/>
        <v>195.39749439122824</v>
      </c>
      <c r="AC54">
        <f>(AB54/1000)*'Soil samples'!AR54/100</f>
        <v>3.670154273926815E-2</v>
      </c>
      <c r="AD54" s="6">
        <f t="shared" si="7"/>
        <v>36.701542739268149</v>
      </c>
      <c r="AE54" s="135"/>
      <c r="AF54" s="6"/>
      <c r="AG54" s="6"/>
      <c r="AH54" s="6"/>
      <c r="AO54">
        <f>IF(S54&lt;'Olsen P ref'!$K$72,1,0)</f>
        <v>0</v>
      </c>
    </row>
    <row r="55" spans="1:47">
      <c r="A55" s="6" t="s">
        <v>59</v>
      </c>
      <c r="B55" s="6" t="s">
        <v>196</v>
      </c>
      <c r="C55" t="s">
        <v>12</v>
      </c>
      <c r="D55" s="8">
        <v>6</v>
      </c>
      <c r="E55" s="3">
        <v>20</v>
      </c>
      <c r="F55" s="26">
        <v>42765</v>
      </c>
      <c r="G55" s="94">
        <v>1</v>
      </c>
      <c r="I55">
        <v>12</v>
      </c>
      <c r="J55">
        <v>9</v>
      </c>
      <c r="K55"/>
      <c r="L55" s="44">
        <v>2.5</v>
      </c>
      <c r="M55">
        <v>0.51443695555414204</v>
      </c>
      <c r="N55">
        <v>0.371</v>
      </c>
      <c r="O55">
        <f t="shared" si="11"/>
        <v>1.0288739111082841</v>
      </c>
      <c r="Q55" s="51">
        <f>'Olsen P ref'!$B$76*'Soil samples'!AI55%</f>
        <v>1.9618099639429187</v>
      </c>
      <c r="R55" s="105">
        <f>'Olsen P ref'!$B$76*'Soil samples'!AH55%</f>
        <v>3.038190036057081</v>
      </c>
      <c r="S55" s="51">
        <f>IF(O55-'Olsen P ref'!$K$68&gt;0,O55-'Olsen P ref'!$K$68,0)</f>
        <v>0.82951408050796338</v>
      </c>
      <c r="T55" s="8">
        <f t="shared" si="0"/>
        <v>8.2951408050796341E-4</v>
      </c>
      <c r="U55" s="8">
        <f t="shared" si="1"/>
        <v>8.2951408050796344E-3</v>
      </c>
      <c r="V55">
        <f>U55*('Olsen P ref'!$B$75+Q55)</f>
        <v>0.84578757039167807</v>
      </c>
      <c r="W55">
        <f t="shared" si="9"/>
        <v>0.27838534138875953</v>
      </c>
      <c r="X55" s="8">
        <f t="shared" si="3"/>
        <v>278.38534138875951</v>
      </c>
      <c r="Y55" s="51">
        <f>W55*'Soil samples'!AK55/100</f>
        <v>8.599968015742579E-2</v>
      </c>
      <c r="Z55" s="105">
        <f t="shared" si="4"/>
        <v>85.999680157425786</v>
      </c>
      <c r="AA55" s="51">
        <f t="shared" si="5"/>
        <v>0.82951408050796338</v>
      </c>
      <c r="AB55">
        <f t="shared" si="6"/>
        <v>278.38534138875951</v>
      </c>
      <c r="AC55">
        <f>(AB55/1000)*'Soil samples'!AR55/100</f>
        <v>8.599968015742579E-2</v>
      </c>
      <c r="AD55" s="6">
        <f t="shared" si="7"/>
        <v>85.999680157425786</v>
      </c>
      <c r="AE55" s="135"/>
      <c r="AF55" s="6"/>
      <c r="AG55" s="6"/>
      <c r="AH55" s="6"/>
      <c r="AO55">
        <f>IF(S55&lt;'Olsen P ref'!$K$72,1,0)</f>
        <v>0</v>
      </c>
    </row>
    <row r="56" spans="1:47" s="110" customFormat="1">
      <c r="A56" s="111" t="s">
        <v>60</v>
      </c>
      <c r="B56" s="111" t="s">
        <v>196</v>
      </c>
      <c r="C56" s="110" t="s">
        <v>13</v>
      </c>
      <c r="D56" s="111">
        <v>1</v>
      </c>
      <c r="E56" s="112">
        <v>5</v>
      </c>
      <c r="F56" s="113">
        <v>42768</v>
      </c>
      <c r="G56" s="114">
        <v>1</v>
      </c>
      <c r="H56" s="112"/>
      <c r="I56" s="110">
        <v>10</v>
      </c>
      <c r="J56" s="110">
        <v>20</v>
      </c>
      <c r="L56" s="115">
        <v>5</v>
      </c>
      <c r="M56" s="116">
        <v>0.37921726966363578</v>
      </c>
      <c r="N56" s="117">
        <v>0.27300000000000002</v>
      </c>
      <c r="O56">
        <f t="shared" si="11"/>
        <v>0.37921726966363578</v>
      </c>
      <c r="P56" s="112"/>
      <c r="Q56" s="51">
        <f>'Olsen P ref'!$B$76*'Soil samples'!AI56%</f>
        <v>2.0680386510836337</v>
      </c>
      <c r="R56" s="105">
        <f>'Olsen P ref'!$B$76*'Soil samples'!AH56%</f>
        <v>2.9319613489163663</v>
      </c>
      <c r="S56" s="51">
        <f>IF(O56-'Olsen P ref'!$K$68&gt;0,O56-'Olsen P ref'!$K$68,0)</f>
        <v>0.17985743906331511</v>
      </c>
      <c r="T56" s="8">
        <f t="shared" si="0"/>
        <v>1.7985743906331512E-4</v>
      </c>
      <c r="U56" s="8">
        <f t="shared" si="1"/>
        <v>1.7985743906331511E-3</v>
      </c>
      <c r="V56">
        <f>U56*('Olsen P ref'!$B$75+Q56)</f>
        <v>0.18357696041999366</v>
      </c>
      <c r="W56">
        <f t="shared" si="9"/>
        <v>6.2612339854971999E-2</v>
      </c>
      <c r="X56" s="8">
        <f t="shared" si="3"/>
        <v>62.612339854971999</v>
      </c>
      <c r="Y56" s="51">
        <f>W56*'Soil samples'!AK56/100</f>
        <v>3.3884635354322422E-2</v>
      </c>
      <c r="Z56" s="105">
        <f t="shared" si="4"/>
        <v>33.884635354322427</v>
      </c>
      <c r="AA56" s="51">
        <f t="shared" si="5"/>
        <v>0.17985743906331511</v>
      </c>
      <c r="AB56">
        <f t="shared" si="6"/>
        <v>62.612339854971999</v>
      </c>
      <c r="AC56">
        <f>(AB56/1000)*'Soil samples'!AR56/100</f>
        <v>3.3884635354322422E-2</v>
      </c>
      <c r="AD56" s="6">
        <f t="shared" si="7"/>
        <v>33.884635354322427</v>
      </c>
      <c r="AE56" s="135"/>
      <c r="AF56" s="6"/>
      <c r="AG56" s="6"/>
      <c r="AH56" s="6"/>
      <c r="AJ56" s="6"/>
      <c r="AK56" s="6"/>
      <c r="AL56" s="59"/>
      <c r="AM56" s="6"/>
      <c r="AN56" s="59"/>
      <c r="AO56">
        <f>IF(S56&lt;'Olsen P ref'!$K$72,1,0)</f>
        <v>0</v>
      </c>
      <c r="AP56" s="59"/>
      <c r="AQ56" s="59"/>
      <c r="AR56"/>
      <c r="AS56"/>
      <c r="AT56"/>
      <c r="AU56" s="6"/>
    </row>
    <row r="57" spans="1:47">
      <c r="A57" s="6" t="s">
        <v>61</v>
      </c>
      <c r="B57" s="6" t="s">
        <v>196</v>
      </c>
      <c r="C57" t="s">
        <v>13</v>
      </c>
      <c r="D57" s="8">
        <v>1</v>
      </c>
      <c r="E57" s="3">
        <v>10</v>
      </c>
      <c r="F57" s="26">
        <v>42768</v>
      </c>
      <c r="G57" s="93">
        <v>1</v>
      </c>
      <c r="I57">
        <v>9</v>
      </c>
      <c r="J57">
        <v>3</v>
      </c>
      <c r="K57"/>
      <c r="L57" s="44">
        <v>5</v>
      </c>
      <c r="M57">
        <v>0.30056908501303498</v>
      </c>
      <c r="N57">
        <v>0.216</v>
      </c>
      <c r="O57">
        <f t="shared" si="11"/>
        <v>0.30056908501303498</v>
      </c>
      <c r="Q57" s="51">
        <f>'Olsen P ref'!$B$76*'Soil samples'!AI57%</f>
        <v>1.2178050621846062</v>
      </c>
      <c r="R57" s="105">
        <f>'Olsen P ref'!$B$76*'Soil samples'!AH57%</f>
        <v>3.7821949378153938</v>
      </c>
      <c r="S57" s="51">
        <f>IF(O57-'Olsen P ref'!$K$68&gt;0,O57-'Olsen P ref'!$K$68,0)</f>
        <v>0.10120925441271431</v>
      </c>
      <c r="T57" s="8">
        <f t="shared" si="0"/>
        <v>1.0120925441271431E-4</v>
      </c>
      <c r="U57" s="8">
        <f t="shared" si="1"/>
        <v>1.0120925441271431E-3</v>
      </c>
      <c r="V57">
        <f>U57*('Olsen P ref'!$B$75+Q57)</f>
        <v>0.10244178583635165</v>
      </c>
      <c r="W57">
        <f t="shared" si="9"/>
        <v>2.7085273900642019E-2</v>
      </c>
      <c r="X57" s="8">
        <f t="shared" si="3"/>
        <v>27.085273900642019</v>
      </c>
      <c r="Y57" s="51">
        <f>W57*'Soil samples'!AK57/100</f>
        <v>2.0935003353516824E-2</v>
      </c>
      <c r="Z57" s="105">
        <f t="shared" si="4"/>
        <v>20.935003353516827</v>
      </c>
      <c r="AA57" s="51">
        <f t="shared" si="5"/>
        <v>0.10120925441271431</v>
      </c>
      <c r="AB57">
        <f t="shared" si="6"/>
        <v>27.085273900642019</v>
      </c>
      <c r="AC57">
        <f>(AB57/1000)*'Soil samples'!AR57/100</f>
        <v>2.0935003353516824E-2</v>
      </c>
      <c r="AD57" s="6">
        <f t="shared" si="7"/>
        <v>20.935003353516827</v>
      </c>
      <c r="AE57" s="135"/>
      <c r="AF57" s="6"/>
      <c r="AG57" s="6"/>
      <c r="AH57" s="6"/>
      <c r="AO57">
        <f>IF(S57&lt;'Olsen P ref'!$K$72,1,0)</f>
        <v>0</v>
      </c>
    </row>
    <row r="58" spans="1:47">
      <c r="A58" s="6" t="s">
        <v>62</v>
      </c>
      <c r="B58" s="6" t="s">
        <v>196</v>
      </c>
      <c r="C58" t="s">
        <v>13</v>
      </c>
      <c r="D58" s="8">
        <v>1</v>
      </c>
      <c r="E58" s="3">
        <v>20</v>
      </c>
      <c r="F58" s="26">
        <v>42768</v>
      </c>
      <c r="G58" s="93">
        <v>1</v>
      </c>
      <c r="I58">
        <v>11</v>
      </c>
      <c r="J58">
        <v>12</v>
      </c>
      <c r="K58"/>
      <c r="L58" s="44">
        <v>5</v>
      </c>
      <c r="M58">
        <v>0.29091053602085598</v>
      </c>
      <c r="N58">
        <v>0.20899999999999999</v>
      </c>
      <c r="O58">
        <f t="shared" si="11"/>
        <v>0.29091053602085598</v>
      </c>
      <c r="Q58" s="51">
        <f>'Olsen P ref'!$B$76*'Soil samples'!AI58%</f>
        <v>1.0007567671870568</v>
      </c>
      <c r="R58" s="105">
        <f>'Olsen P ref'!$B$76*'Soil samples'!AH58%</f>
        <v>3.9992432328129435</v>
      </c>
      <c r="S58" s="51">
        <f>IF(O58-'Olsen P ref'!$K$68&gt;0,O58-'Olsen P ref'!$K$68,0)</f>
        <v>9.1550705420535311E-2</v>
      </c>
      <c r="T58" s="8">
        <f t="shared" si="0"/>
        <v>9.1550705420535315E-5</v>
      </c>
      <c r="U58" s="8">
        <f t="shared" si="1"/>
        <v>9.1550705420535318E-4</v>
      </c>
      <c r="V58">
        <f>U58*('Olsen P ref'!$B$75+Q58)</f>
        <v>9.2466905300438815E-2</v>
      </c>
      <c r="W58">
        <f t="shared" si="9"/>
        <v>2.3121100647684405E-2</v>
      </c>
      <c r="X58" s="8">
        <f t="shared" si="3"/>
        <v>23.121100647684404</v>
      </c>
      <c r="Y58" s="51">
        <f>W58*'Soil samples'!AK58/100</f>
        <v>2.3063095520035458E-2</v>
      </c>
      <c r="Z58" s="105">
        <f t="shared" si="4"/>
        <v>23.063095520035457</v>
      </c>
      <c r="AA58" s="51">
        <f t="shared" si="5"/>
        <v>9.1550705420535311E-2</v>
      </c>
      <c r="AB58">
        <f t="shared" si="6"/>
        <v>23.121100647684404</v>
      </c>
      <c r="AC58">
        <f>(AB58/1000)*'Soil samples'!AR58/100</f>
        <v>2.3063095520035458E-2</v>
      </c>
      <c r="AD58" s="6">
        <f t="shared" si="7"/>
        <v>23.063095520035457</v>
      </c>
      <c r="AE58" s="135"/>
      <c r="AF58" s="6"/>
      <c r="AG58" s="6"/>
      <c r="AH58" s="6"/>
      <c r="AO58">
        <f>IF(S58&lt;'Olsen P ref'!$K$72,1,0)</f>
        <v>0</v>
      </c>
    </row>
    <row r="59" spans="1:47">
      <c r="A59" s="206" t="s">
        <v>63</v>
      </c>
      <c r="B59" s="6" t="s">
        <v>196</v>
      </c>
      <c r="C59" t="s">
        <v>13</v>
      </c>
      <c r="D59" s="8">
        <v>2</v>
      </c>
      <c r="E59" s="3">
        <v>5</v>
      </c>
      <c r="F59" s="26" t="s">
        <v>469</v>
      </c>
      <c r="G59" s="94" t="s">
        <v>469</v>
      </c>
      <c r="H59" s="94" t="s">
        <v>469</v>
      </c>
      <c r="I59" s="94" t="s">
        <v>469</v>
      </c>
      <c r="J59" s="94" t="s">
        <v>469</v>
      </c>
      <c r="K59" s="94" t="s">
        <v>469</v>
      </c>
      <c r="L59" s="94" t="s">
        <v>469</v>
      </c>
      <c r="M59" s="94" t="s">
        <v>469</v>
      </c>
      <c r="N59" s="94" t="s">
        <v>469</v>
      </c>
      <c r="O59" s="94" t="s">
        <v>469</v>
      </c>
      <c r="P59" s="94" t="s">
        <v>469</v>
      </c>
      <c r="Q59" s="51">
        <f>'Olsen P ref'!$B$76*'Soil samples'!AI59%</f>
        <v>3.5565674805684222</v>
      </c>
      <c r="R59" s="105">
        <f>'Olsen P ref'!$B$76*'Soil samples'!AH59%</f>
        <v>1.4434325194315774</v>
      </c>
      <c r="S59" s="51" t="e">
        <f>IF(O59-'Olsen P ref'!$K$68&gt;0,O59-'Olsen P ref'!$K$68,0)</f>
        <v>#VALUE!</v>
      </c>
      <c r="T59" s="8" t="e">
        <f t="shared" si="0"/>
        <v>#VALUE!</v>
      </c>
      <c r="U59" s="8" t="e">
        <f t="shared" si="1"/>
        <v>#VALUE!</v>
      </c>
      <c r="V59" t="e">
        <f>U59*('Olsen P ref'!$B$75+Q59)</f>
        <v>#VALUE!</v>
      </c>
      <c r="W59" t="e">
        <f t="shared" si="9"/>
        <v>#VALUE!</v>
      </c>
      <c r="X59" s="8" t="e">
        <f t="shared" si="3"/>
        <v>#VALUE!</v>
      </c>
      <c r="Y59" s="51" t="e">
        <f>W59*'Soil samples'!AK59/100</f>
        <v>#VALUE!</v>
      </c>
      <c r="Z59" s="105" t="e">
        <f t="shared" si="4"/>
        <v>#VALUE!</v>
      </c>
      <c r="AA59" s="51">
        <f>AM27</f>
        <v>0.23993617596683003</v>
      </c>
      <c r="AB59">
        <f>AM5</f>
        <v>106.96777931588228</v>
      </c>
      <c r="AC59">
        <f>(AB59/1000)*'Soil samples'!AR59/100</f>
        <v>5.614012040683832E-3</v>
      </c>
      <c r="AD59" s="6">
        <f t="shared" si="7"/>
        <v>5.6140120406838321</v>
      </c>
      <c r="AE59" s="6"/>
      <c r="AF59" s="6"/>
      <c r="AG59" s="6"/>
      <c r="AH59" s="6"/>
      <c r="AO59" t="e">
        <f>IF(S59&lt;'Olsen P ref'!$K$72,1,0)</f>
        <v>#VALUE!</v>
      </c>
    </row>
    <row r="60" spans="1:47">
      <c r="A60" s="6" t="s">
        <v>64</v>
      </c>
      <c r="B60" s="6" t="s">
        <v>196</v>
      </c>
      <c r="C60" t="s">
        <v>13</v>
      </c>
      <c r="D60" s="8">
        <v>2</v>
      </c>
      <c r="E60" s="3">
        <v>10</v>
      </c>
      <c r="F60" s="26">
        <v>42765</v>
      </c>
      <c r="G60" s="94">
        <v>1</v>
      </c>
      <c r="I60">
        <v>12</v>
      </c>
      <c r="J60">
        <v>4</v>
      </c>
      <c r="K60"/>
      <c r="L60" s="44">
        <v>5</v>
      </c>
      <c r="M60">
        <v>0.55721052966236395</v>
      </c>
      <c r="N60">
        <v>0.40200000000000002</v>
      </c>
      <c r="O60">
        <f t="shared" si="11"/>
        <v>0.55721052966236395</v>
      </c>
      <c r="Q60" s="51">
        <f>'Olsen P ref'!$B$76*'Soil samples'!AI60%</f>
        <v>1.3784401959078147</v>
      </c>
      <c r="R60" s="105">
        <f>'Olsen P ref'!$B$76*'Soil samples'!AH60%</f>
        <v>3.6215598040921853</v>
      </c>
      <c r="S60" s="51">
        <f>IF(O60-'Olsen P ref'!$K$68&gt;0,O60-'Olsen P ref'!$K$68,0)</f>
        <v>0.35785069906204325</v>
      </c>
      <c r="T60" s="8">
        <f t="shared" si="0"/>
        <v>3.5785069906204328E-4</v>
      </c>
      <c r="U60" s="8">
        <f t="shared" si="1"/>
        <v>3.5785069906204329E-3</v>
      </c>
      <c r="V60">
        <f>U60*('Olsen P ref'!$B$75+Q60)</f>
        <v>0.36278345693925163</v>
      </c>
      <c r="W60">
        <f t="shared" si="9"/>
        <v>0.10017326140226211</v>
      </c>
      <c r="X60" s="8">
        <f t="shared" si="3"/>
        <v>100.17326140226211</v>
      </c>
      <c r="Y60" s="51">
        <f>W60*'Soil samples'!AK60/100</f>
        <v>6.1484540282064383E-2</v>
      </c>
      <c r="Z60" s="105">
        <f t="shared" si="4"/>
        <v>61.48454028206438</v>
      </c>
      <c r="AA60" s="51">
        <f t="shared" si="5"/>
        <v>0.35785069906204325</v>
      </c>
      <c r="AB60">
        <f t="shared" si="6"/>
        <v>100.17326140226211</v>
      </c>
      <c r="AC60">
        <f>(AB60/1000)*'Soil samples'!AR60/100</f>
        <v>6.1484540282064383E-2</v>
      </c>
      <c r="AD60" s="6">
        <f t="shared" si="7"/>
        <v>61.48454028206438</v>
      </c>
      <c r="AE60" s="135"/>
      <c r="AF60" s="6"/>
      <c r="AG60" s="6"/>
      <c r="AH60" s="6"/>
      <c r="AO60">
        <f>IF(S60&lt;'Olsen P ref'!$K$72,1,0)</f>
        <v>0</v>
      </c>
    </row>
    <row r="61" spans="1:47">
      <c r="A61" s="6" t="s">
        <v>65</v>
      </c>
      <c r="B61" s="6" t="s">
        <v>196</v>
      </c>
      <c r="C61" t="s">
        <v>13</v>
      </c>
      <c r="D61" s="8">
        <v>2</v>
      </c>
      <c r="E61" s="3">
        <v>20</v>
      </c>
      <c r="F61" s="26">
        <v>42765</v>
      </c>
      <c r="G61" s="94">
        <v>1</v>
      </c>
      <c r="I61">
        <v>9</v>
      </c>
      <c r="J61">
        <v>2</v>
      </c>
      <c r="K61"/>
      <c r="L61" s="44">
        <v>5</v>
      </c>
      <c r="M61">
        <v>0.62620016532078604</v>
      </c>
      <c r="N61">
        <v>0.45200000000000001</v>
      </c>
      <c r="O61">
        <f t="shared" si="11"/>
        <v>0.62620016532078604</v>
      </c>
      <c r="Q61" s="51">
        <f>'Olsen P ref'!$B$76*'Soil samples'!AI61%</f>
        <v>0.73296641491242198</v>
      </c>
      <c r="R61" s="105">
        <f>'Olsen P ref'!$B$76*'Soil samples'!AH61%</f>
        <v>4.267033585087578</v>
      </c>
      <c r="S61" s="51">
        <f>IF(O61-'Olsen P ref'!$K$68&gt;0,O61-'Olsen P ref'!$K$68,0)</f>
        <v>0.42684033472046534</v>
      </c>
      <c r="T61" s="8">
        <f t="shared" si="0"/>
        <v>4.2684033472046532E-4</v>
      </c>
      <c r="U61" s="8">
        <f t="shared" si="1"/>
        <v>4.2684033472046527E-3</v>
      </c>
      <c r="V61">
        <f>U61*('Olsen P ref'!$B$75+Q61)</f>
        <v>0.42996893101926603</v>
      </c>
      <c r="W61">
        <f t="shared" si="9"/>
        <v>0.10076530274378921</v>
      </c>
      <c r="X61" s="8">
        <f t="shared" si="3"/>
        <v>100.76530274378921</v>
      </c>
      <c r="Y61" s="51">
        <f>W61*'Soil samples'!AK61/100</f>
        <v>0.12665164832103498</v>
      </c>
      <c r="Z61" s="105">
        <f t="shared" si="4"/>
        <v>126.65164832103498</v>
      </c>
      <c r="AA61" s="51">
        <f t="shared" si="5"/>
        <v>0.42684033472046534</v>
      </c>
      <c r="AB61">
        <f t="shared" si="6"/>
        <v>100.76530274378921</v>
      </c>
      <c r="AC61">
        <f>(AB61/1000)*'Soil samples'!AR61/100</f>
        <v>0.12665164832103498</v>
      </c>
      <c r="AD61" s="6">
        <f t="shared" si="7"/>
        <v>126.65164832103498</v>
      </c>
      <c r="AE61" s="135"/>
      <c r="AF61" s="6"/>
      <c r="AG61" s="6"/>
      <c r="AH61" s="6"/>
      <c r="AO61">
        <f>IF(S61&lt;'Olsen P ref'!$K$72,1,0)</f>
        <v>0</v>
      </c>
    </row>
    <row r="62" spans="1:47">
      <c r="A62" s="206" t="s">
        <v>66</v>
      </c>
      <c r="B62" s="6" t="s">
        <v>196</v>
      </c>
      <c r="C62" t="s">
        <v>13</v>
      </c>
      <c r="D62" s="8">
        <v>3</v>
      </c>
      <c r="E62" s="3">
        <v>5</v>
      </c>
      <c r="F62" s="8" t="s">
        <v>469</v>
      </c>
      <c r="G62" s="94" t="s">
        <v>469</v>
      </c>
      <c r="H62" s="3" t="s">
        <v>514</v>
      </c>
      <c r="I62" s="8" t="s">
        <v>469</v>
      </c>
      <c r="J62" s="8" t="s">
        <v>469</v>
      </c>
      <c r="K62" s="8" t="s">
        <v>469</v>
      </c>
      <c r="L62" s="36" t="s">
        <v>469</v>
      </c>
      <c r="M62" s="8" t="s">
        <v>469</v>
      </c>
      <c r="N62" s="8" t="s">
        <v>469</v>
      </c>
      <c r="O62" s="8" t="s">
        <v>469</v>
      </c>
      <c r="P62" s="8" t="s">
        <v>469</v>
      </c>
      <c r="Q62" s="51">
        <f>'Olsen P ref'!$B$76*'Soil samples'!AI62%</f>
        <v>3.5154038301415493</v>
      </c>
      <c r="R62" s="105">
        <f>'Olsen P ref'!$B$76*'Soil samples'!AH62%</f>
        <v>1.4845961698584511</v>
      </c>
      <c r="S62" s="51" t="e">
        <f>IF(O62-'Olsen P ref'!$K$68&gt;0,O62-'Olsen P ref'!$K$68,0)</f>
        <v>#VALUE!</v>
      </c>
      <c r="T62" s="8" t="e">
        <f t="shared" si="0"/>
        <v>#VALUE!</v>
      </c>
      <c r="U62" s="8" t="e">
        <f t="shared" si="1"/>
        <v>#VALUE!</v>
      </c>
      <c r="V62" t="e">
        <f>U62*('Olsen P ref'!$B$75+Q62)</f>
        <v>#VALUE!</v>
      </c>
      <c r="W62" t="e">
        <f t="shared" si="9"/>
        <v>#VALUE!</v>
      </c>
      <c r="X62" s="8" t="e">
        <f t="shared" si="3"/>
        <v>#VALUE!</v>
      </c>
      <c r="Y62" s="51" t="e">
        <f>W62*'Soil samples'!AK62/100</f>
        <v>#VALUE!</v>
      </c>
      <c r="Z62" s="105" t="e">
        <f t="shared" si="4"/>
        <v>#VALUE!</v>
      </c>
      <c r="AA62" s="51">
        <f>AM28</f>
        <v>0.23993617596683003</v>
      </c>
      <c r="AB62">
        <f>AM6</f>
        <v>106.96777931588228</v>
      </c>
      <c r="AC62">
        <f>(AB62/1000)*'Soil samples'!AR62/100</f>
        <v>7.0794803348803751E-3</v>
      </c>
      <c r="AD62" s="6">
        <f t="shared" si="7"/>
        <v>7.0794803348803752</v>
      </c>
      <c r="AE62" s="6"/>
      <c r="AF62" s="6"/>
      <c r="AG62" s="6"/>
      <c r="AH62" s="6"/>
      <c r="AO62" t="e">
        <f>IF(S62&lt;'Olsen P ref'!$K$72,1,0)</f>
        <v>#VALUE!</v>
      </c>
    </row>
    <row r="63" spans="1:47">
      <c r="A63" s="6" t="s">
        <v>67</v>
      </c>
      <c r="B63" s="6" t="s">
        <v>196</v>
      </c>
      <c r="C63" t="s">
        <v>13</v>
      </c>
      <c r="D63" s="8">
        <v>3</v>
      </c>
      <c r="E63" s="3">
        <v>10</v>
      </c>
      <c r="F63" s="26">
        <v>42798</v>
      </c>
      <c r="G63" s="94">
        <v>1</v>
      </c>
      <c r="I63">
        <v>5</v>
      </c>
      <c r="J63">
        <v>19</v>
      </c>
      <c r="K63"/>
      <c r="L63" s="44">
        <v>5</v>
      </c>
      <c r="M63">
        <v>0.25228951017380902</v>
      </c>
      <c r="N63">
        <v>0.182</v>
      </c>
      <c r="O63">
        <f t="shared" si="11"/>
        <v>0.25228951017380902</v>
      </c>
      <c r="Q63" s="51">
        <f>'Olsen P ref'!$B$76*'Soil samples'!AI63%</f>
        <v>2.8226722180166548</v>
      </c>
      <c r="R63" s="105">
        <f>'Olsen P ref'!$B$76*'Soil samples'!AH63%</f>
        <v>2.1773277819833452</v>
      </c>
      <c r="S63" s="51">
        <f>IF(O63-'Olsen P ref'!$K$68&gt;0,O63-'Olsen P ref'!$K$68,0)</f>
        <v>5.2929679573488347E-2</v>
      </c>
      <c r="T63" s="8">
        <f t="shared" si="0"/>
        <v>5.2929679573488344E-5</v>
      </c>
      <c r="U63" s="8">
        <f t="shared" si="1"/>
        <v>5.2929679573488343E-4</v>
      </c>
      <c r="V63">
        <f>U63*('Olsen P ref'!$B$75+Q63)</f>
        <v>5.4423710933894434E-2</v>
      </c>
      <c r="W63">
        <f t="shared" si="9"/>
        <v>2.499564437850485E-2</v>
      </c>
      <c r="X63" s="8">
        <f t="shared" si="3"/>
        <v>24.995644378504849</v>
      </c>
      <c r="Y63" s="51">
        <f>W63*'Soil samples'!AK63/100</f>
        <v>9.4153019915637366E-3</v>
      </c>
      <c r="Z63" s="105">
        <f t="shared" si="4"/>
        <v>9.4153019915637355</v>
      </c>
      <c r="AA63" s="51">
        <f t="shared" si="5"/>
        <v>5.2929679573488347E-2</v>
      </c>
      <c r="AB63">
        <f t="shared" si="6"/>
        <v>24.995644378504849</v>
      </c>
      <c r="AC63">
        <f>(AB63/1000)*'Soil samples'!AR63/100</f>
        <v>9.4153019915637366E-3</v>
      </c>
      <c r="AD63" s="6">
        <f t="shared" si="7"/>
        <v>9.4153019915637355</v>
      </c>
      <c r="AE63" s="135"/>
      <c r="AF63" s="6"/>
      <c r="AG63" s="6"/>
      <c r="AH63" s="6"/>
      <c r="AO63">
        <f>IF(S63&lt;'Olsen P ref'!$K$72,1,0)</f>
        <v>1</v>
      </c>
    </row>
    <row r="64" spans="1:47">
      <c r="A64" s="6" t="s">
        <v>68</v>
      </c>
      <c r="B64" s="6" t="s">
        <v>196</v>
      </c>
      <c r="C64" t="s">
        <v>13</v>
      </c>
      <c r="D64" s="8">
        <v>3</v>
      </c>
      <c r="E64" s="3">
        <v>20</v>
      </c>
      <c r="F64" s="26">
        <v>42798</v>
      </c>
      <c r="G64" s="94">
        <v>1</v>
      </c>
      <c r="I64">
        <v>3</v>
      </c>
      <c r="J64">
        <v>5</v>
      </c>
      <c r="K64"/>
      <c r="L64" s="44">
        <v>5</v>
      </c>
      <c r="M64">
        <v>0.20844425013763401</v>
      </c>
      <c r="N64">
        <v>0.14799999999999999</v>
      </c>
      <c r="O64">
        <f t="shared" si="11"/>
        <v>0.20844425013763401</v>
      </c>
      <c r="Q64" s="51">
        <f>'Olsen P ref'!$B$76*'Soil samples'!AI64%</f>
        <v>2.8932772597062235</v>
      </c>
      <c r="R64" s="105">
        <f>'Olsen P ref'!$B$76*'Soil samples'!AH64%</f>
        <v>2.1067227402937769</v>
      </c>
      <c r="S64" s="51">
        <f>IF(O64-'Olsen P ref'!$K$68&gt;0,O64-'Olsen P ref'!$K$68,0)</f>
        <v>9.084419537313343E-3</v>
      </c>
      <c r="T64" s="8">
        <f t="shared" si="0"/>
        <v>9.0844195373133436E-6</v>
      </c>
      <c r="U64" s="8">
        <f t="shared" si="1"/>
        <v>9.0844195373133429E-5</v>
      </c>
      <c r="V64">
        <f>U64*('Olsen P ref'!$B$75+Q64)</f>
        <v>9.3472569819627385E-3</v>
      </c>
      <c r="W64">
        <f t="shared" si="9"/>
        <v>4.4368709765098407E-3</v>
      </c>
      <c r="X64" s="8">
        <f t="shared" si="3"/>
        <v>4.4368709765098409</v>
      </c>
      <c r="Y64" s="51">
        <f>W64*'Soil samples'!AK64/100</f>
        <v>1.8672080547168762E-3</v>
      </c>
      <c r="Z64" s="105">
        <f t="shared" si="4"/>
        <v>1.8672080547168761</v>
      </c>
      <c r="AA64" s="51">
        <f t="shared" si="5"/>
        <v>9.084419537313343E-3</v>
      </c>
      <c r="AB64">
        <f t="shared" si="6"/>
        <v>4.4368709765098409</v>
      </c>
      <c r="AC64">
        <f>(AB64/1000)*'Soil samples'!AR64/100</f>
        <v>1.8672080547168762E-3</v>
      </c>
      <c r="AD64" s="6">
        <f t="shared" si="7"/>
        <v>1.8672080547168761</v>
      </c>
      <c r="AE64" s="135"/>
      <c r="AF64" s="6"/>
      <c r="AG64" s="6"/>
      <c r="AH64" s="6"/>
      <c r="AO64">
        <f>IF(S64&lt;'Olsen P ref'!$K$72,1,0)</f>
        <v>1</v>
      </c>
    </row>
    <row r="65" spans="1:41">
      <c r="A65" s="6" t="s">
        <v>69</v>
      </c>
      <c r="B65" s="6" t="s">
        <v>196</v>
      </c>
      <c r="C65" t="s">
        <v>13</v>
      </c>
      <c r="D65" s="8">
        <v>4</v>
      </c>
      <c r="E65" s="3">
        <v>30</v>
      </c>
      <c r="F65" s="26">
        <v>42768</v>
      </c>
      <c r="G65" s="94">
        <v>1</v>
      </c>
      <c r="I65">
        <v>12</v>
      </c>
      <c r="J65">
        <v>14</v>
      </c>
      <c r="K65"/>
      <c r="L65" s="44">
        <v>5</v>
      </c>
      <c r="M65">
        <v>0.23433903478095</v>
      </c>
      <c r="N65">
        <v>0.16800000000000001</v>
      </c>
      <c r="O65">
        <f t="shared" si="11"/>
        <v>0.23433903478095</v>
      </c>
      <c r="Q65" s="51">
        <f>'Olsen P ref'!$B$76*'Soil samples'!AI65%</f>
        <v>2.675662099037794</v>
      </c>
      <c r="R65" s="105">
        <f>'Olsen P ref'!$B$76*'Soil samples'!AH65%</f>
        <v>2.324337900962206</v>
      </c>
      <c r="S65" s="51">
        <f>IF(O65-'Olsen P ref'!$K$68&gt;0,O65-'Olsen P ref'!$K$68,0)</f>
        <v>3.4979204180629331E-2</v>
      </c>
      <c r="T65" s="8">
        <f t="shared" si="0"/>
        <v>3.4979204180629332E-5</v>
      </c>
      <c r="U65" s="8">
        <f t="shared" si="1"/>
        <v>3.4979204180629332E-4</v>
      </c>
      <c r="V65">
        <f>U65*('Olsen P ref'!$B$75+Q65)</f>
        <v>3.5915129489435475E-2</v>
      </c>
      <c r="W65">
        <f t="shared" si="9"/>
        <v>1.5451767780651725E-2</v>
      </c>
      <c r="X65" s="8">
        <f t="shared" si="3"/>
        <v>15.451767780651725</v>
      </c>
      <c r="Y65" s="51">
        <f>W65*'Soil samples'!AK65/100</f>
        <v>5.4160015270068732E-3</v>
      </c>
      <c r="Z65" s="105">
        <f t="shared" si="4"/>
        <v>5.4160015270068733</v>
      </c>
      <c r="AA65" s="51">
        <f t="shared" si="5"/>
        <v>3.4979204180629331E-2</v>
      </c>
      <c r="AB65">
        <f t="shared" si="6"/>
        <v>15.451767780651725</v>
      </c>
      <c r="AC65">
        <f>(AB65/1000)*'Soil samples'!AR65/100</f>
        <v>5.4160015270068732E-3</v>
      </c>
      <c r="AD65" s="6">
        <f t="shared" si="7"/>
        <v>5.4160015270068733</v>
      </c>
      <c r="AE65" s="135"/>
      <c r="AF65" s="6"/>
      <c r="AG65" s="6"/>
      <c r="AH65" s="6"/>
      <c r="AO65">
        <f>IF(S65&lt;'Olsen P ref'!$K$72,1,0)</f>
        <v>1</v>
      </c>
    </row>
    <row r="66" spans="1:41">
      <c r="A66" s="6" t="s">
        <v>70</v>
      </c>
      <c r="B66" s="6" t="s">
        <v>196</v>
      </c>
      <c r="C66" t="s">
        <v>13</v>
      </c>
      <c r="D66" s="8">
        <v>4</v>
      </c>
      <c r="E66" s="3">
        <v>10</v>
      </c>
      <c r="F66" s="26">
        <v>42768</v>
      </c>
      <c r="G66" s="94">
        <v>1</v>
      </c>
      <c r="I66">
        <v>11</v>
      </c>
      <c r="J66">
        <v>15</v>
      </c>
      <c r="K66"/>
      <c r="L66" s="44">
        <v>5</v>
      </c>
      <c r="M66">
        <v>0.31022763400521403</v>
      </c>
      <c r="N66">
        <v>0.223</v>
      </c>
      <c r="O66">
        <f t="shared" si="11"/>
        <v>0.31022763400521403</v>
      </c>
      <c r="Q66" s="51">
        <f>'Olsen P ref'!$B$76*'Soil samples'!AI66%</f>
        <v>3.1681116980554282</v>
      </c>
      <c r="R66" s="105">
        <f>'Olsen P ref'!$B$76*'Soil samples'!AH66%</f>
        <v>1.831888301944572</v>
      </c>
      <c r="S66" s="51">
        <f>IF(O66-'Olsen P ref'!$K$68&gt;0,O66-'Olsen P ref'!$K$68,0)</f>
        <v>0.11086780340489336</v>
      </c>
      <c r="T66" s="8">
        <f t="shared" si="0"/>
        <v>1.1086780340489336E-4</v>
      </c>
      <c r="U66" s="8">
        <f t="shared" si="1"/>
        <v>1.1086780340489335E-3</v>
      </c>
      <c r="V66">
        <f>U66*('Olsen P ref'!$B$75+Q66)</f>
        <v>0.11438021925394086</v>
      </c>
      <c r="W66">
        <f t="shared" si="9"/>
        <v>6.2438424402036327E-2</v>
      </c>
      <c r="X66" s="8">
        <f t="shared" si="3"/>
        <v>62.438424402036325</v>
      </c>
      <c r="Y66" s="51">
        <f>W66*'Soil samples'!AK66/100</f>
        <v>1.0619059555535873E-2</v>
      </c>
      <c r="Z66" s="105">
        <f t="shared" si="4"/>
        <v>10.619059555535872</v>
      </c>
      <c r="AA66" s="51">
        <f t="shared" si="5"/>
        <v>0.11086780340489336</v>
      </c>
      <c r="AB66">
        <f t="shared" si="6"/>
        <v>62.438424402036325</v>
      </c>
      <c r="AC66">
        <f>(AB66/1000)*'Soil samples'!AR66/100</f>
        <v>1.0619059555535873E-2</v>
      </c>
      <c r="AD66" s="6">
        <f t="shared" si="7"/>
        <v>10.619059555535872</v>
      </c>
      <c r="AE66" s="135"/>
      <c r="AF66" s="6"/>
      <c r="AG66" s="6"/>
      <c r="AH66" s="6"/>
      <c r="AO66">
        <f>IF(S66&lt;'Olsen P ref'!$K$72,1,0)</f>
        <v>0</v>
      </c>
    </row>
    <row r="67" spans="1:41">
      <c r="A67" s="6" t="s">
        <v>71</v>
      </c>
      <c r="B67" s="6" t="s">
        <v>196</v>
      </c>
      <c r="C67" t="s">
        <v>13</v>
      </c>
      <c r="D67" s="8">
        <v>4</v>
      </c>
      <c r="E67" s="3">
        <v>20</v>
      </c>
      <c r="F67" s="26">
        <v>42768</v>
      </c>
      <c r="G67" s="94">
        <v>2</v>
      </c>
      <c r="H67" s="3" t="s">
        <v>576</v>
      </c>
      <c r="I67">
        <v>4</v>
      </c>
      <c r="J67">
        <v>4</v>
      </c>
      <c r="K67"/>
      <c r="L67" s="44">
        <v>5</v>
      </c>
      <c r="M67">
        <v>0.264885040791977</v>
      </c>
      <c r="N67">
        <v>0.191</v>
      </c>
      <c r="O67">
        <f t="shared" si="11"/>
        <v>0.264885040791977</v>
      </c>
      <c r="Q67" s="51">
        <f>'Olsen P ref'!$B$76*'Soil samples'!AI67%</f>
        <v>2.5404644415507276</v>
      </c>
      <c r="R67" s="105">
        <f>'Olsen P ref'!$B$76*'Soil samples'!AH67%</f>
        <v>2.4595355584492724</v>
      </c>
      <c r="S67" s="51">
        <f>IF(O67-'Olsen P ref'!$K$68&gt;0,O67-'Olsen P ref'!$K$68,0)</f>
        <v>6.552521019165633E-2</v>
      </c>
      <c r="T67" s="8">
        <f t="shared" si="0"/>
        <v>6.5525210191656324E-5</v>
      </c>
      <c r="U67" s="8">
        <f t="shared" si="1"/>
        <v>6.5525210191656324E-4</v>
      </c>
      <c r="V67">
        <f>U67*('Olsen P ref'!$B$75+Q67)</f>
        <v>6.7189854856826728E-2</v>
      </c>
      <c r="W67">
        <f t="shared" si="9"/>
        <v>2.7318106715720616E-2</v>
      </c>
      <c r="X67" s="8">
        <f t="shared" si="3"/>
        <v>27.318106715720617</v>
      </c>
      <c r="Y67" s="51">
        <f>W67*'Soil samples'!AK67/100</f>
        <v>8.5720816826339568E-3</v>
      </c>
      <c r="Z67" s="105">
        <f t="shared" si="4"/>
        <v>8.5720816826339554</v>
      </c>
      <c r="AA67" s="51">
        <f t="shared" si="5"/>
        <v>6.552521019165633E-2</v>
      </c>
      <c r="AB67">
        <f t="shared" si="6"/>
        <v>27.318106715720617</v>
      </c>
      <c r="AC67">
        <f>(AB67/1000)*'Soil samples'!AR67/100</f>
        <v>8.5720816826339568E-3</v>
      </c>
      <c r="AD67" s="6">
        <f t="shared" si="7"/>
        <v>8.5720816826339554</v>
      </c>
      <c r="AE67" s="135"/>
      <c r="AF67" s="6"/>
      <c r="AG67" s="6"/>
      <c r="AH67" s="6"/>
      <c r="AO67">
        <f>IF(S67&lt;'Olsen P ref'!$K$72,1,0)</f>
        <v>0</v>
      </c>
    </row>
    <row r="68" spans="1:41">
      <c r="A68" s="6" t="s">
        <v>72</v>
      </c>
      <c r="B68" s="6" t="s">
        <v>196</v>
      </c>
      <c r="C68" t="s">
        <v>13</v>
      </c>
      <c r="D68" s="8">
        <v>4</v>
      </c>
      <c r="E68" s="3">
        <v>5</v>
      </c>
      <c r="F68" s="26">
        <v>42768</v>
      </c>
      <c r="G68" s="93">
        <v>1</v>
      </c>
      <c r="I68">
        <v>11</v>
      </c>
      <c r="J68">
        <v>6</v>
      </c>
      <c r="K68"/>
      <c r="L68" s="44">
        <v>5</v>
      </c>
      <c r="M68">
        <v>0.50477840656196304</v>
      </c>
      <c r="N68">
        <v>0.36399999999999999</v>
      </c>
      <c r="O68">
        <f t="shared" si="11"/>
        <v>0.50477840656196304</v>
      </c>
      <c r="Q68" s="51">
        <f>'Olsen P ref'!$B$76*'Soil samples'!AI68%</f>
        <v>3.066825596737436</v>
      </c>
      <c r="R68" s="105">
        <f>'Olsen P ref'!$B$76*'Soil samples'!AH68%</f>
        <v>1.9331744032625642</v>
      </c>
      <c r="S68" s="51">
        <f>IF(O68-'Olsen P ref'!$K$68&gt;0,O68-'Olsen P ref'!$K$68,0)</f>
        <v>0.30541857596164235</v>
      </c>
      <c r="T68" s="8">
        <f t="shared" si="0"/>
        <v>3.0541857596164232E-4</v>
      </c>
      <c r="U68" s="8">
        <f t="shared" si="1"/>
        <v>3.0541857596164232E-3</v>
      </c>
      <c r="V68">
        <f>U68*('Olsen P ref'!$B$75+Q68)</f>
        <v>0.31478523102642492</v>
      </c>
      <c r="W68">
        <f t="shared" si="9"/>
        <v>0.16283333283079413</v>
      </c>
      <c r="X68" s="8">
        <f t="shared" si="3"/>
        <v>162.83333283079412</v>
      </c>
      <c r="Y68" s="51">
        <f>W68*'Soil samples'!AK68/100</f>
        <v>1.4303840897840765E-2</v>
      </c>
      <c r="Z68" s="105">
        <f t="shared" si="4"/>
        <v>14.303840897840766</v>
      </c>
      <c r="AA68" s="51">
        <f t="shared" si="5"/>
        <v>0.30541857596164235</v>
      </c>
      <c r="AB68">
        <f t="shared" si="6"/>
        <v>162.83333283079412</v>
      </c>
      <c r="AC68">
        <f>(AB68/1000)*'Soil samples'!AR68/100</f>
        <v>1.4303840897840765E-2</v>
      </c>
      <c r="AD68" s="6">
        <f t="shared" si="7"/>
        <v>14.303840897840766</v>
      </c>
      <c r="AE68" s="135"/>
      <c r="AF68" s="6"/>
      <c r="AG68" s="6"/>
      <c r="AH68" s="6"/>
      <c r="AO68">
        <f>IF(S68&lt;'Olsen P ref'!$K$72,1,0)</f>
        <v>0</v>
      </c>
    </row>
    <row r="69" spans="1:41">
      <c r="A69" s="6" t="s">
        <v>73</v>
      </c>
      <c r="B69" s="6" t="s">
        <v>196</v>
      </c>
      <c r="C69" t="s">
        <v>13</v>
      </c>
      <c r="D69" s="8">
        <v>5</v>
      </c>
      <c r="E69" s="3">
        <v>5</v>
      </c>
      <c r="F69" s="26">
        <v>42823</v>
      </c>
      <c r="G69" s="94">
        <v>1</v>
      </c>
      <c r="I69">
        <v>3</v>
      </c>
      <c r="J69">
        <v>8</v>
      </c>
      <c r="K69"/>
      <c r="L69" s="44">
        <v>5</v>
      </c>
      <c r="M69">
        <v>0.58089802130898005</v>
      </c>
      <c r="N69">
        <v>0.41299999999999998</v>
      </c>
      <c r="O69">
        <f t="shared" si="11"/>
        <v>0.58089802130898005</v>
      </c>
      <c r="Q69" s="51">
        <f>'Olsen P ref'!$B$76*'Soil samples'!AI69%</f>
        <v>2.8272519505083142</v>
      </c>
      <c r="R69" s="105">
        <f>'Olsen P ref'!$B$76*'Soil samples'!AH69%</f>
        <v>2.1727480494916858</v>
      </c>
      <c r="S69" s="51">
        <f>IF(O69-'Olsen P ref'!$K$68&gt;0,O69-'Olsen P ref'!$K$68,0)</f>
        <v>0.38153819070865935</v>
      </c>
      <c r="T69" s="8">
        <f t="shared" ref="T69:T132" si="12">S69/1000</f>
        <v>3.8153819070865937E-4</v>
      </c>
      <c r="U69" s="8">
        <f t="shared" ref="U69:U132" si="13">(T69*50)/5</f>
        <v>3.8153819070865938E-3</v>
      </c>
      <c r="V69">
        <f>U69*('Olsen P ref'!$B$75+Q69)</f>
        <v>0.3923252366474041</v>
      </c>
      <c r="W69">
        <f t="shared" si="9"/>
        <v>0.18056637387808888</v>
      </c>
      <c r="X69" s="8">
        <f t="shared" ref="X69:X132" si="14">W69*1000</f>
        <v>180.56637387808888</v>
      </c>
      <c r="Y69" s="51">
        <f>W69*'Soil samples'!AK69/100</f>
        <v>2.410446253961648E-2</v>
      </c>
      <c r="Z69" s="105">
        <f t="shared" ref="Z69:Z132" si="15">Y69*1000000/1000</f>
        <v>24.104462539616481</v>
      </c>
      <c r="AA69" s="51">
        <f t="shared" ref="AA69:AA131" si="16">S69</f>
        <v>0.38153819070865935</v>
      </c>
      <c r="AB69">
        <f t="shared" ref="AB69:AB131" si="17">X69</f>
        <v>180.56637387808888</v>
      </c>
      <c r="AC69">
        <f>(AB69/1000)*'Soil samples'!AR69/100</f>
        <v>2.410446253961648E-2</v>
      </c>
      <c r="AD69" s="6">
        <f t="shared" ref="AD69:AD132" si="18">AC69*1000000/1000</f>
        <v>24.104462539616481</v>
      </c>
      <c r="AE69" s="135"/>
      <c r="AF69" s="6"/>
      <c r="AG69" s="6"/>
      <c r="AH69" s="6"/>
      <c r="AO69">
        <f>IF(S69&lt;'Olsen P ref'!$K$72,1,0)</f>
        <v>0</v>
      </c>
    </row>
    <row r="70" spans="1:41">
      <c r="A70" s="6" t="s">
        <v>74</v>
      </c>
      <c r="B70" s="6" t="s">
        <v>196</v>
      </c>
      <c r="C70" t="s">
        <v>13</v>
      </c>
      <c r="D70" s="8">
        <v>5</v>
      </c>
      <c r="E70" s="3">
        <v>10</v>
      </c>
      <c r="F70" s="26">
        <v>42823</v>
      </c>
      <c r="G70" s="94">
        <v>1</v>
      </c>
      <c r="I70">
        <v>4</v>
      </c>
      <c r="J70">
        <v>18</v>
      </c>
      <c r="K70"/>
      <c r="L70" s="44">
        <v>5</v>
      </c>
      <c r="M70">
        <v>0.47760955789880999</v>
      </c>
      <c r="N70">
        <v>0.34300000000000003</v>
      </c>
      <c r="O70">
        <f t="shared" si="11"/>
        <v>0.47760955789880999</v>
      </c>
      <c r="Q70" s="51">
        <f>'Olsen P ref'!$B$76*'Soil samples'!AI70%</f>
        <v>2.4655407055867675</v>
      </c>
      <c r="R70" s="105">
        <f>'Olsen P ref'!$B$76*'Soil samples'!AH70%</f>
        <v>2.534459294413232</v>
      </c>
      <c r="S70" s="51">
        <f>IF(O70-'Olsen P ref'!$K$68&gt;0,O70-'Olsen P ref'!$K$68,0)</f>
        <v>0.27824972729848929</v>
      </c>
      <c r="T70" s="8">
        <f t="shared" si="12"/>
        <v>2.7824972729848928E-4</v>
      </c>
      <c r="U70" s="8">
        <f t="shared" si="13"/>
        <v>2.7824972729848926E-3</v>
      </c>
      <c r="V70">
        <f>U70*('Olsen P ref'!$B$75+Q70)</f>
        <v>0.28511008758821765</v>
      </c>
      <c r="W70">
        <f t="shared" si="9"/>
        <v>0.11249345697391648</v>
      </c>
      <c r="X70" s="8">
        <f t="shared" si="14"/>
        <v>112.49345697391648</v>
      </c>
      <c r="Y70" s="51">
        <f>W70*'Soil samples'!AK70/100</f>
        <v>3.5975190851881292E-2</v>
      </c>
      <c r="Z70" s="105">
        <f t="shared" si="15"/>
        <v>35.975190851881294</v>
      </c>
      <c r="AA70" s="51">
        <f t="shared" si="16"/>
        <v>0.27824972729848929</v>
      </c>
      <c r="AB70">
        <f t="shared" si="17"/>
        <v>112.49345697391648</v>
      </c>
      <c r="AC70">
        <f>(AB70/1000)*'Soil samples'!AR70/100</f>
        <v>3.5975190851881292E-2</v>
      </c>
      <c r="AD70" s="6">
        <f t="shared" si="18"/>
        <v>35.975190851881294</v>
      </c>
      <c r="AE70" s="135"/>
      <c r="AF70" s="6"/>
      <c r="AG70" s="6"/>
      <c r="AH70" s="6"/>
      <c r="AO70">
        <f>IF(S70&lt;'Olsen P ref'!$K$72,1,0)</f>
        <v>0</v>
      </c>
    </row>
    <row r="71" spans="1:41">
      <c r="A71" s="6" t="s">
        <v>75</v>
      </c>
      <c r="B71" s="6" t="s">
        <v>196</v>
      </c>
      <c r="C71" t="s">
        <v>13</v>
      </c>
      <c r="D71" s="8">
        <v>5</v>
      </c>
      <c r="E71" s="3">
        <v>20</v>
      </c>
      <c r="F71" s="26">
        <v>42823</v>
      </c>
      <c r="G71" s="94">
        <v>1</v>
      </c>
      <c r="I71">
        <v>3</v>
      </c>
      <c r="J71">
        <v>16</v>
      </c>
      <c r="K71"/>
      <c r="L71" s="44">
        <v>5</v>
      </c>
      <c r="M71">
        <v>0.49797435150101999</v>
      </c>
      <c r="N71">
        <v>0.35399999999999998</v>
      </c>
      <c r="O71">
        <f t="shared" si="11"/>
        <v>0.49797435150101999</v>
      </c>
      <c r="Q71" s="51">
        <f>'Olsen P ref'!$B$76*'Soil samples'!AI71%</f>
        <v>2.0940604636256808</v>
      </c>
      <c r="R71" s="105">
        <f>'Olsen P ref'!$B$76*'Soil samples'!AH71%</f>
        <v>2.9059395363743192</v>
      </c>
      <c r="S71" s="51">
        <f>IF(O71-'Olsen P ref'!$K$68&gt;0,O71-'Olsen P ref'!$K$68,0)</f>
        <v>0.29861452090069929</v>
      </c>
      <c r="T71" s="8">
        <f t="shared" si="12"/>
        <v>2.9861452090069931E-4</v>
      </c>
      <c r="U71" s="8">
        <f t="shared" si="13"/>
        <v>2.9861452090069931E-3</v>
      </c>
      <c r="V71">
        <f>U71*('Olsen P ref'!$B$75+Q71)</f>
        <v>0.3048676895215261</v>
      </c>
      <c r="W71">
        <f t="shared" si="9"/>
        <v>0.10491191771385003</v>
      </c>
      <c r="X71" s="8">
        <f t="shared" si="14"/>
        <v>104.91191771385003</v>
      </c>
      <c r="Y71" s="51">
        <f>W71*'Soil samples'!AK71/100</f>
        <v>5.0101956095967563E-2</v>
      </c>
      <c r="Z71" s="105">
        <f t="shared" si="15"/>
        <v>50.101956095967566</v>
      </c>
      <c r="AA71" s="51">
        <f t="shared" si="16"/>
        <v>0.29861452090069929</v>
      </c>
      <c r="AB71">
        <f t="shared" si="17"/>
        <v>104.91191771385003</v>
      </c>
      <c r="AC71">
        <f>(AB71/1000)*'Soil samples'!AR71/100</f>
        <v>5.0101956095967563E-2</v>
      </c>
      <c r="AD71" s="6">
        <f t="shared" si="18"/>
        <v>50.101956095967566</v>
      </c>
      <c r="AE71" s="135"/>
      <c r="AF71" s="6"/>
      <c r="AG71" s="6"/>
      <c r="AH71" s="6"/>
      <c r="AO71">
        <f>IF(S71&lt;'Olsen P ref'!$K$72,1,0)</f>
        <v>0</v>
      </c>
    </row>
    <row r="72" spans="1:41">
      <c r="A72" s="6" t="s">
        <v>76</v>
      </c>
      <c r="B72" s="6" t="s">
        <v>196</v>
      </c>
      <c r="C72" t="s">
        <v>13</v>
      </c>
      <c r="D72" s="8">
        <v>5</v>
      </c>
      <c r="E72" s="3">
        <v>30</v>
      </c>
      <c r="F72" s="26">
        <v>42823</v>
      </c>
      <c r="G72" s="94">
        <v>1</v>
      </c>
      <c r="I72">
        <v>5</v>
      </c>
      <c r="J72">
        <v>1</v>
      </c>
      <c r="K72"/>
      <c r="L72" s="44">
        <v>5</v>
      </c>
      <c r="M72">
        <v>0.57837380284415196</v>
      </c>
      <c r="N72">
        <v>0.41499999999999998</v>
      </c>
      <c r="O72">
        <f t="shared" si="11"/>
        <v>0.57837380284415196</v>
      </c>
      <c r="Q72" s="51">
        <f>'Olsen P ref'!$B$76*'Soil samples'!AI72%</f>
        <v>0.24243666475362885</v>
      </c>
      <c r="R72" s="105">
        <f>'Olsen P ref'!$B$76*'Soil samples'!AH72%</f>
        <v>4.7575633352463704</v>
      </c>
      <c r="S72" s="51">
        <f>IF(O72-'Olsen P ref'!$K$68&gt;0,O72-'Olsen P ref'!$K$68,0)</f>
        <v>0.37901397224383127</v>
      </c>
      <c r="T72" s="8">
        <f t="shared" si="12"/>
        <v>3.7901397224383127E-4</v>
      </c>
      <c r="U72" s="8">
        <f t="shared" si="13"/>
        <v>3.7901397224383128E-3</v>
      </c>
      <c r="V72">
        <f>U72*('Olsen P ref'!$B$75+Q72)</f>
        <v>0.37993284107708947</v>
      </c>
      <c r="W72">
        <f t="shared" ref="W72:W135" si="19">V72/R72</f>
        <v>7.9858703774337597E-2</v>
      </c>
      <c r="X72" s="8">
        <f t="shared" si="14"/>
        <v>79.858703774337599</v>
      </c>
      <c r="Y72" s="51">
        <f>W72*'Soil samples'!AK72/100</f>
        <v>9.3015158152493033E-2</v>
      </c>
      <c r="Z72" s="105">
        <f t="shared" si="15"/>
        <v>93.015158152493044</v>
      </c>
      <c r="AA72" s="51">
        <f t="shared" si="16"/>
        <v>0.37901397224383127</v>
      </c>
      <c r="AB72">
        <f t="shared" si="17"/>
        <v>79.858703774337599</v>
      </c>
      <c r="AC72">
        <f>(AB72/1000)*'Soil samples'!AR72/100</f>
        <v>9.3015158152493033E-2</v>
      </c>
      <c r="AD72" s="6">
        <f t="shared" si="18"/>
        <v>93.015158152493044</v>
      </c>
      <c r="AE72" s="135"/>
      <c r="AF72" s="6"/>
      <c r="AG72" s="6"/>
      <c r="AH72" s="6"/>
      <c r="AO72">
        <f>IF(S72&lt;'Olsen P ref'!$K$72,1,0)</f>
        <v>0</v>
      </c>
    </row>
    <row r="73" spans="1:41">
      <c r="A73" s="6" t="s">
        <v>77</v>
      </c>
      <c r="B73" s="6" t="s">
        <v>196</v>
      </c>
      <c r="C73" t="s">
        <v>13</v>
      </c>
      <c r="D73" s="8">
        <v>6</v>
      </c>
      <c r="E73" s="3">
        <v>5</v>
      </c>
      <c r="F73" s="26">
        <v>42787</v>
      </c>
      <c r="G73" s="94">
        <v>1</v>
      </c>
      <c r="I73">
        <v>9</v>
      </c>
      <c r="J73">
        <v>8</v>
      </c>
      <c r="K73"/>
      <c r="L73" s="44">
        <v>5</v>
      </c>
      <c r="M73">
        <v>0.292290328734024</v>
      </c>
      <c r="N73">
        <v>0.21</v>
      </c>
      <c r="O73">
        <f t="shared" si="11"/>
        <v>0.292290328734024</v>
      </c>
      <c r="Q73" s="51">
        <f>'Olsen P ref'!$B$76*'Soil samples'!AI73%</f>
        <v>0.71812294100029916</v>
      </c>
      <c r="R73" s="105">
        <f>'Olsen P ref'!$B$76*'Soil samples'!AH73%</f>
        <v>4.2818770589997008</v>
      </c>
      <c r="S73" s="51">
        <f>IF(O73-'Olsen P ref'!$K$68&gt;0,O73-'Olsen P ref'!$K$68,0)</f>
        <v>9.2930498133703326E-2</v>
      </c>
      <c r="T73" s="8">
        <f t="shared" si="12"/>
        <v>9.2930498133703333E-5</v>
      </c>
      <c r="U73" s="8">
        <f t="shared" si="13"/>
        <v>9.2930498133703338E-4</v>
      </c>
      <c r="V73">
        <f>U73*('Olsen P ref'!$B$75+Q73)</f>
        <v>9.3597853359987326E-2</v>
      </c>
      <c r="W73">
        <f t="shared" si="19"/>
        <v>2.185907069967416E-2</v>
      </c>
      <c r="X73" s="8">
        <f t="shared" si="14"/>
        <v>21.859070699674159</v>
      </c>
      <c r="Y73" s="51">
        <f>W73*'Soil samples'!AK73/100</f>
        <v>8.1767084695284938E-3</v>
      </c>
      <c r="Z73" s="105">
        <f t="shared" si="15"/>
        <v>8.1767084695284939</v>
      </c>
      <c r="AA73" s="51">
        <f t="shared" si="16"/>
        <v>9.2930498133703326E-2</v>
      </c>
      <c r="AB73">
        <f t="shared" si="17"/>
        <v>21.859070699674159</v>
      </c>
      <c r="AC73">
        <f>(AB73/1000)*'Soil samples'!AR73/100</f>
        <v>8.1767084695284938E-3</v>
      </c>
      <c r="AD73" s="6">
        <f t="shared" si="18"/>
        <v>8.1767084695284939</v>
      </c>
      <c r="AE73" s="135"/>
      <c r="AF73" s="6"/>
      <c r="AG73" s="6"/>
      <c r="AH73" s="6"/>
      <c r="AO73">
        <f>IF(S73&lt;'Olsen P ref'!$K$72,1,0)</f>
        <v>0</v>
      </c>
    </row>
    <row r="74" spans="1:41">
      <c r="A74" s="6" t="s">
        <v>78</v>
      </c>
      <c r="B74" s="6" t="s">
        <v>196</v>
      </c>
      <c r="C74" t="s">
        <v>13</v>
      </c>
      <c r="D74" s="8">
        <v>6</v>
      </c>
      <c r="E74" s="3">
        <v>10</v>
      </c>
      <c r="F74" s="26">
        <v>42787</v>
      </c>
      <c r="G74" s="94">
        <v>1</v>
      </c>
      <c r="I74">
        <v>11</v>
      </c>
      <c r="J74">
        <v>10</v>
      </c>
      <c r="K74"/>
      <c r="L74" s="44">
        <v>5</v>
      </c>
      <c r="M74">
        <v>0.343342659121256</v>
      </c>
      <c r="N74">
        <v>0.247</v>
      </c>
      <c r="O74">
        <f t="shared" si="11"/>
        <v>0.343342659121256</v>
      </c>
      <c r="Q74" s="51">
        <f>'Olsen P ref'!$B$76*'Soil samples'!AI74%</f>
        <v>0.33713132751765545</v>
      </c>
      <c r="R74" s="105">
        <f>'Olsen P ref'!$B$76*'Soil samples'!AH74%</f>
        <v>4.6628686724823449</v>
      </c>
      <c r="S74" s="51">
        <f>IF(O74-'Olsen P ref'!$K$68&gt;0,O74-'Olsen P ref'!$K$68,0)</f>
        <v>0.14398282852093533</v>
      </c>
      <c r="T74" s="8">
        <f t="shared" si="12"/>
        <v>1.4398282852093534E-4</v>
      </c>
      <c r="U74" s="8">
        <f t="shared" si="13"/>
        <v>1.4398282852093533E-3</v>
      </c>
      <c r="V74">
        <f>U74*('Olsen P ref'!$B$75+Q74)</f>
        <v>0.14446823974212541</v>
      </c>
      <c r="W74">
        <f t="shared" si="19"/>
        <v>3.0982695394081446E-2</v>
      </c>
      <c r="X74" s="8">
        <f t="shared" si="14"/>
        <v>30.982695394081446</v>
      </c>
      <c r="Y74" s="51">
        <f>W74*'Soil samples'!AK74/100</f>
        <v>1.9038024633217299E-2</v>
      </c>
      <c r="Z74" s="105">
        <f t="shared" si="15"/>
        <v>19.038024633217297</v>
      </c>
      <c r="AA74" s="51">
        <f t="shared" si="16"/>
        <v>0.14398282852093533</v>
      </c>
      <c r="AB74">
        <f t="shared" si="17"/>
        <v>30.982695394081446</v>
      </c>
      <c r="AC74">
        <f>(AB74/1000)*'Soil samples'!AR74/100</f>
        <v>1.9038024633217299E-2</v>
      </c>
      <c r="AD74" s="6">
        <f t="shared" si="18"/>
        <v>19.038024633217297</v>
      </c>
      <c r="AE74" s="135"/>
      <c r="AF74" s="6"/>
      <c r="AG74" s="6"/>
      <c r="AH74" s="6"/>
      <c r="AO74">
        <f>IF(S74&lt;'Olsen P ref'!$K$72,1,0)</f>
        <v>0</v>
      </c>
    </row>
    <row r="75" spans="1:41">
      <c r="A75" s="6" t="s">
        <v>79</v>
      </c>
      <c r="B75" s="6" t="s">
        <v>196</v>
      </c>
      <c r="C75" t="s">
        <v>13</v>
      </c>
      <c r="D75" s="8">
        <v>6</v>
      </c>
      <c r="E75" s="3">
        <v>20</v>
      </c>
      <c r="F75" s="26">
        <v>42787</v>
      </c>
      <c r="G75" s="94">
        <v>1</v>
      </c>
      <c r="I75">
        <v>9</v>
      </c>
      <c r="J75">
        <v>4</v>
      </c>
      <c r="K75"/>
      <c r="L75" s="44">
        <v>5</v>
      </c>
      <c r="M75">
        <v>0.31574680485788797</v>
      </c>
      <c r="N75">
        <v>0.22700000000000001</v>
      </c>
      <c r="O75">
        <f t="shared" si="11"/>
        <v>0.31574680485788797</v>
      </c>
      <c r="Q75" s="51">
        <f>'Olsen P ref'!$B$76*'Soil samples'!AI75%</f>
        <v>0.56897881766774883</v>
      </c>
      <c r="R75" s="105">
        <f>'Olsen P ref'!$B$76*'Soil samples'!AH75%</f>
        <v>4.431021182332251</v>
      </c>
      <c r="S75" s="51">
        <f>IF(O75-'Olsen P ref'!$K$68&gt;0,O75-'Olsen P ref'!$K$68,0)</f>
        <v>0.1163869742575673</v>
      </c>
      <c r="T75" s="8">
        <f t="shared" si="12"/>
        <v>1.163869742575673E-4</v>
      </c>
      <c r="U75" s="8">
        <f t="shared" si="13"/>
        <v>1.1638697425756729E-3</v>
      </c>
      <c r="V75">
        <f>U75*('Olsen P ref'!$B$75+Q75)</f>
        <v>0.11704919148761728</v>
      </c>
      <c r="W75">
        <f t="shared" si="19"/>
        <v>2.6415850132769821E-2</v>
      </c>
      <c r="X75" s="8">
        <f t="shared" si="14"/>
        <v>26.415850132769819</v>
      </c>
      <c r="Y75" s="51">
        <f>W75*'Soil samples'!AK75/100</f>
        <v>2.7466763274484263E-2</v>
      </c>
      <c r="Z75" s="105">
        <f t="shared" si="15"/>
        <v>27.466763274484261</v>
      </c>
      <c r="AA75" s="51">
        <f t="shared" si="16"/>
        <v>0.1163869742575673</v>
      </c>
      <c r="AB75">
        <f t="shared" si="17"/>
        <v>26.415850132769819</v>
      </c>
      <c r="AC75">
        <f>(AB75/1000)*'Soil samples'!AR75/100</f>
        <v>2.7466763274484263E-2</v>
      </c>
      <c r="AD75" s="6">
        <f t="shared" si="18"/>
        <v>27.466763274484261</v>
      </c>
      <c r="AE75" s="135"/>
      <c r="AF75" s="6"/>
      <c r="AG75" s="6"/>
      <c r="AH75" s="6"/>
      <c r="AO75">
        <f>IF(S75&lt;'Olsen P ref'!$K$72,1,0)</f>
        <v>0</v>
      </c>
    </row>
    <row r="76" spans="1:41">
      <c r="A76" s="7" t="s">
        <v>80</v>
      </c>
      <c r="B76" s="7" t="s">
        <v>196</v>
      </c>
      <c r="C76" s="4" t="s">
        <v>13</v>
      </c>
      <c r="D76" s="4">
        <v>6</v>
      </c>
      <c r="E76" s="5">
        <v>30</v>
      </c>
      <c r="F76" s="26">
        <v>42787</v>
      </c>
      <c r="G76" s="95">
        <v>1</v>
      </c>
      <c r="I76">
        <v>10</v>
      </c>
      <c r="J76">
        <v>10</v>
      </c>
      <c r="K76"/>
      <c r="L76" s="44">
        <v>5</v>
      </c>
      <c r="M76">
        <v>0.27435302346283502</v>
      </c>
      <c r="N76">
        <v>0.19700000000000001</v>
      </c>
      <c r="O76">
        <f t="shared" si="11"/>
        <v>0.27435302346283502</v>
      </c>
      <c r="Q76" s="51">
        <f>'Olsen P ref'!$B$76*'Soil samples'!AI76%</f>
        <v>0.6396312930924517</v>
      </c>
      <c r="R76" s="105">
        <f>'Olsen P ref'!$B$76*'Soil samples'!AH76%</f>
        <v>4.3603687069075487</v>
      </c>
      <c r="S76" s="51">
        <f>IF(O76-'Olsen P ref'!$K$68&gt;0,O76-'Olsen P ref'!$K$68,0)</f>
        <v>7.4993192862514352E-2</v>
      </c>
      <c r="T76" s="8">
        <f t="shared" si="12"/>
        <v>7.4993192862514348E-5</v>
      </c>
      <c r="U76" s="8">
        <f t="shared" si="13"/>
        <v>7.4993192862514348E-4</v>
      </c>
      <c r="V76">
        <f>U76*('Olsen P ref'!$B$75+Q76)</f>
        <v>7.547287279175216E-2</v>
      </c>
      <c r="W76">
        <f t="shared" si="19"/>
        <v>1.7308828189733266E-2</v>
      </c>
      <c r="X76" s="8">
        <f t="shared" si="14"/>
        <v>17.308828189733266</v>
      </c>
      <c r="Y76" s="51">
        <f>W76*'Soil samples'!AK76/100</f>
        <v>1.5897605924854678E-2</v>
      </c>
      <c r="Z76" s="105">
        <f t="shared" si="15"/>
        <v>15.897605924854677</v>
      </c>
      <c r="AA76" s="51">
        <f t="shared" si="16"/>
        <v>7.4993192862514352E-2</v>
      </c>
      <c r="AB76">
        <f t="shared" si="17"/>
        <v>17.308828189733266</v>
      </c>
      <c r="AC76">
        <f>(AB76/1000)*'Soil samples'!AR76/100</f>
        <v>1.5897605924854678E-2</v>
      </c>
      <c r="AD76" s="6">
        <f t="shared" si="18"/>
        <v>15.897605924854677</v>
      </c>
      <c r="AE76" s="135"/>
      <c r="AF76" s="6"/>
      <c r="AG76" s="6"/>
      <c r="AH76" s="6"/>
      <c r="AO76">
        <f>IF(S76&lt;'Olsen P ref'!$K$72,1,0)</f>
        <v>0</v>
      </c>
    </row>
    <row r="77" spans="1:41">
      <c r="A77" s="6" t="s">
        <v>81</v>
      </c>
      <c r="B77" s="6" t="s">
        <v>197</v>
      </c>
      <c r="C77" t="s">
        <v>12</v>
      </c>
      <c r="D77" s="8">
        <v>1</v>
      </c>
      <c r="E77" s="3">
        <v>5</v>
      </c>
      <c r="F77" s="26">
        <v>42787</v>
      </c>
      <c r="G77" s="94">
        <v>1</v>
      </c>
      <c r="I77">
        <v>12</v>
      </c>
      <c r="J77">
        <v>15</v>
      </c>
      <c r="K77"/>
      <c r="L77" s="44">
        <v>1.25</v>
      </c>
      <c r="M77">
        <v>0.28401157245501402</v>
      </c>
      <c r="N77">
        <v>0.20399999999999999</v>
      </c>
      <c r="O77">
        <f t="shared" si="11"/>
        <v>1.1360462898200561</v>
      </c>
      <c r="Q77" s="51">
        <f>'Olsen P ref'!$B$76*'Soil samples'!AI77%</f>
        <v>2.4752224919093853</v>
      </c>
      <c r="R77" s="105">
        <f>'Olsen P ref'!$B$76*'Soil samples'!AH77%</f>
        <v>2.5247775080906147</v>
      </c>
      <c r="S77" s="51">
        <f>IF(O77-'Olsen P ref'!$K$68&gt;0,O77-'Olsen P ref'!$K$68,0)</f>
        <v>0.93668645921973537</v>
      </c>
      <c r="T77" s="8">
        <f t="shared" si="12"/>
        <v>9.3668645921973531E-4</v>
      </c>
      <c r="U77" s="8">
        <f t="shared" si="13"/>
        <v>9.3668645921973527E-3</v>
      </c>
      <c r="V77">
        <f>U77*('Olsen P ref'!$B$75+Q77)</f>
        <v>0.9598715331370119</v>
      </c>
      <c r="W77">
        <f t="shared" si="19"/>
        <v>0.38018064168470955</v>
      </c>
      <c r="X77" s="8">
        <f t="shared" si="14"/>
        <v>380.18064168470954</v>
      </c>
      <c r="Y77" s="51">
        <f>W77*'Soil samples'!AK77/100</f>
        <v>6.3908246676262173E-2</v>
      </c>
      <c r="Z77" s="105">
        <f t="shared" si="15"/>
        <v>63.908246676262166</v>
      </c>
      <c r="AA77" s="51">
        <f t="shared" si="16"/>
        <v>0.93668645921973537</v>
      </c>
      <c r="AB77">
        <f t="shared" si="17"/>
        <v>380.18064168470954</v>
      </c>
      <c r="AC77">
        <f>(AB77/1000)*'Soil samples'!AR77/100</f>
        <v>6.3908246676262173E-2</v>
      </c>
      <c r="AD77" s="6">
        <f t="shared" si="18"/>
        <v>63.908246676262166</v>
      </c>
      <c r="AE77" s="135"/>
      <c r="AF77" s="6"/>
      <c r="AG77" s="6"/>
      <c r="AH77" s="6"/>
      <c r="AO77">
        <f>IF(S77&lt;'Olsen P ref'!$K$72,1,0)</f>
        <v>0</v>
      </c>
    </row>
    <row r="78" spans="1:41">
      <c r="A78" s="6" t="s">
        <v>82</v>
      </c>
      <c r="B78" s="6" t="s">
        <v>197</v>
      </c>
      <c r="C78" t="s">
        <v>12</v>
      </c>
      <c r="D78" s="8">
        <v>1</v>
      </c>
      <c r="E78" s="3">
        <v>10</v>
      </c>
      <c r="F78" s="26">
        <v>42787</v>
      </c>
      <c r="G78" s="94">
        <v>1</v>
      </c>
      <c r="I78">
        <v>10</v>
      </c>
      <c r="J78">
        <v>18</v>
      </c>
      <c r="K78"/>
      <c r="L78" s="44">
        <v>1.25</v>
      </c>
      <c r="M78">
        <v>0.41785146563235198</v>
      </c>
      <c r="N78">
        <v>0.30099999999999999</v>
      </c>
      <c r="O78">
        <f t="shared" si="11"/>
        <v>1.6714058625294079</v>
      </c>
      <c r="Q78" s="51">
        <f>'Olsen P ref'!$B$76*'Soil samples'!AI78%</f>
        <v>2.2720601237842617</v>
      </c>
      <c r="R78" s="105">
        <f>'Olsen P ref'!$B$76*'Soil samples'!AH78%</f>
        <v>2.7279398762157383</v>
      </c>
      <c r="S78" s="51">
        <f>IF(O78-'Olsen P ref'!$K$68&gt;0,O78-'Olsen P ref'!$K$68,0)</f>
        <v>1.4720460319290873</v>
      </c>
      <c r="T78" s="8">
        <f t="shared" si="12"/>
        <v>1.4720460319290873E-3</v>
      </c>
      <c r="U78" s="8">
        <f t="shared" si="13"/>
        <v>1.4720460319290873E-2</v>
      </c>
      <c r="V78">
        <f>U78*('Olsen P ref'!$B$75+Q78)</f>
        <v>1.5054918028242965</v>
      </c>
      <c r="W78">
        <f t="shared" si="19"/>
        <v>0.55187865977191175</v>
      </c>
      <c r="X78" s="8">
        <f t="shared" si="14"/>
        <v>551.87865977191177</v>
      </c>
      <c r="Y78" s="51">
        <f>W78*'Soil samples'!AK78/100</f>
        <v>0.12890020815781628</v>
      </c>
      <c r="Z78" s="105">
        <f t="shared" si="15"/>
        <v>128.90020815781628</v>
      </c>
      <c r="AA78" s="51">
        <f t="shared" si="16"/>
        <v>1.4720460319290873</v>
      </c>
      <c r="AB78">
        <f t="shared" si="17"/>
        <v>551.87865977191177</v>
      </c>
      <c r="AC78">
        <f>(AB78/1000)*'Soil samples'!AR78/100</f>
        <v>0.12890020815781628</v>
      </c>
      <c r="AD78" s="6">
        <f t="shared" si="18"/>
        <v>128.90020815781628</v>
      </c>
      <c r="AE78" s="135"/>
      <c r="AF78" s="6"/>
      <c r="AG78" s="6"/>
      <c r="AH78" s="6"/>
      <c r="AO78">
        <f>IF(S78&lt;'Olsen P ref'!$K$72,1,0)</f>
        <v>0</v>
      </c>
    </row>
    <row r="79" spans="1:41">
      <c r="A79" s="6" t="s">
        <v>83</v>
      </c>
      <c r="B79" s="6" t="s">
        <v>197</v>
      </c>
      <c r="C79" t="s">
        <v>12</v>
      </c>
      <c r="D79" s="8">
        <v>1</v>
      </c>
      <c r="E79" s="3">
        <v>20</v>
      </c>
      <c r="F79" s="26">
        <v>42787</v>
      </c>
      <c r="G79" s="94">
        <v>1</v>
      </c>
      <c r="I79">
        <v>10</v>
      </c>
      <c r="J79">
        <v>17</v>
      </c>
      <c r="K79"/>
      <c r="L79" s="44">
        <v>1.25</v>
      </c>
      <c r="M79">
        <v>0.49649965028295301</v>
      </c>
      <c r="N79">
        <v>0.35799999999999998</v>
      </c>
      <c r="O79">
        <f t="shared" si="11"/>
        <v>1.985998601131812</v>
      </c>
      <c r="Q79" s="51">
        <f>'Olsen P ref'!$B$76*'Soil samples'!AI79%</f>
        <v>1.9162760095402582</v>
      </c>
      <c r="R79" s="105">
        <f>'Olsen P ref'!$B$76*'Soil samples'!AH79%</f>
        <v>3.0837239904597418</v>
      </c>
      <c r="S79" s="51">
        <f>IF(O79-'Olsen P ref'!$K$68&gt;0,O79-'Olsen P ref'!$K$68,0)</f>
        <v>1.7866387705314914</v>
      </c>
      <c r="T79" s="8">
        <f t="shared" si="12"/>
        <v>1.7866387705314914E-3</v>
      </c>
      <c r="U79" s="8">
        <f t="shared" si="13"/>
        <v>1.7866387705314915E-2</v>
      </c>
      <c r="V79">
        <f>U79*('Olsen P ref'!$B$75+Q79)</f>
        <v>1.8208757006683314</v>
      </c>
      <c r="W79">
        <f t="shared" si="19"/>
        <v>0.59047946778040383</v>
      </c>
      <c r="X79" s="8">
        <f t="shared" si="14"/>
        <v>590.47946778040387</v>
      </c>
      <c r="Y79" s="51">
        <f>W79*'Soil samples'!AK79/100</f>
        <v>0.18325293051526084</v>
      </c>
      <c r="Z79" s="105">
        <f t="shared" si="15"/>
        <v>183.25293051526086</v>
      </c>
      <c r="AA79" s="51">
        <f t="shared" si="16"/>
        <v>1.7866387705314914</v>
      </c>
      <c r="AB79">
        <f t="shared" si="17"/>
        <v>590.47946778040387</v>
      </c>
      <c r="AC79">
        <f>(AB79/1000)*'Soil samples'!AR79/100</f>
        <v>0.18325293051526084</v>
      </c>
      <c r="AD79" s="6">
        <f t="shared" si="18"/>
        <v>183.25293051526086</v>
      </c>
      <c r="AE79" s="135"/>
      <c r="AF79" s="6"/>
      <c r="AG79" s="6"/>
      <c r="AH79" s="6"/>
      <c r="AO79">
        <f>IF(S79&lt;'Olsen P ref'!$K$72,1,0)</f>
        <v>0</v>
      </c>
    </row>
    <row r="80" spans="1:41">
      <c r="A80" s="6" t="s">
        <v>84</v>
      </c>
      <c r="B80" s="6" t="s">
        <v>197</v>
      </c>
      <c r="C80" t="s">
        <v>12</v>
      </c>
      <c r="D80" s="8">
        <v>2</v>
      </c>
      <c r="E80" s="3">
        <v>5</v>
      </c>
      <c r="F80" s="26">
        <v>42787</v>
      </c>
      <c r="G80" s="94">
        <v>2</v>
      </c>
      <c r="H80" s="3" t="s">
        <v>675</v>
      </c>
      <c r="I80">
        <v>6</v>
      </c>
      <c r="J80">
        <v>20</v>
      </c>
      <c r="K80"/>
      <c r="L80" s="44">
        <v>2.5</v>
      </c>
      <c r="M80">
        <v>0.43422495243623199</v>
      </c>
      <c r="N80">
        <v>0.312</v>
      </c>
      <c r="O80">
        <f t="shared" si="11"/>
        <v>0.86844990487246387</v>
      </c>
      <c r="Q80" s="51">
        <f>'Olsen P ref'!$B$76*'Soil samples'!AI80%</f>
        <v>2.5315180592767983</v>
      </c>
      <c r="R80" s="105">
        <f>'Olsen P ref'!$B$76*'Soil samples'!AH80%</f>
        <v>2.4684819407232017</v>
      </c>
      <c r="S80" s="51">
        <f>IF(O80-'Olsen P ref'!$K$68&gt;0,O80-'Olsen P ref'!$K$68,0)</f>
        <v>0.66909007427214318</v>
      </c>
      <c r="T80" s="8">
        <f t="shared" si="12"/>
        <v>6.6909007427214313E-4</v>
      </c>
      <c r="U80" s="8">
        <f t="shared" si="13"/>
        <v>6.6909007427214309E-3</v>
      </c>
      <c r="V80">
        <f>U80*('Olsen P ref'!$B$75+Q80)</f>
        <v>0.68602821033517092</v>
      </c>
      <c r="W80">
        <f t="shared" si="19"/>
        <v>0.27791502097608312</v>
      </c>
      <c r="X80" s="8">
        <f t="shared" si="14"/>
        <v>277.9150209760831</v>
      </c>
      <c r="Y80" s="51">
        <f>W80*'Soil samples'!AK80/100</f>
        <v>5.7722413617601276E-2</v>
      </c>
      <c r="Z80" s="105">
        <f t="shared" si="15"/>
        <v>57.722413617601276</v>
      </c>
      <c r="AA80" s="51">
        <f t="shared" si="16"/>
        <v>0.66909007427214318</v>
      </c>
      <c r="AB80">
        <f t="shared" si="17"/>
        <v>277.9150209760831</v>
      </c>
      <c r="AC80">
        <f>(AB80/1000)*'Soil samples'!AR80/100</f>
        <v>5.7722413617601276E-2</v>
      </c>
      <c r="AD80" s="6">
        <f t="shared" si="18"/>
        <v>57.722413617601276</v>
      </c>
      <c r="AE80" s="135"/>
      <c r="AF80" s="6"/>
      <c r="AG80" s="6"/>
      <c r="AH80" s="6"/>
      <c r="AO80">
        <f>IF(S80&lt;'Olsen P ref'!$K$72,1,0)</f>
        <v>0</v>
      </c>
    </row>
    <row r="81" spans="1:41">
      <c r="A81" s="6" t="s">
        <v>85</v>
      </c>
      <c r="B81" s="6" t="s">
        <v>197</v>
      </c>
      <c r="C81" t="s">
        <v>12</v>
      </c>
      <c r="D81" s="8">
        <v>2</v>
      </c>
      <c r="E81" s="3">
        <v>10</v>
      </c>
      <c r="F81" s="26">
        <v>42787</v>
      </c>
      <c r="G81" s="94">
        <v>2</v>
      </c>
      <c r="H81" s="3" t="s">
        <v>675</v>
      </c>
      <c r="I81">
        <v>6</v>
      </c>
      <c r="J81">
        <v>14</v>
      </c>
      <c r="K81"/>
      <c r="L81" s="44">
        <v>2.5</v>
      </c>
      <c r="M81">
        <v>0.45241849666247502</v>
      </c>
      <c r="N81">
        <v>0.32500000000000001</v>
      </c>
      <c r="O81">
        <f t="shared" si="11"/>
        <v>0.90483699332495005</v>
      </c>
      <c r="Q81" s="51">
        <f>'Olsen P ref'!$B$76*'Soil samples'!AI81%</f>
        <v>2.5120492742815319</v>
      </c>
      <c r="R81" s="105">
        <f>'Olsen P ref'!$B$76*'Soil samples'!AH81%</f>
        <v>2.4879507257184681</v>
      </c>
      <c r="S81" s="51">
        <f>IF(O81-'Olsen P ref'!$K$68&gt;0,O81-'Olsen P ref'!$K$68,0)</f>
        <v>0.70547716272462935</v>
      </c>
      <c r="T81" s="8">
        <f t="shared" si="12"/>
        <v>7.0547716272462938E-4</v>
      </c>
      <c r="U81" s="8">
        <f t="shared" si="13"/>
        <v>7.0547716272462936E-3</v>
      </c>
      <c r="V81">
        <f>U81*('Olsen P ref'!$B$75+Q81)</f>
        <v>0.7231990966710754</v>
      </c>
      <c r="W81">
        <f t="shared" si="19"/>
        <v>0.29068063494795726</v>
      </c>
      <c r="X81" s="8">
        <f t="shared" si="14"/>
        <v>290.68063494795729</v>
      </c>
      <c r="Y81" s="51">
        <f>W81*'Soil samples'!AK81/100</f>
        <v>8.083919502589279E-2</v>
      </c>
      <c r="Z81" s="105">
        <f t="shared" si="15"/>
        <v>80.839195025892792</v>
      </c>
      <c r="AA81" s="51">
        <f t="shared" si="16"/>
        <v>0.70547716272462935</v>
      </c>
      <c r="AB81">
        <f t="shared" si="17"/>
        <v>290.68063494795729</v>
      </c>
      <c r="AC81">
        <f>(AB81/1000)*'Soil samples'!AR81/100</f>
        <v>8.083919502589279E-2</v>
      </c>
      <c r="AD81" s="6">
        <f t="shared" si="18"/>
        <v>80.839195025892792</v>
      </c>
      <c r="AE81" s="135"/>
      <c r="AF81" s="6"/>
      <c r="AG81" s="6"/>
      <c r="AH81" s="6"/>
      <c r="AO81">
        <f>IF(S81&lt;'Olsen P ref'!$K$72,1,0)</f>
        <v>0</v>
      </c>
    </row>
    <row r="82" spans="1:41">
      <c r="A82" s="6" t="s">
        <v>86</v>
      </c>
      <c r="B82" s="6" t="s">
        <v>197</v>
      </c>
      <c r="C82" t="s">
        <v>12</v>
      </c>
      <c r="D82" s="8">
        <v>2</v>
      </c>
      <c r="E82" s="3">
        <v>20</v>
      </c>
      <c r="F82" s="26">
        <v>42787</v>
      </c>
      <c r="G82" s="94">
        <v>2</v>
      </c>
      <c r="H82" s="3" t="s">
        <v>675</v>
      </c>
      <c r="I82">
        <v>6</v>
      </c>
      <c r="J82">
        <v>1</v>
      </c>
      <c r="K82"/>
      <c r="L82" s="44">
        <v>2.5</v>
      </c>
      <c r="M82">
        <v>0.43282544903421399</v>
      </c>
      <c r="N82">
        <v>0.311</v>
      </c>
      <c r="O82">
        <f t="shared" si="11"/>
        <v>0.86565089806842799</v>
      </c>
      <c r="Q82" s="51">
        <f>'Olsen P ref'!$B$76*'Soil samples'!AI82%</f>
        <v>2.6094486945140254</v>
      </c>
      <c r="R82" s="105">
        <f>'Olsen P ref'!$B$76*'Soil samples'!AH82%</f>
        <v>2.3905513054859746</v>
      </c>
      <c r="S82" s="51">
        <f>IF(O82-'Olsen P ref'!$K$68&gt;0,O82-'Olsen P ref'!$K$68,0)</f>
        <v>0.66629106746810729</v>
      </c>
      <c r="T82" s="8">
        <f t="shared" si="12"/>
        <v>6.6629106746810733E-4</v>
      </c>
      <c r="U82" s="8">
        <f t="shared" si="13"/>
        <v>6.6629106746810733E-3</v>
      </c>
      <c r="V82">
        <f>U82*('Olsen P ref'!$B$75+Q82)</f>
        <v>0.6836775910298174</v>
      </c>
      <c r="W82">
        <f t="shared" si="19"/>
        <v>0.28599159928543461</v>
      </c>
      <c r="X82" s="8">
        <f t="shared" si="14"/>
        <v>285.99159928543463</v>
      </c>
      <c r="Y82" s="51">
        <f>W82*'Soil samples'!AK82/100</f>
        <v>9.0327483326859484E-2</v>
      </c>
      <c r="Z82" s="105">
        <f t="shared" si="15"/>
        <v>90.327483326859479</v>
      </c>
      <c r="AA82" s="51">
        <f t="shared" si="16"/>
        <v>0.66629106746810729</v>
      </c>
      <c r="AB82">
        <f t="shared" si="17"/>
        <v>285.99159928543463</v>
      </c>
      <c r="AC82">
        <f>(AB82/1000)*'Soil samples'!AR82/100</f>
        <v>9.0327483326859484E-2</v>
      </c>
      <c r="AD82" s="6">
        <f t="shared" si="18"/>
        <v>90.327483326859479</v>
      </c>
      <c r="AE82" s="135"/>
      <c r="AF82" s="6"/>
      <c r="AG82" s="6"/>
      <c r="AH82" s="6"/>
      <c r="AO82">
        <f>IF(S82&lt;'Olsen P ref'!$K$72,1,0)</f>
        <v>0</v>
      </c>
    </row>
    <row r="83" spans="1:41">
      <c r="A83" s="6" t="s">
        <v>87</v>
      </c>
      <c r="B83" s="6" t="s">
        <v>197</v>
      </c>
      <c r="C83" t="s">
        <v>12</v>
      </c>
      <c r="D83" s="8">
        <v>3</v>
      </c>
      <c r="E83" s="3">
        <v>5</v>
      </c>
      <c r="F83" s="26">
        <v>42768</v>
      </c>
      <c r="G83" s="94">
        <v>1</v>
      </c>
      <c r="I83">
        <v>10</v>
      </c>
      <c r="J83">
        <v>8</v>
      </c>
      <c r="K83"/>
      <c r="L83" s="44">
        <v>1.25</v>
      </c>
      <c r="M83">
        <v>0.143272715711833</v>
      </c>
      <c r="N83">
        <v>0.10199999999999999</v>
      </c>
      <c r="O83">
        <f t="shared" si="11"/>
        <v>0.57309086284733202</v>
      </c>
      <c r="Q83" s="51">
        <f>'Olsen P ref'!$B$76*'Soil samples'!AI83%</f>
        <v>2.8104047246829946</v>
      </c>
      <c r="R83" s="105">
        <f>'Olsen P ref'!$B$76*'Soil samples'!AH83%</f>
        <v>2.1895952753170054</v>
      </c>
      <c r="S83" s="51">
        <f>IF(O83-'Olsen P ref'!$K$68&gt;0,O83-'Olsen P ref'!$K$68,0)</f>
        <v>0.37373103224701132</v>
      </c>
      <c r="T83" s="8">
        <f t="shared" si="12"/>
        <v>3.737310322470113E-4</v>
      </c>
      <c r="U83" s="8">
        <f t="shared" si="13"/>
        <v>3.7373103224701129E-3</v>
      </c>
      <c r="V83">
        <f>U83*('Olsen P ref'!$B$75+Q83)</f>
        <v>0.38423438683488781</v>
      </c>
      <c r="W83">
        <f t="shared" si="19"/>
        <v>0.1754819217808456</v>
      </c>
      <c r="X83" s="8">
        <f t="shared" si="14"/>
        <v>175.4819217808456</v>
      </c>
      <c r="Y83" s="51">
        <f>W83*'Soil samples'!AK83/100</f>
        <v>1.5599916105496454E-2</v>
      </c>
      <c r="Z83" s="105">
        <f t="shared" si="15"/>
        <v>15.599916105496453</v>
      </c>
      <c r="AA83" s="51">
        <f t="shared" si="16"/>
        <v>0.37373103224701132</v>
      </c>
      <c r="AB83">
        <f t="shared" si="17"/>
        <v>175.4819217808456</v>
      </c>
      <c r="AC83">
        <f>(AB83/1000)*'Soil samples'!AR83/100</f>
        <v>1.5599916105496454E-2</v>
      </c>
      <c r="AD83" s="6">
        <f t="shared" si="18"/>
        <v>15.599916105496453</v>
      </c>
      <c r="AE83" s="135"/>
      <c r="AF83" s="6"/>
      <c r="AG83" s="6"/>
      <c r="AH83" s="6"/>
      <c r="AO83">
        <f>IF(S83&lt;'Olsen P ref'!$K$72,1,0)</f>
        <v>0</v>
      </c>
    </row>
    <row r="84" spans="1:41">
      <c r="A84" s="6" t="s">
        <v>88</v>
      </c>
      <c r="B84" s="6" t="s">
        <v>197</v>
      </c>
      <c r="C84" t="s">
        <v>12</v>
      </c>
      <c r="D84" s="8">
        <v>3</v>
      </c>
      <c r="E84" s="3">
        <v>10</v>
      </c>
      <c r="F84" s="26">
        <v>42768</v>
      </c>
      <c r="G84" s="94">
        <v>1</v>
      </c>
      <c r="I84">
        <v>10</v>
      </c>
      <c r="J84">
        <v>19</v>
      </c>
      <c r="K84"/>
      <c r="L84" s="44">
        <v>1.25</v>
      </c>
      <c r="M84">
        <v>0.20812297323074999</v>
      </c>
      <c r="N84">
        <v>0.14899999999999999</v>
      </c>
      <c r="O84">
        <f t="shared" si="11"/>
        <v>0.83249189292299985</v>
      </c>
      <c r="Q84" s="51">
        <f>'Olsen P ref'!$B$76*'Soil samples'!AI84%</f>
        <v>0.24201486020455007</v>
      </c>
      <c r="R84" s="105">
        <f>'Olsen P ref'!$B$76*'Soil samples'!AH84%</f>
        <v>4.7579851397954496</v>
      </c>
      <c r="S84" s="51">
        <f>IF(O84-'Olsen P ref'!$K$68&gt;0,O84-'Olsen P ref'!$K$68,0)</f>
        <v>0.63313206232267916</v>
      </c>
      <c r="T84" s="8">
        <f t="shared" si="12"/>
        <v>6.3313206232267914E-4</v>
      </c>
      <c r="U84" s="8">
        <f t="shared" si="13"/>
        <v>6.331320623226791E-3</v>
      </c>
      <c r="V84">
        <f>U84*('Olsen P ref'!$B$75+Q84)</f>
        <v>0.63466433599821948</v>
      </c>
      <c r="W84">
        <f t="shared" si="19"/>
        <v>0.13338930605098617</v>
      </c>
      <c r="X84" s="8">
        <f t="shared" si="14"/>
        <v>133.38930605098616</v>
      </c>
      <c r="Y84" s="51">
        <f>W84*'Soil samples'!AK84/100</f>
        <v>0.12939536482331698</v>
      </c>
      <c r="Z84" s="105">
        <f t="shared" si="15"/>
        <v>129.39536482331698</v>
      </c>
      <c r="AA84" s="51">
        <f t="shared" si="16"/>
        <v>0.63313206232267916</v>
      </c>
      <c r="AB84">
        <f t="shared" si="17"/>
        <v>133.38930605098616</v>
      </c>
      <c r="AC84">
        <f>(AB84/1000)*'Soil samples'!AR84/100</f>
        <v>0.12939536482331698</v>
      </c>
      <c r="AD84" s="6">
        <f t="shared" si="18"/>
        <v>129.39536482331698</v>
      </c>
      <c r="AE84" s="135"/>
      <c r="AF84" s="6"/>
      <c r="AG84" s="6"/>
      <c r="AH84" s="6"/>
      <c r="AO84">
        <f>IF(S84&lt;'Olsen P ref'!$K$72,1,0)</f>
        <v>0</v>
      </c>
    </row>
    <row r="85" spans="1:41">
      <c r="A85" s="6" t="s">
        <v>89</v>
      </c>
      <c r="B85" s="6" t="s">
        <v>197</v>
      </c>
      <c r="C85" t="s">
        <v>12</v>
      </c>
      <c r="D85" s="8">
        <v>3</v>
      </c>
      <c r="E85" s="3">
        <v>20</v>
      </c>
      <c r="F85" s="26">
        <v>42768</v>
      </c>
      <c r="G85" s="94">
        <v>1</v>
      </c>
      <c r="I85">
        <v>10</v>
      </c>
      <c r="J85">
        <v>15</v>
      </c>
      <c r="K85"/>
      <c r="L85" s="44">
        <v>1.25</v>
      </c>
      <c r="M85">
        <v>0.198464424238571</v>
      </c>
      <c r="N85">
        <v>0.14199999999999999</v>
      </c>
      <c r="O85">
        <f t="shared" si="11"/>
        <v>0.7938576969542841</v>
      </c>
      <c r="Q85" s="51">
        <f>'Olsen P ref'!$B$76*'Soil samples'!AI85%</f>
        <v>0.51390761211467584</v>
      </c>
      <c r="R85" s="105">
        <f>'Olsen P ref'!$B$76*'Soil samples'!AH85%</f>
        <v>4.4860923878853241</v>
      </c>
      <c r="S85" s="51">
        <f>IF(O85-'Olsen P ref'!$K$68&gt;0,O85-'Olsen P ref'!$K$68,0)</f>
        <v>0.5944978663539634</v>
      </c>
      <c r="T85" s="8">
        <f t="shared" si="12"/>
        <v>5.9449786635396343E-4</v>
      </c>
      <c r="U85" s="8">
        <f t="shared" si="13"/>
        <v>5.9449786635396348E-3</v>
      </c>
      <c r="V85">
        <f>U85*('Olsen P ref'!$B$75+Q85)</f>
        <v>0.5975530361430158</v>
      </c>
      <c r="W85">
        <f t="shared" si="19"/>
        <v>0.13320123271573844</v>
      </c>
      <c r="X85" s="8">
        <f t="shared" si="14"/>
        <v>133.20123271573846</v>
      </c>
      <c r="Y85" s="51">
        <f>W85*'Soil samples'!AK85/100</f>
        <v>9.7209927919745864E-2</v>
      </c>
      <c r="Z85" s="105">
        <f t="shared" si="15"/>
        <v>97.209927919745866</v>
      </c>
      <c r="AA85" s="51">
        <f t="shared" si="16"/>
        <v>0.5944978663539634</v>
      </c>
      <c r="AB85">
        <f t="shared" si="17"/>
        <v>133.20123271573846</v>
      </c>
      <c r="AC85">
        <f>(AB85/1000)*'Soil samples'!AR85/100</f>
        <v>9.7209927919745864E-2</v>
      </c>
      <c r="AD85" s="6">
        <f t="shared" si="18"/>
        <v>97.209927919745866</v>
      </c>
      <c r="AE85" s="135"/>
      <c r="AF85" s="6"/>
      <c r="AG85" s="6"/>
      <c r="AH85" s="6"/>
      <c r="AO85">
        <f>IF(S85&lt;'Olsen P ref'!$K$72,1,0)</f>
        <v>0</v>
      </c>
    </row>
    <row r="86" spans="1:41">
      <c r="A86" s="6" t="s">
        <v>90</v>
      </c>
      <c r="B86" s="6" t="s">
        <v>197</v>
      </c>
      <c r="C86" t="s">
        <v>12</v>
      </c>
      <c r="D86" s="8">
        <v>3</v>
      </c>
      <c r="E86" s="3">
        <v>30</v>
      </c>
      <c r="F86" s="26">
        <v>42768</v>
      </c>
      <c r="G86" s="93">
        <v>1</v>
      </c>
      <c r="I86">
        <v>11</v>
      </c>
      <c r="J86">
        <v>20</v>
      </c>
      <c r="K86"/>
      <c r="L86" s="44">
        <v>1.25</v>
      </c>
      <c r="M86">
        <v>0.19156546067272801</v>
      </c>
      <c r="N86">
        <v>0.13700000000000001</v>
      </c>
      <c r="O86">
        <f t="shared" si="11"/>
        <v>0.76626184269091202</v>
      </c>
      <c r="Q86" s="51">
        <f>'Olsen P ref'!$B$76*'Soil samples'!AI86%</f>
        <v>0.20603649940052904</v>
      </c>
      <c r="R86" s="105">
        <f>'Olsen P ref'!$B$76*'Soil samples'!AH86%</f>
        <v>4.793963500599471</v>
      </c>
      <c r="S86" s="51">
        <f>IF(O86-'Olsen P ref'!$K$68&gt;0,O86-'Olsen P ref'!$K$68,0)</f>
        <v>0.56690201209059132</v>
      </c>
      <c r="T86" s="8">
        <f t="shared" si="12"/>
        <v>5.6690201209059132E-4</v>
      </c>
      <c r="U86" s="8">
        <f t="shared" si="13"/>
        <v>5.6690201209059132E-3</v>
      </c>
      <c r="V86">
        <f>U86*('Olsen P ref'!$B$75+Q86)</f>
        <v>0.56807003715133397</v>
      </c>
      <c r="W86">
        <f t="shared" si="19"/>
        <v>0.11849694664556759</v>
      </c>
      <c r="X86" s="8">
        <f t="shared" si="14"/>
        <v>118.49694664556759</v>
      </c>
      <c r="Y86" s="51">
        <f>W86*'Soil samples'!AK86/100</f>
        <v>0.18450914806675328</v>
      </c>
      <c r="Z86" s="105">
        <f t="shared" si="15"/>
        <v>184.50914806675328</v>
      </c>
      <c r="AA86" s="51">
        <f t="shared" si="16"/>
        <v>0.56690201209059132</v>
      </c>
      <c r="AB86">
        <f t="shared" si="17"/>
        <v>118.49694664556759</v>
      </c>
      <c r="AC86">
        <f>(AB86/1000)*'Soil samples'!AR86/100</f>
        <v>0.18450914806675328</v>
      </c>
      <c r="AD86" s="6">
        <f t="shared" si="18"/>
        <v>184.50914806675328</v>
      </c>
      <c r="AE86" s="135"/>
      <c r="AF86" s="6"/>
      <c r="AG86" s="6"/>
      <c r="AH86" s="6"/>
      <c r="AO86">
        <f>IF(S86&lt;'Olsen P ref'!$K$72,1,0)</f>
        <v>0</v>
      </c>
    </row>
    <row r="87" spans="1:41">
      <c r="A87" s="6" t="s">
        <v>91</v>
      </c>
      <c r="B87" s="6" t="s">
        <v>197</v>
      </c>
      <c r="C87" t="s">
        <v>12</v>
      </c>
      <c r="D87" s="8">
        <v>4</v>
      </c>
      <c r="E87" s="3">
        <v>5</v>
      </c>
      <c r="F87" s="26">
        <v>42794</v>
      </c>
      <c r="G87" s="94">
        <v>1</v>
      </c>
      <c r="I87">
        <v>8</v>
      </c>
      <c r="J87">
        <v>2</v>
      </c>
      <c r="K87"/>
      <c r="L87" s="44">
        <v>1.25</v>
      </c>
      <c r="M87">
        <v>0.54198671439166701</v>
      </c>
      <c r="N87">
        <v>0.38900000000000001</v>
      </c>
      <c r="O87">
        <f t="shared" si="11"/>
        <v>2.1679468575666681</v>
      </c>
      <c r="P87" s="3" t="s">
        <v>761</v>
      </c>
      <c r="Q87" s="51">
        <f>'Olsen P ref'!$B$76*'Soil samples'!AI87%</f>
        <v>1.2239910627007398</v>
      </c>
      <c r="R87" s="105">
        <f>'Olsen P ref'!$B$76*'Soil samples'!AH87%</f>
        <v>3.77600893729926</v>
      </c>
      <c r="S87" s="51">
        <f>IF(O87-'Olsen P ref'!$K$68&gt;0,O87-'Olsen P ref'!$K$68,0)</f>
        <v>1.9685870269663475</v>
      </c>
      <c r="T87" s="8">
        <f t="shared" si="12"/>
        <v>1.9685870269663475E-3</v>
      </c>
      <c r="U87" s="8">
        <f t="shared" si="13"/>
        <v>1.9685870269663473E-2</v>
      </c>
      <c r="V87">
        <f>U87*('Olsen P ref'!$B$75+Q87)</f>
        <v>1.9926823562379015</v>
      </c>
      <c r="W87">
        <f t="shared" si="19"/>
        <v>0.52772183258208627</v>
      </c>
      <c r="X87" s="8">
        <f t="shared" si="14"/>
        <v>527.72183258208622</v>
      </c>
      <c r="Y87" s="51">
        <f>W87*'Soil samples'!AK87/100</f>
        <v>0.16367892874138121</v>
      </c>
      <c r="Z87" s="105">
        <f t="shared" si="15"/>
        <v>163.67892874138121</v>
      </c>
      <c r="AA87" s="51">
        <f t="shared" si="16"/>
        <v>1.9685870269663475</v>
      </c>
      <c r="AB87">
        <f t="shared" si="17"/>
        <v>527.72183258208622</v>
      </c>
      <c r="AC87">
        <f>(AB87/1000)*'Soil samples'!AR87/100</f>
        <v>0.16367892874138121</v>
      </c>
      <c r="AD87" s="6">
        <f t="shared" si="18"/>
        <v>163.67892874138121</v>
      </c>
      <c r="AE87" s="135"/>
      <c r="AF87" s="6"/>
      <c r="AG87" s="6"/>
      <c r="AH87" s="6"/>
      <c r="AO87">
        <f>IF(S87&lt;'Olsen P ref'!$K$72,1,0)</f>
        <v>0</v>
      </c>
    </row>
    <row r="88" spans="1:41">
      <c r="A88" s="6" t="s">
        <v>92</v>
      </c>
      <c r="B88" s="6" t="s">
        <v>197</v>
      </c>
      <c r="C88" t="s">
        <v>12</v>
      </c>
      <c r="D88" s="8">
        <v>4</v>
      </c>
      <c r="E88" s="3">
        <v>10</v>
      </c>
      <c r="F88" s="26">
        <v>42794</v>
      </c>
      <c r="G88" s="94">
        <v>1</v>
      </c>
      <c r="I88">
        <v>8</v>
      </c>
      <c r="J88">
        <v>5</v>
      </c>
      <c r="K88"/>
      <c r="L88" s="44">
        <v>1.25</v>
      </c>
      <c r="M88">
        <v>0.51679565315533205</v>
      </c>
      <c r="N88">
        <v>0.371</v>
      </c>
      <c r="O88">
        <f t="shared" si="11"/>
        <v>2.0671826126213282</v>
      </c>
      <c r="P88" s="3" t="s">
        <v>761</v>
      </c>
      <c r="Q88" s="51">
        <f>'Olsen P ref'!$B$76*'Soil samples'!AI88%</f>
        <v>1.154271918977801</v>
      </c>
      <c r="R88" s="105">
        <f>'Olsen P ref'!$B$76*'Soil samples'!AH88%</f>
        <v>3.845728081022199</v>
      </c>
      <c r="S88" s="51">
        <f>IF(O88-'Olsen P ref'!$K$68&gt;0,O88-'Olsen P ref'!$K$68,0)</f>
        <v>1.8678227820210076</v>
      </c>
      <c r="T88" s="8">
        <f t="shared" si="12"/>
        <v>1.8678227820210075E-3</v>
      </c>
      <c r="U88" s="8">
        <f t="shared" si="13"/>
        <v>1.8678227820210076E-2</v>
      </c>
      <c r="V88">
        <f>U88*('Olsen P ref'!$B$75+Q88)</f>
        <v>1.8893825358901459</v>
      </c>
      <c r="W88">
        <f t="shared" si="19"/>
        <v>0.49129384503647638</v>
      </c>
      <c r="X88" s="8">
        <f t="shared" si="14"/>
        <v>491.2938450364764</v>
      </c>
      <c r="Y88" s="51">
        <f>W88*'Soil samples'!AK88/100</f>
        <v>0.24214326579968101</v>
      </c>
      <c r="Z88" s="105">
        <f t="shared" si="15"/>
        <v>242.14326579968102</v>
      </c>
      <c r="AA88" s="51">
        <f t="shared" si="16"/>
        <v>1.8678227820210076</v>
      </c>
      <c r="AB88">
        <f t="shared" si="17"/>
        <v>491.2938450364764</v>
      </c>
      <c r="AC88">
        <f>(AB88/1000)*'Soil samples'!AR88/100</f>
        <v>0.24214326579968101</v>
      </c>
      <c r="AD88" s="6">
        <f t="shared" si="18"/>
        <v>242.14326579968102</v>
      </c>
      <c r="AE88" s="135"/>
      <c r="AF88" s="6"/>
      <c r="AG88" s="6"/>
      <c r="AH88" s="6"/>
      <c r="AO88">
        <f>IF(S88&lt;'Olsen P ref'!$K$72,1,0)</f>
        <v>0</v>
      </c>
    </row>
    <row r="89" spans="1:41">
      <c r="A89" s="6" t="s">
        <v>93</v>
      </c>
      <c r="B89" s="6" t="s">
        <v>197</v>
      </c>
      <c r="C89" t="s">
        <v>12</v>
      </c>
      <c r="D89" s="8">
        <v>4</v>
      </c>
      <c r="E89" s="3">
        <v>20</v>
      </c>
      <c r="F89" s="26">
        <v>42794</v>
      </c>
      <c r="G89" s="94">
        <v>1</v>
      </c>
      <c r="I89">
        <v>8</v>
      </c>
      <c r="J89">
        <v>4</v>
      </c>
      <c r="K89"/>
      <c r="L89" s="44">
        <v>1.25</v>
      </c>
      <c r="M89">
        <v>0.632954435522879</v>
      </c>
      <c r="N89">
        <v>0.45400000000000001</v>
      </c>
      <c r="O89">
        <f t="shared" si="11"/>
        <v>2.531817742091516</v>
      </c>
      <c r="P89" s="3" t="s">
        <v>761</v>
      </c>
      <c r="Q89" s="51">
        <f>'Olsen P ref'!$B$76*'Soil samples'!AI89%</f>
        <v>1.2824545806833989</v>
      </c>
      <c r="R89" s="105">
        <f>'Olsen P ref'!$B$76*'Soil samples'!AH89%</f>
        <v>3.7175454193166013</v>
      </c>
      <c r="S89" s="51">
        <f>IF(O89-'Olsen P ref'!$K$68&gt;0,O89-'Olsen P ref'!$K$68,0)</f>
        <v>2.3324579114911952</v>
      </c>
      <c r="T89" s="8">
        <f t="shared" si="12"/>
        <v>2.332457911491195E-3</v>
      </c>
      <c r="U89" s="8">
        <f t="shared" si="13"/>
        <v>2.332457911491195E-2</v>
      </c>
      <c r="V89">
        <f>U89*('Olsen P ref'!$B$75+Q89)</f>
        <v>2.3623706248196261</v>
      </c>
      <c r="W89">
        <f t="shared" si="19"/>
        <v>0.63546516810382436</v>
      </c>
      <c r="X89" s="8">
        <f t="shared" si="14"/>
        <v>635.46516810382434</v>
      </c>
      <c r="Y89" s="51">
        <f>W89*'Soil samples'!AK89/100</f>
        <v>0.32492045573769135</v>
      </c>
      <c r="Z89" s="105">
        <f t="shared" si="15"/>
        <v>324.92045573769138</v>
      </c>
      <c r="AA89" s="51">
        <f t="shared" si="16"/>
        <v>2.3324579114911952</v>
      </c>
      <c r="AB89">
        <f t="shared" si="17"/>
        <v>635.46516810382434</v>
      </c>
      <c r="AC89">
        <f>(AB89/1000)*'Soil samples'!AR89/100</f>
        <v>0.32492045573769135</v>
      </c>
      <c r="AD89" s="6">
        <f t="shared" si="18"/>
        <v>324.92045573769138</v>
      </c>
      <c r="AE89" s="135"/>
      <c r="AF89" s="6"/>
      <c r="AG89" s="6"/>
      <c r="AH89" s="6"/>
      <c r="AO89">
        <f>IF(S89&lt;'Olsen P ref'!$K$72,1,0)</f>
        <v>0</v>
      </c>
    </row>
    <row r="90" spans="1:41">
      <c r="A90" s="6" t="s">
        <v>94</v>
      </c>
      <c r="B90" s="6" t="s">
        <v>197</v>
      </c>
      <c r="C90" t="s">
        <v>12</v>
      </c>
      <c r="D90" s="8">
        <v>5</v>
      </c>
      <c r="E90" s="3">
        <v>5</v>
      </c>
      <c r="F90" s="26">
        <v>42765</v>
      </c>
      <c r="G90" s="94">
        <v>1</v>
      </c>
      <c r="I90">
        <v>9</v>
      </c>
      <c r="J90">
        <v>13</v>
      </c>
      <c r="K90"/>
      <c r="L90" s="44">
        <v>1.25</v>
      </c>
      <c r="M90">
        <v>0.33092452470273998</v>
      </c>
      <c r="N90">
        <v>0.23799999999999999</v>
      </c>
      <c r="O90">
        <f t="shared" si="11"/>
        <v>1.3236980988109597</v>
      </c>
      <c r="Q90" s="51">
        <f>'Olsen P ref'!$B$76*'Soil samples'!AI90%</f>
        <v>2.5104804901644631</v>
      </c>
      <c r="R90" s="105">
        <f>'Olsen P ref'!$B$76*'Soil samples'!AH90%</f>
        <v>2.4895195098355369</v>
      </c>
      <c r="S90" s="51">
        <f>IF(O90-'Olsen P ref'!$K$68&gt;0,O90-'Olsen P ref'!$K$68,0)</f>
        <v>1.1243382682106391</v>
      </c>
      <c r="T90" s="8">
        <f t="shared" si="12"/>
        <v>1.1243382682106391E-3</v>
      </c>
      <c r="U90" s="8">
        <f t="shared" si="13"/>
        <v>1.1243382682106392E-2</v>
      </c>
      <c r="V90">
        <f>U90*('Olsen P ref'!$B$75+Q90)</f>
        <v>1.1525645610775204</v>
      </c>
      <c r="W90">
        <f t="shared" si="19"/>
        <v>0.46296667148981746</v>
      </c>
      <c r="X90" s="8">
        <f t="shared" si="14"/>
        <v>462.96667148981749</v>
      </c>
      <c r="Y90" s="51">
        <f>W90*'Soil samples'!AK90/100</f>
        <v>0.10652001673478452</v>
      </c>
      <c r="Z90" s="105">
        <f t="shared" si="15"/>
        <v>106.52001673478453</v>
      </c>
      <c r="AA90" s="51">
        <f t="shared" si="16"/>
        <v>1.1243382682106391</v>
      </c>
      <c r="AB90">
        <f t="shared" si="17"/>
        <v>462.96667148981749</v>
      </c>
      <c r="AC90">
        <f>(AB90/1000)*'Soil samples'!AR90/100</f>
        <v>0.10652001673478452</v>
      </c>
      <c r="AD90" s="6">
        <f t="shared" si="18"/>
        <v>106.52001673478453</v>
      </c>
      <c r="AE90" s="135"/>
      <c r="AF90" s="6"/>
      <c r="AG90" s="6"/>
      <c r="AH90" s="6"/>
      <c r="AO90">
        <f>IF(S90&lt;'Olsen P ref'!$K$72,1,0)</f>
        <v>0</v>
      </c>
    </row>
    <row r="91" spans="1:41">
      <c r="A91" s="6" t="s">
        <v>95</v>
      </c>
      <c r="B91" s="6" t="s">
        <v>197</v>
      </c>
      <c r="C91" t="s">
        <v>12</v>
      </c>
      <c r="D91" s="8">
        <v>5</v>
      </c>
      <c r="E91" s="3">
        <v>10</v>
      </c>
      <c r="F91" s="26">
        <v>42765</v>
      </c>
      <c r="G91" s="94">
        <v>1</v>
      </c>
      <c r="I91">
        <v>9</v>
      </c>
      <c r="J91">
        <v>7</v>
      </c>
      <c r="K91"/>
      <c r="L91" s="44">
        <v>1.25</v>
      </c>
      <c r="M91">
        <v>0.63585871431296503</v>
      </c>
      <c r="N91">
        <v>0.45900000000000002</v>
      </c>
      <c r="O91">
        <f t="shared" si="11"/>
        <v>2.5434348572518601</v>
      </c>
      <c r="Q91" s="51">
        <f>'Olsen P ref'!$B$76*'Soil samples'!AI91%</f>
        <v>1.9368705477769588</v>
      </c>
      <c r="R91" s="105">
        <f>'Olsen P ref'!$B$76*'Soil samples'!AH91%</f>
        <v>3.0631294522230412</v>
      </c>
      <c r="S91" s="51">
        <f>IF(O91-'Olsen P ref'!$K$68&gt;0,O91-'Olsen P ref'!$K$68,0)</f>
        <v>2.3440750266515393</v>
      </c>
      <c r="T91" s="8">
        <f t="shared" si="12"/>
        <v>2.3440750266515392E-3</v>
      </c>
      <c r="U91" s="8">
        <f t="shared" si="13"/>
        <v>2.3440750266515393E-2</v>
      </c>
      <c r="V91">
        <f>U91*('Olsen P ref'!$B$75+Q91)</f>
        <v>2.3894767254605478</v>
      </c>
      <c r="W91">
        <f t="shared" si="19"/>
        <v>0.78007696466318277</v>
      </c>
      <c r="X91" s="8">
        <f t="shared" si="14"/>
        <v>780.07696466318282</v>
      </c>
      <c r="Y91" s="51">
        <f>W91*'Soil samples'!AK91/100</f>
        <v>0.19775309379911518</v>
      </c>
      <c r="Z91" s="105">
        <f t="shared" si="15"/>
        <v>197.75309379911519</v>
      </c>
      <c r="AA91" s="51">
        <f t="shared" si="16"/>
        <v>2.3440750266515393</v>
      </c>
      <c r="AB91">
        <f t="shared" si="17"/>
        <v>780.07696466318282</v>
      </c>
      <c r="AC91">
        <f>(AB91/1000)*'Soil samples'!AR91/100</f>
        <v>0.19775309379911518</v>
      </c>
      <c r="AD91" s="6">
        <f t="shared" si="18"/>
        <v>197.75309379911519</v>
      </c>
      <c r="AE91" s="135"/>
      <c r="AF91" s="6"/>
      <c r="AG91" s="6"/>
      <c r="AH91" s="6"/>
      <c r="AO91">
        <f>IF(S91&lt;'Olsen P ref'!$K$72,1,0)</f>
        <v>0</v>
      </c>
    </row>
    <row r="92" spans="1:41">
      <c r="A92" s="6" t="s">
        <v>96</v>
      </c>
      <c r="B92" s="6" t="s">
        <v>197</v>
      </c>
      <c r="C92" t="s">
        <v>12</v>
      </c>
      <c r="D92" s="8">
        <v>5</v>
      </c>
      <c r="E92" s="3">
        <v>20</v>
      </c>
      <c r="F92" s="26">
        <v>42765</v>
      </c>
      <c r="G92" s="94">
        <v>1</v>
      </c>
      <c r="I92">
        <v>10</v>
      </c>
      <c r="J92">
        <v>7</v>
      </c>
      <c r="K92"/>
      <c r="L92" s="44">
        <v>1.25</v>
      </c>
      <c r="M92">
        <v>0.66759394671583905</v>
      </c>
      <c r="N92">
        <v>0.48199999999999998</v>
      </c>
      <c r="O92">
        <f t="shared" si="11"/>
        <v>2.6703757868633557</v>
      </c>
      <c r="Q92" s="51">
        <f>'Olsen P ref'!$B$76*'Soil samples'!AI92%</f>
        <v>1.8350548741123307</v>
      </c>
      <c r="R92" s="105">
        <f>'Olsen P ref'!$B$76*'Soil samples'!AH92%</f>
        <v>3.1649451258876695</v>
      </c>
      <c r="S92" s="51">
        <f>IF(O92-'Olsen P ref'!$K$68&gt;0,O92-'Olsen P ref'!$K$68,0)</f>
        <v>2.4710159562630349</v>
      </c>
      <c r="T92" s="8">
        <f t="shared" si="12"/>
        <v>2.4710159562630349E-3</v>
      </c>
      <c r="U92" s="8">
        <f t="shared" si="13"/>
        <v>2.4710159562630347E-2</v>
      </c>
      <c r="V92">
        <f>U92*('Olsen P ref'!$B$75+Q92)</f>
        <v>2.5163604550085328</v>
      </c>
      <c r="W92">
        <f t="shared" si="19"/>
        <v>0.7950723803790346</v>
      </c>
      <c r="X92" s="8">
        <f t="shared" si="14"/>
        <v>795.0723803790346</v>
      </c>
      <c r="Y92" s="51">
        <f>W92*'Soil samples'!AK92/100</f>
        <v>0.17735308486900145</v>
      </c>
      <c r="Z92" s="105">
        <f t="shared" si="15"/>
        <v>177.35308486900144</v>
      </c>
      <c r="AA92" s="51">
        <f t="shared" si="16"/>
        <v>2.4710159562630349</v>
      </c>
      <c r="AB92">
        <f t="shared" si="17"/>
        <v>795.0723803790346</v>
      </c>
      <c r="AC92">
        <f>(AB92/1000)*'Soil samples'!AR92/100</f>
        <v>0.17735308486900145</v>
      </c>
      <c r="AD92" s="6">
        <f t="shared" si="18"/>
        <v>177.35308486900144</v>
      </c>
      <c r="AE92" s="135"/>
      <c r="AF92" s="6"/>
      <c r="AG92" s="6"/>
      <c r="AH92" s="6"/>
      <c r="AO92">
        <f>IF(S92&lt;'Olsen P ref'!$K$72,1,0)</f>
        <v>0</v>
      </c>
    </row>
    <row r="93" spans="1:41">
      <c r="A93" s="6" t="s">
        <v>97</v>
      </c>
      <c r="B93" s="6" t="s">
        <v>197</v>
      </c>
      <c r="C93" t="s">
        <v>12</v>
      </c>
      <c r="D93" s="8">
        <v>6</v>
      </c>
      <c r="E93" s="3">
        <v>5</v>
      </c>
      <c r="F93" s="26">
        <v>42818</v>
      </c>
      <c r="G93" s="94">
        <v>1</v>
      </c>
      <c r="I93">
        <v>1</v>
      </c>
      <c r="J93">
        <v>6</v>
      </c>
      <c r="K93"/>
      <c r="L93" s="44">
        <v>5</v>
      </c>
      <c r="M93">
        <v>0.79453188250914897</v>
      </c>
      <c r="N93">
        <v>0.56499999999999995</v>
      </c>
      <c r="O93">
        <f t="shared" si="11"/>
        <v>0.79453188250914897</v>
      </c>
      <c r="Q93" s="51">
        <f>'Olsen P ref'!$B$76*'Soil samples'!AI93%</f>
        <v>2.3868395259734476</v>
      </c>
      <c r="R93" s="105">
        <f>'Olsen P ref'!$B$76*'Soil samples'!AH93%</f>
        <v>2.6131604740265524</v>
      </c>
      <c r="S93" s="51">
        <f>IF(O93-'Olsen P ref'!$K$68&gt;0,O93-'Olsen P ref'!$K$68,0)</f>
        <v>0.59517205190882827</v>
      </c>
      <c r="T93" s="8">
        <f t="shared" si="12"/>
        <v>5.951720519088283E-4</v>
      </c>
      <c r="U93" s="8">
        <f t="shared" si="13"/>
        <v>5.9517205190882825E-3</v>
      </c>
      <c r="V93">
        <f>U93*('Olsen P ref'!$B$75+Q93)</f>
        <v>0.60937785369133535</v>
      </c>
      <c r="W93">
        <f t="shared" si="19"/>
        <v>0.23319572592201371</v>
      </c>
      <c r="X93" s="8">
        <f t="shared" si="14"/>
        <v>233.19572592201371</v>
      </c>
      <c r="Y93" s="51">
        <f>W93*'Soil samples'!AK93/100</f>
        <v>5.0883050783226504E-2</v>
      </c>
      <c r="Z93" s="105">
        <f t="shared" si="15"/>
        <v>50.883050783226508</v>
      </c>
      <c r="AA93" s="51">
        <f t="shared" si="16"/>
        <v>0.59517205190882827</v>
      </c>
      <c r="AB93">
        <f t="shared" si="17"/>
        <v>233.19572592201371</v>
      </c>
      <c r="AC93">
        <f>(AB93/1000)*'Soil samples'!AR93/100</f>
        <v>5.0883050783226504E-2</v>
      </c>
      <c r="AD93" s="6">
        <f t="shared" si="18"/>
        <v>50.883050783226508</v>
      </c>
      <c r="AE93" s="135"/>
      <c r="AF93" s="6"/>
      <c r="AG93" s="6"/>
      <c r="AH93" s="6"/>
      <c r="AO93">
        <f>IF(S93&lt;'Olsen P ref'!$K$72,1,0)</f>
        <v>0</v>
      </c>
    </row>
    <row r="94" spans="1:41">
      <c r="A94" s="6" t="s">
        <v>98</v>
      </c>
      <c r="B94" s="6" t="s">
        <v>197</v>
      </c>
      <c r="C94" t="s">
        <v>12</v>
      </c>
      <c r="D94" s="8">
        <v>6</v>
      </c>
      <c r="E94" s="3">
        <v>10</v>
      </c>
      <c r="F94" s="26">
        <v>42818</v>
      </c>
      <c r="G94" s="94">
        <v>1</v>
      </c>
      <c r="I94">
        <v>2</v>
      </c>
      <c r="J94">
        <v>16</v>
      </c>
      <c r="K94"/>
      <c r="L94" s="44">
        <v>2.5</v>
      </c>
      <c r="M94">
        <v>0.73128501570646698</v>
      </c>
      <c r="N94">
        <v>0.52</v>
      </c>
      <c r="O94">
        <f t="shared" ref="O94:O157" si="20">M94/L94*5</f>
        <v>1.462570031412934</v>
      </c>
      <c r="Q94" s="51">
        <f>'Olsen P ref'!$B$76*'Soil samples'!AI94%</f>
        <v>2.079441294396557</v>
      </c>
      <c r="R94" s="105">
        <f>'Olsen P ref'!$B$76*'Soil samples'!AH94%</f>
        <v>2.920558705603443</v>
      </c>
      <c r="S94" s="51">
        <f>IF(O94-'Olsen P ref'!$K$68&gt;0,O94-'Olsen P ref'!$K$68,0)</f>
        <v>1.2632102008126134</v>
      </c>
      <c r="T94" s="8">
        <f t="shared" si="12"/>
        <v>1.2632102008126134E-3</v>
      </c>
      <c r="U94" s="8">
        <f t="shared" si="13"/>
        <v>1.2632102008126134E-2</v>
      </c>
      <c r="V94">
        <f>U94*('Olsen P ref'!$B$75+Q94)</f>
        <v>1.2894779153633407</v>
      </c>
      <c r="W94">
        <f t="shared" si="19"/>
        <v>0.44151754693008644</v>
      </c>
      <c r="X94" s="8">
        <f t="shared" si="14"/>
        <v>441.51754693008644</v>
      </c>
      <c r="Y94" s="51">
        <f>W94*'Soil samples'!AK94/100</f>
        <v>0.16675528401478712</v>
      </c>
      <c r="Z94" s="105">
        <f t="shared" si="15"/>
        <v>166.75528401478712</v>
      </c>
      <c r="AA94" s="51">
        <f t="shared" si="16"/>
        <v>1.2632102008126134</v>
      </c>
      <c r="AB94">
        <f t="shared" si="17"/>
        <v>441.51754693008644</v>
      </c>
      <c r="AC94">
        <f>(AB94/1000)*'Soil samples'!AR94/100</f>
        <v>0.16675528401478712</v>
      </c>
      <c r="AD94" s="6">
        <f t="shared" si="18"/>
        <v>166.75528401478712</v>
      </c>
      <c r="AE94" s="135"/>
      <c r="AF94" s="6"/>
      <c r="AG94" s="6"/>
      <c r="AH94" s="6"/>
      <c r="AO94">
        <f>IF(S94&lt;'Olsen P ref'!$K$72,1,0)</f>
        <v>0</v>
      </c>
    </row>
    <row r="95" spans="1:41">
      <c r="A95" s="6" t="s">
        <v>99</v>
      </c>
      <c r="B95" s="6" t="s">
        <v>197</v>
      </c>
      <c r="C95" t="s">
        <v>12</v>
      </c>
      <c r="D95" s="8">
        <v>6</v>
      </c>
      <c r="E95" s="3">
        <v>20</v>
      </c>
      <c r="F95" s="26">
        <v>42818</v>
      </c>
      <c r="G95" s="94">
        <v>1</v>
      </c>
      <c r="I95">
        <v>3</v>
      </c>
      <c r="J95">
        <v>1</v>
      </c>
      <c r="K95"/>
      <c r="L95" s="44">
        <v>2.5</v>
      </c>
      <c r="M95">
        <v>0.49094692185627797</v>
      </c>
      <c r="N95">
        <v>0.34899999999999998</v>
      </c>
      <c r="O95">
        <f t="shared" si="20"/>
        <v>0.98189384371255595</v>
      </c>
      <c r="Q95" s="51">
        <f>'Olsen P ref'!$B$76*'Soil samples'!AI95%</f>
        <v>2.423639147128906</v>
      </c>
      <c r="R95" s="105">
        <f>'Olsen P ref'!$B$76*'Soil samples'!AH95%</f>
        <v>2.576360852871094</v>
      </c>
      <c r="S95" s="51">
        <f>IF(O95-'Olsen P ref'!$K$68&gt;0,O95-'Olsen P ref'!$K$68,0)</f>
        <v>0.78253401311223525</v>
      </c>
      <c r="T95" s="8">
        <f t="shared" si="12"/>
        <v>7.8253401311223524E-4</v>
      </c>
      <c r="U95" s="8">
        <f t="shared" si="13"/>
        <v>7.8253401311223526E-3</v>
      </c>
      <c r="V95">
        <f>U95*('Olsen P ref'!$B$75+Q95)</f>
        <v>0.80149981379362223</v>
      </c>
      <c r="W95">
        <f t="shared" si="19"/>
        <v>0.31109765268340872</v>
      </c>
      <c r="X95" s="8">
        <f t="shared" si="14"/>
        <v>311.09765268340874</v>
      </c>
      <c r="Y95" s="51">
        <f>W95*'Soil samples'!AK95/100</f>
        <v>0.10291257609110108</v>
      </c>
      <c r="Z95" s="105">
        <f t="shared" si="15"/>
        <v>102.91257609110107</v>
      </c>
      <c r="AA95" s="51">
        <f t="shared" si="16"/>
        <v>0.78253401311223525</v>
      </c>
      <c r="AB95">
        <f t="shared" si="17"/>
        <v>311.09765268340874</v>
      </c>
      <c r="AC95">
        <f>(AB95/1000)*'Soil samples'!AR95/100</f>
        <v>0.10291257609110108</v>
      </c>
      <c r="AD95" s="6">
        <f t="shared" si="18"/>
        <v>102.91257609110107</v>
      </c>
      <c r="AE95" s="135"/>
      <c r="AF95" s="6"/>
      <c r="AG95" s="6"/>
      <c r="AH95" s="6"/>
      <c r="AO95">
        <f>IF(S95&lt;'Olsen P ref'!$K$72,1,0)</f>
        <v>0</v>
      </c>
    </row>
    <row r="96" spans="1:41">
      <c r="A96" s="6" t="s">
        <v>100</v>
      </c>
      <c r="B96" s="6" t="s">
        <v>197</v>
      </c>
      <c r="C96" t="s">
        <v>12</v>
      </c>
      <c r="D96" s="8">
        <v>6</v>
      </c>
      <c r="E96" s="3">
        <v>30</v>
      </c>
      <c r="F96" s="26">
        <v>42818</v>
      </c>
      <c r="G96" s="94">
        <v>1</v>
      </c>
      <c r="I96">
        <v>5</v>
      </c>
      <c r="J96">
        <v>18</v>
      </c>
      <c r="K96"/>
      <c r="L96" s="44">
        <v>2.5</v>
      </c>
      <c r="M96">
        <v>0.57837380284415196</v>
      </c>
      <c r="N96">
        <v>0.41499999999999998</v>
      </c>
      <c r="O96">
        <f t="shared" si="20"/>
        <v>1.1567476056883039</v>
      </c>
      <c r="Q96" s="51">
        <f>'Olsen P ref'!$B$76*'Soil samples'!AI96%</f>
        <v>2.3025812326859207</v>
      </c>
      <c r="R96" s="105">
        <f>'Olsen P ref'!$B$76*'Soil samples'!AH96%</f>
        <v>2.6974187673140793</v>
      </c>
      <c r="S96" s="51">
        <f>IF(O96-'Olsen P ref'!$K$68&gt;0,O96-'Olsen P ref'!$K$68,0)</f>
        <v>0.95738777508798323</v>
      </c>
      <c r="T96" s="8">
        <f t="shared" si="12"/>
        <v>9.5738777508798324E-4</v>
      </c>
      <c r="U96" s="8">
        <f t="shared" si="13"/>
        <v>9.573877750879832E-3</v>
      </c>
      <c r="V96">
        <f>U96*('Olsen P ref'!$B$75+Q96)</f>
        <v>0.97943240632118844</v>
      </c>
      <c r="W96">
        <f t="shared" si="19"/>
        <v>0.36309987095420337</v>
      </c>
      <c r="X96" s="8">
        <f t="shared" si="14"/>
        <v>363.09987095420337</v>
      </c>
      <c r="Y96" s="51">
        <f>W96*'Soil samples'!AK96/100</f>
        <v>0.18033309465185723</v>
      </c>
      <c r="Z96" s="105">
        <f t="shared" si="15"/>
        <v>180.33309465185724</v>
      </c>
      <c r="AA96" s="51">
        <f t="shared" si="16"/>
        <v>0.95738777508798323</v>
      </c>
      <c r="AB96">
        <f t="shared" si="17"/>
        <v>363.09987095420337</v>
      </c>
      <c r="AC96">
        <f>(AB96/1000)*'Soil samples'!AR96/100</f>
        <v>0.18033309465185723</v>
      </c>
      <c r="AD96" s="6">
        <f t="shared" si="18"/>
        <v>180.33309465185724</v>
      </c>
      <c r="AE96" s="135"/>
      <c r="AF96" s="6"/>
      <c r="AG96" s="6"/>
      <c r="AH96" s="6"/>
      <c r="AO96">
        <f>IF(S96&lt;'Olsen P ref'!$K$72,1,0)</f>
        <v>0</v>
      </c>
    </row>
    <row r="97" spans="1:41">
      <c r="A97" s="206" t="s">
        <v>101</v>
      </c>
      <c r="B97" s="6" t="s">
        <v>197</v>
      </c>
      <c r="C97" t="s">
        <v>13</v>
      </c>
      <c r="D97" s="8">
        <v>1</v>
      </c>
      <c r="E97" s="3">
        <v>5</v>
      </c>
      <c r="F97" s="26" t="s">
        <v>469</v>
      </c>
      <c r="G97" s="94" t="s">
        <v>469</v>
      </c>
      <c r="H97" s="3" t="s">
        <v>475</v>
      </c>
      <c r="I97" s="8" t="s">
        <v>469</v>
      </c>
      <c r="J97" s="8" t="s">
        <v>469</v>
      </c>
      <c r="K97" s="8" t="s">
        <v>469</v>
      </c>
      <c r="L97" s="36" t="s">
        <v>469</v>
      </c>
      <c r="M97" s="8" t="s">
        <v>469</v>
      </c>
      <c r="N97" s="8" t="s">
        <v>469</v>
      </c>
      <c r="O97" t="e">
        <f t="shared" si="20"/>
        <v>#VALUE!</v>
      </c>
      <c r="P97" s="8" t="s">
        <v>469</v>
      </c>
      <c r="Q97" s="51">
        <f>'Olsen P ref'!$B$76*'Soil samples'!AI97%</f>
        <v>2.6174849594008998</v>
      </c>
      <c r="R97" s="105">
        <f>'Olsen P ref'!$B$76*'Soil samples'!AH97%</f>
        <v>2.3825150405990998</v>
      </c>
      <c r="S97" s="51" t="e">
        <f>IF(O97-'Olsen P ref'!$K$68&gt;0,O97-'Olsen P ref'!$K$68,0)</f>
        <v>#VALUE!</v>
      </c>
      <c r="T97" s="8" t="e">
        <f t="shared" si="12"/>
        <v>#VALUE!</v>
      </c>
      <c r="U97" s="8" t="e">
        <f t="shared" si="13"/>
        <v>#VALUE!</v>
      </c>
      <c r="V97" t="e">
        <f>U97*('Olsen P ref'!$B$75+Q97)</f>
        <v>#VALUE!</v>
      </c>
      <c r="W97" t="e">
        <f t="shared" si="19"/>
        <v>#VALUE!</v>
      </c>
      <c r="X97" s="8" t="e">
        <f t="shared" si="14"/>
        <v>#VALUE!</v>
      </c>
      <c r="Y97" s="51" t="e">
        <f>W97*'Soil samples'!AK97/100</f>
        <v>#VALUE!</v>
      </c>
      <c r="Z97" s="105" t="e">
        <f t="shared" si="15"/>
        <v>#VALUE!</v>
      </c>
      <c r="AA97" s="51">
        <f>AM29</f>
        <v>0.18350413105543298</v>
      </c>
      <c r="AB97">
        <f>AM7</f>
        <v>80.12641690671785</v>
      </c>
      <c r="AC97">
        <f>(AB97/1000)*'Soil samples'!AR97/100</f>
        <v>6.105058541877607E-3</v>
      </c>
      <c r="AD97" s="6">
        <f t="shared" si="18"/>
        <v>6.1050585418776073</v>
      </c>
      <c r="AE97" s="6"/>
      <c r="AF97" s="6"/>
      <c r="AG97" s="6"/>
      <c r="AH97" s="6"/>
      <c r="AO97" t="e">
        <f>IF(S97&lt;'Olsen P ref'!$K$72,1,0)</f>
        <v>#VALUE!</v>
      </c>
    </row>
    <row r="98" spans="1:41">
      <c r="A98" s="6" t="s">
        <v>102</v>
      </c>
      <c r="B98" s="6" t="s">
        <v>197</v>
      </c>
      <c r="C98" t="s">
        <v>13</v>
      </c>
      <c r="D98" s="8">
        <v>1</v>
      </c>
      <c r="E98" s="3">
        <v>10</v>
      </c>
      <c r="F98" s="26">
        <v>42787</v>
      </c>
      <c r="G98" s="94">
        <v>1</v>
      </c>
      <c r="I98">
        <v>12</v>
      </c>
      <c r="J98">
        <v>20</v>
      </c>
      <c r="K98"/>
      <c r="L98" s="44">
        <v>5</v>
      </c>
      <c r="M98">
        <v>0.19018566795955999</v>
      </c>
      <c r="N98">
        <v>0.13600000000000001</v>
      </c>
      <c r="O98">
        <f t="shared" si="20"/>
        <v>0.19018566795955999</v>
      </c>
      <c r="Q98" s="51">
        <f>'Olsen P ref'!$B$76*'Soil samples'!AI98%</f>
        <v>2.1739008524001795</v>
      </c>
      <c r="R98" s="105">
        <f>'Olsen P ref'!$B$76*'Soil samples'!AH98%</f>
        <v>2.8260991475998205</v>
      </c>
      <c r="S98" s="51">
        <f>IF(O98-'Olsen P ref'!$K$68&gt;0,O98-'Olsen P ref'!$K$68,0)</f>
        <v>0</v>
      </c>
      <c r="T98" s="8">
        <f t="shared" si="12"/>
        <v>0</v>
      </c>
      <c r="U98" s="8">
        <f t="shared" si="13"/>
        <v>0</v>
      </c>
      <c r="V98">
        <f>U98*('Olsen P ref'!$B$75+Q98)</f>
        <v>0</v>
      </c>
      <c r="W98">
        <f t="shared" si="19"/>
        <v>0</v>
      </c>
      <c r="X98" s="8">
        <f t="shared" si="14"/>
        <v>0</v>
      </c>
      <c r="Y98" s="51">
        <f>W98*'Soil samples'!AK98/100</f>
        <v>0</v>
      </c>
      <c r="Z98" s="105">
        <f t="shared" si="15"/>
        <v>0</v>
      </c>
      <c r="AA98" s="51">
        <f t="shared" si="16"/>
        <v>0</v>
      </c>
      <c r="AB98">
        <f t="shared" si="17"/>
        <v>0</v>
      </c>
      <c r="AC98">
        <f>(AB98/1000)*'Soil samples'!AR98/100</f>
        <v>0</v>
      </c>
      <c r="AD98" s="6">
        <f t="shared" si="18"/>
        <v>0</v>
      </c>
      <c r="AE98" s="135"/>
      <c r="AF98" s="6"/>
      <c r="AG98" s="6"/>
      <c r="AH98" s="6"/>
      <c r="AO98">
        <f>IF(S98&lt;'Olsen P ref'!$K$72,1,0)</f>
        <v>1</v>
      </c>
    </row>
    <row r="99" spans="1:41">
      <c r="A99" s="6" t="s">
        <v>103</v>
      </c>
      <c r="B99" s="6" t="s">
        <v>197</v>
      </c>
      <c r="C99" t="s">
        <v>13</v>
      </c>
      <c r="D99" s="8">
        <v>1</v>
      </c>
      <c r="E99" s="3">
        <v>20</v>
      </c>
      <c r="F99" s="26">
        <v>42787</v>
      </c>
      <c r="G99" s="94">
        <v>2</v>
      </c>
      <c r="H99" s="3" t="s">
        <v>675</v>
      </c>
      <c r="I99">
        <v>3</v>
      </c>
      <c r="J99">
        <v>13</v>
      </c>
      <c r="K99"/>
      <c r="L99" s="44">
        <v>5</v>
      </c>
      <c r="M99">
        <v>0.23795945464555199</v>
      </c>
      <c r="N99">
        <v>0.16900000000000001</v>
      </c>
      <c r="O99">
        <f t="shared" si="20"/>
        <v>0.23795945464555199</v>
      </c>
      <c r="Q99" s="51">
        <f>'Olsen P ref'!$B$76*'Soil samples'!AI99%</f>
        <v>2.0556142203449497</v>
      </c>
      <c r="R99" s="105">
        <f>'Olsen P ref'!$B$76*'Soil samples'!AH99%</f>
        <v>2.9443857796550503</v>
      </c>
      <c r="S99" s="51">
        <f>IF(O99-'Olsen P ref'!$K$68&gt;0,O99-'Olsen P ref'!$K$68,0)</f>
        <v>3.8599624045231318E-2</v>
      </c>
      <c r="T99" s="8">
        <f t="shared" si="12"/>
        <v>3.8599624045231317E-5</v>
      </c>
      <c r="U99" s="8">
        <f t="shared" si="13"/>
        <v>3.8599624045231317E-4</v>
      </c>
      <c r="V99">
        <f>U99*('Olsen P ref'!$B$75+Q99)</f>
        <v>3.9393083406104777E-2</v>
      </c>
      <c r="W99">
        <f t="shared" si="19"/>
        <v>1.3379049606305284E-2</v>
      </c>
      <c r="X99" s="8">
        <f t="shared" si="14"/>
        <v>13.379049606305284</v>
      </c>
      <c r="Y99" s="51">
        <f>W99*'Soil samples'!AK99/100</f>
        <v>3.9117331822262034E-3</v>
      </c>
      <c r="Z99" s="105">
        <f t="shared" si="15"/>
        <v>3.9117331822262034</v>
      </c>
      <c r="AA99" s="51">
        <f t="shared" si="16"/>
        <v>3.8599624045231318E-2</v>
      </c>
      <c r="AB99">
        <f t="shared" si="17"/>
        <v>13.379049606305284</v>
      </c>
      <c r="AC99">
        <f>(AB99/1000)*'Soil samples'!AR99/100</f>
        <v>3.9117331822262034E-3</v>
      </c>
      <c r="AD99" s="6">
        <f t="shared" si="18"/>
        <v>3.9117331822262034</v>
      </c>
      <c r="AE99" s="135"/>
      <c r="AF99" s="6"/>
      <c r="AG99" s="6"/>
      <c r="AH99" s="6"/>
      <c r="AO99">
        <f>IF(S99&lt;'Olsen P ref'!$K$72,1,0)</f>
        <v>1</v>
      </c>
    </row>
    <row r="100" spans="1:41">
      <c r="A100" s="6" t="s">
        <v>104</v>
      </c>
      <c r="B100" s="6" t="s">
        <v>197</v>
      </c>
      <c r="C100" t="s">
        <v>13</v>
      </c>
      <c r="D100" s="8">
        <v>2</v>
      </c>
      <c r="E100" s="3">
        <v>5</v>
      </c>
      <c r="F100" s="26">
        <v>42798</v>
      </c>
      <c r="G100" s="94">
        <v>1</v>
      </c>
      <c r="I100">
        <v>2</v>
      </c>
      <c r="J100">
        <v>7</v>
      </c>
      <c r="K100"/>
      <c r="L100" s="44">
        <v>5</v>
      </c>
      <c r="M100">
        <v>0.28434049030085201</v>
      </c>
      <c r="N100">
        <v>0.20200000000000001</v>
      </c>
      <c r="O100">
        <f t="shared" si="20"/>
        <v>0.28434049030085201</v>
      </c>
      <c r="Q100" s="51">
        <f>'Olsen P ref'!$B$76*'Soil samples'!AI100%</f>
        <v>2.015226153157188</v>
      </c>
      <c r="R100" s="105">
        <f>'Olsen P ref'!$B$76*'Soil samples'!AH100%</f>
        <v>2.984773846842812</v>
      </c>
      <c r="S100" s="51">
        <f>IF(O100-'Olsen P ref'!$K$68&gt;0,O100-'Olsen P ref'!$K$68,0)</f>
        <v>8.4980659700531341E-2</v>
      </c>
      <c r="T100" s="8">
        <f t="shared" si="12"/>
        <v>8.4980659700531347E-5</v>
      </c>
      <c r="U100" s="8">
        <f t="shared" si="13"/>
        <v>8.4980659700531339E-4</v>
      </c>
      <c r="V100">
        <f>U100*('Olsen P ref'!$B$75+Q100)</f>
        <v>8.6693212179941956E-2</v>
      </c>
      <c r="W100">
        <f t="shared" si="19"/>
        <v>2.9045152707848524E-2</v>
      </c>
      <c r="X100" s="8">
        <f t="shared" si="14"/>
        <v>29.045152707848523</v>
      </c>
      <c r="Y100" s="51">
        <f>W100*'Soil samples'!AK100/100</f>
        <v>4.66582867952447E-3</v>
      </c>
      <c r="Z100" s="105">
        <f t="shared" si="15"/>
        <v>4.6658286795244699</v>
      </c>
      <c r="AA100" s="51">
        <f t="shared" si="16"/>
        <v>8.4980659700531341E-2</v>
      </c>
      <c r="AB100">
        <f t="shared" si="17"/>
        <v>29.045152707848523</v>
      </c>
      <c r="AC100">
        <f>(AB100/1000)*'Soil samples'!AR100/100</f>
        <v>4.66582867952447E-3</v>
      </c>
      <c r="AD100" s="6">
        <f t="shared" si="18"/>
        <v>4.6658286795244699</v>
      </c>
      <c r="AE100" s="135"/>
      <c r="AF100" s="6"/>
      <c r="AG100" s="6"/>
      <c r="AH100" s="6"/>
      <c r="AO100">
        <f>IF(S100&lt;'Olsen P ref'!$K$72,1,0)</f>
        <v>0</v>
      </c>
    </row>
    <row r="101" spans="1:41">
      <c r="A101" s="6" t="s">
        <v>105</v>
      </c>
      <c r="B101" s="6" t="s">
        <v>197</v>
      </c>
      <c r="C101" t="s">
        <v>13</v>
      </c>
      <c r="D101" s="8">
        <v>2</v>
      </c>
      <c r="E101" s="3">
        <v>10</v>
      </c>
      <c r="F101" s="26">
        <v>42798</v>
      </c>
      <c r="G101" s="94">
        <v>1</v>
      </c>
      <c r="I101">
        <v>3</v>
      </c>
      <c r="J101">
        <v>10</v>
      </c>
      <c r="K101"/>
      <c r="L101" s="44">
        <v>5</v>
      </c>
      <c r="M101">
        <v>0.271691116940315</v>
      </c>
      <c r="N101">
        <v>0.193</v>
      </c>
      <c r="O101">
        <f t="shared" si="20"/>
        <v>0.271691116940315</v>
      </c>
      <c r="Q101" s="51">
        <f>'Olsen P ref'!$B$76*'Soil samples'!AI101%</f>
        <v>1.7408946951702298</v>
      </c>
      <c r="R101" s="105">
        <f>'Olsen P ref'!$B$76*'Soil samples'!AH101%</f>
        <v>3.2591053048297702</v>
      </c>
      <c r="S101" s="51">
        <f>IF(O101-'Olsen P ref'!$K$68&gt;0,O101-'Olsen P ref'!$K$68,0)</f>
        <v>7.2331286339994333E-2</v>
      </c>
      <c r="T101" s="8">
        <f t="shared" si="12"/>
        <v>7.2331286339994327E-5</v>
      </c>
      <c r="U101" s="8">
        <f t="shared" si="13"/>
        <v>7.2331286339994327E-4</v>
      </c>
      <c r="V101">
        <f>U101*('Olsen P ref'!$B$75+Q101)</f>
        <v>7.3590497866835677E-2</v>
      </c>
      <c r="W101">
        <f t="shared" si="19"/>
        <v>2.2579969342438739E-2</v>
      </c>
      <c r="X101" s="8">
        <f t="shared" si="14"/>
        <v>22.579969342438741</v>
      </c>
      <c r="Y101" s="51">
        <f>W101*'Soil samples'!AK101/100</f>
        <v>5.541364489372722E-3</v>
      </c>
      <c r="Z101" s="105">
        <f t="shared" si="15"/>
        <v>5.5413644893727225</v>
      </c>
      <c r="AA101" s="51">
        <f t="shared" si="16"/>
        <v>7.2331286339994333E-2</v>
      </c>
      <c r="AB101">
        <f t="shared" si="17"/>
        <v>22.579969342438741</v>
      </c>
      <c r="AC101">
        <f>(AB101/1000)*'Soil samples'!AR101/100</f>
        <v>5.5413644893727229E-3</v>
      </c>
      <c r="AD101" s="6">
        <f t="shared" si="18"/>
        <v>5.5413644893727234</v>
      </c>
      <c r="AE101" s="135"/>
      <c r="AF101" s="6"/>
      <c r="AG101" s="6"/>
      <c r="AH101" s="6"/>
      <c r="AO101">
        <f>IF(S101&lt;'Olsen P ref'!$K$72,1,0)</f>
        <v>0</v>
      </c>
    </row>
    <row r="102" spans="1:41">
      <c r="A102" s="6" t="s">
        <v>106</v>
      </c>
      <c r="B102" s="6" t="s">
        <v>197</v>
      </c>
      <c r="C102" t="s">
        <v>13</v>
      </c>
      <c r="D102" s="8">
        <v>2</v>
      </c>
      <c r="E102" s="3">
        <v>20</v>
      </c>
      <c r="F102" s="26">
        <v>42798</v>
      </c>
      <c r="G102" s="94">
        <v>1</v>
      </c>
      <c r="I102">
        <v>1</v>
      </c>
      <c r="J102">
        <v>3</v>
      </c>
      <c r="K102"/>
      <c r="L102" s="44">
        <v>5</v>
      </c>
      <c r="M102">
        <v>0.100221833608601</v>
      </c>
      <c r="N102">
        <v>7.0999999999999994E-2</v>
      </c>
      <c r="O102">
        <f t="shared" si="20"/>
        <v>0.10022183360860099</v>
      </c>
      <c r="Q102" s="51">
        <f>'Olsen P ref'!$B$76*'Soil samples'!AI102%</f>
        <v>2.0090785975823842</v>
      </c>
      <c r="R102" s="105">
        <f>'Olsen P ref'!$B$76*'Soil samples'!AH102%</f>
        <v>2.9909214024176158</v>
      </c>
      <c r="S102" s="51">
        <f>IF(O102-'Olsen P ref'!$K$68&gt;0,O102-'Olsen P ref'!$K$68,0)</f>
        <v>0</v>
      </c>
      <c r="T102" s="8">
        <f t="shared" si="12"/>
        <v>0</v>
      </c>
      <c r="U102" s="8">
        <f t="shared" si="13"/>
        <v>0</v>
      </c>
      <c r="V102">
        <f>U102*('Olsen P ref'!$B$75+Q102)</f>
        <v>0</v>
      </c>
      <c r="W102">
        <f t="shared" si="19"/>
        <v>0</v>
      </c>
      <c r="X102" s="8">
        <f t="shared" si="14"/>
        <v>0</v>
      </c>
      <c r="Y102" s="51">
        <f>W102*'Soil samples'!AK102/100</f>
        <v>0</v>
      </c>
      <c r="Z102" s="105">
        <f t="shared" si="15"/>
        <v>0</v>
      </c>
      <c r="AA102" s="51">
        <f t="shared" si="16"/>
        <v>0</v>
      </c>
      <c r="AB102">
        <f t="shared" si="17"/>
        <v>0</v>
      </c>
      <c r="AC102">
        <f>(AB102/1000)*'Soil samples'!AR102/100</f>
        <v>0</v>
      </c>
      <c r="AD102" s="6">
        <f t="shared" si="18"/>
        <v>0</v>
      </c>
      <c r="AE102" s="135"/>
      <c r="AF102" s="6"/>
      <c r="AG102" s="6"/>
      <c r="AH102" s="6"/>
      <c r="AO102">
        <f>IF(S102&lt;'Olsen P ref'!$K$72,1,0)</f>
        <v>1</v>
      </c>
    </row>
    <row r="103" spans="1:41">
      <c r="A103" s="6" t="s">
        <v>107</v>
      </c>
      <c r="B103" s="6" t="s">
        <v>197</v>
      </c>
      <c r="C103" t="s">
        <v>13</v>
      </c>
      <c r="D103" s="8">
        <v>2</v>
      </c>
      <c r="E103" s="3">
        <v>30</v>
      </c>
      <c r="F103" s="26">
        <v>42798</v>
      </c>
      <c r="G103" s="94">
        <v>1</v>
      </c>
      <c r="I103">
        <v>1</v>
      </c>
      <c r="J103">
        <v>13</v>
      </c>
      <c r="K103"/>
      <c r="L103" s="44">
        <v>5</v>
      </c>
      <c r="M103">
        <v>0.107249263253344</v>
      </c>
      <c r="N103">
        <v>7.5999999999999998E-2</v>
      </c>
      <c r="O103">
        <f t="shared" si="20"/>
        <v>0.107249263253344</v>
      </c>
      <c r="Q103" s="51">
        <f>'Olsen P ref'!$B$76*'Soil samples'!AI103%</f>
        <v>1.4950030230821212</v>
      </c>
      <c r="R103" s="105">
        <f>'Olsen P ref'!$B$76*'Soil samples'!AH103%</f>
        <v>3.5049969769178784</v>
      </c>
      <c r="S103" s="51">
        <f>IF(O103-'Olsen P ref'!$K$68&gt;0,O103-'Olsen P ref'!$K$68,0)</f>
        <v>0</v>
      </c>
      <c r="T103" s="8">
        <f t="shared" si="12"/>
        <v>0</v>
      </c>
      <c r="U103" s="8">
        <f t="shared" si="13"/>
        <v>0</v>
      </c>
      <c r="V103">
        <f>U103*('Olsen P ref'!$B$75+Q103)</f>
        <v>0</v>
      </c>
      <c r="W103">
        <f t="shared" si="19"/>
        <v>0</v>
      </c>
      <c r="X103" s="8">
        <f t="shared" si="14"/>
        <v>0</v>
      </c>
      <c r="Y103" s="51">
        <f>W103*'Soil samples'!AK103/100</f>
        <v>0</v>
      </c>
      <c r="Z103" s="105">
        <f t="shared" si="15"/>
        <v>0</v>
      </c>
      <c r="AA103" s="51">
        <f t="shared" si="16"/>
        <v>0</v>
      </c>
      <c r="AB103">
        <f t="shared" si="17"/>
        <v>0</v>
      </c>
      <c r="AC103">
        <f>(AB103/1000)*'Soil samples'!AR103/100</f>
        <v>0</v>
      </c>
      <c r="AD103" s="6">
        <f t="shared" si="18"/>
        <v>0</v>
      </c>
      <c r="AE103" s="135"/>
      <c r="AF103" s="6"/>
      <c r="AG103" s="6"/>
      <c r="AH103" s="6"/>
      <c r="AO103">
        <f>IF(S103&lt;'Olsen P ref'!$K$72,1,0)</f>
        <v>1</v>
      </c>
    </row>
    <row r="104" spans="1:41">
      <c r="A104" s="6" t="s">
        <v>108</v>
      </c>
      <c r="B104" s="6" t="s">
        <v>197</v>
      </c>
      <c r="C104" t="s">
        <v>13</v>
      </c>
      <c r="D104" s="8">
        <v>3</v>
      </c>
      <c r="E104" s="3">
        <v>5</v>
      </c>
      <c r="F104" s="26">
        <v>42818</v>
      </c>
      <c r="G104" s="94">
        <v>1</v>
      </c>
      <c r="I104">
        <v>5</v>
      </c>
      <c r="J104">
        <v>17</v>
      </c>
      <c r="K104"/>
      <c r="L104" s="44">
        <v>5</v>
      </c>
      <c r="M104">
        <v>0.46781303408468</v>
      </c>
      <c r="N104">
        <v>0.33600000000000002</v>
      </c>
      <c r="O104">
        <f t="shared" si="20"/>
        <v>0.46781303408468</v>
      </c>
      <c r="Q104" s="51">
        <f>'Olsen P ref'!$B$76*'Soil samples'!AI104%</f>
        <v>2.6407730722346745</v>
      </c>
      <c r="R104" s="105">
        <f>'Olsen P ref'!$B$76*'Soil samples'!AH104%</f>
        <v>2.3592269277653255</v>
      </c>
      <c r="S104" s="51">
        <f>IF(O104-'Olsen P ref'!$K$68&gt;0,O104-'Olsen P ref'!$K$68,0)</f>
        <v>0.2684532034843593</v>
      </c>
      <c r="T104" s="8">
        <f t="shared" si="12"/>
        <v>2.6845320348435929E-4</v>
      </c>
      <c r="U104" s="8">
        <f t="shared" si="13"/>
        <v>2.6845320348435927E-3</v>
      </c>
      <c r="V104">
        <f>U104*('Olsen P ref'!$B$75+Q104)</f>
        <v>0.27554244339352563</v>
      </c>
      <c r="W104">
        <f t="shared" si="19"/>
        <v>0.11679353102947208</v>
      </c>
      <c r="X104" s="8">
        <f t="shared" si="14"/>
        <v>116.79353102947208</v>
      </c>
      <c r="Y104" s="51">
        <f>W104*'Soil samples'!AK104/100</f>
        <v>1.2983559932702931E-2</v>
      </c>
      <c r="Z104" s="105">
        <f t="shared" si="15"/>
        <v>12.98355993270293</v>
      </c>
      <c r="AA104" s="51">
        <f t="shared" si="16"/>
        <v>0.2684532034843593</v>
      </c>
      <c r="AB104">
        <f t="shared" si="17"/>
        <v>116.79353102947208</v>
      </c>
      <c r="AC104">
        <f>(AB104/1000)*'Soil samples'!AR104/100</f>
        <v>1.2983559932702931E-2</v>
      </c>
      <c r="AD104" s="6">
        <f t="shared" si="18"/>
        <v>12.98355993270293</v>
      </c>
      <c r="AE104" s="135"/>
      <c r="AF104" s="6"/>
      <c r="AG104" s="6"/>
      <c r="AH104" s="6"/>
      <c r="AO104">
        <f>IF(S104&lt;'Olsen P ref'!$K$72,1,0)</f>
        <v>0</v>
      </c>
    </row>
    <row r="105" spans="1:41">
      <c r="A105" s="6" t="s">
        <v>109</v>
      </c>
      <c r="B105" s="6" t="s">
        <v>197</v>
      </c>
      <c r="C105" t="s">
        <v>13</v>
      </c>
      <c r="D105" s="8">
        <v>3</v>
      </c>
      <c r="E105" s="3">
        <v>10</v>
      </c>
      <c r="F105" s="26">
        <v>42818</v>
      </c>
      <c r="G105" s="94">
        <v>1</v>
      </c>
      <c r="I105">
        <v>5</v>
      </c>
      <c r="J105">
        <v>9</v>
      </c>
      <c r="K105"/>
      <c r="L105" s="44">
        <v>5</v>
      </c>
      <c r="M105">
        <v>0.43702395924026999</v>
      </c>
      <c r="N105">
        <v>0.314</v>
      </c>
      <c r="O105">
        <f t="shared" si="20"/>
        <v>0.43702395924026999</v>
      </c>
      <c r="Q105" s="51">
        <f>'Olsen P ref'!$B$76*'Soil samples'!AI105%</f>
        <v>2.1820088518958909</v>
      </c>
      <c r="R105" s="105">
        <f>'Olsen P ref'!$B$76*'Soil samples'!AH105%</f>
        <v>2.8179911481041087</v>
      </c>
      <c r="S105" s="51">
        <f>IF(O105-'Olsen P ref'!$K$68&gt;0,O105-'Olsen P ref'!$K$68,0)</f>
        <v>0.23766412863994932</v>
      </c>
      <c r="T105" s="8">
        <f t="shared" si="12"/>
        <v>2.3766412863994931E-4</v>
      </c>
      <c r="U105" s="8">
        <f t="shared" si="13"/>
        <v>2.3766412863994932E-3</v>
      </c>
      <c r="V105">
        <f>U105*('Olsen P ref'!$B$75+Q105)</f>
        <v>0.24284998096465424</v>
      </c>
      <c r="W105">
        <f t="shared" si="19"/>
        <v>8.6178404473711404E-2</v>
      </c>
      <c r="X105" s="8">
        <f t="shared" si="14"/>
        <v>86.17840447371141</v>
      </c>
      <c r="Y105" s="51">
        <f>W105*'Soil samples'!AK105/100</f>
        <v>1.002484721422092E-2</v>
      </c>
      <c r="Z105" s="105">
        <f t="shared" si="15"/>
        <v>10.024847214220921</v>
      </c>
      <c r="AA105" s="51">
        <f t="shared" si="16"/>
        <v>0.23766412863994932</v>
      </c>
      <c r="AB105">
        <f t="shared" si="17"/>
        <v>86.17840447371141</v>
      </c>
      <c r="AC105">
        <f>(AB105/1000)*'Soil samples'!AR105/100</f>
        <v>1.002484721422092E-2</v>
      </c>
      <c r="AD105" s="6">
        <f t="shared" si="18"/>
        <v>10.024847214220921</v>
      </c>
      <c r="AE105" s="135"/>
      <c r="AF105" s="6"/>
      <c r="AG105" s="6"/>
      <c r="AH105" s="6"/>
      <c r="AO105">
        <f>IF(S105&lt;'Olsen P ref'!$K$72,1,0)</f>
        <v>0</v>
      </c>
    </row>
    <row r="106" spans="1:41">
      <c r="A106" s="6" t="s">
        <v>110</v>
      </c>
      <c r="B106" s="6" t="s">
        <v>197</v>
      </c>
      <c r="C106" t="s">
        <v>13</v>
      </c>
      <c r="D106" s="8">
        <v>3</v>
      </c>
      <c r="E106" s="3">
        <v>20</v>
      </c>
      <c r="F106" s="26">
        <v>42818</v>
      </c>
      <c r="G106" s="94">
        <v>1</v>
      </c>
      <c r="I106">
        <v>4</v>
      </c>
      <c r="J106">
        <v>1</v>
      </c>
      <c r="K106"/>
      <c r="L106" s="44">
        <v>5</v>
      </c>
      <c r="M106">
        <v>0.35865176872722598</v>
      </c>
      <c r="N106">
        <v>0.25800000000000001</v>
      </c>
      <c r="O106">
        <f t="shared" si="20"/>
        <v>0.35865176872722604</v>
      </c>
      <c r="Q106" s="51">
        <f>'Olsen P ref'!$B$76*'Soil samples'!AI106%</f>
        <v>1.4340434130008077</v>
      </c>
      <c r="R106" s="105">
        <f>'Olsen P ref'!$B$76*'Soil samples'!AH106%</f>
        <v>3.5659565869991923</v>
      </c>
      <c r="S106" s="51">
        <f>IF(O106-'Olsen P ref'!$K$68&gt;0,O106-'Olsen P ref'!$K$68,0)</f>
        <v>0.15929193812690537</v>
      </c>
      <c r="T106" s="8">
        <f t="shared" si="12"/>
        <v>1.5929193812690536E-4</v>
      </c>
      <c r="U106" s="8">
        <f t="shared" si="13"/>
        <v>1.5929193812690534E-3</v>
      </c>
      <c r="V106">
        <f>U106*('Olsen P ref'!$B$75+Q106)</f>
        <v>0.16157625367305556</v>
      </c>
      <c r="W106">
        <f t="shared" si="19"/>
        <v>4.5310774186688704E-2</v>
      </c>
      <c r="X106" s="8">
        <f t="shared" si="14"/>
        <v>45.310774186688704</v>
      </c>
      <c r="Y106" s="51">
        <f>W106*'Soil samples'!AK106/100</f>
        <v>2.0300440511482699E-2</v>
      </c>
      <c r="Z106" s="105">
        <f t="shared" si="15"/>
        <v>20.300440511482698</v>
      </c>
      <c r="AA106" s="51">
        <f t="shared" si="16"/>
        <v>0.15929193812690537</v>
      </c>
      <c r="AB106">
        <f t="shared" si="17"/>
        <v>45.310774186688704</v>
      </c>
      <c r="AC106">
        <f>(AB106/1000)*'Soil samples'!AR106/100</f>
        <v>2.0300440511482699E-2</v>
      </c>
      <c r="AD106" s="6">
        <f t="shared" si="18"/>
        <v>20.300440511482698</v>
      </c>
      <c r="AE106" s="135"/>
      <c r="AF106" s="6"/>
      <c r="AG106" s="6"/>
      <c r="AH106" s="6"/>
      <c r="AO106">
        <f>IF(S106&lt;'Olsen P ref'!$K$72,1,0)</f>
        <v>0</v>
      </c>
    </row>
    <row r="107" spans="1:41">
      <c r="A107" s="6" t="s">
        <v>111</v>
      </c>
      <c r="B107" s="6" t="s">
        <v>197</v>
      </c>
      <c r="C107" t="s">
        <v>13</v>
      </c>
      <c r="D107" s="8">
        <v>3</v>
      </c>
      <c r="E107" s="3">
        <v>30</v>
      </c>
      <c r="F107" s="26">
        <v>42818</v>
      </c>
      <c r="G107" s="94">
        <v>1</v>
      </c>
      <c r="I107">
        <v>5</v>
      </c>
      <c r="J107">
        <v>16</v>
      </c>
      <c r="K107"/>
      <c r="L107" s="44">
        <v>5</v>
      </c>
      <c r="M107">
        <v>0.427227435426139</v>
      </c>
      <c r="N107">
        <v>0.307</v>
      </c>
      <c r="O107">
        <f t="shared" si="20"/>
        <v>0.427227435426139</v>
      </c>
      <c r="Q107" s="51">
        <f>'Olsen P ref'!$B$76*'Soil samples'!AI107%</f>
        <v>1.8974819224121187</v>
      </c>
      <c r="R107" s="105">
        <f>'Olsen P ref'!$B$76*'Soil samples'!AH107%</f>
        <v>3.1025180775878813</v>
      </c>
      <c r="S107" s="51">
        <f>IF(O107-'Olsen P ref'!$K$68&gt;0,O107-'Olsen P ref'!$K$68,0)</f>
        <v>0.22786760482581833</v>
      </c>
      <c r="T107" s="8">
        <f t="shared" si="12"/>
        <v>2.2786760482581834E-4</v>
      </c>
      <c r="U107" s="8">
        <f t="shared" si="13"/>
        <v>2.2786760482581834E-3</v>
      </c>
      <c r="V107">
        <f>U107*('Olsen P ref'!$B$75+Q107)</f>
        <v>0.23219135143442171</v>
      </c>
      <c r="W107">
        <f t="shared" si="19"/>
        <v>7.4839644968303878E-2</v>
      </c>
      <c r="X107" s="8">
        <f t="shared" si="14"/>
        <v>74.839644968303872</v>
      </c>
      <c r="Y107" s="51">
        <f>W107*'Soil samples'!AK107/100</f>
        <v>3.2808637957683774E-2</v>
      </c>
      <c r="Z107" s="105">
        <f t="shared" si="15"/>
        <v>32.808637957683771</v>
      </c>
      <c r="AA107" s="51">
        <f t="shared" si="16"/>
        <v>0.22786760482581833</v>
      </c>
      <c r="AB107">
        <f t="shared" si="17"/>
        <v>74.839644968303872</v>
      </c>
      <c r="AC107">
        <f>(AB107/1000)*'Soil samples'!AR107/100</f>
        <v>3.2808637957683774E-2</v>
      </c>
      <c r="AD107" s="6">
        <f t="shared" si="18"/>
        <v>32.808637957683771</v>
      </c>
      <c r="AE107" s="135"/>
      <c r="AF107" s="6"/>
      <c r="AG107" s="6"/>
      <c r="AH107" s="6"/>
      <c r="AO107">
        <f>IF(S107&lt;'Olsen P ref'!$K$72,1,0)</f>
        <v>0</v>
      </c>
    </row>
    <row r="108" spans="1:41">
      <c r="A108" s="206" t="s">
        <v>112</v>
      </c>
      <c r="B108" s="6" t="s">
        <v>197</v>
      </c>
      <c r="C108" t="s">
        <v>13</v>
      </c>
      <c r="D108" s="8">
        <v>4</v>
      </c>
      <c r="E108" s="3">
        <v>5</v>
      </c>
      <c r="F108" s="8" t="s">
        <v>469</v>
      </c>
      <c r="G108" s="94" t="s">
        <v>469</v>
      </c>
      <c r="I108" s="8" t="s">
        <v>469</v>
      </c>
      <c r="J108" s="8" t="s">
        <v>469</v>
      </c>
      <c r="K108" s="8" t="s">
        <v>469</v>
      </c>
      <c r="L108" s="36" t="s">
        <v>469</v>
      </c>
      <c r="M108" s="8" t="s">
        <v>469</v>
      </c>
      <c r="N108" s="8" t="s">
        <v>469</v>
      </c>
      <c r="O108" t="e">
        <f t="shared" si="20"/>
        <v>#VALUE!</v>
      </c>
      <c r="P108" s="8" t="s">
        <v>469</v>
      </c>
      <c r="Q108" s="51">
        <f>'Olsen P ref'!$B$76*'Soil samples'!AI108%</f>
        <v>3.0816973415132924</v>
      </c>
      <c r="R108" s="105">
        <f>'Olsen P ref'!$B$76*'Soil samples'!AH108%</f>
        <v>1.9183026584867076</v>
      </c>
      <c r="S108" s="51" t="e">
        <f>IF(O108-'Olsen P ref'!$K$68&gt;0,O108-'Olsen P ref'!$K$68,0)</f>
        <v>#VALUE!</v>
      </c>
      <c r="T108" s="8" t="e">
        <f t="shared" si="12"/>
        <v>#VALUE!</v>
      </c>
      <c r="U108" s="8" t="e">
        <f t="shared" si="13"/>
        <v>#VALUE!</v>
      </c>
      <c r="V108" t="e">
        <f>U108*('Olsen P ref'!$B$75+Q108)</f>
        <v>#VALUE!</v>
      </c>
      <c r="W108" t="e">
        <f t="shared" si="19"/>
        <v>#VALUE!</v>
      </c>
      <c r="X108" s="8" t="e">
        <f t="shared" si="14"/>
        <v>#VALUE!</v>
      </c>
      <c r="Y108" s="51" t="e">
        <f>W108*'Soil samples'!AK108/100</f>
        <v>#VALUE!</v>
      </c>
      <c r="Z108" s="105" t="e">
        <f t="shared" si="15"/>
        <v>#VALUE!</v>
      </c>
      <c r="AA108" s="51">
        <f>AM30</f>
        <v>0.18350413105543298</v>
      </c>
      <c r="AB108">
        <f>AM8</f>
        <v>80.12641690671785</v>
      </c>
      <c r="AC108">
        <f>(AB108/1000)*'Soil samples'!AR108/100</f>
        <v>2.4654557658174187E-3</v>
      </c>
      <c r="AD108" s="6">
        <f t="shared" si="18"/>
        <v>2.4654557658174183</v>
      </c>
      <c r="AE108" s="6"/>
      <c r="AF108" s="6"/>
      <c r="AG108" s="6"/>
      <c r="AH108" s="6"/>
      <c r="AO108" t="e">
        <f>IF(S108&lt;'Olsen P ref'!$K$72,1,0)</f>
        <v>#VALUE!</v>
      </c>
    </row>
    <row r="109" spans="1:41">
      <c r="A109" s="6" t="s">
        <v>113</v>
      </c>
      <c r="B109" s="6" t="s">
        <v>197</v>
      </c>
      <c r="C109" t="s">
        <v>13</v>
      </c>
      <c r="D109" s="8">
        <v>4</v>
      </c>
      <c r="E109" s="3">
        <v>10</v>
      </c>
      <c r="F109" s="26">
        <v>42767</v>
      </c>
      <c r="G109" s="94">
        <v>1</v>
      </c>
      <c r="I109">
        <v>11</v>
      </c>
      <c r="J109">
        <v>3</v>
      </c>
      <c r="K109"/>
      <c r="L109" s="44">
        <v>5</v>
      </c>
      <c r="M109">
        <v>0.277112608889171</v>
      </c>
      <c r="N109">
        <v>0.19900000000000001</v>
      </c>
      <c r="O109">
        <f t="shared" si="20"/>
        <v>0.277112608889171</v>
      </c>
      <c r="Q109" s="51">
        <f>'Olsen P ref'!$B$76*'Soil samples'!AI109%</f>
        <v>2.7278987745855217</v>
      </c>
      <c r="R109" s="105">
        <f>'Olsen P ref'!$B$76*'Soil samples'!AH109%</f>
        <v>2.2721012254144783</v>
      </c>
      <c r="S109" s="51">
        <f>IF(O109-'Olsen P ref'!$K$68&gt;0,O109-'Olsen P ref'!$K$68,0)</f>
        <v>7.7752778288850327E-2</v>
      </c>
      <c r="T109" s="8">
        <f t="shared" si="12"/>
        <v>7.7752778288850329E-5</v>
      </c>
      <c r="U109" s="8">
        <f t="shared" si="13"/>
        <v>7.7752778288850335E-4</v>
      </c>
      <c r="V109">
        <f>U109*('Olsen P ref'!$B$75+Q109)</f>
        <v>7.9873795374998086E-2</v>
      </c>
      <c r="W109">
        <f t="shared" si="19"/>
        <v>3.5154153556881007E-2</v>
      </c>
      <c r="X109" s="8">
        <f t="shared" si="14"/>
        <v>35.154153556881006</v>
      </c>
      <c r="Y109" s="51">
        <f>W109*'Soil samples'!AK109/100</f>
        <v>5.0080869700123839E-3</v>
      </c>
      <c r="Z109" s="105">
        <f t="shared" si="15"/>
        <v>5.0080869700123838</v>
      </c>
      <c r="AA109" s="51">
        <f t="shared" si="16"/>
        <v>7.7752778288850327E-2</v>
      </c>
      <c r="AB109">
        <f t="shared" si="17"/>
        <v>35.154153556881006</v>
      </c>
      <c r="AC109">
        <f>(AB109/1000)*'Soil samples'!AR109/100</f>
        <v>5.0080869700123839E-3</v>
      </c>
      <c r="AD109" s="6">
        <f t="shared" si="18"/>
        <v>5.0080869700123838</v>
      </c>
      <c r="AE109" s="135"/>
      <c r="AF109" s="6"/>
      <c r="AG109" s="6"/>
      <c r="AH109" s="6"/>
      <c r="AO109">
        <f>IF(S109&lt;'Olsen P ref'!$K$72,1,0)</f>
        <v>0</v>
      </c>
    </row>
    <row r="110" spans="1:41">
      <c r="A110" s="111" t="s">
        <v>114</v>
      </c>
      <c r="B110" s="111" t="s">
        <v>197</v>
      </c>
      <c r="C110" s="110" t="s">
        <v>13</v>
      </c>
      <c r="D110" s="111">
        <v>4</v>
      </c>
      <c r="E110" s="112">
        <v>20</v>
      </c>
      <c r="F110" s="113">
        <v>42767</v>
      </c>
      <c r="G110" s="114">
        <v>1</v>
      </c>
      <c r="H110" s="112" t="s">
        <v>513</v>
      </c>
      <c r="I110" s="110">
        <v>11</v>
      </c>
      <c r="J110" s="110">
        <v>16</v>
      </c>
      <c r="K110" s="110" t="s">
        <v>789</v>
      </c>
      <c r="L110" s="115">
        <v>5</v>
      </c>
      <c r="M110" s="110">
        <v>0.51167737012780601</v>
      </c>
      <c r="N110" s="110">
        <v>0.36899999999999999</v>
      </c>
      <c r="O110">
        <f t="shared" si="20"/>
        <v>0.51167737012780601</v>
      </c>
      <c r="P110" s="112"/>
      <c r="Q110" s="51">
        <f>'Olsen P ref'!$B$76*'Soil samples'!AI110%</f>
        <v>1.575211553768171</v>
      </c>
      <c r="R110" s="105">
        <f>'Olsen P ref'!$B$76*'Soil samples'!AH110%</f>
        <v>3.4247884462318288</v>
      </c>
      <c r="S110" s="51">
        <f>IF(O110-'Olsen P ref'!$K$68&gt;0,O110-'Olsen P ref'!$K$68,0)</f>
        <v>0.31231753952748531</v>
      </c>
      <c r="T110" s="8">
        <f t="shared" si="12"/>
        <v>3.1231753952748529E-4</v>
      </c>
      <c r="U110" s="8">
        <f t="shared" si="13"/>
        <v>3.1231753952748529E-3</v>
      </c>
      <c r="V110">
        <f>U110*('Olsen P ref'!$B$75+Q110)</f>
        <v>0.31723720149456669</v>
      </c>
      <c r="W110">
        <f t="shared" si="19"/>
        <v>9.2629721944901836E-2</v>
      </c>
      <c r="X110" s="8">
        <f t="shared" si="14"/>
        <v>92.629721944901831</v>
      </c>
      <c r="Y110" s="51">
        <f>W110*'Soil samples'!AK110/100</f>
        <v>4.5872499336114349E-2</v>
      </c>
      <c r="Z110" s="105">
        <f t="shared" si="15"/>
        <v>45.872499336114352</v>
      </c>
      <c r="AA110" s="51">
        <f t="shared" si="16"/>
        <v>0.31231753952748531</v>
      </c>
      <c r="AB110">
        <f t="shared" si="17"/>
        <v>92.629721944901831</v>
      </c>
      <c r="AC110">
        <f>(AB110/1000)*'Soil samples'!AR110/100</f>
        <v>4.5872499336114349E-2</v>
      </c>
      <c r="AD110" s="6">
        <f t="shared" si="18"/>
        <v>45.872499336114352</v>
      </c>
      <c r="AE110" s="135"/>
      <c r="AF110" s="6"/>
      <c r="AG110" s="6"/>
      <c r="AH110" s="6"/>
      <c r="AO110">
        <f>IF(S110&lt;'Olsen P ref'!$K$72,1,0)</f>
        <v>0</v>
      </c>
    </row>
    <row r="111" spans="1:41">
      <c r="A111" s="111" t="s">
        <v>115</v>
      </c>
      <c r="B111" s="111" t="s">
        <v>197</v>
      </c>
      <c r="C111" s="110" t="s">
        <v>13</v>
      </c>
      <c r="D111" s="111">
        <v>4</v>
      </c>
      <c r="E111" s="112">
        <v>30</v>
      </c>
      <c r="F111" s="113">
        <v>42767</v>
      </c>
      <c r="G111" s="114">
        <v>1</v>
      </c>
      <c r="H111" s="112" t="s">
        <v>513</v>
      </c>
      <c r="I111" s="110">
        <v>7</v>
      </c>
      <c r="J111" s="110">
        <v>20</v>
      </c>
      <c r="K111" s="110" t="s">
        <v>762</v>
      </c>
      <c r="L111" s="115">
        <v>5</v>
      </c>
      <c r="M111" s="116">
        <v>0.1697188094547096</v>
      </c>
      <c r="N111" s="117">
        <v>0.123</v>
      </c>
      <c r="O111">
        <f t="shared" si="20"/>
        <v>0.1697188094547096</v>
      </c>
      <c r="P111" s="112"/>
      <c r="Q111" s="51">
        <f>'Olsen P ref'!$B$76*'Soil samples'!AI111%</f>
        <v>1.396514389494272</v>
      </c>
      <c r="R111" s="105">
        <f>'Olsen P ref'!$B$76*'Soil samples'!AH111%</f>
        <v>3.6034856105057278</v>
      </c>
      <c r="S111" s="51">
        <f>IF(O111-'Olsen P ref'!$K$68&gt;0,O111-'Olsen P ref'!$K$68,0)</f>
        <v>0</v>
      </c>
      <c r="T111" s="8">
        <f t="shared" si="12"/>
        <v>0</v>
      </c>
      <c r="U111" s="8">
        <f t="shared" si="13"/>
        <v>0</v>
      </c>
      <c r="V111">
        <f>U111*('Olsen P ref'!$B$75+Q111)</f>
        <v>0</v>
      </c>
      <c r="W111">
        <f t="shared" si="19"/>
        <v>0</v>
      </c>
      <c r="X111" s="8">
        <f t="shared" si="14"/>
        <v>0</v>
      </c>
      <c r="Y111" s="51">
        <f>W111*'Soil samples'!AK111/100</f>
        <v>0</v>
      </c>
      <c r="Z111" s="105">
        <f t="shared" si="15"/>
        <v>0</v>
      </c>
      <c r="AA111" s="51">
        <f t="shared" si="16"/>
        <v>0</v>
      </c>
      <c r="AB111">
        <f t="shared" si="17"/>
        <v>0</v>
      </c>
      <c r="AC111">
        <f>(AB111/1000)*'Soil samples'!AR111/100</f>
        <v>0</v>
      </c>
      <c r="AD111" s="6">
        <f t="shared" si="18"/>
        <v>0</v>
      </c>
      <c r="AE111" s="135"/>
      <c r="AF111" s="6"/>
      <c r="AG111" s="6"/>
      <c r="AH111" s="6"/>
      <c r="AO111">
        <f>IF(S111&lt;'Olsen P ref'!$K$72,1,0)</f>
        <v>1</v>
      </c>
    </row>
    <row r="112" spans="1:41">
      <c r="A112" s="6" t="s">
        <v>116</v>
      </c>
      <c r="B112" s="6" t="s">
        <v>197</v>
      </c>
      <c r="C112" t="s">
        <v>13</v>
      </c>
      <c r="D112" s="8">
        <v>5</v>
      </c>
      <c r="E112" s="3">
        <v>5</v>
      </c>
      <c r="F112" s="26">
        <v>42760</v>
      </c>
      <c r="G112" s="94">
        <v>2</v>
      </c>
      <c r="H112" s="3" t="s">
        <v>511</v>
      </c>
      <c r="I112">
        <v>7</v>
      </c>
      <c r="J112">
        <v>16</v>
      </c>
      <c r="K112"/>
      <c r="L112" s="44">
        <v>5</v>
      </c>
      <c r="M112">
        <v>0.39643836058172899</v>
      </c>
      <c r="N112">
        <v>0.28499999999999998</v>
      </c>
      <c r="O112">
        <f t="shared" si="20"/>
        <v>0.39643836058172899</v>
      </c>
      <c r="Q112" s="51">
        <f>'Olsen P ref'!$B$76*'Soil samples'!AI112%</f>
        <v>2.8558744480706473</v>
      </c>
      <c r="R112" s="105">
        <f>'Olsen P ref'!$B$76*'Soil samples'!AH112%</f>
        <v>2.1441255519293527</v>
      </c>
      <c r="S112" s="51">
        <f>IF(O112-'Olsen P ref'!$K$68&gt;0,O112-'Olsen P ref'!$K$68,0)</f>
        <v>0.19707852998140832</v>
      </c>
      <c r="T112" s="8">
        <f t="shared" si="12"/>
        <v>1.9707852998140831E-4</v>
      </c>
      <c r="U112" s="8">
        <f t="shared" si="13"/>
        <v>1.9707852998140834E-3</v>
      </c>
      <c r="V112">
        <f>U112*('Olsen P ref'!$B$75+Q112)</f>
        <v>0.20270684536178063</v>
      </c>
      <c r="W112">
        <f t="shared" si="19"/>
        <v>9.4540566982832946E-2</v>
      </c>
      <c r="X112" s="8">
        <f t="shared" si="14"/>
        <v>94.540566982832942</v>
      </c>
      <c r="Y112" s="51">
        <f>W112*'Soil samples'!AK112/100</f>
        <v>1.2332684471810717E-2</v>
      </c>
      <c r="Z112" s="105">
        <f t="shared" si="15"/>
        <v>12.332684471810717</v>
      </c>
      <c r="AA112" s="51">
        <f t="shared" si="16"/>
        <v>0.19707852998140832</v>
      </c>
      <c r="AB112">
        <f t="shared" si="17"/>
        <v>94.540566982832942</v>
      </c>
      <c r="AC112">
        <f>(AB112/1000)*'Soil samples'!AR112/100</f>
        <v>1.2332684471810717E-2</v>
      </c>
      <c r="AD112" s="6">
        <f t="shared" si="18"/>
        <v>12.332684471810717</v>
      </c>
      <c r="AE112" s="135"/>
      <c r="AF112" s="6"/>
      <c r="AG112" s="6"/>
      <c r="AH112" s="6"/>
      <c r="AO112">
        <f>IF(S112&lt;'Olsen P ref'!$K$72,1,0)</f>
        <v>0</v>
      </c>
    </row>
    <row r="113" spans="1:41">
      <c r="A113" s="6" t="s">
        <v>117</v>
      </c>
      <c r="B113" s="6" t="s">
        <v>197</v>
      </c>
      <c r="C113" t="s">
        <v>13</v>
      </c>
      <c r="D113" s="8">
        <v>5</v>
      </c>
      <c r="E113" s="3">
        <v>10</v>
      </c>
      <c r="F113" s="26">
        <v>42760</v>
      </c>
      <c r="G113" s="94">
        <v>2</v>
      </c>
      <c r="H113" s="3" t="s">
        <v>511</v>
      </c>
      <c r="I113">
        <v>7</v>
      </c>
      <c r="J113">
        <v>7</v>
      </c>
      <c r="K113"/>
      <c r="L113" s="44">
        <v>5</v>
      </c>
      <c r="M113">
        <v>0.248090999967753</v>
      </c>
      <c r="N113">
        <v>0.17899999999999999</v>
      </c>
      <c r="O113">
        <f t="shared" si="20"/>
        <v>0.248090999967753</v>
      </c>
      <c r="Q113" s="51">
        <f>'Olsen P ref'!$B$76*'Soil samples'!AI113%</f>
        <v>2.9626325576720114</v>
      </c>
      <c r="R113" s="105">
        <f>'Olsen P ref'!$B$76*'Soil samples'!AH113%</f>
        <v>2.0373674423279886</v>
      </c>
      <c r="S113" s="51">
        <f>IF(O113-'Olsen P ref'!$K$68&gt;0,O113-'Olsen P ref'!$K$68,0)</f>
        <v>4.8731169367432325E-2</v>
      </c>
      <c r="T113" s="8">
        <f t="shared" si="12"/>
        <v>4.8731169367432329E-5</v>
      </c>
      <c r="U113" s="8">
        <f t="shared" si="13"/>
        <v>4.8731169367432326E-4</v>
      </c>
      <c r="V113">
        <f>U113*('Olsen P ref'!$B$75+Q113)</f>
        <v>5.0174894856846168E-2</v>
      </c>
      <c r="W113">
        <f t="shared" si="19"/>
        <v>2.4627317495323306E-2</v>
      </c>
      <c r="X113" s="8">
        <f t="shared" si="14"/>
        <v>24.627317495323307</v>
      </c>
      <c r="Y113" s="51">
        <f>W113*'Soil samples'!AK113/100</f>
        <v>5.1690176681522919E-3</v>
      </c>
      <c r="Z113" s="105">
        <f t="shared" si="15"/>
        <v>5.1690176681522919</v>
      </c>
      <c r="AA113" s="51">
        <f t="shared" si="16"/>
        <v>4.8731169367432325E-2</v>
      </c>
      <c r="AB113">
        <f t="shared" si="17"/>
        <v>24.627317495323307</v>
      </c>
      <c r="AC113">
        <f>(AB113/1000)*'Soil samples'!AR113/100</f>
        <v>5.1690176681522919E-3</v>
      </c>
      <c r="AD113" s="6">
        <f t="shared" si="18"/>
        <v>5.1690176681522919</v>
      </c>
      <c r="AE113" s="135"/>
      <c r="AF113" s="6"/>
      <c r="AG113" s="6"/>
      <c r="AH113" s="6"/>
      <c r="AO113">
        <f>IF(S113&lt;'Olsen P ref'!$K$72,1,0)</f>
        <v>1</v>
      </c>
    </row>
    <row r="114" spans="1:41">
      <c r="A114" s="6" t="s">
        <v>118</v>
      </c>
      <c r="B114" s="6" t="s">
        <v>197</v>
      </c>
      <c r="C114" t="s">
        <v>13</v>
      </c>
      <c r="D114" s="8">
        <v>5</v>
      </c>
      <c r="E114" s="3">
        <v>20</v>
      </c>
      <c r="F114" s="26">
        <v>42760</v>
      </c>
      <c r="G114" s="94">
        <v>3</v>
      </c>
      <c r="H114" s="3" t="s">
        <v>511</v>
      </c>
      <c r="I114">
        <v>9</v>
      </c>
      <c r="J114">
        <v>14</v>
      </c>
      <c r="K114" t="s">
        <v>788</v>
      </c>
      <c r="L114" s="44">
        <v>5</v>
      </c>
      <c r="M114">
        <v>0.198464424238571</v>
      </c>
      <c r="N114">
        <v>0.14199999999999999</v>
      </c>
      <c r="O114">
        <f t="shared" si="20"/>
        <v>0.19846442423857102</v>
      </c>
      <c r="Q114" s="51">
        <f>'Olsen P ref'!$B$76*'Soil samples'!AI114%</f>
        <v>2.3119180060850066</v>
      </c>
      <c r="R114" s="105">
        <f>'Olsen P ref'!$B$76*'Soil samples'!AH114%</f>
        <v>2.6880819939149934</v>
      </c>
      <c r="S114" s="51">
        <f>IF(O114-'Olsen P ref'!$K$68&gt;0,O114-'Olsen P ref'!$K$68,0)</f>
        <v>0</v>
      </c>
      <c r="T114" s="8">
        <f t="shared" si="12"/>
        <v>0</v>
      </c>
      <c r="U114" s="8">
        <f t="shared" si="13"/>
        <v>0</v>
      </c>
      <c r="V114">
        <f>U114*('Olsen P ref'!$B$75+Q114)</f>
        <v>0</v>
      </c>
      <c r="W114">
        <f t="shared" si="19"/>
        <v>0</v>
      </c>
      <c r="X114" s="8">
        <f t="shared" si="14"/>
        <v>0</v>
      </c>
      <c r="Y114" s="51">
        <f>W114*'Soil samples'!AK114/100</f>
        <v>0</v>
      </c>
      <c r="Z114" s="105">
        <f t="shared" si="15"/>
        <v>0</v>
      </c>
      <c r="AA114" s="51">
        <f t="shared" si="16"/>
        <v>0</v>
      </c>
      <c r="AB114">
        <f t="shared" si="17"/>
        <v>0</v>
      </c>
      <c r="AC114">
        <f>(AB114/1000)*'Soil samples'!AR114/100</f>
        <v>0</v>
      </c>
      <c r="AD114" s="6">
        <f t="shared" si="18"/>
        <v>0</v>
      </c>
      <c r="AE114" s="135"/>
      <c r="AF114" s="6"/>
      <c r="AG114" s="6"/>
      <c r="AH114" s="6"/>
      <c r="AO114">
        <f>IF(S114&lt;'Olsen P ref'!$K$72,1,0)</f>
        <v>1</v>
      </c>
    </row>
    <row r="115" spans="1:41">
      <c r="A115" s="6" t="s">
        <v>119</v>
      </c>
      <c r="B115" s="6" t="s">
        <v>197</v>
      </c>
      <c r="C115" t="s">
        <v>13</v>
      </c>
      <c r="D115" s="8">
        <v>5</v>
      </c>
      <c r="E115" s="3">
        <v>30</v>
      </c>
      <c r="F115" s="26">
        <v>42760</v>
      </c>
      <c r="G115" s="94">
        <v>2</v>
      </c>
      <c r="H115" s="3" t="s">
        <v>511</v>
      </c>
      <c r="I115">
        <v>7</v>
      </c>
      <c r="J115">
        <v>13</v>
      </c>
      <c r="K115"/>
      <c r="L115" s="44">
        <v>5</v>
      </c>
      <c r="M115">
        <v>0.20750540130921299</v>
      </c>
      <c r="N115">
        <v>0.15</v>
      </c>
      <c r="O115">
        <f t="shared" si="20"/>
        <v>0.20750540130921299</v>
      </c>
      <c r="Q115" s="51">
        <f>'Olsen P ref'!$B$76*'Soil samples'!AI115%</f>
        <v>1.0330238130897116</v>
      </c>
      <c r="R115" s="105">
        <f>'Olsen P ref'!$B$76*'Soil samples'!AH115%</f>
        <v>3.9669761869102889</v>
      </c>
      <c r="S115" s="51">
        <f>IF(O115-'Olsen P ref'!$K$68&gt;0,O115-'Olsen P ref'!$K$68,0)</f>
        <v>8.1455707088923246E-3</v>
      </c>
      <c r="T115" s="8">
        <f t="shared" si="12"/>
        <v>8.1455707088923243E-6</v>
      </c>
      <c r="U115" s="8">
        <f t="shared" si="13"/>
        <v>8.1455707088923246E-5</v>
      </c>
      <c r="V115">
        <f>U115*('Olsen P ref'!$B$75+Q115)</f>
        <v>8.2297163940272429E-3</v>
      </c>
      <c r="W115">
        <f t="shared" si="19"/>
        <v>2.0745565403650743E-3</v>
      </c>
      <c r="X115" s="8">
        <f t="shared" si="14"/>
        <v>2.0745565403650743</v>
      </c>
      <c r="Y115" s="51">
        <f>W115*'Soil samples'!AK115/100</f>
        <v>1.1939672544454718E-3</v>
      </c>
      <c r="Z115" s="105">
        <f t="shared" si="15"/>
        <v>1.1939672544454718</v>
      </c>
      <c r="AA115" s="51">
        <f t="shared" si="16"/>
        <v>8.1455707088923246E-3</v>
      </c>
      <c r="AB115">
        <f t="shared" si="17"/>
        <v>2.0745565403650743</v>
      </c>
      <c r="AC115">
        <f>(AB115/1000)*'Soil samples'!AR115/100</f>
        <v>1.1939672544454718E-3</v>
      </c>
      <c r="AD115" s="6">
        <f t="shared" si="18"/>
        <v>1.1939672544454718</v>
      </c>
      <c r="AE115" s="135"/>
      <c r="AF115" s="6"/>
      <c r="AG115" s="6"/>
      <c r="AH115" s="6"/>
      <c r="AO115">
        <f>IF(S115&lt;'Olsen P ref'!$K$72,1,0)</f>
        <v>1</v>
      </c>
    </row>
    <row r="116" spans="1:41">
      <c r="A116" s="206" t="s">
        <v>120</v>
      </c>
      <c r="B116" s="6" t="s">
        <v>197</v>
      </c>
      <c r="C116" t="s">
        <v>13</v>
      </c>
      <c r="D116" s="8">
        <v>6</v>
      </c>
      <c r="E116" s="3">
        <v>5</v>
      </c>
      <c r="F116" s="26" t="s">
        <v>469</v>
      </c>
      <c r="G116" s="94" t="s">
        <v>469</v>
      </c>
      <c r="H116" s="94" t="s">
        <v>469</v>
      </c>
      <c r="I116" s="94" t="s">
        <v>469</v>
      </c>
      <c r="J116" s="94" t="s">
        <v>469</v>
      </c>
      <c r="K116" s="94" t="s">
        <v>469</v>
      </c>
      <c r="L116" s="94" t="s">
        <v>469</v>
      </c>
      <c r="M116" s="94" t="s">
        <v>469</v>
      </c>
      <c r="N116" s="94" t="s">
        <v>469</v>
      </c>
      <c r="O116" t="e">
        <f t="shared" si="20"/>
        <v>#VALUE!</v>
      </c>
      <c r="P116" s="94" t="s">
        <v>469</v>
      </c>
      <c r="Q116" s="51">
        <f>'Olsen P ref'!$B$76*'Soil samples'!AI116%</f>
        <v>2.9218106995884767</v>
      </c>
      <c r="R116" s="105">
        <f>'Olsen P ref'!$B$76*'Soil samples'!AH116%</f>
        <v>2.0781893004115228</v>
      </c>
      <c r="S116" s="51" t="e">
        <f>IF(O116-'Olsen P ref'!$K$68&gt;0,O116-'Olsen P ref'!$K$68,0)</f>
        <v>#VALUE!</v>
      </c>
      <c r="T116" s="8" t="e">
        <f t="shared" si="12"/>
        <v>#VALUE!</v>
      </c>
      <c r="U116" s="8" t="e">
        <f t="shared" si="13"/>
        <v>#VALUE!</v>
      </c>
      <c r="V116" t="e">
        <f>U116*('Olsen P ref'!$B$75+Q116)</f>
        <v>#VALUE!</v>
      </c>
      <c r="W116" t="e">
        <f t="shared" si="19"/>
        <v>#VALUE!</v>
      </c>
      <c r="X116" s="8" t="e">
        <f t="shared" si="14"/>
        <v>#VALUE!</v>
      </c>
      <c r="Y116" s="51" t="e">
        <f>W116*'Soil samples'!AK116/100</f>
        <v>#VALUE!</v>
      </c>
      <c r="Z116" s="105" t="e">
        <f t="shared" si="15"/>
        <v>#VALUE!</v>
      </c>
      <c r="AA116" s="51">
        <f>AM31</f>
        <v>0.18350413105543298</v>
      </c>
      <c r="AB116">
        <f>AM9</f>
        <v>80.12641690671785</v>
      </c>
      <c r="AC116">
        <f>(AB116/1000)*'Soil samples'!AR116/100</f>
        <v>6.1378484042251798E-3</v>
      </c>
      <c r="AD116" s="6">
        <f t="shared" si="18"/>
        <v>6.1378484042251795</v>
      </c>
      <c r="AE116" s="6"/>
      <c r="AF116" s="6"/>
      <c r="AG116" s="6"/>
      <c r="AH116" s="6"/>
      <c r="AO116" t="e">
        <f>IF(S116&lt;'Olsen P ref'!$K$72,1,0)</f>
        <v>#VALUE!</v>
      </c>
    </row>
    <row r="117" spans="1:41">
      <c r="A117" s="6" t="s">
        <v>121</v>
      </c>
      <c r="B117" s="6" t="s">
        <v>197</v>
      </c>
      <c r="C117" t="s">
        <v>13</v>
      </c>
      <c r="D117" s="8">
        <v>6</v>
      </c>
      <c r="E117" s="3">
        <v>10</v>
      </c>
      <c r="F117" s="26">
        <v>42765</v>
      </c>
      <c r="G117" s="94">
        <v>1</v>
      </c>
      <c r="I117">
        <v>12</v>
      </c>
      <c r="J117">
        <v>17</v>
      </c>
      <c r="K117"/>
      <c r="L117" s="44">
        <v>5</v>
      </c>
      <c r="M117">
        <v>0.39025561136898301</v>
      </c>
      <c r="N117">
        <v>0.28100000000000003</v>
      </c>
      <c r="O117">
        <f t="shared" si="20"/>
        <v>0.39025561136898301</v>
      </c>
      <c r="Q117" s="51">
        <f>'Olsen P ref'!$B$76*'Soil samples'!AI117%</f>
        <v>2.6615062274473282</v>
      </c>
      <c r="R117" s="105">
        <f>'Olsen P ref'!$B$76*'Soil samples'!AH117%</f>
        <v>2.3384937725526713</v>
      </c>
      <c r="S117" s="51">
        <f>IF(O117-'Olsen P ref'!$K$68&gt;0,O117-'Olsen P ref'!$K$68,0)</f>
        <v>0.19089578076866234</v>
      </c>
      <c r="T117" s="8">
        <f t="shared" si="12"/>
        <v>1.9089578076866235E-4</v>
      </c>
      <c r="U117" s="8">
        <f t="shared" si="13"/>
        <v>1.9089578076866235E-3</v>
      </c>
      <c r="V117">
        <f>U117*('Olsen P ref'!$B$75+Q117)</f>
        <v>0.19597648386175451</v>
      </c>
      <c r="W117">
        <f t="shared" si="19"/>
        <v>8.3804578041629316E-2</v>
      </c>
      <c r="X117" s="8">
        <f t="shared" si="14"/>
        <v>83.804578041629313</v>
      </c>
      <c r="Y117" s="51">
        <f>W117*'Soil samples'!AK117/100</f>
        <v>1.8645202674607342E-2</v>
      </c>
      <c r="Z117" s="105">
        <f t="shared" si="15"/>
        <v>18.645202674607344</v>
      </c>
      <c r="AA117" s="51">
        <f t="shared" si="16"/>
        <v>0.19089578076866234</v>
      </c>
      <c r="AB117">
        <f t="shared" si="17"/>
        <v>83.804578041629313</v>
      </c>
      <c r="AC117">
        <f>(AB117/1000)*'Soil samples'!AR117/100</f>
        <v>1.8645202674607342E-2</v>
      </c>
      <c r="AD117" s="6">
        <f t="shared" si="18"/>
        <v>18.645202674607344</v>
      </c>
      <c r="AE117" s="135"/>
      <c r="AF117" s="6"/>
      <c r="AG117" s="6"/>
      <c r="AH117" s="6"/>
      <c r="AO117">
        <f>IF(S117&lt;'Olsen P ref'!$K$72,1,0)</f>
        <v>0</v>
      </c>
    </row>
    <row r="118" spans="1:41">
      <c r="A118" s="7" t="s">
        <v>122</v>
      </c>
      <c r="B118" s="7" t="s">
        <v>197</v>
      </c>
      <c r="C118" s="4" t="s">
        <v>13</v>
      </c>
      <c r="D118" s="4">
        <v>6</v>
      </c>
      <c r="E118" s="5">
        <v>20</v>
      </c>
      <c r="F118" s="26">
        <v>42765</v>
      </c>
      <c r="G118" s="95">
        <v>1</v>
      </c>
      <c r="I118">
        <v>12</v>
      </c>
      <c r="J118">
        <v>19</v>
      </c>
      <c r="K118"/>
      <c r="L118" s="44">
        <v>5</v>
      </c>
      <c r="M118">
        <v>0.59998410377058597</v>
      </c>
      <c r="N118">
        <v>0.433</v>
      </c>
      <c r="O118">
        <f t="shared" si="20"/>
        <v>0.59998410377058597</v>
      </c>
      <c r="Q118" s="51">
        <f>'Olsen P ref'!$B$76*'Soil samples'!AI118%</f>
        <v>0.25308951934610918</v>
      </c>
      <c r="R118" s="105">
        <f>'Olsen P ref'!$B$76*'Soil samples'!AH118%</f>
        <v>4.7469104806538907</v>
      </c>
      <c r="S118" s="51">
        <f>IF(O118-'Olsen P ref'!$K$68&gt;0,O118-'Olsen P ref'!$K$68,0)</f>
        <v>0.40062427317026528</v>
      </c>
      <c r="T118" s="8">
        <f t="shared" si="12"/>
        <v>4.006242731702653E-4</v>
      </c>
      <c r="U118" s="8">
        <f t="shared" si="13"/>
        <v>4.0062427317026526E-3</v>
      </c>
      <c r="V118">
        <f>U118*('Olsen P ref'!$B$75+Q118)</f>
        <v>0.40163821121761573</v>
      </c>
      <c r="W118">
        <f t="shared" si="19"/>
        <v>8.4610445647647803E-2</v>
      </c>
      <c r="X118" s="8">
        <f t="shared" si="14"/>
        <v>84.610445647647808</v>
      </c>
      <c r="Y118" s="51">
        <f>W118*'Soil samples'!AK118/100</f>
        <v>9.978299719490448E-2</v>
      </c>
      <c r="Z118" s="105">
        <f t="shared" si="15"/>
        <v>99.782997194904482</v>
      </c>
      <c r="AA118" s="51">
        <f t="shared" si="16"/>
        <v>0.40062427317026528</v>
      </c>
      <c r="AB118">
        <f t="shared" si="17"/>
        <v>84.610445647647808</v>
      </c>
      <c r="AC118">
        <f>(AB118/1000)*'Soil samples'!AR118/100</f>
        <v>9.978299719490448E-2</v>
      </c>
      <c r="AD118" s="6">
        <f t="shared" si="18"/>
        <v>99.782997194904482</v>
      </c>
      <c r="AE118" s="135"/>
      <c r="AF118" s="6"/>
      <c r="AG118" s="6"/>
      <c r="AH118" s="6"/>
      <c r="AO118">
        <f>IF(S118&lt;'Olsen P ref'!$K$72,1,0)</f>
        <v>0</v>
      </c>
    </row>
    <row r="119" spans="1:41">
      <c r="A119" s="6" t="s">
        <v>123</v>
      </c>
      <c r="B119" s="6" t="s">
        <v>198</v>
      </c>
      <c r="C119" t="s">
        <v>12</v>
      </c>
      <c r="D119" s="8">
        <v>1</v>
      </c>
      <c r="E119" s="3">
        <v>5</v>
      </c>
      <c r="F119" s="26">
        <v>42794</v>
      </c>
      <c r="G119" s="94">
        <v>1</v>
      </c>
      <c r="I119">
        <v>4</v>
      </c>
      <c r="J119">
        <v>12</v>
      </c>
      <c r="K119"/>
      <c r="L119" s="44">
        <v>2.5</v>
      </c>
      <c r="M119">
        <v>0.25089000677179102</v>
      </c>
      <c r="N119">
        <v>0.18099999999999999</v>
      </c>
      <c r="O119">
        <f t="shared" si="20"/>
        <v>0.50178001354358204</v>
      </c>
      <c r="Q119" s="51">
        <f>'Olsen P ref'!$B$76*'Soil samples'!AI119%</f>
        <v>3.1173172632967567</v>
      </c>
      <c r="R119" s="105">
        <f>'Olsen P ref'!$B$76*'Soil samples'!AH119%</f>
        <v>1.8826827367032437</v>
      </c>
      <c r="S119" s="51">
        <f>IF(O119-'Olsen P ref'!$K$68&gt;0,O119-'Olsen P ref'!$K$68,0)</f>
        <v>0.30242018294326134</v>
      </c>
      <c r="T119" s="8">
        <f t="shared" si="12"/>
        <v>3.0242018294326136E-4</v>
      </c>
      <c r="U119" s="8">
        <f t="shared" si="13"/>
        <v>3.0242018294326135E-3</v>
      </c>
      <c r="V119">
        <f>U119*('Olsen P ref'!$B$75+Q119)</f>
        <v>0.31184757951384529</v>
      </c>
      <c r="W119">
        <f t="shared" si="19"/>
        <v>0.16564000584608324</v>
      </c>
      <c r="X119" s="8">
        <f t="shared" si="14"/>
        <v>165.64000584608323</v>
      </c>
      <c r="Y119" s="51">
        <f>W119*'Soil samples'!AK119/100</f>
        <v>3.0879147323460948E-2</v>
      </c>
      <c r="Z119" s="105">
        <f t="shared" si="15"/>
        <v>30.879147323460948</v>
      </c>
      <c r="AA119" s="51">
        <f t="shared" si="16"/>
        <v>0.30242018294326134</v>
      </c>
      <c r="AB119">
        <f t="shared" si="17"/>
        <v>165.64000584608323</v>
      </c>
      <c r="AC119">
        <f>(AB119/1000)*'Soil samples'!AR119/100</f>
        <v>3.0879147323460948E-2</v>
      </c>
      <c r="AD119" s="6">
        <f t="shared" si="18"/>
        <v>30.879147323460948</v>
      </c>
      <c r="AE119" s="135"/>
      <c r="AF119" s="6"/>
      <c r="AG119" s="6"/>
      <c r="AH119" s="6"/>
      <c r="AO119">
        <f>IF(S119&lt;'Olsen P ref'!$K$72,1,0)</f>
        <v>0</v>
      </c>
    </row>
    <row r="120" spans="1:41">
      <c r="A120" s="6" t="s">
        <v>124</v>
      </c>
      <c r="B120" s="6" t="s">
        <v>198</v>
      </c>
      <c r="C120" t="s">
        <v>12</v>
      </c>
      <c r="D120" s="8">
        <v>1</v>
      </c>
      <c r="E120" s="3">
        <v>10</v>
      </c>
      <c r="F120" s="26">
        <v>42794</v>
      </c>
      <c r="G120" s="94">
        <v>2</v>
      </c>
      <c r="H120" s="3" t="s">
        <v>685</v>
      </c>
      <c r="I120">
        <v>1</v>
      </c>
      <c r="J120">
        <v>2</v>
      </c>
      <c r="K120"/>
      <c r="L120" s="44">
        <v>5</v>
      </c>
      <c r="M120">
        <v>0.57246510573528897</v>
      </c>
      <c r="N120">
        <v>0.40699999999999997</v>
      </c>
      <c r="O120">
        <f t="shared" si="20"/>
        <v>0.57246510573528897</v>
      </c>
      <c r="Q120" s="51">
        <f>'Olsen P ref'!$B$76*'Soil samples'!AI120%</f>
        <v>2.2680864532465188</v>
      </c>
      <c r="R120" s="105">
        <f>'Olsen P ref'!$B$76*'Soil samples'!AH120%</f>
        <v>2.7319135467534812</v>
      </c>
      <c r="S120" s="51">
        <f>IF(O120-'Olsen P ref'!$K$68&gt;0,O120-'Olsen P ref'!$K$68,0)</f>
        <v>0.37310527513496827</v>
      </c>
      <c r="T120" s="8">
        <f t="shared" si="12"/>
        <v>3.7310527513496829E-4</v>
      </c>
      <c r="U120" s="8">
        <f t="shared" si="13"/>
        <v>3.7310527513496833E-3</v>
      </c>
      <c r="V120">
        <f>U120*('Olsen P ref'!$B$75+Q120)</f>
        <v>0.38156762533665273</v>
      </c>
      <c r="W120">
        <f t="shared" si="19"/>
        <v>0.13967046131093552</v>
      </c>
      <c r="X120" s="8">
        <f t="shared" si="14"/>
        <v>139.67046131093554</v>
      </c>
      <c r="Y120" s="51">
        <f>W120*'Soil samples'!AK120/100</f>
        <v>6.0325841565724805E-2</v>
      </c>
      <c r="Z120" s="105">
        <f t="shared" si="15"/>
        <v>60.325841565724801</v>
      </c>
      <c r="AA120" s="51">
        <f t="shared" si="16"/>
        <v>0.37310527513496827</v>
      </c>
      <c r="AB120">
        <f t="shared" si="17"/>
        <v>139.67046131093554</v>
      </c>
      <c r="AC120">
        <f>(AB120/1000)*'Soil samples'!AR120/100</f>
        <v>6.0325841565724805E-2</v>
      </c>
      <c r="AD120" s="6">
        <f t="shared" si="18"/>
        <v>60.325841565724801</v>
      </c>
      <c r="AE120" s="135"/>
      <c r="AF120" s="6"/>
      <c r="AG120" s="6"/>
      <c r="AH120" s="6"/>
      <c r="AO120">
        <f>IF(S120&lt;'Olsen P ref'!$K$72,1,0)</f>
        <v>0</v>
      </c>
    </row>
    <row r="121" spans="1:41">
      <c r="A121" s="6" t="s">
        <v>125</v>
      </c>
      <c r="B121" s="6" t="s">
        <v>198</v>
      </c>
      <c r="C121" t="s">
        <v>12</v>
      </c>
      <c r="D121" s="8">
        <v>1</v>
      </c>
      <c r="E121" s="3">
        <v>20</v>
      </c>
      <c r="F121" s="26">
        <v>42794</v>
      </c>
      <c r="G121" s="94">
        <v>2</v>
      </c>
      <c r="H121" s="3" t="s">
        <v>685</v>
      </c>
      <c r="I121">
        <v>2</v>
      </c>
      <c r="J121">
        <v>9</v>
      </c>
      <c r="K121"/>
      <c r="L121" s="44">
        <v>2.5</v>
      </c>
      <c r="M121">
        <v>0.26888014508241798</v>
      </c>
      <c r="N121">
        <v>0.191</v>
      </c>
      <c r="O121">
        <f t="shared" si="20"/>
        <v>0.53776029016483595</v>
      </c>
      <c r="Q121" s="51">
        <f>'Olsen P ref'!$B$76*'Soil samples'!AI121%</f>
        <v>2.2682737023702377</v>
      </c>
      <c r="R121" s="105">
        <f>'Olsen P ref'!$B$76*'Soil samples'!AH121%</f>
        <v>2.7317262976297623</v>
      </c>
      <c r="S121" s="51">
        <f>IF(O121-'Olsen P ref'!$K$68&gt;0,O121-'Olsen P ref'!$K$68,0)</f>
        <v>0.33840045956451525</v>
      </c>
      <c r="T121" s="8">
        <f t="shared" si="12"/>
        <v>3.3840045956451528E-4</v>
      </c>
      <c r="U121" s="8">
        <f t="shared" si="13"/>
        <v>3.3840045956451529E-3</v>
      </c>
      <c r="V121">
        <f>U121*('Olsen P ref'!$B$75+Q121)</f>
        <v>0.34607630819751722</v>
      </c>
      <c r="W121">
        <f t="shared" si="19"/>
        <v>0.12668776827963965</v>
      </c>
      <c r="X121" s="8">
        <f t="shared" si="14"/>
        <v>126.68776827963966</v>
      </c>
      <c r="Y121" s="51">
        <f>W121*'Soil samples'!AK121/100</f>
        <v>5.0755551360247876E-2</v>
      </c>
      <c r="Z121" s="105">
        <f t="shared" si="15"/>
        <v>50.755551360247878</v>
      </c>
      <c r="AA121" s="51">
        <f t="shared" si="16"/>
        <v>0.33840045956451525</v>
      </c>
      <c r="AB121">
        <f t="shared" si="17"/>
        <v>126.68776827963966</v>
      </c>
      <c r="AC121">
        <f>(AB121/1000)*'Soil samples'!AR121/100</f>
        <v>5.0755551360247876E-2</v>
      </c>
      <c r="AD121" s="6">
        <f t="shared" si="18"/>
        <v>50.755551360247878</v>
      </c>
      <c r="AE121" s="135"/>
      <c r="AF121" s="6"/>
      <c r="AG121" s="6"/>
      <c r="AH121" s="6"/>
      <c r="AO121">
        <f>IF(S121&lt;'Olsen P ref'!$K$72,1,0)</f>
        <v>0</v>
      </c>
    </row>
    <row r="122" spans="1:41">
      <c r="A122" s="6" t="s">
        <v>126</v>
      </c>
      <c r="B122" s="6" t="s">
        <v>198</v>
      </c>
      <c r="C122" t="s">
        <v>12</v>
      </c>
      <c r="D122" s="8">
        <v>1</v>
      </c>
      <c r="E122" s="3">
        <v>30</v>
      </c>
      <c r="F122" s="26">
        <v>42794</v>
      </c>
      <c r="G122" s="94">
        <v>1</v>
      </c>
      <c r="I122">
        <v>2</v>
      </c>
      <c r="J122">
        <v>6</v>
      </c>
      <c r="K122"/>
      <c r="L122" s="44">
        <v>2.5</v>
      </c>
      <c r="M122">
        <v>0.358831244535121</v>
      </c>
      <c r="N122">
        <v>0.255</v>
      </c>
      <c r="O122">
        <f t="shared" si="20"/>
        <v>0.71766248907024199</v>
      </c>
      <c r="Q122" s="51">
        <f>'Olsen P ref'!$B$76*'Soil samples'!AI122%</f>
        <v>2.1516681740528592</v>
      </c>
      <c r="R122" s="105">
        <f>'Olsen P ref'!$B$76*'Soil samples'!AH122%</f>
        <v>2.8483318259471408</v>
      </c>
      <c r="S122" s="51">
        <f>IF(O122-'Olsen P ref'!$K$68&gt;0,O122-'Olsen P ref'!$K$68,0)</f>
        <v>0.5183026584699213</v>
      </c>
      <c r="T122" s="8">
        <f t="shared" si="12"/>
        <v>5.1830265846992127E-4</v>
      </c>
      <c r="U122" s="8">
        <f t="shared" si="13"/>
        <v>5.183026584699213E-3</v>
      </c>
      <c r="V122">
        <f>U122*('Olsen P ref'!$B$75+Q122)</f>
        <v>0.52945481181748844</v>
      </c>
      <c r="W122">
        <f t="shared" si="19"/>
        <v>0.18588241966556393</v>
      </c>
      <c r="X122" s="8">
        <f t="shared" si="14"/>
        <v>185.88241966556393</v>
      </c>
      <c r="Y122" s="51">
        <f>W122*'Soil samples'!AK122/100</f>
        <v>6.9072674749709559E-2</v>
      </c>
      <c r="Z122" s="105">
        <f t="shared" si="15"/>
        <v>69.072674749709563</v>
      </c>
      <c r="AA122" s="51">
        <f t="shared" si="16"/>
        <v>0.5183026584699213</v>
      </c>
      <c r="AB122">
        <f t="shared" si="17"/>
        <v>185.88241966556393</v>
      </c>
      <c r="AC122">
        <f>(AB122/1000)*'Soil samples'!AR122/100</f>
        <v>6.9072674749709559E-2</v>
      </c>
      <c r="AD122" s="6">
        <f t="shared" si="18"/>
        <v>69.072674749709563</v>
      </c>
      <c r="AE122" s="135"/>
      <c r="AF122" s="6"/>
      <c r="AG122" s="6"/>
      <c r="AH122" s="6"/>
      <c r="AO122">
        <f>IF(S122&lt;'Olsen P ref'!$K$72,1,0)</f>
        <v>0</v>
      </c>
    </row>
    <row r="123" spans="1:41">
      <c r="A123" s="206" t="s">
        <v>127</v>
      </c>
      <c r="B123" s="6" t="s">
        <v>198</v>
      </c>
      <c r="C123" t="s">
        <v>12</v>
      </c>
      <c r="D123" s="8">
        <v>2</v>
      </c>
      <c r="E123" s="3">
        <v>5</v>
      </c>
      <c r="F123" s="8" t="s">
        <v>469</v>
      </c>
      <c r="G123" s="8" t="s">
        <v>469</v>
      </c>
      <c r="H123" s="8" t="s">
        <v>469</v>
      </c>
      <c r="I123" s="8" t="s">
        <v>469</v>
      </c>
      <c r="J123" s="8" t="s">
        <v>469</v>
      </c>
      <c r="K123" s="8" t="s">
        <v>469</v>
      </c>
      <c r="L123" s="36" t="s">
        <v>469</v>
      </c>
      <c r="M123" s="8" t="s">
        <v>469</v>
      </c>
      <c r="N123" s="8" t="s">
        <v>469</v>
      </c>
      <c r="O123" t="e">
        <f t="shared" si="20"/>
        <v>#VALUE!</v>
      </c>
      <c r="P123" s="8" t="s">
        <v>469</v>
      </c>
      <c r="Q123" s="51">
        <f>'Olsen P ref'!$B$76*'Soil samples'!AI123%</f>
        <v>2.1886238160360634</v>
      </c>
      <c r="R123" s="105">
        <f>'Olsen P ref'!$B$76*'Soil samples'!AH123%</f>
        <v>2.8113761839639366</v>
      </c>
      <c r="S123" s="51" t="e">
        <f>IF(O123-'Olsen P ref'!$K$68&gt;0,O123-'Olsen P ref'!$K$68,0)</f>
        <v>#VALUE!</v>
      </c>
      <c r="T123" s="8" t="e">
        <f t="shared" si="12"/>
        <v>#VALUE!</v>
      </c>
      <c r="U123" s="8" t="e">
        <f t="shared" si="13"/>
        <v>#VALUE!</v>
      </c>
      <c r="V123" t="e">
        <f>U123*('Olsen P ref'!$B$75+Q123)</f>
        <v>#VALUE!</v>
      </c>
      <c r="W123" t="e">
        <f t="shared" si="19"/>
        <v>#VALUE!</v>
      </c>
      <c r="X123" s="8" t="e">
        <f t="shared" si="14"/>
        <v>#VALUE!</v>
      </c>
      <c r="Y123" s="51" t="e">
        <f>W123*'Soil samples'!AK123/100</f>
        <v>#VALUE!</v>
      </c>
      <c r="Z123" s="105" t="e">
        <f t="shared" si="15"/>
        <v>#VALUE!</v>
      </c>
      <c r="AA123" s="51">
        <f>AM32</f>
        <v>0.30242018294326134</v>
      </c>
      <c r="AB123">
        <f>AM10</f>
        <v>165.64000584608323</v>
      </c>
      <c r="AC123">
        <f>(AB123/1000)*'Soil samples'!AR123/100</f>
        <v>6.3145715439417108E-3</v>
      </c>
      <c r="AD123" s="6">
        <f t="shared" si="18"/>
        <v>6.3145715439417112</v>
      </c>
      <c r="AE123" s="6"/>
      <c r="AF123" s="6"/>
      <c r="AG123" s="6"/>
      <c r="AH123" s="6"/>
      <c r="AO123" t="e">
        <f>IF(S123&lt;'Olsen P ref'!$K$72,1,0)</f>
        <v>#VALUE!</v>
      </c>
    </row>
    <row r="124" spans="1:41">
      <c r="A124" s="136" t="s">
        <v>578</v>
      </c>
      <c r="B124" s="6" t="s">
        <v>198</v>
      </c>
      <c r="C124" t="s">
        <v>12</v>
      </c>
      <c r="D124" s="6">
        <v>3</v>
      </c>
      <c r="E124" s="3">
        <v>5</v>
      </c>
      <c r="F124" s="8" t="s">
        <v>469</v>
      </c>
      <c r="G124" s="8" t="s">
        <v>469</v>
      </c>
      <c r="H124" s="8" t="s">
        <v>712</v>
      </c>
      <c r="I124" s="8" t="s">
        <v>469</v>
      </c>
      <c r="J124" s="8" t="s">
        <v>469</v>
      </c>
      <c r="K124" s="8" t="s">
        <v>469</v>
      </c>
      <c r="L124" s="36" t="s">
        <v>469</v>
      </c>
      <c r="M124" s="8" t="s">
        <v>469</v>
      </c>
      <c r="N124" s="8" t="s">
        <v>469</v>
      </c>
      <c r="O124" t="s">
        <v>469</v>
      </c>
      <c r="P124" t="s">
        <v>712</v>
      </c>
      <c r="Q124" t="s">
        <v>469</v>
      </c>
      <c r="R124" t="s">
        <v>469</v>
      </c>
      <c r="S124" t="s">
        <v>469</v>
      </c>
      <c r="T124" t="s">
        <v>469</v>
      </c>
      <c r="U124" t="s">
        <v>469</v>
      </c>
      <c r="V124" t="s">
        <v>469</v>
      </c>
      <c r="W124" t="s">
        <v>469</v>
      </c>
      <c r="X124" t="s">
        <v>469</v>
      </c>
      <c r="Y124" t="s">
        <v>469</v>
      </c>
      <c r="Z124" t="s">
        <v>469</v>
      </c>
      <c r="AA124" s="51" t="str">
        <f t="shared" si="16"/>
        <v>none</v>
      </c>
      <c r="AB124" t="s">
        <v>469</v>
      </c>
      <c r="AC124" t="s">
        <v>469</v>
      </c>
      <c r="AD124" s="6" t="e">
        <f t="shared" si="18"/>
        <v>#VALUE!</v>
      </c>
      <c r="AE124" s="6"/>
      <c r="AF124" s="6"/>
      <c r="AG124" s="6"/>
      <c r="AH124" s="6"/>
      <c r="AO124">
        <f>IF(S124&lt;'Olsen P ref'!$K$72,1,0)</f>
        <v>0</v>
      </c>
    </row>
    <row r="125" spans="1:41">
      <c r="A125" s="206" t="s">
        <v>128</v>
      </c>
      <c r="B125" s="6" t="s">
        <v>198</v>
      </c>
      <c r="C125" t="s">
        <v>12</v>
      </c>
      <c r="D125" s="8">
        <v>4</v>
      </c>
      <c r="E125" s="3">
        <v>5</v>
      </c>
      <c r="F125" s="8" t="s">
        <v>469</v>
      </c>
      <c r="G125" s="8" t="s">
        <v>469</v>
      </c>
      <c r="H125" s="8" t="s">
        <v>469</v>
      </c>
      <c r="I125" s="8" t="s">
        <v>469</v>
      </c>
      <c r="J125" s="8" t="s">
        <v>469</v>
      </c>
      <c r="K125" s="8" t="s">
        <v>469</v>
      </c>
      <c r="L125" s="36" t="s">
        <v>469</v>
      </c>
      <c r="M125" s="8" t="s">
        <v>469</v>
      </c>
      <c r="N125" s="8" t="s">
        <v>469</v>
      </c>
      <c r="O125" t="e">
        <f t="shared" si="20"/>
        <v>#VALUE!</v>
      </c>
      <c r="P125" s="8" t="s">
        <v>469</v>
      </c>
      <c r="Q125" s="51">
        <f>'Olsen P ref'!$B$76*'Soil samples'!AI125%</f>
        <v>3.0865848884248988</v>
      </c>
      <c r="R125" s="105">
        <f>'Olsen P ref'!$B$76*'Soil samples'!AH125%</f>
        <v>1.9134151115751012</v>
      </c>
      <c r="S125" s="51" t="e">
        <f>IF(O125-'Olsen P ref'!$K$68&gt;0,O125-'Olsen P ref'!$K$68,0)</f>
        <v>#VALUE!</v>
      </c>
      <c r="T125" s="8" t="e">
        <f t="shared" si="12"/>
        <v>#VALUE!</v>
      </c>
      <c r="U125" s="8" t="e">
        <f t="shared" si="13"/>
        <v>#VALUE!</v>
      </c>
      <c r="V125" t="e">
        <f>U125*('Olsen P ref'!$B$75+Q125)</f>
        <v>#VALUE!</v>
      </c>
      <c r="W125" t="e">
        <f t="shared" si="19"/>
        <v>#VALUE!</v>
      </c>
      <c r="X125" s="8" t="e">
        <f t="shared" si="14"/>
        <v>#VALUE!</v>
      </c>
      <c r="Y125" s="51" t="e">
        <f>W125*'Soil samples'!AK125/100</f>
        <v>#VALUE!</v>
      </c>
      <c r="Z125" s="105" t="e">
        <f t="shared" si="15"/>
        <v>#VALUE!</v>
      </c>
      <c r="AA125" s="51">
        <f>AM34</f>
        <v>0.30242018294326134</v>
      </c>
      <c r="AB125">
        <f t="shared" ref="AB125" si="21">AM12</f>
        <v>165.64000584608323</v>
      </c>
      <c r="AC125">
        <f>(AB125/1000)*'Soil samples'!AR125/100</f>
        <v>9.8377583218964768E-3</v>
      </c>
      <c r="AD125" s="6">
        <f t="shared" si="18"/>
        <v>9.8377583218964766</v>
      </c>
      <c r="AE125" s="6"/>
      <c r="AF125" s="6"/>
      <c r="AG125" s="6"/>
      <c r="AH125" s="6"/>
      <c r="AO125" t="e">
        <f>IF(S125&lt;'Olsen P ref'!$K$72,1,0)</f>
        <v>#VALUE!</v>
      </c>
    </row>
    <row r="126" spans="1:41">
      <c r="A126" s="6" t="s">
        <v>129</v>
      </c>
      <c r="B126" s="6" t="s">
        <v>198</v>
      </c>
      <c r="C126" t="s">
        <v>12</v>
      </c>
      <c r="D126" s="8">
        <v>4</v>
      </c>
      <c r="E126" s="3">
        <v>10</v>
      </c>
      <c r="F126" s="26">
        <v>42823</v>
      </c>
      <c r="G126" s="94">
        <v>1</v>
      </c>
      <c r="H126" s="3" t="s">
        <v>722</v>
      </c>
      <c r="I126">
        <v>6</v>
      </c>
      <c r="J126">
        <v>5</v>
      </c>
      <c r="K126"/>
      <c r="L126" s="44">
        <v>2.5</v>
      </c>
      <c r="M126">
        <v>0.37684531295346801</v>
      </c>
      <c r="N126">
        <v>0.27100000000000002</v>
      </c>
      <c r="O126">
        <f t="shared" si="20"/>
        <v>0.75369062590693603</v>
      </c>
      <c r="Q126" s="51">
        <f>'Olsen P ref'!$B$76*'Soil samples'!AI126%</f>
        <v>2.4951076320939327</v>
      </c>
      <c r="R126" s="105">
        <f>'Olsen P ref'!$B$76*'Soil samples'!AH126%</f>
        <v>2.5048923679060668</v>
      </c>
      <c r="S126" s="51">
        <f>IF(O126-'Olsen P ref'!$K$68&gt;0,O126-'Olsen P ref'!$K$68,0)</f>
        <v>0.55433079530661533</v>
      </c>
      <c r="T126" s="8">
        <f t="shared" si="12"/>
        <v>5.5433079530661528E-4</v>
      </c>
      <c r="U126" s="8">
        <f t="shared" si="13"/>
        <v>5.5433079530661528E-3</v>
      </c>
      <c r="V126">
        <f>U126*('Olsen P ref'!$B$75+Q126)</f>
        <v>0.56816194528735764</v>
      </c>
      <c r="W126">
        <f t="shared" si="19"/>
        <v>0.22682090159518728</v>
      </c>
      <c r="X126" s="8">
        <f t="shared" si="14"/>
        <v>226.82090159518728</v>
      </c>
      <c r="Y126" s="51">
        <f>W126*'Soil samples'!AK126/100</f>
        <v>5.9884269033287481E-2</v>
      </c>
      <c r="Z126" s="105">
        <f t="shared" si="15"/>
        <v>59.884269033287474</v>
      </c>
      <c r="AA126" s="51">
        <f t="shared" si="16"/>
        <v>0.55433079530661533</v>
      </c>
      <c r="AB126">
        <f t="shared" si="17"/>
        <v>226.82090159518728</v>
      </c>
      <c r="AC126">
        <f>(AB126/1000)*'Soil samples'!AR126/100</f>
        <v>5.9884269033287481E-2</v>
      </c>
      <c r="AD126" s="6">
        <f t="shared" si="18"/>
        <v>59.884269033287474</v>
      </c>
      <c r="AE126" s="135"/>
      <c r="AF126" s="6"/>
      <c r="AG126" s="6"/>
      <c r="AH126" s="6"/>
      <c r="AO126">
        <f>IF(S126&lt;'Olsen P ref'!$K$72,1,0)</f>
        <v>0</v>
      </c>
    </row>
    <row r="127" spans="1:41">
      <c r="A127" s="6" t="s">
        <v>130</v>
      </c>
      <c r="B127" s="6" t="s">
        <v>198</v>
      </c>
      <c r="C127" t="s">
        <v>12</v>
      </c>
      <c r="D127" s="8">
        <v>4</v>
      </c>
      <c r="E127" s="3">
        <v>20</v>
      </c>
      <c r="F127" s="26">
        <v>42823</v>
      </c>
      <c r="G127" s="94">
        <v>1</v>
      </c>
      <c r="I127">
        <v>3</v>
      </c>
      <c r="J127">
        <v>20</v>
      </c>
      <c r="K127"/>
      <c r="L127" s="44">
        <v>2.5</v>
      </c>
      <c r="M127">
        <v>0.82966903073286102</v>
      </c>
      <c r="N127">
        <v>0.59</v>
      </c>
      <c r="O127">
        <f t="shared" si="20"/>
        <v>1.6593380614657223</v>
      </c>
      <c r="Q127" s="51">
        <f>'Olsen P ref'!$B$76*'Soil samples'!AI127%</f>
        <v>2.405007927395987</v>
      </c>
      <c r="R127" s="105">
        <f>'Olsen P ref'!$B$76*'Soil samples'!AH127%</f>
        <v>2.594992072604013</v>
      </c>
      <c r="S127" s="51">
        <f>IF(O127-'Olsen P ref'!$K$68&gt;0,O127-'Olsen P ref'!$K$68,0)</f>
        <v>1.4599782308654017</v>
      </c>
      <c r="T127" s="8">
        <f t="shared" si="12"/>
        <v>1.4599782308654017E-3</v>
      </c>
      <c r="U127" s="8">
        <f t="shared" si="13"/>
        <v>1.4599782308654016E-2</v>
      </c>
      <c r="V127">
        <f>U127*('Olsen P ref'!$B$75+Q127)</f>
        <v>1.4950908230559701</v>
      </c>
      <c r="W127">
        <f t="shared" si="19"/>
        <v>0.57614465910706303</v>
      </c>
      <c r="X127" s="8">
        <f t="shared" si="14"/>
        <v>576.14465910706303</v>
      </c>
      <c r="Y127" s="51">
        <f>W127*'Soil samples'!AK127/100</f>
        <v>0.23006457585185269</v>
      </c>
      <c r="Z127" s="105">
        <f t="shared" si="15"/>
        <v>230.06457585185268</v>
      </c>
      <c r="AA127" s="51">
        <f t="shared" si="16"/>
        <v>1.4599782308654017</v>
      </c>
      <c r="AB127">
        <f t="shared" si="17"/>
        <v>576.14465910706303</v>
      </c>
      <c r="AC127">
        <f>(AB127/1000)*'Soil samples'!AR127/100</f>
        <v>0.23006457585185269</v>
      </c>
      <c r="AD127" s="6">
        <f t="shared" si="18"/>
        <v>230.06457585185268</v>
      </c>
      <c r="AE127" s="135"/>
      <c r="AF127" s="6"/>
      <c r="AG127" s="6"/>
      <c r="AH127" s="6"/>
      <c r="AO127">
        <f>IF(S127&lt;'Olsen P ref'!$K$72,1,0)</f>
        <v>0</v>
      </c>
    </row>
    <row r="128" spans="1:41">
      <c r="A128" s="6" t="s">
        <v>131</v>
      </c>
      <c r="B128" s="6" t="s">
        <v>198</v>
      </c>
      <c r="C128" t="s">
        <v>12</v>
      </c>
      <c r="D128" s="8">
        <v>4</v>
      </c>
      <c r="E128" s="3">
        <v>30</v>
      </c>
      <c r="F128" s="26">
        <v>42823</v>
      </c>
      <c r="G128" s="94">
        <v>1</v>
      </c>
      <c r="H128" s="3" t="s">
        <v>721</v>
      </c>
      <c r="I128">
        <v>3</v>
      </c>
      <c r="J128">
        <v>3</v>
      </c>
      <c r="K128"/>
      <c r="L128" s="44">
        <v>2.5</v>
      </c>
      <c r="M128">
        <v>0.76361119207228201</v>
      </c>
      <c r="N128">
        <v>0.54300000000000004</v>
      </c>
      <c r="O128">
        <f t="shared" si="20"/>
        <v>1.527222384144564</v>
      </c>
      <c r="Q128" s="51">
        <f>'Olsen P ref'!$B$76*'Soil samples'!AI128%</f>
        <v>2.153156206815634</v>
      </c>
      <c r="R128" s="105">
        <f>'Olsen P ref'!$B$76*'Soil samples'!AH128%</f>
        <v>2.846843793184366</v>
      </c>
      <c r="S128" s="51">
        <f>IF(O128-'Olsen P ref'!$K$68&gt;0,O128-'Olsen P ref'!$K$68,0)</f>
        <v>1.3278625535442434</v>
      </c>
      <c r="T128" s="8">
        <f t="shared" si="12"/>
        <v>1.3278625535442434E-3</v>
      </c>
      <c r="U128" s="8">
        <f t="shared" si="13"/>
        <v>1.3278625535442434E-2</v>
      </c>
      <c r="V128">
        <f>U128*('Olsen P ref'!$B$75+Q128)</f>
        <v>1.3564535085338618</v>
      </c>
      <c r="W128">
        <f t="shared" si="19"/>
        <v>0.47647626883545552</v>
      </c>
      <c r="X128" s="8">
        <f t="shared" si="14"/>
        <v>476.47626883545553</v>
      </c>
      <c r="Y128" s="51">
        <f>W128*'Soil samples'!AK128/100</f>
        <v>0.22625644522344809</v>
      </c>
      <c r="Z128" s="105">
        <f t="shared" si="15"/>
        <v>226.25644522344811</v>
      </c>
      <c r="AA128" s="51">
        <f t="shared" si="16"/>
        <v>1.3278625535442434</v>
      </c>
      <c r="AB128">
        <f t="shared" si="17"/>
        <v>476.47626883545553</v>
      </c>
      <c r="AC128">
        <f>(AB128/1000)*'Soil samples'!AR128/100</f>
        <v>0.22625644522344809</v>
      </c>
      <c r="AD128" s="6">
        <f t="shared" si="18"/>
        <v>226.25644522344811</v>
      </c>
      <c r="AE128" s="135"/>
      <c r="AF128" s="6"/>
      <c r="AG128" s="6"/>
      <c r="AH128" s="6"/>
      <c r="AO128">
        <f>IF(S128&lt;'Olsen P ref'!$K$72,1,0)</f>
        <v>0</v>
      </c>
    </row>
    <row r="129" spans="1:47">
      <c r="A129" s="206" t="s">
        <v>132</v>
      </c>
      <c r="B129" s="6" t="s">
        <v>198</v>
      </c>
      <c r="C129" t="s">
        <v>12</v>
      </c>
      <c r="D129" s="8">
        <v>5</v>
      </c>
      <c r="E129" s="3">
        <v>5</v>
      </c>
      <c r="F129" s="8" t="s">
        <v>469</v>
      </c>
      <c r="G129" s="8" t="s">
        <v>469</v>
      </c>
      <c r="H129" s="8" t="s">
        <v>469</v>
      </c>
      <c r="I129" s="8" t="s">
        <v>469</v>
      </c>
      <c r="J129" s="8" t="s">
        <v>469</v>
      </c>
      <c r="K129" s="8" t="s">
        <v>469</v>
      </c>
      <c r="L129" s="36" t="s">
        <v>469</v>
      </c>
      <c r="M129" s="8" t="s">
        <v>469</v>
      </c>
      <c r="N129" s="8" t="s">
        <v>469</v>
      </c>
      <c r="O129" t="e">
        <f t="shared" si="20"/>
        <v>#VALUE!</v>
      </c>
      <c r="P129" s="8" t="s">
        <v>469</v>
      </c>
      <c r="Q129" s="51">
        <f>'Olsen P ref'!$B$76*'Soil samples'!AI129%</f>
        <v>1.9552738287165954</v>
      </c>
      <c r="R129" s="105">
        <f>'Olsen P ref'!$B$76*'Soil samples'!AH129%</f>
        <v>3.0447261712834046</v>
      </c>
      <c r="S129" s="51" t="e">
        <f>IF(O129-'Olsen P ref'!$K$68&gt;0,O129-'Olsen P ref'!$K$68,0)</f>
        <v>#VALUE!</v>
      </c>
      <c r="T129" s="8" t="e">
        <f t="shared" si="12"/>
        <v>#VALUE!</v>
      </c>
      <c r="U129" s="8" t="e">
        <f t="shared" si="13"/>
        <v>#VALUE!</v>
      </c>
      <c r="V129" t="e">
        <f>U129*('Olsen P ref'!$B$75+Q129)</f>
        <v>#VALUE!</v>
      </c>
      <c r="W129" t="e">
        <f t="shared" si="19"/>
        <v>#VALUE!</v>
      </c>
      <c r="X129" s="8" t="e">
        <f t="shared" si="14"/>
        <v>#VALUE!</v>
      </c>
      <c r="Y129" s="51" t="e">
        <f>W129*'Soil samples'!AK129/100</f>
        <v>#VALUE!</v>
      </c>
      <c r="Z129" s="105" t="e">
        <f t="shared" si="15"/>
        <v>#VALUE!</v>
      </c>
      <c r="AA129" s="51">
        <f>AM35</f>
        <v>0.30242018294326134</v>
      </c>
      <c r="AB129">
        <f>AM13</f>
        <v>165.64000584608323</v>
      </c>
      <c r="AC129">
        <f>(AB129/1000)*'Soil samples'!AR129/100</f>
        <v>7.0807715897879646E-3</v>
      </c>
      <c r="AD129" s="6">
        <f t="shared" si="18"/>
        <v>7.0807715897879646</v>
      </c>
      <c r="AE129" s="6"/>
      <c r="AF129" s="6"/>
      <c r="AG129" s="6"/>
      <c r="AH129" s="6"/>
      <c r="AO129" t="e">
        <f>IF(S129&lt;'Olsen P ref'!$K$72,1,0)</f>
        <v>#VALUE!</v>
      </c>
    </row>
    <row r="130" spans="1:47">
      <c r="A130" s="6" t="s">
        <v>133</v>
      </c>
      <c r="B130" s="6" t="s">
        <v>198</v>
      </c>
      <c r="C130" t="s">
        <v>12</v>
      </c>
      <c r="D130" s="8">
        <v>5</v>
      </c>
      <c r="E130" s="3">
        <v>10</v>
      </c>
      <c r="F130" s="26">
        <v>42767</v>
      </c>
      <c r="G130" s="94">
        <v>1</v>
      </c>
      <c r="I130">
        <v>7</v>
      </c>
      <c r="J130">
        <v>12</v>
      </c>
      <c r="K130"/>
      <c r="L130" s="44">
        <v>2.5</v>
      </c>
      <c r="M130">
        <v>0.61895940150269302</v>
      </c>
      <c r="N130">
        <v>0.44400000000000001</v>
      </c>
      <c r="O130">
        <f t="shared" si="20"/>
        <v>1.237918803005386</v>
      </c>
      <c r="Q130" s="51">
        <f>'Olsen P ref'!$B$76*'Soil samples'!AI130%</f>
        <v>1.1638546454938017</v>
      </c>
      <c r="R130" s="105">
        <f>'Olsen P ref'!$B$76*'Soil samples'!AH130%</f>
        <v>3.8361453545061988</v>
      </c>
      <c r="S130" s="51">
        <f>IF(O130-'Olsen P ref'!$K$68&gt;0,O130-'Olsen P ref'!$K$68,0)</f>
        <v>1.0385589724050655</v>
      </c>
      <c r="T130" s="8">
        <f t="shared" si="12"/>
        <v>1.0385589724050655E-3</v>
      </c>
      <c r="U130" s="8">
        <f t="shared" si="13"/>
        <v>1.0385589724050655E-2</v>
      </c>
      <c r="V130">
        <f>U130*('Olsen P ref'!$B$75+Q130)</f>
        <v>1.0506462892515946</v>
      </c>
      <c r="W130">
        <f t="shared" si="19"/>
        <v>0.27388072978450456</v>
      </c>
      <c r="X130" s="8">
        <f t="shared" si="14"/>
        <v>273.88072978450458</v>
      </c>
      <c r="Y130" s="51">
        <f>W130*'Soil samples'!AK130/100</f>
        <v>0.10119825058071363</v>
      </c>
      <c r="Z130" s="105">
        <f t="shared" si="15"/>
        <v>101.19825058071363</v>
      </c>
      <c r="AA130" s="51">
        <f t="shared" si="16"/>
        <v>1.0385589724050655</v>
      </c>
      <c r="AB130">
        <f t="shared" si="17"/>
        <v>273.88072978450458</v>
      </c>
      <c r="AC130">
        <f>(AB130/1000)*'Soil samples'!AR130/100</f>
        <v>0.10119825058071363</v>
      </c>
      <c r="AD130" s="6">
        <f t="shared" si="18"/>
        <v>101.19825058071363</v>
      </c>
      <c r="AE130" s="135"/>
      <c r="AF130" s="6"/>
      <c r="AG130" s="6"/>
      <c r="AH130" s="6"/>
      <c r="AO130">
        <f>IF(S130&lt;'Olsen P ref'!$K$72,1,0)</f>
        <v>0</v>
      </c>
    </row>
    <row r="131" spans="1:47">
      <c r="A131" s="6" t="s">
        <v>134</v>
      </c>
      <c r="B131" s="6" t="s">
        <v>198</v>
      </c>
      <c r="C131" t="s">
        <v>12</v>
      </c>
      <c r="D131" s="8">
        <v>5</v>
      </c>
      <c r="E131" s="3">
        <v>20</v>
      </c>
      <c r="F131" s="26">
        <v>42767</v>
      </c>
      <c r="G131" s="94">
        <v>1</v>
      </c>
      <c r="I131">
        <v>12</v>
      </c>
      <c r="J131">
        <v>11</v>
      </c>
      <c r="K131"/>
      <c r="L131" s="44">
        <v>2.5</v>
      </c>
      <c r="M131">
        <v>0.72554524066891302</v>
      </c>
      <c r="N131">
        <v>0.52400000000000002</v>
      </c>
      <c r="O131">
        <f t="shared" si="20"/>
        <v>1.4510904813378263</v>
      </c>
      <c r="Q131" s="51">
        <f>'Olsen P ref'!$B$76*'Soil samples'!AI131%</f>
        <v>1.0691500246770915</v>
      </c>
      <c r="R131" s="105">
        <f>'Olsen P ref'!$B$76*'Soil samples'!AH131%</f>
        <v>3.9308499753229089</v>
      </c>
      <c r="S131" s="51">
        <f>IF(O131-'Olsen P ref'!$K$68&gt;0,O131-'Olsen P ref'!$K$68,0)</f>
        <v>1.2517306507375057</v>
      </c>
      <c r="T131" s="8">
        <f t="shared" si="12"/>
        <v>1.2517306507375057E-3</v>
      </c>
      <c r="U131" s="8">
        <f t="shared" si="13"/>
        <v>1.2517306507375056E-2</v>
      </c>
      <c r="V131">
        <f>U131*('Olsen P ref'!$B$75+Q131)</f>
        <v>1.2651135292987563</v>
      </c>
      <c r="W131">
        <f t="shared" si="19"/>
        <v>0.32184223189409067</v>
      </c>
      <c r="X131" s="8">
        <f t="shared" si="14"/>
        <v>321.84223189409067</v>
      </c>
      <c r="Y131" s="51">
        <f>W131*'Soil samples'!AK131/100</f>
        <v>0.15100395085709956</v>
      </c>
      <c r="Z131" s="105">
        <f t="shared" si="15"/>
        <v>151.00395085709954</v>
      </c>
      <c r="AA131" s="51">
        <f t="shared" si="16"/>
        <v>1.2517306507375057</v>
      </c>
      <c r="AB131">
        <f t="shared" si="17"/>
        <v>321.84223189409067</v>
      </c>
      <c r="AC131">
        <f>(AB131/1000)*'Soil samples'!AR131/100</f>
        <v>0.15100395085709956</v>
      </c>
      <c r="AD131" s="6">
        <f t="shared" si="18"/>
        <v>151.00395085709954</v>
      </c>
      <c r="AE131" s="135"/>
      <c r="AF131" s="6"/>
      <c r="AG131" s="6"/>
      <c r="AH131" s="6"/>
      <c r="AO131">
        <f>IF(S131&lt;'Olsen P ref'!$K$72,1,0)</f>
        <v>0</v>
      </c>
    </row>
    <row r="132" spans="1:47">
      <c r="A132" s="206" t="s">
        <v>135</v>
      </c>
      <c r="B132" s="6" t="s">
        <v>198</v>
      </c>
      <c r="C132" t="s">
        <v>12</v>
      </c>
      <c r="D132" s="8">
        <v>6</v>
      </c>
      <c r="E132" s="3">
        <v>5</v>
      </c>
      <c r="F132" s="8" t="s">
        <v>469</v>
      </c>
      <c r="G132" s="8" t="s">
        <v>469</v>
      </c>
      <c r="H132" s="8" t="s">
        <v>469</v>
      </c>
      <c r="I132" s="8" t="s">
        <v>469</v>
      </c>
      <c r="J132" s="8" t="s">
        <v>469</v>
      </c>
      <c r="K132" s="8" t="s">
        <v>469</v>
      </c>
      <c r="L132" s="36" t="s">
        <v>469</v>
      </c>
      <c r="M132" s="8" t="s">
        <v>469</v>
      </c>
      <c r="N132" s="8" t="s">
        <v>469</v>
      </c>
      <c r="O132" t="e">
        <f t="shared" si="20"/>
        <v>#VALUE!</v>
      </c>
      <c r="P132" s="8" t="s">
        <v>469</v>
      </c>
      <c r="Q132" s="51" t="e">
        <f>'Olsen P ref'!$B$76*'Soil samples'!AI132%</f>
        <v>#VALUE!</v>
      </c>
      <c r="R132" s="105" t="e">
        <f>'Olsen P ref'!$B$76*'Soil samples'!AH132%</f>
        <v>#VALUE!</v>
      </c>
      <c r="S132" s="51" t="e">
        <f>IF(O132-'Olsen P ref'!$K$68&gt;0,O132-'Olsen P ref'!$K$68,0)</f>
        <v>#VALUE!</v>
      </c>
      <c r="T132" s="8" t="e">
        <f t="shared" si="12"/>
        <v>#VALUE!</v>
      </c>
      <c r="U132" s="8" t="e">
        <f t="shared" si="13"/>
        <v>#VALUE!</v>
      </c>
      <c r="V132" t="e">
        <f>U132*('Olsen P ref'!$B$75+Q132)</f>
        <v>#VALUE!</v>
      </c>
      <c r="W132" t="e">
        <f t="shared" si="19"/>
        <v>#VALUE!</v>
      </c>
      <c r="X132" s="8" t="e">
        <f t="shared" si="14"/>
        <v>#VALUE!</v>
      </c>
      <c r="Y132" s="51" t="e">
        <f>W132*'Soil samples'!AK132/100</f>
        <v>#VALUE!</v>
      </c>
      <c r="Z132" s="105" t="e">
        <f t="shared" si="15"/>
        <v>#VALUE!</v>
      </c>
      <c r="AA132" s="51">
        <f>AM36</f>
        <v>0.30242018294326134</v>
      </c>
      <c r="AB132">
        <f>AM14</f>
        <v>165.64000584608323</v>
      </c>
      <c r="AC132">
        <f>(AB132/1000)*'Soil samples'!AR132/100</f>
        <v>8.1458375880210585E-3</v>
      </c>
      <c r="AD132" s="6">
        <f t="shared" si="18"/>
        <v>8.1458375880210596</v>
      </c>
      <c r="AE132" s="6"/>
      <c r="AF132" s="6"/>
      <c r="AG132" s="6"/>
      <c r="AH132" s="6"/>
      <c r="AO132" t="e">
        <f>IF(S132&lt;'Olsen P ref'!$K$72,1,0)</f>
        <v>#VALUE!</v>
      </c>
    </row>
    <row r="133" spans="1:47">
      <c r="A133" s="6" t="s">
        <v>136</v>
      </c>
      <c r="B133" s="6" t="s">
        <v>198</v>
      </c>
      <c r="C133" t="s">
        <v>12</v>
      </c>
      <c r="D133" s="8">
        <v>6</v>
      </c>
      <c r="E133" s="3">
        <v>10</v>
      </c>
      <c r="F133" s="26">
        <v>42753</v>
      </c>
      <c r="G133" s="94">
        <v>2</v>
      </c>
      <c r="I133">
        <v>11</v>
      </c>
      <c r="J133">
        <v>14</v>
      </c>
      <c r="K133"/>
      <c r="L133" s="44">
        <v>2.5</v>
      </c>
      <c r="M133">
        <v>0.47856234501176298</v>
      </c>
      <c r="N133">
        <v>0.34499999999999997</v>
      </c>
      <c r="O133">
        <f t="shared" si="20"/>
        <v>0.95712469002352596</v>
      </c>
      <c r="Q133" s="51">
        <f>'Olsen P ref'!$B$76*'Soil samples'!AI133%</f>
        <v>1.8481796517594669</v>
      </c>
      <c r="R133" s="105">
        <f>'Olsen P ref'!$B$76*'Soil samples'!AH133%</f>
        <v>3.1518203482405331</v>
      </c>
      <c r="S133" s="51">
        <f>IF(O133-'Olsen P ref'!$K$68&gt;0,O133-'Olsen P ref'!$K$68,0)</f>
        <v>0.75776485942320526</v>
      </c>
      <c r="T133" s="8">
        <f t="shared" ref="T133:T192" si="22">S133/1000</f>
        <v>7.5776485942320531E-4</v>
      </c>
      <c r="U133" s="8">
        <f t="shared" ref="U133:U192" si="23">(T133*50)/5</f>
        <v>7.5776485942320535E-3</v>
      </c>
      <c r="V133">
        <f>U133*('Olsen P ref'!$B$75+Q133)</f>
        <v>0.77176971536324879</v>
      </c>
      <c r="W133">
        <f t="shared" si="19"/>
        <v>0.24486475436142172</v>
      </c>
      <c r="X133" s="8">
        <f t="shared" ref="X133:X192" si="24">W133*1000</f>
        <v>244.86475436142172</v>
      </c>
      <c r="Y133" s="51">
        <f>W133*'Soil samples'!AK133/100</f>
        <v>7.3842926365955602E-2</v>
      </c>
      <c r="Z133" s="105">
        <f t="shared" ref="Z133:Z192" si="25">Y133*1000000/1000</f>
        <v>73.842926365955606</v>
      </c>
      <c r="AA133" s="51">
        <f t="shared" ref="AA133:AA192" si="26">S133</f>
        <v>0.75776485942320526</v>
      </c>
      <c r="AB133">
        <f t="shared" ref="AB133:AB192" si="27">X133</f>
        <v>244.86475436142172</v>
      </c>
      <c r="AC133">
        <f>(AB133/1000)*'Soil samples'!AR133/100</f>
        <v>7.3842926365955602E-2</v>
      </c>
      <c r="AD133" s="6">
        <f t="shared" ref="AD133:AD192" si="28">AC133*1000000/1000</f>
        <v>73.842926365955606</v>
      </c>
      <c r="AE133" s="135"/>
      <c r="AF133" s="6"/>
      <c r="AG133" s="6"/>
      <c r="AH133" s="6"/>
      <c r="AO133">
        <f>IF(S133&lt;'Olsen P ref'!$K$72,1,0)</f>
        <v>0</v>
      </c>
    </row>
    <row r="134" spans="1:47">
      <c r="A134" s="6" t="s">
        <v>137</v>
      </c>
      <c r="B134" s="6" t="s">
        <v>198</v>
      </c>
      <c r="C134" t="s">
        <v>12</v>
      </c>
      <c r="D134" s="8">
        <v>6</v>
      </c>
      <c r="E134" s="3">
        <v>20</v>
      </c>
      <c r="F134" s="26">
        <v>42753</v>
      </c>
      <c r="G134" s="94">
        <v>3</v>
      </c>
      <c r="I134">
        <v>7</v>
      </c>
      <c r="J134">
        <v>5</v>
      </c>
      <c r="K134"/>
      <c r="L134" s="44">
        <v>2.5</v>
      </c>
      <c r="M134">
        <v>0.61056238109058103</v>
      </c>
      <c r="N134">
        <v>0.438</v>
      </c>
      <c r="O134">
        <f t="shared" si="20"/>
        <v>1.2211247621811621</v>
      </c>
      <c r="Q134" s="51">
        <f>'Olsen P ref'!$B$76*'Soil samples'!AI134%</f>
        <v>2.1266414283393931</v>
      </c>
      <c r="R134" s="105">
        <f>'Olsen P ref'!$B$76*'Soil samples'!AH134%</f>
        <v>2.8733585716606069</v>
      </c>
      <c r="S134" s="51">
        <f>IF(O134-'Olsen P ref'!$K$68&gt;0,O134-'Olsen P ref'!$K$68,0)</f>
        <v>1.0217649315808415</v>
      </c>
      <c r="T134" s="8">
        <f t="shared" si="22"/>
        <v>1.0217649315808414E-3</v>
      </c>
      <c r="U134" s="8">
        <f t="shared" si="23"/>
        <v>1.0217649315808413E-2</v>
      </c>
      <c r="V134">
        <f>U134*('Olsen P ref'!$B$75+Q134)</f>
        <v>1.0434942079160832</v>
      </c>
      <c r="W134">
        <f t="shared" si="19"/>
        <v>0.36316184767465831</v>
      </c>
      <c r="X134" s="8">
        <f t="shared" si="24"/>
        <v>363.1618476746583</v>
      </c>
      <c r="Y134" s="51">
        <f>W134*'Soil samples'!AK134/100</f>
        <v>0.12701411498754567</v>
      </c>
      <c r="Z134" s="105">
        <f t="shared" si="25"/>
        <v>127.01411498754567</v>
      </c>
      <c r="AA134" s="51">
        <f t="shared" si="26"/>
        <v>1.0217649315808415</v>
      </c>
      <c r="AB134">
        <f t="shared" si="27"/>
        <v>363.1618476746583</v>
      </c>
      <c r="AC134">
        <f>(AB134/1000)*'Soil samples'!AR134/100</f>
        <v>0.12701411498754567</v>
      </c>
      <c r="AD134" s="6">
        <f t="shared" si="28"/>
        <v>127.01411498754567</v>
      </c>
      <c r="AE134" s="135"/>
      <c r="AF134" s="6"/>
      <c r="AG134" s="6"/>
      <c r="AH134" s="6"/>
      <c r="AO134">
        <f>IF(S134&lt;'Olsen P ref'!$K$72,1,0)</f>
        <v>0</v>
      </c>
    </row>
    <row r="135" spans="1:47">
      <c r="A135" s="6" t="s">
        <v>138</v>
      </c>
      <c r="B135" s="6" t="s">
        <v>198</v>
      </c>
      <c r="C135" t="s">
        <v>12</v>
      </c>
      <c r="D135" s="8">
        <v>6</v>
      </c>
      <c r="E135" s="3">
        <v>30</v>
      </c>
      <c r="F135" s="26">
        <v>42753</v>
      </c>
      <c r="G135" s="94">
        <v>3</v>
      </c>
      <c r="I135">
        <v>10</v>
      </c>
      <c r="J135">
        <v>2</v>
      </c>
      <c r="K135"/>
      <c r="L135" s="44">
        <v>2.5</v>
      </c>
      <c r="M135">
        <v>0.55031156609652199</v>
      </c>
      <c r="N135">
        <v>0.39700000000000002</v>
      </c>
      <c r="O135">
        <f t="shared" si="20"/>
        <v>1.100623132193044</v>
      </c>
      <c r="Q135" s="51">
        <f>'Olsen P ref'!$B$76*'Soil samples'!AI135%</f>
        <v>1.7378472985046209</v>
      </c>
      <c r="R135" s="105">
        <f>'Olsen P ref'!$B$76*'Soil samples'!AH135%</f>
        <v>3.2621527014953795</v>
      </c>
      <c r="S135" s="51">
        <f>IF(O135-'Olsen P ref'!$K$68&gt;0,O135-'Olsen P ref'!$K$68,0)</f>
        <v>0.90126330159272328</v>
      </c>
      <c r="T135" s="8">
        <f t="shared" si="22"/>
        <v>9.0126330159272326E-4</v>
      </c>
      <c r="U135" s="8">
        <f t="shared" si="23"/>
        <v>9.0126330159272326E-3</v>
      </c>
      <c r="V135">
        <f>U135*('Olsen P ref'!$B$75+Q135)</f>
        <v>0.91692588153186594</v>
      </c>
      <c r="W135">
        <f t="shared" si="19"/>
        <v>0.28108000005994344</v>
      </c>
      <c r="X135" s="8">
        <f t="shared" si="24"/>
        <v>281.08000005994342</v>
      </c>
      <c r="Y135" s="51">
        <f>W135*'Soil samples'!AK135/100</f>
        <v>0.1107096309361575</v>
      </c>
      <c r="Z135" s="105">
        <f t="shared" si="25"/>
        <v>110.7096309361575</v>
      </c>
      <c r="AA135" s="51">
        <f t="shared" si="26"/>
        <v>0.90126330159272328</v>
      </c>
      <c r="AB135">
        <f t="shared" si="27"/>
        <v>281.08000005994342</v>
      </c>
      <c r="AC135">
        <f>(AB135/1000)*'Soil samples'!AR135/100</f>
        <v>0.1107096309361575</v>
      </c>
      <c r="AD135" s="6">
        <f t="shared" si="28"/>
        <v>110.7096309361575</v>
      </c>
      <c r="AE135" s="135"/>
      <c r="AF135" s="6"/>
      <c r="AG135" s="6"/>
      <c r="AH135" s="6"/>
      <c r="AO135">
        <f>IF(S135&lt;'Olsen P ref'!$K$72,1,0)</f>
        <v>0</v>
      </c>
    </row>
    <row r="136" spans="1:47" s="110" customFormat="1">
      <c r="A136" s="111" t="s">
        <v>139</v>
      </c>
      <c r="B136" s="111" t="s">
        <v>198</v>
      </c>
      <c r="C136" s="110" t="s">
        <v>13</v>
      </c>
      <c r="D136" s="111">
        <v>1</v>
      </c>
      <c r="E136" s="112">
        <v>5</v>
      </c>
      <c r="F136" s="113">
        <v>42823</v>
      </c>
      <c r="G136" s="114">
        <v>1</v>
      </c>
      <c r="H136" s="112"/>
      <c r="I136" s="110">
        <v>3</v>
      </c>
      <c r="J136" s="110">
        <v>15</v>
      </c>
      <c r="L136" s="115">
        <v>5</v>
      </c>
      <c r="M136" s="116">
        <v>0.47689206256679295</v>
      </c>
      <c r="N136" s="117">
        <v>0.33900000000000002</v>
      </c>
      <c r="O136">
        <f t="shared" si="20"/>
        <v>0.47689206256679295</v>
      </c>
      <c r="P136" s="112"/>
      <c r="Q136" s="51">
        <f>'Olsen P ref'!$B$76*'Soil samples'!AI136%</f>
        <v>3.2963350785340313</v>
      </c>
      <c r="R136" s="105">
        <f>'Olsen P ref'!$B$76*'Soil samples'!AH136%</f>
        <v>1.7036649214659685</v>
      </c>
      <c r="S136" s="51">
        <f>IF(O136-'Olsen P ref'!$K$68&gt;0,O136-'Olsen P ref'!$K$68,0)</f>
        <v>0.27753223196647225</v>
      </c>
      <c r="T136" s="8">
        <f t="shared" si="22"/>
        <v>2.7753223196647227E-4</v>
      </c>
      <c r="U136" s="8">
        <f t="shared" si="23"/>
        <v>2.7753223196647228E-3</v>
      </c>
      <c r="V136">
        <f>U136*('Olsen P ref'!$B$75+Q136)</f>
        <v>0.28668062428302155</v>
      </c>
      <c r="W136">
        <f t="shared" ref="W136:W192" si="29">V136/R136</f>
        <v>0.16827289255702862</v>
      </c>
      <c r="X136" s="8">
        <f t="shared" si="24"/>
        <v>168.27289255702863</v>
      </c>
      <c r="Y136" s="51">
        <f>W136*'Soil samples'!AK136/100</f>
        <v>1.1432823296406897E-2</v>
      </c>
      <c r="Z136" s="105">
        <f t="shared" si="25"/>
        <v>11.432823296406898</v>
      </c>
      <c r="AA136" s="51">
        <f t="shared" si="26"/>
        <v>0.27753223196647225</v>
      </c>
      <c r="AB136">
        <f t="shared" si="27"/>
        <v>168.27289255702863</v>
      </c>
      <c r="AC136">
        <f>(AB136/1000)*'Soil samples'!AR136/100</f>
        <v>1.1432823296406897E-2</v>
      </c>
      <c r="AD136" s="6">
        <f t="shared" si="28"/>
        <v>11.432823296406898</v>
      </c>
      <c r="AE136" s="135"/>
      <c r="AF136" s="6"/>
      <c r="AG136" s="6"/>
      <c r="AH136" s="6"/>
      <c r="AJ136" s="6"/>
      <c r="AK136" s="6"/>
      <c r="AL136" s="59"/>
      <c r="AM136" s="6"/>
      <c r="AN136" s="59"/>
      <c r="AO136">
        <f>IF(S136&lt;'Olsen P ref'!$K$72,1,0)</f>
        <v>0</v>
      </c>
      <c r="AP136" s="59"/>
      <c r="AQ136" s="59"/>
      <c r="AR136"/>
      <c r="AS136"/>
      <c r="AT136"/>
      <c r="AU136" s="6"/>
    </row>
    <row r="137" spans="1:47">
      <c r="A137" s="6" t="s">
        <v>140</v>
      </c>
      <c r="B137" s="6" t="s">
        <v>198</v>
      </c>
      <c r="C137" t="s">
        <v>13</v>
      </c>
      <c r="D137" s="8">
        <v>1</v>
      </c>
      <c r="E137" s="3">
        <v>10</v>
      </c>
      <c r="F137" s="26">
        <v>42823</v>
      </c>
      <c r="G137" s="94">
        <v>1</v>
      </c>
      <c r="I137">
        <v>3</v>
      </c>
      <c r="J137">
        <v>9</v>
      </c>
      <c r="K137"/>
      <c r="L137" s="44">
        <v>5</v>
      </c>
      <c r="M137">
        <v>0.51202921079050501</v>
      </c>
      <c r="N137">
        <v>0.36399999999999999</v>
      </c>
      <c r="O137">
        <f t="shared" si="20"/>
        <v>0.51202921079050501</v>
      </c>
      <c r="Q137" s="51">
        <f>'Olsen P ref'!$B$76*'Soil samples'!AI137%</f>
        <v>3.1120165512582334</v>
      </c>
      <c r="R137" s="105">
        <f>'Olsen P ref'!$B$76*'Soil samples'!AH137%</f>
        <v>1.8879834487417668</v>
      </c>
      <c r="S137" s="51">
        <f>IF(O137-'Olsen P ref'!$K$68&gt;0,O137-'Olsen P ref'!$K$68,0)</f>
        <v>0.31266938019018431</v>
      </c>
      <c r="T137" s="8">
        <f t="shared" si="22"/>
        <v>3.126693801901843E-4</v>
      </c>
      <c r="U137" s="8">
        <f t="shared" si="23"/>
        <v>3.1266938019018434E-3</v>
      </c>
      <c r="V137">
        <f>U137*('Olsen P ref'!$B$75+Q137)</f>
        <v>0.32239970305241944</v>
      </c>
      <c r="W137">
        <f t="shared" si="29"/>
        <v>0.17076405159551608</v>
      </c>
      <c r="X137" s="8">
        <f t="shared" si="24"/>
        <v>170.76405159551609</v>
      </c>
      <c r="Y137" s="51">
        <f>W137*'Soil samples'!AK137/100</f>
        <v>3.4064752624518635E-2</v>
      </c>
      <c r="Z137" s="105">
        <f t="shared" si="25"/>
        <v>34.06475262451864</v>
      </c>
      <c r="AA137" s="51">
        <f t="shared" si="26"/>
        <v>0.31266938019018431</v>
      </c>
      <c r="AB137">
        <f t="shared" si="27"/>
        <v>170.76405159551609</v>
      </c>
      <c r="AC137">
        <f>(AB137/1000)*'Soil samples'!AR137/100</f>
        <v>3.4064752624518635E-2</v>
      </c>
      <c r="AD137" s="6">
        <f t="shared" si="28"/>
        <v>34.06475262451864</v>
      </c>
      <c r="AE137" s="135"/>
      <c r="AF137" s="6"/>
      <c r="AG137" s="6"/>
      <c r="AH137" s="6"/>
      <c r="AO137">
        <f>IF(S137&lt;'Olsen P ref'!$K$72,1,0)</f>
        <v>0</v>
      </c>
    </row>
    <row r="138" spans="1:47">
      <c r="A138" s="6" t="s">
        <v>141</v>
      </c>
      <c r="B138" s="6" t="s">
        <v>198</v>
      </c>
      <c r="C138" t="s">
        <v>13</v>
      </c>
      <c r="D138" s="8">
        <v>2</v>
      </c>
      <c r="E138" s="3">
        <v>5</v>
      </c>
      <c r="F138" s="26">
        <v>42794</v>
      </c>
      <c r="G138" s="94">
        <v>1</v>
      </c>
      <c r="I138">
        <v>6</v>
      </c>
      <c r="J138">
        <v>17</v>
      </c>
      <c r="K138"/>
      <c r="L138" s="44">
        <v>5</v>
      </c>
      <c r="M138">
        <v>0.36005127212924398</v>
      </c>
      <c r="N138">
        <v>0.25900000000000001</v>
      </c>
      <c r="O138">
        <f t="shared" si="20"/>
        <v>0.36005127212924398</v>
      </c>
      <c r="Q138" s="51">
        <f>'Olsen P ref'!$B$76*'Soil samples'!AI138%</f>
        <v>3.5328557454398988</v>
      </c>
      <c r="R138" s="105">
        <f>'Olsen P ref'!$B$76*'Soil samples'!AH138%</f>
        <v>1.4671442545601012</v>
      </c>
      <c r="S138" s="51">
        <f>IF(O138-'Olsen P ref'!$K$68&gt;0,O138-'Olsen P ref'!$K$68,0)</f>
        <v>0.16069144152892331</v>
      </c>
      <c r="T138" s="8">
        <f t="shared" si="22"/>
        <v>1.6069144152892331E-4</v>
      </c>
      <c r="U138" s="8">
        <f t="shared" si="23"/>
        <v>1.6069144152892332E-3</v>
      </c>
      <c r="V138">
        <f>U138*('Olsen P ref'!$B$75+Q138)</f>
        <v>0.16636843835340809</v>
      </c>
      <c r="W138">
        <f t="shared" si="29"/>
        <v>0.11339610119203369</v>
      </c>
      <c r="X138" s="8">
        <f t="shared" si="24"/>
        <v>113.3961011920337</v>
      </c>
      <c r="Y138" s="51">
        <f>W138*'Soil samples'!AK138/100</f>
        <v>1.0228331589967532E-2</v>
      </c>
      <c r="Z138" s="105">
        <f t="shared" si="25"/>
        <v>10.228331589967532</v>
      </c>
      <c r="AA138" s="51">
        <f t="shared" si="26"/>
        <v>0.16069144152892331</v>
      </c>
      <c r="AB138">
        <f t="shared" si="27"/>
        <v>113.3961011920337</v>
      </c>
      <c r="AC138">
        <f>(AB138/1000)*'Soil samples'!AR138/100</f>
        <v>1.0228331589967532E-2</v>
      </c>
      <c r="AD138" s="6">
        <f t="shared" si="28"/>
        <v>10.228331589967532</v>
      </c>
      <c r="AE138" s="135"/>
      <c r="AF138" s="6"/>
      <c r="AG138" s="6"/>
      <c r="AH138" s="6"/>
      <c r="AO138">
        <f>IF(S138&lt;'Olsen P ref'!$K$72,1,0)</f>
        <v>0</v>
      </c>
    </row>
    <row r="139" spans="1:47">
      <c r="A139" s="6" t="s">
        <v>142</v>
      </c>
      <c r="B139" s="6" t="s">
        <v>198</v>
      </c>
      <c r="C139" t="s">
        <v>13</v>
      </c>
      <c r="D139" s="8">
        <v>2</v>
      </c>
      <c r="E139" s="3">
        <v>10</v>
      </c>
      <c r="F139" s="26">
        <v>42794</v>
      </c>
      <c r="G139" s="94">
        <v>1</v>
      </c>
      <c r="I139">
        <v>6</v>
      </c>
      <c r="J139">
        <v>13</v>
      </c>
      <c r="K139"/>
      <c r="L139" s="44">
        <v>5</v>
      </c>
      <c r="M139">
        <v>0.33206120408887202</v>
      </c>
      <c r="N139">
        <v>0.23899999999999999</v>
      </c>
      <c r="O139">
        <f t="shared" si="20"/>
        <v>0.33206120408887202</v>
      </c>
      <c r="Q139" s="51">
        <f>'Olsen P ref'!$B$76*'Soil samples'!AI139%</f>
        <v>3.4643012831447475</v>
      </c>
      <c r="R139" s="105">
        <f>'Olsen P ref'!$B$76*'Soil samples'!AH139%</f>
        <v>1.5356987168552527</v>
      </c>
      <c r="S139" s="51">
        <f>IF(O139-'Olsen P ref'!$K$68&gt;0,O139-'Olsen P ref'!$K$68,0)</f>
        <v>0.13270137348855135</v>
      </c>
      <c r="T139" s="8">
        <f t="shared" si="22"/>
        <v>1.3270137348855135E-4</v>
      </c>
      <c r="U139" s="8">
        <f t="shared" si="23"/>
        <v>1.3270137348855135E-3</v>
      </c>
      <c r="V139">
        <f>U139*('Olsen P ref'!$B$75+Q139)</f>
        <v>0.13729854887306595</v>
      </c>
      <c r="W139">
        <f t="shared" si="29"/>
        <v>8.9404612614524329E-2</v>
      </c>
      <c r="X139" s="8">
        <f t="shared" si="24"/>
        <v>89.404612614524325</v>
      </c>
      <c r="Y139" s="51">
        <f>W139*'Soil samples'!AK139/100</f>
        <v>1.0706540841121685E-2</v>
      </c>
      <c r="Z139" s="105">
        <f t="shared" si="25"/>
        <v>10.706540841121685</v>
      </c>
      <c r="AA139" s="51">
        <f t="shared" si="26"/>
        <v>0.13270137348855135</v>
      </c>
      <c r="AB139">
        <f t="shared" si="27"/>
        <v>89.404612614524325</v>
      </c>
      <c r="AC139">
        <f>(AB139/1000)*'Soil samples'!AR139/100</f>
        <v>1.0706540841121685E-2</v>
      </c>
      <c r="AD139" s="6">
        <f t="shared" si="28"/>
        <v>10.706540841121685</v>
      </c>
      <c r="AE139" s="135"/>
      <c r="AF139" s="6"/>
      <c r="AG139" s="6"/>
      <c r="AH139" s="6"/>
      <c r="AO139">
        <f>IF(S139&lt;'Olsen P ref'!$K$72,1,0)</f>
        <v>0</v>
      </c>
    </row>
    <row r="140" spans="1:47">
      <c r="A140" s="6" t="s">
        <v>143</v>
      </c>
      <c r="B140" s="6" t="s">
        <v>198</v>
      </c>
      <c r="C140" t="s">
        <v>13</v>
      </c>
      <c r="D140" s="8">
        <v>2</v>
      </c>
      <c r="E140" s="3">
        <v>20</v>
      </c>
      <c r="F140" s="26">
        <v>42794</v>
      </c>
      <c r="G140" s="94">
        <v>1</v>
      </c>
      <c r="I140">
        <v>2</v>
      </c>
      <c r="J140">
        <v>19</v>
      </c>
      <c r="K140"/>
      <c r="L140" s="44">
        <v>5</v>
      </c>
      <c r="M140">
        <v>0.393968392758833</v>
      </c>
      <c r="N140">
        <v>0.28000000000000003</v>
      </c>
      <c r="O140">
        <f t="shared" si="20"/>
        <v>0.393968392758833</v>
      </c>
      <c r="Q140" s="51">
        <f>'Olsen P ref'!$B$76*'Soil samples'!AI140%</f>
        <v>2.8967386353284148</v>
      </c>
      <c r="R140" s="105">
        <f>'Olsen P ref'!$B$76*'Soil samples'!AH140%</f>
        <v>2.1032613646715856</v>
      </c>
      <c r="S140" s="51">
        <f>IF(O140-'Olsen P ref'!$K$68&gt;0,O140-'Olsen P ref'!$K$68,0)</f>
        <v>0.19460856215851233</v>
      </c>
      <c r="T140" s="8">
        <f t="shared" si="22"/>
        <v>1.9460856215851232E-4</v>
      </c>
      <c r="U140" s="8">
        <f t="shared" si="23"/>
        <v>1.9460856215851232E-3</v>
      </c>
      <c r="V140">
        <f>U140*('Olsen P ref'!$B$75+Q140)</f>
        <v>0.20024586356621507</v>
      </c>
      <c r="W140">
        <f t="shared" si="29"/>
        <v>9.5207313237307772E-2</v>
      </c>
      <c r="X140" s="8">
        <f t="shared" si="24"/>
        <v>95.207313237307773</v>
      </c>
      <c r="Y140" s="51">
        <f>W140*'Soil samples'!AK140/100</f>
        <v>3.2403785642284931E-2</v>
      </c>
      <c r="Z140" s="105">
        <f t="shared" si="25"/>
        <v>32.40378564228493</v>
      </c>
      <c r="AA140" s="51">
        <f t="shared" si="26"/>
        <v>0.19460856215851233</v>
      </c>
      <c r="AB140">
        <f t="shared" si="27"/>
        <v>95.207313237307773</v>
      </c>
      <c r="AC140">
        <f>(AB140/1000)*'Soil samples'!AR140/100</f>
        <v>3.2403785642284931E-2</v>
      </c>
      <c r="AD140" s="6">
        <f t="shared" si="28"/>
        <v>32.40378564228493</v>
      </c>
      <c r="AE140" s="135"/>
      <c r="AF140" s="6"/>
      <c r="AG140" s="6"/>
      <c r="AH140" s="6"/>
      <c r="AO140">
        <f>IF(S140&lt;'Olsen P ref'!$K$72,1,0)</f>
        <v>0</v>
      </c>
    </row>
    <row r="141" spans="1:47">
      <c r="A141" s="6" t="s">
        <v>144</v>
      </c>
      <c r="B141" s="6" t="s">
        <v>198</v>
      </c>
      <c r="C141" t="s">
        <v>13</v>
      </c>
      <c r="D141" s="8">
        <v>3</v>
      </c>
      <c r="E141" s="3">
        <v>5</v>
      </c>
      <c r="F141" s="26">
        <v>42776</v>
      </c>
      <c r="G141" s="93">
        <v>1</v>
      </c>
      <c r="I141">
        <v>4</v>
      </c>
      <c r="J141">
        <v>15</v>
      </c>
      <c r="K141"/>
      <c r="L141" s="44">
        <v>5</v>
      </c>
      <c r="M141">
        <v>0.45241849666247502</v>
      </c>
      <c r="N141">
        <v>0.32500000000000001</v>
      </c>
      <c r="O141">
        <f t="shared" si="20"/>
        <v>0.45241849666247502</v>
      </c>
      <c r="Q141" s="51">
        <f>'Olsen P ref'!$B$76*'Soil samples'!AI141%</f>
        <v>3.7823787269499687</v>
      </c>
      <c r="R141" s="105">
        <f>'Olsen P ref'!$B$76*'Soil samples'!AH141%</f>
        <v>1.2176212730500311</v>
      </c>
      <c r="S141" s="51">
        <f>IF(O141-'Olsen P ref'!$K$68&gt;0,O141-'Olsen P ref'!$K$68,0)</f>
        <v>0.25305866606215432</v>
      </c>
      <c r="T141" s="8">
        <f t="shared" si="22"/>
        <v>2.5305866606215434E-4</v>
      </c>
      <c r="U141" s="8">
        <f t="shared" si="23"/>
        <v>2.5305866606215436E-3</v>
      </c>
      <c r="V141">
        <f>U141*('Olsen P ref'!$B$75+Q141)</f>
        <v>0.26263030321399267</v>
      </c>
      <c r="W141">
        <f t="shared" si="29"/>
        <v>0.21569129008080445</v>
      </c>
      <c r="X141" s="8">
        <f t="shared" si="24"/>
        <v>215.69129008080446</v>
      </c>
      <c r="Y141" s="51">
        <f>W141*'Soil samples'!AK141/100</f>
        <v>2.227630231861084E-2</v>
      </c>
      <c r="Z141" s="105">
        <f t="shared" si="25"/>
        <v>22.276302318610842</v>
      </c>
      <c r="AA141" s="51">
        <f t="shared" si="26"/>
        <v>0.25305866606215432</v>
      </c>
      <c r="AB141">
        <f t="shared" si="27"/>
        <v>215.69129008080446</v>
      </c>
      <c r="AC141">
        <f>(AB141/1000)*'Soil samples'!AR141/100</f>
        <v>2.227630231861084E-2</v>
      </c>
      <c r="AD141" s="6">
        <f t="shared" si="28"/>
        <v>22.276302318610842</v>
      </c>
      <c r="AE141" s="135"/>
      <c r="AF141" s="6"/>
      <c r="AG141" s="6"/>
      <c r="AH141" s="6"/>
      <c r="AO141">
        <f>IF(S141&lt;'Olsen P ref'!$K$72,1,0)</f>
        <v>0</v>
      </c>
    </row>
    <row r="142" spans="1:47">
      <c r="A142" s="136" t="s">
        <v>145</v>
      </c>
      <c r="B142" s="6" t="s">
        <v>198</v>
      </c>
      <c r="C142" t="s">
        <v>13</v>
      </c>
      <c r="D142" s="8">
        <v>4</v>
      </c>
      <c r="E142" s="3">
        <v>5</v>
      </c>
      <c r="F142" s="8" t="s">
        <v>469</v>
      </c>
      <c r="G142" s="8" t="s">
        <v>469</v>
      </c>
      <c r="H142" s="8" t="s">
        <v>469</v>
      </c>
      <c r="I142" s="8" t="s">
        <v>469</v>
      </c>
      <c r="J142" s="8" t="s">
        <v>469</v>
      </c>
      <c r="K142" s="8" t="s">
        <v>469</v>
      </c>
      <c r="L142" s="36" t="s">
        <v>469</v>
      </c>
      <c r="M142" s="8" t="s">
        <v>469</v>
      </c>
      <c r="N142" s="8" t="s">
        <v>469</v>
      </c>
      <c r="O142" t="e">
        <f t="shared" si="20"/>
        <v>#VALUE!</v>
      </c>
      <c r="P142" s="8" t="s">
        <v>469</v>
      </c>
      <c r="Q142" s="51">
        <f>'Olsen P ref'!$B$76*'Soil samples'!AI142%</f>
        <v>3.0920085904826493</v>
      </c>
      <c r="R142" s="105">
        <f>'Olsen P ref'!$B$76*'Soil samples'!AH142%</f>
        <v>1.9079914095173507</v>
      </c>
      <c r="S142" s="51" t="e">
        <f>IF(O142-'Olsen P ref'!$K$68&gt;0,O142-'Olsen P ref'!$K$68,0)</f>
        <v>#VALUE!</v>
      </c>
      <c r="T142" s="8" t="e">
        <f t="shared" si="22"/>
        <v>#VALUE!</v>
      </c>
      <c r="U142" s="8" t="e">
        <f t="shared" si="23"/>
        <v>#VALUE!</v>
      </c>
      <c r="V142" t="e">
        <f>U142*('Olsen P ref'!$B$75+Q142)</f>
        <v>#VALUE!</v>
      </c>
      <c r="W142" t="e">
        <f t="shared" si="29"/>
        <v>#VALUE!</v>
      </c>
      <c r="X142" s="8" t="e">
        <f t="shared" si="24"/>
        <v>#VALUE!</v>
      </c>
      <c r="Y142" s="51" t="e">
        <f>W142*'Soil samples'!AK142/100</f>
        <v>#VALUE!</v>
      </c>
      <c r="Z142" s="105" t="e">
        <f t="shared" si="25"/>
        <v>#VALUE!</v>
      </c>
      <c r="AA142" s="51">
        <f>AM37</f>
        <v>0.27435644589512209</v>
      </c>
      <c r="AB142">
        <f>AM15</f>
        <v>177.30708801236358</v>
      </c>
      <c r="AC142">
        <f>(AB142/1000)*'Soil samples'!AR142/100</f>
        <v>4.079902833335947E-3</v>
      </c>
      <c r="AD142" s="6">
        <f t="shared" si="28"/>
        <v>4.0799028333359466</v>
      </c>
      <c r="AE142" s="6"/>
      <c r="AF142" s="6"/>
      <c r="AG142" s="6"/>
      <c r="AH142" s="6"/>
      <c r="AO142" t="e">
        <f>IF(S142&lt;'Olsen P ref'!$K$72,1,0)</f>
        <v>#VALUE!</v>
      </c>
    </row>
    <row r="143" spans="1:47">
      <c r="A143" s="6" t="s">
        <v>146</v>
      </c>
      <c r="B143" s="6" t="s">
        <v>198</v>
      </c>
      <c r="C143" t="s">
        <v>13</v>
      </c>
      <c r="D143" s="8">
        <v>4</v>
      </c>
      <c r="E143" s="3">
        <v>10</v>
      </c>
      <c r="F143" s="26">
        <v>42795</v>
      </c>
      <c r="G143" s="94">
        <v>1</v>
      </c>
      <c r="I143">
        <v>1</v>
      </c>
      <c r="J143">
        <v>12</v>
      </c>
      <c r="K143"/>
      <c r="L143" s="44">
        <v>5</v>
      </c>
      <c r="M143">
        <v>0.253419799863985</v>
      </c>
      <c r="N143">
        <v>0.18</v>
      </c>
      <c r="O143">
        <f t="shared" si="20"/>
        <v>0.253419799863985</v>
      </c>
      <c r="Q143" s="51">
        <f>'Olsen P ref'!$B$76*'Soil samples'!AI143%</f>
        <v>2.6817580665615885</v>
      </c>
      <c r="R143" s="105">
        <f>'Olsen P ref'!$B$76*'Soil samples'!AH143%</f>
        <v>2.318241933438411</v>
      </c>
      <c r="S143" s="51">
        <f>IF(O143-'Olsen P ref'!$K$68&gt;0,O143-'Olsen P ref'!$K$68,0)</f>
        <v>5.4059969263664326E-2</v>
      </c>
      <c r="T143" s="8">
        <f t="shared" si="22"/>
        <v>5.4059969263664324E-5</v>
      </c>
      <c r="U143" s="8">
        <f t="shared" si="23"/>
        <v>5.4059969263664325E-4</v>
      </c>
      <c r="V143">
        <f>U143*('Olsen P ref'!$B$75+Q143)</f>
        <v>5.5509726850173358E-2</v>
      </c>
      <c r="W143">
        <f t="shared" si="29"/>
        <v>2.3944751429736007E-2</v>
      </c>
      <c r="X143" s="8">
        <f t="shared" si="24"/>
        <v>23.944751429736009</v>
      </c>
      <c r="Y143" s="51">
        <f>W143*'Soil samples'!AK143/100</f>
        <v>5.1946002386392253E-3</v>
      </c>
      <c r="Z143" s="105">
        <f t="shared" si="25"/>
        <v>5.194600238639226</v>
      </c>
      <c r="AA143" s="51">
        <f t="shared" si="26"/>
        <v>5.4059969263664326E-2</v>
      </c>
      <c r="AB143">
        <f t="shared" si="27"/>
        <v>23.944751429736009</v>
      </c>
      <c r="AC143">
        <f>(AB143/1000)*'Soil samples'!AR143/100</f>
        <v>5.1946002386392253E-3</v>
      </c>
      <c r="AD143" s="6">
        <f t="shared" si="28"/>
        <v>5.194600238639226</v>
      </c>
      <c r="AE143" s="135"/>
      <c r="AF143" s="6"/>
      <c r="AG143" s="6"/>
      <c r="AH143" s="6"/>
      <c r="AO143">
        <f>IF(S143&lt;'Olsen P ref'!$K$72,1,0)</f>
        <v>1</v>
      </c>
    </row>
    <row r="144" spans="1:47">
      <c r="A144" s="136" t="s">
        <v>147</v>
      </c>
      <c r="B144" s="6" t="s">
        <v>198</v>
      </c>
      <c r="C144" t="s">
        <v>13</v>
      </c>
      <c r="D144" s="8">
        <v>5</v>
      </c>
      <c r="E144" s="3">
        <v>5</v>
      </c>
      <c r="F144" s="8" t="s">
        <v>469</v>
      </c>
      <c r="G144" s="8" t="s">
        <v>469</v>
      </c>
      <c r="H144" s="3" t="s">
        <v>514</v>
      </c>
      <c r="I144" s="8" t="s">
        <v>469</v>
      </c>
      <c r="J144" s="8" t="s">
        <v>469</v>
      </c>
      <c r="K144" s="8" t="s">
        <v>469</v>
      </c>
      <c r="L144" s="36" t="s">
        <v>469</v>
      </c>
      <c r="M144" s="8" t="s">
        <v>469</v>
      </c>
      <c r="N144" s="8" t="s">
        <v>469</v>
      </c>
      <c r="O144" t="e">
        <f t="shared" si="20"/>
        <v>#VALUE!</v>
      </c>
      <c r="P144" s="8" t="s">
        <v>469</v>
      </c>
      <c r="Q144" s="51">
        <f>'Olsen P ref'!$B$76*'Soil samples'!AI144%</f>
        <v>3.2739960381775619</v>
      </c>
      <c r="R144" s="105">
        <f>'Olsen P ref'!$B$76*'Soil samples'!AH144%</f>
        <v>1.7260039618224388</v>
      </c>
      <c r="S144" s="51" t="e">
        <f>IF(O144-'Olsen P ref'!$K$68&gt;0,O144-'Olsen P ref'!$K$68,0)</f>
        <v>#VALUE!</v>
      </c>
      <c r="T144" s="8" t="e">
        <f t="shared" si="22"/>
        <v>#VALUE!</v>
      </c>
      <c r="U144" s="8" t="e">
        <f t="shared" si="23"/>
        <v>#VALUE!</v>
      </c>
      <c r="V144" t="e">
        <f>U144*('Olsen P ref'!$B$75+Q144)</f>
        <v>#VALUE!</v>
      </c>
      <c r="W144" t="e">
        <f t="shared" si="29"/>
        <v>#VALUE!</v>
      </c>
      <c r="X144" s="8" t="e">
        <f t="shared" si="24"/>
        <v>#VALUE!</v>
      </c>
      <c r="Y144" s="51" t="e">
        <f>W144*'Soil samples'!AK144/100</f>
        <v>#VALUE!</v>
      </c>
      <c r="Z144" s="105" t="e">
        <f t="shared" si="25"/>
        <v>#VALUE!</v>
      </c>
      <c r="AA144" s="51">
        <f>AM38</f>
        <v>0.27435644589512209</v>
      </c>
      <c r="AB144">
        <f>AM16</f>
        <v>177.30708801236358</v>
      </c>
      <c r="AC144">
        <f>(AB144/1000)*'Soil samples'!AR144/100</f>
        <v>1.1647605946186627E-2</v>
      </c>
      <c r="AD144" s="6">
        <f t="shared" si="28"/>
        <v>11.647605946186628</v>
      </c>
      <c r="AE144" s="6"/>
      <c r="AF144" s="6"/>
      <c r="AG144" s="6"/>
      <c r="AH144" s="6"/>
      <c r="AO144" t="e">
        <f>IF(S144&lt;'Olsen P ref'!$K$72,1,0)</f>
        <v>#VALUE!</v>
      </c>
    </row>
    <row r="145" spans="1:41">
      <c r="A145" s="136" t="s">
        <v>148</v>
      </c>
      <c r="B145" s="6" t="s">
        <v>198</v>
      </c>
      <c r="C145" t="s">
        <v>13</v>
      </c>
      <c r="D145" s="8">
        <v>5</v>
      </c>
      <c r="E145" s="3">
        <v>10</v>
      </c>
      <c r="F145" s="8" t="s">
        <v>469</v>
      </c>
      <c r="G145" s="8" t="s">
        <v>469</v>
      </c>
      <c r="H145" s="3" t="s">
        <v>514</v>
      </c>
      <c r="I145" s="8" t="s">
        <v>469</v>
      </c>
      <c r="J145" s="8" t="s">
        <v>469</v>
      </c>
      <c r="K145" s="8" t="s">
        <v>469</v>
      </c>
      <c r="L145" s="36" t="s">
        <v>469</v>
      </c>
      <c r="M145" s="8" t="s">
        <v>469</v>
      </c>
      <c r="N145" s="8" t="s">
        <v>469</v>
      </c>
      <c r="O145" t="e">
        <f t="shared" si="20"/>
        <v>#VALUE!</v>
      </c>
      <c r="P145" s="8" t="s">
        <v>469</v>
      </c>
      <c r="Q145" s="51">
        <f>'Olsen P ref'!$B$76*'Soil samples'!AI145%</f>
        <v>3.1498723366789925</v>
      </c>
      <c r="R145" s="105">
        <f>'Olsen P ref'!$B$76*'Soil samples'!AH145%</f>
        <v>1.8501276633210075</v>
      </c>
      <c r="S145" s="51" t="e">
        <f>IF(O145-'Olsen P ref'!$K$68&gt;0,O145-'Olsen P ref'!$K$68,0)</f>
        <v>#VALUE!</v>
      </c>
      <c r="T145" s="8" t="e">
        <f t="shared" si="22"/>
        <v>#VALUE!</v>
      </c>
      <c r="U145" s="8" t="e">
        <f t="shared" si="23"/>
        <v>#VALUE!</v>
      </c>
      <c r="V145" t="e">
        <f>U145*('Olsen P ref'!$B$75+Q145)</f>
        <v>#VALUE!</v>
      </c>
      <c r="W145" t="e">
        <f t="shared" si="29"/>
        <v>#VALUE!</v>
      </c>
      <c r="X145" s="8" t="e">
        <f t="shared" si="24"/>
        <v>#VALUE!</v>
      </c>
      <c r="Y145" s="51" t="e">
        <f>W145*'Soil samples'!AK145/100</f>
        <v>#VALUE!</v>
      </c>
      <c r="Z145" s="105" t="e">
        <f t="shared" si="25"/>
        <v>#VALUE!</v>
      </c>
      <c r="AA145" s="51">
        <f>AM39</f>
        <v>0.21225066643135806</v>
      </c>
      <c r="AB145">
        <f>AM17</f>
        <v>123.86348263518551</v>
      </c>
      <c r="AC145">
        <f>(AB145/1000)*'Soil samples'!AR145/100</f>
        <v>9.6981889811663703E-3</v>
      </c>
      <c r="AD145" s="6">
        <f t="shared" si="28"/>
        <v>9.6981889811663695</v>
      </c>
      <c r="AE145" s="6"/>
      <c r="AF145" s="6"/>
      <c r="AG145" s="6"/>
      <c r="AH145" s="6"/>
      <c r="AO145" t="e">
        <f>IF(S145&lt;'Olsen P ref'!$K$72,1,0)</f>
        <v>#VALUE!</v>
      </c>
    </row>
    <row r="146" spans="1:41">
      <c r="A146" s="6" t="s">
        <v>149</v>
      </c>
      <c r="B146" s="6" t="s">
        <v>198</v>
      </c>
      <c r="C146" t="s">
        <v>13</v>
      </c>
      <c r="D146" s="8">
        <v>5</v>
      </c>
      <c r="E146" s="3">
        <v>20</v>
      </c>
      <c r="F146" s="26">
        <v>42767</v>
      </c>
      <c r="G146" s="94">
        <v>1</v>
      </c>
      <c r="I146">
        <v>11</v>
      </c>
      <c r="J146">
        <v>7</v>
      </c>
      <c r="K146"/>
      <c r="L146" s="44">
        <v>5</v>
      </c>
      <c r="M146">
        <v>0.237098620207287</v>
      </c>
      <c r="N146">
        <v>0.17</v>
      </c>
      <c r="O146">
        <f t="shared" si="20"/>
        <v>0.237098620207287</v>
      </c>
      <c r="Q146" s="51">
        <f>'Olsen P ref'!$B$76*'Soil samples'!AI146%</f>
        <v>3.4461159942904356</v>
      </c>
      <c r="R146" s="105">
        <f>'Olsen P ref'!$B$76*'Soil samples'!AH146%</f>
        <v>1.5538840057095638</v>
      </c>
      <c r="S146" s="51">
        <f>IF(O146-'Olsen P ref'!$K$68&gt;0,O146-'Olsen P ref'!$K$68,0)</f>
        <v>3.7738789606966333E-2</v>
      </c>
      <c r="T146" s="8">
        <f t="shared" si="22"/>
        <v>3.7738789606966336E-5</v>
      </c>
      <c r="U146" s="8">
        <f t="shared" si="23"/>
        <v>3.7738789606966332E-4</v>
      </c>
      <c r="V146">
        <f>U146*('Olsen P ref'!$B$75+Q146)</f>
        <v>3.9039312071663619E-2</v>
      </c>
      <c r="W146">
        <f t="shared" si="29"/>
        <v>2.5123697733047168E-2</v>
      </c>
      <c r="X146" s="8">
        <f t="shared" si="24"/>
        <v>25.12369773304717</v>
      </c>
      <c r="Y146" s="51">
        <f>W146*'Soil samples'!AK146/100</f>
        <v>2.228363933050561E-3</v>
      </c>
      <c r="Z146" s="105">
        <f t="shared" si="25"/>
        <v>2.2283639330505611</v>
      </c>
      <c r="AA146" s="51">
        <f t="shared" si="26"/>
        <v>3.7738789606966333E-2</v>
      </c>
      <c r="AB146">
        <f t="shared" si="27"/>
        <v>25.12369773304717</v>
      </c>
      <c r="AC146">
        <f>(AB146/1000)*'Soil samples'!AR146/100</f>
        <v>2.228363933050561E-3</v>
      </c>
      <c r="AD146" s="6">
        <f t="shared" si="28"/>
        <v>2.2283639330505611</v>
      </c>
      <c r="AE146" s="135"/>
      <c r="AF146" s="6"/>
      <c r="AG146" s="6"/>
      <c r="AH146" s="6"/>
      <c r="AO146">
        <f>IF(S146&lt;'Olsen P ref'!$K$72,1,0)</f>
        <v>1</v>
      </c>
    </row>
    <row r="147" spans="1:41">
      <c r="A147" s="6" t="s">
        <v>150</v>
      </c>
      <c r="B147" s="6" t="s">
        <v>198</v>
      </c>
      <c r="C147" t="s">
        <v>13</v>
      </c>
      <c r="D147" s="8">
        <v>5</v>
      </c>
      <c r="E147" s="3">
        <v>30</v>
      </c>
      <c r="F147" s="26">
        <v>42767</v>
      </c>
      <c r="G147" s="94">
        <v>1</v>
      </c>
      <c r="I147">
        <v>11</v>
      </c>
      <c r="J147">
        <v>5</v>
      </c>
      <c r="K147"/>
      <c r="L147" s="44">
        <v>5</v>
      </c>
      <c r="M147">
        <v>0.25089654733897099</v>
      </c>
      <c r="N147">
        <v>0.18</v>
      </c>
      <c r="O147">
        <f t="shared" si="20"/>
        <v>0.25089654733897099</v>
      </c>
      <c r="Q147" s="51">
        <f>'Olsen P ref'!$B$76*'Soil samples'!AI147%</f>
        <v>2.9591732107745568</v>
      </c>
      <c r="R147" s="105">
        <f>'Olsen P ref'!$B$76*'Soil samples'!AH147%</f>
        <v>2.0408267892254432</v>
      </c>
      <c r="S147" s="51">
        <f>IF(O147-'Olsen P ref'!$K$68&gt;0,O147-'Olsen P ref'!$K$68,0)</f>
        <v>5.1536716738650318E-2</v>
      </c>
      <c r="T147" s="8">
        <f t="shared" si="22"/>
        <v>5.1536716738650319E-5</v>
      </c>
      <c r="U147" s="8">
        <f t="shared" si="23"/>
        <v>5.1536716738650318E-4</v>
      </c>
      <c r="V147">
        <f>U147*('Olsen P ref'!$B$75+Q147)</f>
        <v>5.3061777454093219E-2</v>
      </c>
      <c r="W147">
        <f t="shared" si="29"/>
        <v>2.6000137657067802E-2</v>
      </c>
      <c r="X147" s="8">
        <f t="shared" si="24"/>
        <v>26.000137657067803</v>
      </c>
      <c r="Y147" s="51">
        <f>W147*'Soil samples'!AK147/100</f>
        <v>6.0172055632941703E-3</v>
      </c>
      <c r="Z147" s="105">
        <f t="shared" si="25"/>
        <v>6.0172055632941701</v>
      </c>
      <c r="AA147" s="51">
        <f t="shared" si="26"/>
        <v>5.1536716738650318E-2</v>
      </c>
      <c r="AB147">
        <f t="shared" si="27"/>
        <v>26.000137657067803</v>
      </c>
      <c r="AC147">
        <f>(AB147/1000)*'Soil samples'!AR147/100</f>
        <v>6.0172055632941703E-3</v>
      </c>
      <c r="AD147" s="6">
        <f t="shared" si="28"/>
        <v>6.0172055632941701</v>
      </c>
      <c r="AE147" s="135"/>
      <c r="AF147" s="6"/>
      <c r="AG147" s="6"/>
      <c r="AH147" s="6"/>
      <c r="AO147">
        <f>IF(S147&lt;'Olsen P ref'!$K$72,1,0)</f>
        <v>1</v>
      </c>
    </row>
    <row r="148" spans="1:41">
      <c r="A148" s="6" t="s">
        <v>151</v>
      </c>
      <c r="B148" s="6" t="s">
        <v>198</v>
      </c>
      <c r="C148" t="s">
        <v>13</v>
      </c>
      <c r="D148" s="8">
        <v>6</v>
      </c>
      <c r="E148" s="3">
        <v>5</v>
      </c>
      <c r="F148" s="26">
        <v>42753</v>
      </c>
      <c r="G148" s="94">
        <v>2</v>
      </c>
      <c r="I148">
        <v>13</v>
      </c>
      <c r="J148">
        <v>1</v>
      </c>
      <c r="K148"/>
      <c r="L148" s="44">
        <v>5</v>
      </c>
      <c r="M148">
        <v>0.60550327462325904</v>
      </c>
      <c r="N148">
        <v>0.437</v>
      </c>
      <c r="O148">
        <f t="shared" si="20"/>
        <v>0.60550327462325904</v>
      </c>
      <c r="Q148" s="51">
        <f>'Olsen P ref'!$B$76*'Soil samples'!AI148%</f>
        <v>3.025047013163686</v>
      </c>
      <c r="R148" s="105">
        <f>'Olsen P ref'!$B$76*'Soil samples'!AH148%</f>
        <v>1.9749529868363145</v>
      </c>
      <c r="S148" s="51">
        <f>IF(O148-'Olsen P ref'!$K$68&gt;0,O148-'Olsen P ref'!$K$68,0)</f>
        <v>0.40614344402293834</v>
      </c>
      <c r="T148" s="8">
        <f t="shared" si="22"/>
        <v>4.0614344402293835E-4</v>
      </c>
      <c r="U148" s="8">
        <f t="shared" si="23"/>
        <v>4.0614344402293834E-3</v>
      </c>
      <c r="V148">
        <f>U148*('Olsen P ref'!$B$75+Q148)</f>
        <v>0.41842947414551435</v>
      </c>
      <c r="W148">
        <f t="shared" si="29"/>
        <v>0.21186806821958748</v>
      </c>
      <c r="X148" s="8">
        <f t="shared" si="24"/>
        <v>211.86806821958749</v>
      </c>
      <c r="Y148" s="51">
        <f>W148*'Soil samples'!AK148/100</f>
        <v>1.9239387221210758E-2</v>
      </c>
      <c r="Z148" s="105">
        <f t="shared" si="25"/>
        <v>19.239387221210759</v>
      </c>
      <c r="AA148" s="51">
        <f t="shared" si="26"/>
        <v>0.40614344402293834</v>
      </c>
      <c r="AB148">
        <f t="shared" si="27"/>
        <v>211.86806821958749</v>
      </c>
      <c r="AC148">
        <f>(AB148/1000)*'Soil samples'!AR148/100</f>
        <v>1.9239387221210758E-2</v>
      </c>
      <c r="AD148" s="6">
        <f t="shared" si="28"/>
        <v>19.239387221210759</v>
      </c>
      <c r="AE148" s="135"/>
      <c r="AF148" s="6"/>
      <c r="AG148" s="6"/>
      <c r="AH148" s="6"/>
      <c r="AO148">
        <f>IF(S148&lt;'Olsen P ref'!$K$72,1,0)</f>
        <v>0</v>
      </c>
    </row>
    <row r="149" spans="1:41">
      <c r="A149" s="6" t="s">
        <v>152</v>
      </c>
      <c r="B149" s="6" t="s">
        <v>198</v>
      </c>
      <c r="C149" t="s">
        <v>13</v>
      </c>
      <c r="D149" s="8">
        <v>6</v>
      </c>
      <c r="E149" s="3">
        <v>10</v>
      </c>
      <c r="F149" s="26">
        <v>42753</v>
      </c>
      <c r="G149" s="94">
        <v>2</v>
      </c>
      <c r="I149">
        <v>12</v>
      </c>
      <c r="J149">
        <v>7</v>
      </c>
      <c r="K149"/>
      <c r="L149" s="44">
        <v>5</v>
      </c>
      <c r="M149">
        <v>0.54893177338335297</v>
      </c>
      <c r="N149">
        <v>0.39600000000000002</v>
      </c>
      <c r="O149">
        <f t="shared" si="20"/>
        <v>0.54893177338335297</v>
      </c>
      <c r="Q149" s="51">
        <f>'Olsen P ref'!$B$76*'Soil samples'!AI149%</f>
        <v>3.2914868105515582</v>
      </c>
      <c r="R149" s="105">
        <f>'Olsen P ref'!$B$76*'Soil samples'!AH149%</f>
        <v>1.708513189448442</v>
      </c>
      <c r="S149" s="51">
        <f>IF(O149-'Olsen P ref'!$K$68&gt;0,O149-'Olsen P ref'!$K$68,0)</f>
        <v>0.34957194278303227</v>
      </c>
      <c r="T149" s="8">
        <f t="shared" si="22"/>
        <v>3.4957194278303227E-4</v>
      </c>
      <c r="U149" s="8">
        <f t="shared" si="23"/>
        <v>3.4957194278303224E-3</v>
      </c>
      <c r="V149">
        <f>U149*('Olsen P ref'!$B$75+Q149)</f>
        <v>0.36107805717312458</v>
      </c>
      <c r="W149">
        <f t="shared" si="29"/>
        <v>0.21134051490096553</v>
      </c>
      <c r="X149" s="8">
        <f t="shared" si="24"/>
        <v>211.34051490096553</v>
      </c>
      <c r="Y149" s="51">
        <f>W149*'Soil samples'!AK149/100</f>
        <v>2.570875767072649E-2</v>
      </c>
      <c r="Z149" s="105">
        <f t="shared" si="25"/>
        <v>25.708757670726488</v>
      </c>
      <c r="AA149" s="51">
        <f t="shared" si="26"/>
        <v>0.34957194278303227</v>
      </c>
      <c r="AB149">
        <f t="shared" si="27"/>
        <v>211.34051490096553</v>
      </c>
      <c r="AC149">
        <f>(AB149/1000)*'Soil samples'!AR149/100</f>
        <v>2.570875767072649E-2</v>
      </c>
      <c r="AD149" s="6">
        <f t="shared" si="28"/>
        <v>25.708757670726488</v>
      </c>
      <c r="AE149" s="135"/>
      <c r="AF149" s="6"/>
      <c r="AG149" s="6"/>
      <c r="AH149" s="6"/>
      <c r="AO149">
        <f>IF(S149&lt;'Olsen P ref'!$K$72,1,0)</f>
        <v>0</v>
      </c>
    </row>
    <row r="150" spans="1:41">
      <c r="A150" s="7" t="s">
        <v>153</v>
      </c>
      <c r="B150" s="7" t="s">
        <v>198</v>
      </c>
      <c r="C150" s="4" t="s">
        <v>13</v>
      </c>
      <c r="D150" s="4">
        <v>6</v>
      </c>
      <c r="E150" s="5">
        <v>20</v>
      </c>
      <c r="F150" s="48">
        <v>42753</v>
      </c>
      <c r="G150" s="95">
        <v>2</v>
      </c>
      <c r="I150">
        <v>11</v>
      </c>
      <c r="J150">
        <v>9</v>
      </c>
      <c r="K150"/>
      <c r="L150" s="44">
        <v>5</v>
      </c>
      <c r="M150">
        <v>0.373698098810962</v>
      </c>
      <c r="N150">
        <v>0.26900000000000002</v>
      </c>
      <c r="O150">
        <f t="shared" si="20"/>
        <v>0.373698098810962</v>
      </c>
      <c r="Q150" s="51">
        <f>'Olsen P ref'!$B$76*'Soil samples'!AI150%</f>
        <v>3.4571858182969297</v>
      </c>
      <c r="R150" s="105">
        <f>'Olsen P ref'!$B$76*'Soil samples'!AH150%</f>
        <v>1.5428141817030707</v>
      </c>
      <c r="S150" s="51">
        <f>IF(O150-'Olsen P ref'!$K$68&gt;0,O150-'Olsen P ref'!$K$68,0)</f>
        <v>0.17433826821064133</v>
      </c>
      <c r="T150" s="8">
        <f t="shared" si="22"/>
        <v>1.7433826821064132E-4</v>
      </c>
      <c r="U150" s="8">
        <f t="shared" si="23"/>
        <v>1.7433826821064134E-3</v>
      </c>
      <c r="V150">
        <f>U150*('Olsen P ref'!$B$75+Q150)</f>
        <v>0.18036546609508411</v>
      </c>
      <c r="W150">
        <f t="shared" si="29"/>
        <v>0.11690679813169955</v>
      </c>
      <c r="X150" s="8">
        <f t="shared" si="24"/>
        <v>116.90679813169955</v>
      </c>
      <c r="Y150" s="51">
        <f>W150*'Soil samples'!AK150/100</f>
        <v>1.5197594173171784E-2</v>
      </c>
      <c r="Z150" s="105">
        <f t="shared" si="25"/>
        <v>15.197594173171785</v>
      </c>
      <c r="AA150" s="51">
        <f t="shared" si="26"/>
        <v>0.17433826821064133</v>
      </c>
      <c r="AB150">
        <f t="shared" si="27"/>
        <v>116.90679813169955</v>
      </c>
      <c r="AC150">
        <f>(AB150/1000)*'Soil samples'!AR150/100</f>
        <v>1.5197594173171784E-2</v>
      </c>
      <c r="AD150" s="6">
        <f t="shared" si="28"/>
        <v>15.197594173171785</v>
      </c>
      <c r="AE150" s="135"/>
      <c r="AF150" s="6"/>
      <c r="AG150" s="6"/>
      <c r="AH150" s="6"/>
      <c r="AO150">
        <f>IF(S150&lt;'Olsen P ref'!$K$72,1,0)</f>
        <v>0</v>
      </c>
    </row>
    <row r="151" spans="1:41">
      <c r="A151" s="206" t="s">
        <v>154</v>
      </c>
      <c r="B151" s="6" t="s">
        <v>548</v>
      </c>
      <c r="C151" t="s">
        <v>12</v>
      </c>
      <c r="D151" s="8">
        <v>1</v>
      </c>
      <c r="E151" s="3">
        <v>5</v>
      </c>
      <c r="F151" s="8" t="s">
        <v>469</v>
      </c>
      <c r="G151" s="94" t="s">
        <v>469</v>
      </c>
      <c r="H151" s="94" t="s">
        <v>469</v>
      </c>
      <c r="I151" s="94" t="s">
        <v>469</v>
      </c>
      <c r="J151" s="94" t="s">
        <v>469</v>
      </c>
      <c r="K151" s="94" t="s">
        <v>469</v>
      </c>
      <c r="L151" s="36" t="s">
        <v>469</v>
      </c>
      <c r="M151" s="94" t="s">
        <v>469</v>
      </c>
      <c r="N151" s="94" t="s">
        <v>469</v>
      </c>
      <c r="O151" t="e">
        <f t="shared" si="20"/>
        <v>#VALUE!</v>
      </c>
      <c r="P151" s="8" t="s">
        <v>469</v>
      </c>
      <c r="Q151" s="51">
        <f>'Olsen P ref'!$B$76*'Soil samples'!AI151%</f>
        <v>2.8640476190476187</v>
      </c>
      <c r="R151" s="105">
        <f>'Olsen P ref'!$B$76*'Soil samples'!AH151%</f>
        <v>2.1359523809523813</v>
      </c>
      <c r="S151" s="51" t="e">
        <f>IF(O151-'Olsen P ref'!$K$68&gt;0,O151-'Olsen P ref'!$K$68,0)</f>
        <v>#VALUE!</v>
      </c>
      <c r="T151" s="8" t="e">
        <f t="shared" si="22"/>
        <v>#VALUE!</v>
      </c>
      <c r="U151" s="8" t="e">
        <f t="shared" si="23"/>
        <v>#VALUE!</v>
      </c>
      <c r="V151" t="e">
        <f>U151*('Olsen P ref'!$B$75+Q151)</f>
        <v>#VALUE!</v>
      </c>
      <c r="W151" t="e">
        <f t="shared" si="29"/>
        <v>#VALUE!</v>
      </c>
      <c r="X151" s="8" t="e">
        <f t="shared" si="24"/>
        <v>#VALUE!</v>
      </c>
      <c r="Y151" s="51" t="e">
        <f>W151*'Soil samples'!AK151/100</f>
        <v>#VALUE!</v>
      </c>
      <c r="Z151" s="105" t="e">
        <f t="shared" si="25"/>
        <v>#VALUE!</v>
      </c>
      <c r="AA151" s="51">
        <f>AM40</f>
        <v>0.64389901303580832</v>
      </c>
      <c r="AB151">
        <f>AM18</f>
        <v>234.6041625781871</v>
      </c>
      <c r="AC151">
        <f>(AB151/1000)*'Soil samples'!AR151/100</f>
        <v>1.4251378410567834E-2</v>
      </c>
      <c r="AD151" s="6">
        <f t="shared" si="28"/>
        <v>14.251378410567833</v>
      </c>
      <c r="AE151" s="6"/>
      <c r="AF151" s="6"/>
      <c r="AG151" s="6"/>
      <c r="AH151" s="6"/>
      <c r="AO151" t="e">
        <f>IF(S151&lt;'Olsen P ref'!$K$72,1,0)</f>
        <v>#VALUE!</v>
      </c>
    </row>
    <row r="152" spans="1:41">
      <c r="A152" s="6" t="s">
        <v>155</v>
      </c>
      <c r="B152" s="6" t="s">
        <v>548</v>
      </c>
      <c r="C152" t="s">
        <v>12</v>
      </c>
      <c r="D152" s="8">
        <v>1</v>
      </c>
      <c r="E152" s="3">
        <v>10</v>
      </c>
      <c r="F152" s="26">
        <v>42795</v>
      </c>
      <c r="G152" s="94">
        <v>1</v>
      </c>
      <c r="I152">
        <v>5</v>
      </c>
      <c r="J152">
        <v>11</v>
      </c>
      <c r="K152"/>
      <c r="L152" s="44">
        <v>2.5</v>
      </c>
      <c r="M152">
        <v>0.60356486408048804</v>
      </c>
      <c r="N152">
        <v>0.433</v>
      </c>
      <c r="O152">
        <f t="shared" si="20"/>
        <v>1.2071297281609761</v>
      </c>
      <c r="Q152" s="51">
        <f>'Olsen P ref'!$B$76*'Soil samples'!AI152%</f>
        <v>2.4958017711089369</v>
      </c>
      <c r="R152" s="105">
        <f>'Olsen P ref'!$B$76*'Soil samples'!AH152%</f>
        <v>2.5041982288910631</v>
      </c>
      <c r="S152" s="51">
        <f>IF(O152-'Olsen P ref'!$K$68&gt;0,O152-'Olsen P ref'!$K$68,0)</f>
        <v>1.0077698975606555</v>
      </c>
      <c r="T152" s="8">
        <f t="shared" si="22"/>
        <v>1.0077698975606555E-3</v>
      </c>
      <c r="U152" s="8">
        <f t="shared" si="23"/>
        <v>1.0077698975606555E-2</v>
      </c>
      <c r="V152">
        <f>U152*('Olsen P ref'!$B$75+Q152)</f>
        <v>1.0329218365126771</v>
      </c>
      <c r="W152">
        <f t="shared" si="29"/>
        <v>0.41247606702848244</v>
      </c>
      <c r="X152" s="8">
        <f t="shared" si="24"/>
        <v>412.47606702848242</v>
      </c>
      <c r="Y152" s="51">
        <f>W152*'Soil samples'!AK152/100</f>
        <v>0.12956971517215027</v>
      </c>
      <c r="Z152" s="105">
        <f t="shared" si="25"/>
        <v>129.56971517215027</v>
      </c>
      <c r="AA152" s="51">
        <f t="shared" si="26"/>
        <v>1.0077698975606555</v>
      </c>
      <c r="AB152">
        <f t="shared" si="27"/>
        <v>412.47606702848242</v>
      </c>
      <c r="AC152">
        <f>(AB152/1000)*'Soil samples'!AR152/100</f>
        <v>0.12956971517215027</v>
      </c>
      <c r="AD152" s="6">
        <f t="shared" si="28"/>
        <v>129.56971517215027</v>
      </c>
      <c r="AE152" s="135"/>
      <c r="AF152" s="6"/>
      <c r="AG152" s="6"/>
      <c r="AH152" s="6"/>
      <c r="AO152">
        <f>IF(S152&lt;'Olsen P ref'!$K$72,1,0)</f>
        <v>0</v>
      </c>
    </row>
    <row r="153" spans="1:41">
      <c r="A153" s="6" t="s">
        <v>156</v>
      </c>
      <c r="B153" s="6" t="s">
        <v>548</v>
      </c>
      <c r="C153" t="s">
        <v>12</v>
      </c>
      <c r="D153" s="8">
        <v>1</v>
      </c>
      <c r="E153" s="3">
        <v>20</v>
      </c>
      <c r="F153" s="26">
        <v>42795</v>
      </c>
      <c r="G153" s="94">
        <v>1</v>
      </c>
      <c r="I153">
        <v>2</v>
      </c>
      <c r="J153">
        <v>1</v>
      </c>
      <c r="K153"/>
      <c r="L153" s="44">
        <v>2.5</v>
      </c>
      <c r="M153" s="104">
        <v>0.55559927458790759</v>
      </c>
      <c r="N153" s="31">
        <v>0.39500000000000002</v>
      </c>
      <c r="O153">
        <f t="shared" si="20"/>
        <v>1.1111985491758152</v>
      </c>
      <c r="Q153" s="51">
        <f>'Olsen P ref'!$B$76*'Soil samples'!AI153%</f>
        <v>2.265978888750364</v>
      </c>
      <c r="R153" s="105">
        <f>'Olsen P ref'!$B$76*'Soil samples'!AH153%</f>
        <v>2.734021111249636</v>
      </c>
      <c r="S153" s="51">
        <f>IF(O153-'Olsen P ref'!$K$68&gt;0,O153-'Olsen P ref'!$K$68,0)</f>
        <v>0.91183871857549448</v>
      </c>
      <c r="T153" s="8">
        <f t="shared" si="22"/>
        <v>9.1183871857549446E-4</v>
      </c>
      <c r="U153" s="8">
        <f t="shared" si="23"/>
        <v>9.1183871857549448E-3</v>
      </c>
      <c r="V153">
        <f>U153*('Olsen P ref'!$B$75+Q153)</f>
        <v>0.93250079143786702</v>
      </c>
      <c r="W153">
        <f t="shared" si="29"/>
        <v>0.34107300327745088</v>
      </c>
      <c r="X153" s="8">
        <f t="shared" si="24"/>
        <v>341.07300327745088</v>
      </c>
      <c r="Y153" s="51">
        <f>W153*'Soil samples'!AK153/100</f>
        <v>0.13226591225754708</v>
      </c>
      <c r="Z153" s="105">
        <f t="shared" si="25"/>
        <v>132.26591225754709</v>
      </c>
      <c r="AA153" s="51">
        <f t="shared" si="26"/>
        <v>0.91183871857549448</v>
      </c>
      <c r="AB153">
        <f t="shared" si="27"/>
        <v>341.07300327745088</v>
      </c>
      <c r="AC153">
        <f>(AB153/1000)*'Soil samples'!AR153/100</f>
        <v>0.13226591225754708</v>
      </c>
      <c r="AD153" s="6">
        <f t="shared" si="28"/>
        <v>132.26591225754709</v>
      </c>
      <c r="AE153" s="135"/>
      <c r="AF153" s="6"/>
      <c r="AG153" s="6"/>
      <c r="AH153" s="6"/>
      <c r="AO153">
        <f>IF(S153&lt;'Olsen P ref'!$K$72,1,0)</f>
        <v>0</v>
      </c>
    </row>
    <row r="154" spans="1:41">
      <c r="A154" s="6" t="s">
        <v>157</v>
      </c>
      <c r="B154" s="6" t="s">
        <v>548</v>
      </c>
      <c r="C154" t="s">
        <v>12</v>
      </c>
      <c r="D154" s="8">
        <v>1</v>
      </c>
      <c r="E154" s="3">
        <v>30</v>
      </c>
      <c r="F154" s="26">
        <v>42795</v>
      </c>
      <c r="G154" s="94">
        <v>1</v>
      </c>
      <c r="I154">
        <v>2</v>
      </c>
      <c r="J154">
        <v>2</v>
      </c>
      <c r="K154"/>
      <c r="L154" s="44">
        <v>2.5</v>
      </c>
      <c r="M154">
        <v>0.84231840409339698</v>
      </c>
      <c r="N154">
        <v>0.59899999999999998</v>
      </c>
      <c r="O154">
        <f t="shared" si="20"/>
        <v>1.6846368081867942</v>
      </c>
      <c r="Q154" s="51">
        <f>'Olsen P ref'!$B$76*'Soil samples'!AI154%</f>
        <v>1.8489825568519063</v>
      </c>
      <c r="R154" s="105">
        <f>'Olsen P ref'!$B$76*'Soil samples'!AH154%</f>
        <v>3.1510174431480937</v>
      </c>
      <c r="S154" s="51">
        <f>IF(O154-'Olsen P ref'!$K$68&gt;0,O154-'Olsen P ref'!$K$68,0)</f>
        <v>1.4852769775864736</v>
      </c>
      <c r="T154" s="8">
        <f t="shared" si="22"/>
        <v>1.4852769775864736E-3</v>
      </c>
      <c r="U154" s="8">
        <f t="shared" si="23"/>
        <v>1.4852769775864735E-2</v>
      </c>
      <c r="V154">
        <f>U154*('Olsen P ref'!$B$75+Q154)</f>
        <v>1.5127394898229847</v>
      </c>
      <c r="W154">
        <f t="shared" si="29"/>
        <v>0.48007969397708217</v>
      </c>
      <c r="X154" s="8">
        <f t="shared" si="24"/>
        <v>480.07969397708217</v>
      </c>
      <c r="Y154" s="51">
        <f>W154*'Soil samples'!AK154/100</f>
        <v>0.21892365896718238</v>
      </c>
      <c r="Z154" s="105">
        <f t="shared" si="25"/>
        <v>218.92365896718238</v>
      </c>
      <c r="AA154" s="51">
        <f t="shared" si="26"/>
        <v>1.4852769775864736</v>
      </c>
      <c r="AB154">
        <f t="shared" si="27"/>
        <v>480.07969397708217</v>
      </c>
      <c r="AC154">
        <f>(AB154/1000)*'Soil samples'!AR154/100</f>
        <v>0.21892365896718238</v>
      </c>
      <c r="AD154" s="6">
        <f t="shared" si="28"/>
        <v>218.92365896718238</v>
      </c>
      <c r="AE154" s="135"/>
      <c r="AF154" s="6"/>
      <c r="AG154" s="6"/>
      <c r="AH154" s="6"/>
      <c r="AO154">
        <f>IF(S154&lt;'Olsen P ref'!$K$72,1,0)</f>
        <v>0</v>
      </c>
    </row>
    <row r="155" spans="1:41">
      <c r="A155" s="206" t="s">
        <v>158</v>
      </c>
      <c r="B155" s="6" t="s">
        <v>548</v>
      </c>
      <c r="C155" t="s">
        <v>12</v>
      </c>
      <c r="D155" s="8">
        <v>2</v>
      </c>
      <c r="E155" s="3">
        <v>5</v>
      </c>
      <c r="F155" s="8" t="s">
        <v>469</v>
      </c>
      <c r="G155" s="94" t="s">
        <v>469</v>
      </c>
      <c r="H155" s="94" t="s">
        <v>469</v>
      </c>
      <c r="I155" s="94" t="s">
        <v>469</v>
      </c>
      <c r="J155" s="94" t="s">
        <v>469</v>
      </c>
      <c r="K155" s="94" t="s">
        <v>469</v>
      </c>
      <c r="L155" s="36" t="s">
        <v>469</v>
      </c>
      <c r="M155" s="94" t="s">
        <v>469</v>
      </c>
      <c r="N155" s="94" t="s">
        <v>469</v>
      </c>
      <c r="O155" t="e">
        <f t="shared" si="20"/>
        <v>#VALUE!</v>
      </c>
      <c r="P155" s="8" t="s">
        <v>469</v>
      </c>
      <c r="Q155" s="51" t="e">
        <f>'Olsen P ref'!$B$76*'Soil samples'!AI155%</f>
        <v>#VALUE!</v>
      </c>
      <c r="R155" s="105" t="e">
        <f>'Olsen P ref'!$B$76*'Soil samples'!AH155%</f>
        <v>#VALUE!</v>
      </c>
      <c r="S155" s="51" t="e">
        <f>IF(O155-'Olsen P ref'!$K$68&gt;0,O155-'Olsen P ref'!$K$68,0)</f>
        <v>#VALUE!</v>
      </c>
      <c r="T155" s="8" t="e">
        <f t="shared" si="22"/>
        <v>#VALUE!</v>
      </c>
      <c r="U155" s="8" t="e">
        <f t="shared" si="23"/>
        <v>#VALUE!</v>
      </c>
      <c r="V155" t="e">
        <f>U155*('Olsen P ref'!$B$75+Q155)</f>
        <v>#VALUE!</v>
      </c>
      <c r="W155" t="e">
        <f t="shared" si="29"/>
        <v>#VALUE!</v>
      </c>
      <c r="X155" s="8" t="e">
        <f t="shared" si="24"/>
        <v>#VALUE!</v>
      </c>
      <c r="Y155" s="51" t="e">
        <f>W155*'Soil samples'!AK155/100</f>
        <v>#VALUE!</v>
      </c>
      <c r="Z155" s="105" t="e">
        <f t="shared" si="25"/>
        <v>#VALUE!</v>
      </c>
      <c r="AA155" s="51">
        <f>AM41</f>
        <v>0.64389901303580832</v>
      </c>
      <c r="AB155">
        <f>AM19</f>
        <v>234.6041625781871</v>
      </c>
      <c r="AC155">
        <f>(AB155/1000)*'Soil samples'!AR155/100</f>
        <v>0</v>
      </c>
      <c r="AD155" s="6">
        <f t="shared" si="28"/>
        <v>0</v>
      </c>
      <c r="AE155" s="6"/>
      <c r="AF155" s="6"/>
      <c r="AG155" s="6"/>
      <c r="AH155" s="6"/>
      <c r="AO155" t="e">
        <f>IF(S155&lt;'Olsen P ref'!$K$72,1,0)</f>
        <v>#VALUE!</v>
      </c>
    </row>
    <row r="156" spans="1:41">
      <c r="A156" s="6" t="s">
        <v>159</v>
      </c>
      <c r="B156" s="6" t="s">
        <v>548</v>
      </c>
      <c r="C156" t="s">
        <v>12</v>
      </c>
      <c r="D156" s="8">
        <v>2</v>
      </c>
      <c r="E156" s="3">
        <v>10</v>
      </c>
      <c r="F156" s="26">
        <v>42818</v>
      </c>
      <c r="G156" s="94">
        <v>1</v>
      </c>
      <c r="I156">
        <v>2</v>
      </c>
      <c r="J156">
        <v>11</v>
      </c>
      <c r="K156"/>
      <c r="L156" s="44">
        <v>2.5</v>
      </c>
      <c r="M156">
        <v>0.54716635901421695</v>
      </c>
      <c r="N156">
        <v>0.38900000000000001</v>
      </c>
      <c r="O156">
        <f t="shared" si="20"/>
        <v>1.0943327180284339</v>
      </c>
      <c r="Q156" s="51">
        <f>'Olsen P ref'!$B$76*'Soil samples'!AI156%</f>
        <v>2.3579253051021909</v>
      </c>
      <c r="R156" s="105">
        <f>'Olsen P ref'!$B$76*'Soil samples'!AH156%</f>
        <v>2.6420746948978091</v>
      </c>
      <c r="S156" s="51">
        <f>IF(O156-'Olsen P ref'!$K$68&gt;0,O156-'Olsen P ref'!$K$68,0)</f>
        <v>0.89497288742811321</v>
      </c>
      <c r="T156" s="8">
        <f t="shared" si="22"/>
        <v>8.9497288742811315E-4</v>
      </c>
      <c r="U156" s="8">
        <f t="shared" si="23"/>
        <v>8.9497288742811324E-3</v>
      </c>
      <c r="V156">
        <f>U156*('Olsen P ref'!$B$75+Q156)</f>
        <v>0.91607567961458447</v>
      </c>
      <c r="W156">
        <f t="shared" si="29"/>
        <v>0.34672588227109785</v>
      </c>
      <c r="X156" s="8">
        <f t="shared" si="24"/>
        <v>346.72588227109787</v>
      </c>
      <c r="Y156" s="51">
        <f>W156*'Soil samples'!AK156/100</f>
        <v>0.12724291189846576</v>
      </c>
      <c r="Z156" s="105">
        <f t="shared" si="25"/>
        <v>127.24291189846575</v>
      </c>
      <c r="AA156" s="51">
        <f t="shared" si="26"/>
        <v>0.89497288742811321</v>
      </c>
      <c r="AB156">
        <f t="shared" si="27"/>
        <v>346.72588227109787</v>
      </c>
      <c r="AC156">
        <f>(AB156/1000)*'Soil samples'!AR156/100</f>
        <v>0.12724291189846576</v>
      </c>
      <c r="AD156" s="6">
        <f t="shared" si="28"/>
        <v>127.24291189846575</v>
      </c>
      <c r="AE156" s="135"/>
      <c r="AF156" s="6"/>
      <c r="AG156" s="6"/>
      <c r="AH156" s="6"/>
      <c r="AO156">
        <f>IF(S156&lt;'Olsen P ref'!$K$72,1,0)</f>
        <v>0</v>
      </c>
    </row>
    <row r="157" spans="1:41">
      <c r="A157" s="6" t="s">
        <v>160</v>
      </c>
      <c r="B157" s="6" t="s">
        <v>548</v>
      </c>
      <c r="C157" t="s">
        <v>12</v>
      </c>
      <c r="D157" s="8">
        <v>2</v>
      </c>
      <c r="E157" s="3">
        <v>20</v>
      </c>
      <c r="F157" s="26">
        <v>42818</v>
      </c>
      <c r="G157" s="94">
        <v>1</v>
      </c>
      <c r="I157">
        <v>1</v>
      </c>
      <c r="J157">
        <v>10</v>
      </c>
      <c r="K157"/>
      <c r="L157" s="44">
        <v>5</v>
      </c>
      <c r="M157">
        <v>0.96600116584086304</v>
      </c>
      <c r="N157">
        <v>0.68700000000000006</v>
      </c>
      <c r="O157">
        <f t="shared" si="20"/>
        <v>0.96600116584086304</v>
      </c>
      <c r="Q157" s="51">
        <f>'Olsen P ref'!$B$76*'Soil samples'!AI157%</f>
        <v>2.5766368646882465</v>
      </c>
      <c r="R157" s="105">
        <f>'Olsen P ref'!$B$76*'Soil samples'!AH157%</f>
        <v>2.423363135311754</v>
      </c>
      <c r="S157" s="51">
        <f>IF(O157-'Olsen P ref'!$K$68&gt;0,O157-'Olsen P ref'!$K$68,0)</f>
        <v>0.76664133524054234</v>
      </c>
      <c r="T157" s="8">
        <f t="shared" si="22"/>
        <v>7.6664133524054234E-4</v>
      </c>
      <c r="U157" s="8">
        <f t="shared" si="23"/>
        <v>7.6664133524054238E-3</v>
      </c>
      <c r="V157">
        <f>U157*('Olsen P ref'!$B$75+Q157)</f>
        <v>0.78639489850428834</v>
      </c>
      <c r="W157">
        <f t="shared" si="29"/>
        <v>0.32450559598164491</v>
      </c>
      <c r="X157" s="8">
        <f t="shared" si="24"/>
        <v>324.50559598164489</v>
      </c>
      <c r="Y157" s="51">
        <f>W157*'Soil samples'!AK157/100</f>
        <v>0.12327526428953224</v>
      </c>
      <c r="Z157" s="105">
        <f t="shared" si="25"/>
        <v>123.27526428953223</v>
      </c>
      <c r="AA157" s="51">
        <f t="shared" si="26"/>
        <v>0.76664133524054234</v>
      </c>
      <c r="AB157">
        <f t="shared" si="27"/>
        <v>324.50559598164489</v>
      </c>
      <c r="AC157">
        <f>(AB157/1000)*'Soil samples'!AR157/100</f>
        <v>0.12327526428953224</v>
      </c>
      <c r="AD157" s="6">
        <f t="shared" si="28"/>
        <v>123.27526428953223</v>
      </c>
      <c r="AE157" s="135"/>
      <c r="AF157" s="6"/>
      <c r="AG157" s="6"/>
      <c r="AH157" s="6"/>
      <c r="AO157">
        <f>IF(S157&lt;'Olsen P ref'!$K$72,1,0)</f>
        <v>0</v>
      </c>
    </row>
    <row r="158" spans="1:41">
      <c r="A158" s="6" t="s">
        <v>161</v>
      </c>
      <c r="B158" s="6" t="s">
        <v>548</v>
      </c>
      <c r="C158" t="s">
        <v>12</v>
      </c>
      <c r="D158" s="8">
        <v>2</v>
      </c>
      <c r="E158" s="3">
        <v>30</v>
      </c>
      <c r="F158" s="26">
        <v>42818</v>
      </c>
      <c r="G158" s="94">
        <v>1</v>
      </c>
      <c r="I158">
        <v>2</v>
      </c>
      <c r="J158">
        <v>13</v>
      </c>
      <c r="K158"/>
      <c r="L158" s="44">
        <v>2.5</v>
      </c>
      <c r="M158">
        <v>0.65257780368535301</v>
      </c>
      <c r="N158">
        <v>0.46400000000000002</v>
      </c>
      <c r="O158">
        <f t="shared" ref="O158:O192" si="30">M158/L158*5</f>
        <v>1.305155607370706</v>
      </c>
      <c r="Q158" s="51">
        <f>'Olsen P ref'!$B$76*'Soil samples'!AI158%</f>
        <v>2.5017105142389884</v>
      </c>
      <c r="R158" s="105">
        <f>'Olsen P ref'!$B$76*'Soil samples'!AH158%</f>
        <v>2.4982894857610116</v>
      </c>
      <c r="S158" s="51">
        <f>IF(O158-'Olsen P ref'!$K$68&gt;0,O158-'Olsen P ref'!$K$68,0)</f>
        <v>1.1057957767703854</v>
      </c>
      <c r="T158" s="8">
        <f t="shared" si="22"/>
        <v>1.1057957767703853E-3</v>
      </c>
      <c r="U158" s="8">
        <f t="shared" si="23"/>
        <v>1.1057957767703854E-2</v>
      </c>
      <c r="V158">
        <f>U158*('Olsen P ref'!$B$75+Q158)</f>
        <v>1.1334595859838608</v>
      </c>
      <c r="W158">
        <f t="shared" si="29"/>
        <v>0.45369425458659135</v>
      </c>
      <c r="X158" s="8">
        <f t="shared" si="24"/>
        <v>453.69425458659134</v>
      </c>
      <c r="Y158" s="51">
        <f>W158*'Soil samples'!AK158/100</f>
        <v>0.19286948315101371</v>
      </c>
      <c r="Z158" s="105">
        <f t="shared" si="25"/>
        <v>192.8694831510137</v>
      </c>
      <c r="AA158" s="51">
        <f t="shared" si="26"/>
        <v>1.1057957767703854</v>
      </c>
      <c r="AB158">
        <f t="shared" si="27"/>
        <v>453.69425458659134</v>
      </c>
      <c r="AC158">
        <f>(AB158/1000)*'Soil samples'!AR158/100</f>
        <v>0.19286948315101371</v>
      </c>
      <c r="AD158" s="6">
        <f t="shared" si="28"/>
        <v>192.8694831510137</v>
      </c>
      <c r="AE158" s="135"/>
      <c r="AF158" s="6"/>
      <c r="AG158" s="6"/>
      <c r="AH158" s="6"/>
      <c r="AO158">
        <f>IF(S158&lt;'Olsen P ref'!$K$72,1,0)</f>
        <v>0</v>
      </c>
    </row>
    <row r="159" spans="1:41">
      <c r="A159" s="206" t="s">
        <v>162</v>
      </c>
      <c r="B159" s="6" t="s">
        <v>548</v>
      </c>
      <c r="C159" t="s">
        <v>12</v>
      </c>
      <c r="D159" s="8">
        <v>3</v>
      </c>
      <c r="E159" s="3">
        <v>5</v>
      </c>
      <c r="F159" s="8" t="s">
        <v>469</v>
      </c>
      <c r="G159" s="94" t="s">
        <v>469</v>
      </c>
      <c r="H159" s="94" t="s">
        <v>469</v>
      </c>
      <c r="I159" s="94" t="s">
        <v>469</v>
      </c>
      <c r="J159" s="94" t="s">
        <v>469</v>
      </c>
      <c r="K159" s="94" t="s">
        <v>469</v>
      </c>
      <c r="L159" s="36" t="s">
        <v>469</v>
      </c>
      <c r="M159" s="94" t="s">
        <v>469</v>
      </c>
      <c r="N159" s="94" t="s">
        <v>469</v>
      </c>
      <c r="O159" t="e">
        <f t="shared" si="30"/>
        <v>#VALUE!</v>
      </c>
      <c r="P159" s="8" t="s">
        <v>469</v>
      </c>
      <c r="Q159" s="51" t="e">
        <f>'Olsen P ref'!$B$76*'Soil samples'!AI159%</f>
        <v>#VALUE!</v>
      </c>
      <c r="R159" s="105" t="e">
        <f>'Olsen P ref'!$B$76*'Soil samples'!AH159%</f>
        <v>#VALUE!</v>
      </c>
      <c r="S159" s="51" t="e">
        <f>IF(O159-'Olsen P ref'!$K$68&gt;0,O159-'Olsen P ref'!$K$68,0)</f>
        <v>#VALUE!</v>
      </c>
      <c r="T159" s="8" t="e">
        <f t="shared" si="22"/>
        <v>#VALUE!</v>
      </c>
      <c r="U159" s="8" t="e">
        <f t="shared" si="23"/>
        <v>#VALUE!</v>
      </c>
      <c r="V159" t="e">
        <f>U159*('Olsen P ref'!$B$75+Q159)</f>
        <v>#VALUE!</v>
      </c>
      <c r="W159" t="e">
        <f t="shared" si="29"/>
        <v>#VALUE!</v>
      </c>
      <c r="X159" s="8" t="e">
        <f t="shared" si="24"/>
        <v>#VALUE!</v>
      </c>
      <c r="Y159" s="51" t="e">
        <f>W159*'Soil samples'!AK159/100</f>
        <v>#VALUE!</v>
      </c>
      <c r="Z159" s="105" t="e">
        <f t="shared" si="25"/>
        <v>#VALUE!</v>
      </c>
      <c r="AA159" s="51">
        <f>AM42</f>
        <v>0.64389901303580832</v>
      </c>
      <c r="AB159">
        <f>AM20</f>
        <v>234.6041625781871</v>
      </c>
      <c r="AC159">
        <f>(AB159/1000)*'Soil samples'!AR159/100</f>
        <v>3.2744964270016818E-3</v>
      </c>
      <c r="AD159" s="6">
        <f t="shared" si="28"/>
        <v>3.2744964270016816</v>
      </c>
      <c r="AE159" s="6"/>
      <c r="AF159" s="6"/>
      <c r="AG159" s="6"/>
      <c r="AH159" s="6"/>
      <c r="AO159" t="e">
        <f>IF(S159&lt;'Olsen P ref'!$K$72,1,0)</f>
        <v>#VALUE!</v>
      </c>
    </row>
    <row r="160" spans="1:41">
      <c r="A160" s="206" t="s">
        <v>163</v>
      </c>
      <c r="B160" s="6" t="s">
        <v>548</v>
      </c>
      <c r="C160" t="s">
        <v>12</v>
      </c>
      <c r="D160" s="8">
        <v>3</v>
      </c>
      <c r="E160" s="3">
        <v>10</v>
      </c>
      <c r="F160" s="8" t="s">
        <v>469</v>
      </c>
      <c r="G160" s="94" t="s">
        <v>469</v>
      </c>
      <c r="H160" s="94" t="s">
        <v>469</v>
      </c>
      <c r="I160" s="94" t="s">
        <v>469</v>
      </c>
      <c r="J160" s="94" t="s">
        <v>469</v>
      </c>
      <c r="K160" s="94" t="s">
        <v>469</v>
      </c>
      <c r="L160" s="36" t="s">
        <v>469</v>
      </c>
      <c r="M160" s="94" t="s">
        <v>469</v>
      </c>
      <c r="N160" s="94" t="s">
        <v>469</v>
      </c>
      <c r="O160" t="e">
        <f t="shared" si="30"/>
        <v>#VALUE!</v>
      </c>
      <c r="P160" s="8" t="s">
        <v>469</v>
      </c>
      <c r="Q160" s="51" t="e">
        <f>'Olsen P ref'!$B$76*'Soil samples'!AI160%</f>
        <v>#VALUE!</v>
      </c>
      <c r="R160" s="105" t="e">
        <f>'Olsen P ref'!$B$76*'Soil samples'!AH160%</f>
        <v>#VALUE!</v>
      </c>
      <c r="S160" s="51" t="e">
        <f>IF(O160-'Olsen P ref'!$K$68&gt;0,O160-'Olsen P ref'!$K$68,0)</f>
        <v>#VALUE!</v>
      </c>
      <c r="T160" s="8" t="e">
        <f t="shared" si="22"/>
        <v>#VALUE!</v>
      </c>
      <c r="U160" s="8" t="e">
        <f t="shared" si="23"/>
        <v>#VALUE!</v>
      </c>
      <c r="V160" t="e">
        <f>U160*('Olsen P ref'!$B$75+Q160)</f>
        <v>#VALUE!</v>
      </c>
      <c r="W160" t="e">
        <f t="shared" si="29"/>
        <v>#VALUE!</v>
      </c>
      <c r="X160" s="8" t="e">
        <f t="shared" si="24"/>
        <v>#VALUE!</v>
      </c>
      <c r="Y160" s="51" t="e">
        <f>W160*'Soil samples'!AK160/100</f>
        <v>#VALUE!</v>
      </c>
      <c r="Z160" s="105" t="e">
        <f t="shared" si="25"/>
        <v>#VALUE!</v>
      </c>
      <c r="AA160" s="51">
        <f>AM43</f>
        <v>0.78235862901219932</v>
      </c>
      <c r="AB160">
        <f>AM21</f>
        <v>311.20889559912609</v>
      </c>
      <c r="AC160">
        <f>(AB160/1000)*'Soil samples'!AR160/100</f>
        <v>3.4329719307589547E-3</v>
      </c>
      <c r="AD160" s="6">
        <f t="shared" si="28"/>
        <v>3.432971930758955</v>
      </c>
      <c r="AE160" s="6"/>
      <c r="AF160" s="6"/>
      <c r="AG160" s="6"/>
      <c r="AH160" s="6"/>
      <c r="AO160" t="e">
        <f>IF(S160&lt;'Olsen P ref'!$K$72,1,0)</f>
        <v>#VALUE!</v>
      </c>
    </row>
    <row r="161" spans="1:47">
      <c r="A161" s="6" t="s">
        <v>164</v>
      </c>
      <c r="B161" s="6" t="s">
        <v>548</v>
      </c>
      <c r="C161" t="s">
        <v>12</v>
      </c>
      <c r="D161" s="8">
        <v>3</v>
      </c>
      <c r="E161" s="3">
        <v>20</v>
      </c>
      <c r="F161" s="26">
        <v>42767</v>
      </c>
      <c r="G161" s="94">
        <v>1</v>
      </c>
      <c r="I161">
        <v>8</v>
      </c>
      <c r="J161">
        <v>1</v>
      </c>
      <c r="K161"/>
      <c r="L161" s="44">
        <v>2.5</v>
      </c>
      <c r="M161">
        <v>0.46221502047660501</v>
      </c>
      <c r="N161">
        <v>0.33200000000000002</v>
      </c>
      <c r="O161">
        <f t="shared" si="30"/>
        <v>0.92443004095321002</v>
      </c>
      <c r="Q161" s="51">
        <f>'Olsen P ref'!$B$76*'Soil samples'!AI161%</f>
        <v>2.5213610079624598</v>
      </c>
      <c r="R161" s="105">
        <f>'Olsen P ref'!$B$76*'Soil samples'!AH161%</f>
        <v>2.4786389920375402</v>
      </c>
      <c r="S161" s="51">
        <f>IF(O161-'Olsen P ref'!$K$68&gt;0,O161-'Olsen P ref'!$K$68,0)</f>
        <v>0.72507021035288932</v>
      </c>
      <c r="T161" s="8">
        <f t="shared" si="22"/>
        <v>7.2507021035288937E-4</v>
      </c>
      <c r="U161" s="8">
        <f t="shared" si="23"/>
        <v>7.2507021035288942E-3</v>
      </c>
      <c r="V161">
        <f>U161*('Olsen P ref'!$B$75+Q161)</f>
        <v>0.74335184791707853</v>
      </c>
      <c r="W161">
        <f t="shared" si="29"/>
        <v>0.29990323330870128</v>
      </c>
      <c r="X161" s="8">
        <f t="shared" si="24"/>
        <v>299.90323330870126</v>
      </c>
      <c r="Y161" s="51">
        <f>W161*'Soil samples'!AK161/100</f>
        <v>0.11523440346410549</v>
      </c>
      <c r="Z161" s="105">
        <f t="shared" si="25"/>
        <v>115.23440346410548</v>
      </c>
      <c r="AA161" s="51">
        <f t="shared" si="26"/>
        <v>0.72507021035288932</v>
      </c>
      <c r="AB161">
        <f t="shared" si="27"/>
        <v>299.90323330870126</v>
      </c>
      <c r="AC161">
        <f>(AB161/1000)*'Soil samples'!AR161/100</f>
        <v>0.11523440346410549</v>
      </c>
      <c r="AD161" s="6">
        <f t="shared" si="28"/>
        <v>115.23440346410548</v>
      </c>
      <c r="AE161" s="135"/>
      <c r="AF161" s="6"/>
      <c r="AG161" s="6"/>
      <c r="AH161" s="6"/>
      <c r="AO161">
        <f>IF(S161&lt;'Olsen P ref'!$K$72,1,0)</f>
        <v>0</v>
      </c>
    </row>
    <row r="162" spans="1:47">
      <c r="A162" s="6" t="s">
        <v>165</v>
      </c>
      <c r="B162" s="6" t="s">
        <v>548</v>
      </c>
      <c r="C162" t="s">
        <v>12</v>
      </c>
      <c r="D162" s="8">
        <v>3</v>
      </c>
      <c r="E162" s="3">
        <v>30</v>
      </c>
      <c r="F162" s="26">
        <v>42767</v>
      </c>
      <c r="G162" s="94">
        <v>1</v>
      </c>
      <c r="I162">
        <v>7</v>
      </c>
      <c r="J162">
        <v>17</v>
      </c>
      <c r="K162"/>
      <c r="L162" s="44">
        <v>2.5</v>
      </c>
      <c r="M162">
        <v>0.48180806810486598</v>
      </c>
      <c r="N162">
        <v>0.34599999999999997</v>
      </c>
      <c r="O162">
        <f t="shared" si="30"/>
        <v>0.96361613620973197</v>
      </c>
      <c r="Q162" s="51">
        <f>'Olsen P ref'!$B$76*'Soil samples'!AI162%</f>
        <v>2.2987955698396196</v>
      </c>
      <c r="R162" s="105">
        <f>'Olsen P ref'!$B$76*'Soil samples'!AH162%</f>
        <v>2.7012044301603804</v>
      </c>
      <c r="S162" s="51">
        <f>IF(O162-'Olsen P ref'!$K$68&gt;0,O162-'Olsen P ref'!$K$68,0)</f>
        <v>0.76425630560941127</v>
      </c>
      <c r="T162" s="8">
        <f t="shared" si="22"/>
        <v>7.6425630560941131E-4</v>
      </c>
      <c r="U162" s="8">
        <f t="shared" si="23"/>
        <v>7.6425630560941135E-3</v>
      </c>
      <c r="V162">
        <f>U162*('Olsen P ref'!$B$75+Q162)</f>
        <v>0.78182499570498054</v>
      </c>
      <c r="W162">
        <f t="shared" si="29"/>
        <v>0.2894357002289385</v>
      </c>
      <c r="X162" s="8">
        <f t="shared" si="24"/>
        <v>289.43570022893852</v>
      </c>
      <c r="Y162" s="51">
        <f>W162*'Soil samples'!AK162/100</f>
        <v>0.13703828524716896</v>
      </c>
      <c r="Z162" s="105">
        <f t="shared" si="25"/>
        <v>137.03828524716897</v>
      </c>
      <c r="AA162" s="51">
        <f t="shared" si="26"/>
        <v>0.76425630560941127</v>
      </c>
      <c r="AB162">
        <f t="shared" si="27"/>
        <v>289.43570022893852</v>
      </c>
      <c r="AC162">
        <f>(AB162/1000)*'Soil samples'!AR162/100</f>
        <v>0.13703828524716896</v>
      </c>
      <c r="AD162" s="6">
        <f t="shared" si="28"/>
        <v>137.03828524716897</v>
      </c>
      <c r="AE162" s="135"/>
      <c r="AF162" s="6"/>
      <c r="AG162" s="6"/>
      <c r="AH162" s="6"/>
      <c r="AO162">
        <f>IF(S162&lt;'Olsen P ref'!$K$72,1,0)</f>
        <v>0</v>
      </c>
    </row>
    <row r="163" spans="1:47" s="110" customFormat="1">
      <c r="A163" s="111" t="s">
        <v>166</v>
      </c>
      <c r="B163" s="111" t="s">
        <v>548</v>
      </c>
      <c r="C163" s="110" t="s">
        <v>12</v>
      </c>
      <c r="D163" s="111">
        <v>4</v>
      </c>
      <c r="E163" s="112">
        <v>5</v>
      </c>
      <c r="F163" s="113">
        <v>42776</v>
      </c>
      <c r="G163" s="114">
        <v>1</v>
      </c>
      <c r="H163" s="112"/>
      <c r="I163" s="110">
        <v>7</v>
      </c>
      <c r="J163" s="110">
        <v>1</v>
      </c>
      <c r="L163" s="115">
        <v>2.5</v>
      </c>
      <c r="M163" s="116">
        <v>0.42162942181806451</v>
      </c>
      <c r="N163" s="117">
        <v>0.30299999999999999</v>
      </c>
      <c r="O163">
        <f t="shared" si="30"/>
        <v>0.84325884363612902</v>
      </c>
      <c r="P163" s="112"/>
      <c r="Q163" s="51">
        <f>'Olsen P ref'!$B$76*'Soil samples'!AI163%</f>
        <v>2.1951330867917633</v>
      </c>
      <c r="R163" s="105">
        <f>'Olsen P ref'!$B$76*'Soil samples'!AH163%</f>
        <v>2.8048669132082367</v>
      </c>
      <c r="S163" s="51">
        <f>IF(O163-'Olsen P ref'!$K$68&gt;0,O163-'Olsen P ref'!$K$68,0)</f>
        <v>0.64389901303580832</v>
      </c>
      <c r="T163" s="8">
        <f t="shared" si="22"/>
        <v>6.438990130358083E-4</v>
      </c>
      <c r="U163" s="8">
        <f t="shared" si="23"/>
        <v>6.4389901303580823E-3</v>
      </c>
      <c r="V163">
        <f>U163*('Olsen P ref'!$B$75+Q163)</f>
        <v>0.65803345331648289</v>
      </c>
      <c r="W163">
        <f t="shared" si="29"/>
        <v>0.23460416257818709</v>
      </c>
      <c r="X163" s="8">
        <f t="shared" si="24"/>
        <v>234.6041625781871</v>
      </c>
      <c r="Y163" s="51">
        <f>W163*'Soil samples'!AK163/100</f>
        <v>3.6757748702258668E-2</v>
      </c>
      <c r="Z163" s="105">
        <f t="shared" si="25"/>
        <v>36.757748702258667</v>
      </c>
      <c r="AA163" s="51">
        <f t="shared" si="26"/>
        <v>0.64389901303580832</v>
      </c>
      <c r="AB163">
        <f t="shared" si="27"/>
        <v>234.6041625781871</v>
      </c>
      <c r="AC163">
        <f>(AB163/1000)*'Soil samples'!AR163/100</f>
        <v>3.6757748702258675E-2</v>
      </c>
      <c r="AD163" s="6">
        <f t="shared" si="28"/>
        <v>36.757748702258674</v>
      </c>
      <c r="AE163" s="135"/>
      <c r="AF163" s="6"/>
      <c r="AG163" s="6"/>
      <c r="AH163" s="6"/>
      <c r="AJ163" s="6"/>
      <c r="AK163" s="6"/>
      <c r="AL163" s="59"/>
      <c r="AM163" s="6"/>
      <c r="AN163" s="59"/>
      <c r="AO163">
        <f>IF(S163&lt;'Olsen P ref'!$K$72,1,0)</f>
        <v>0</v>
      </c>
      <c r="AP163" s="59"/>
      <c r="AQ163" s="59"/>
      <c r="AR163"/>
      <c r="AS163"/>
      <c r="AT163"/>
      <c r="AU163" s="6"/>
    </row>
    <row r="164" spans="1:47">
      <c r="A164" s="6" t="s">
        <v>167</v>
      </c>
      <c r="B164" s="6" t="s">
        <v>548</v>
      </c>
      <c r="C164" t="s">
        <v>12</v>
      </c>
      <c r="D164" s="8">
        <v>4</v>
      </c>
      <c r="E164" s="3">
        <v>10</v>
      </c>
      <c r="F164" s="26">
        <v>42776</v>
      </c>
      <c r="G164" s="93">
        <v>1</v>
      </c>
      <c r="I164">
        <v>3</v>
      </c>
      <c r="J164">
        <v>14</v>
      </c>
      <c r="K164"/>
      <c r="L164" s="44">
        <v>2.5</v>
      </c>
      <c r="M164">
        <v>0.40380679426147198</v>
      </c>
      <c r="N164">
        <v>0.28699999999999998</v>
      </c>
      <c r="O164">
        <f t="shared" si="30"/>
        <v>0.80761358852294396</v>
      </c>
      <c r="Q164" s="51">
        <f>'Olsen P ref'!$B$76*'Soil samples'!AI164%</f>
        <v>2.0169715720563177</v>
      </c>
      <c r="R164" s="105">
        <f>'Olsen P ref'!$B$76*'Soil samples'!AH164%</f>
        <v>2.9830284279436818</v>
      </c>
      <c r="S164" s="51">
        <f>IF(O164-'Olsen P ref'!$K$68&gt;0,O164-'Olsen P ref'!$K$68,0)</f>
        <v>0.60825375792262326</v>
      </c>
      <c r="T164" s="8">
        <f t="shared" si="22"/>
        <v>6.0825375792262321E-4</v>
      </c>
      <c r="U164" s="8">
        <f t="shared" si="23"/>
        <v>6.0825375792262319E-3</v>
      </c>
      <c r="V164">
        <f>U164*('Olsen P ref'!$B$75+Q164)</f>
        <v>0.62052206330588677</v>
      </c>
      <c r="W164">
        <f t="shared" si="29"/>
        <v>0.20801748233208656</v>
      </c>
      <c r="X164" s="8">
        <f t="shared" si="24"/>
        <v>208.01748233208656</v>
      </c>
      <c r="Y164" s="51">
        <f>W164*'Soil samples'!AK164/100</f>
        <v>4.8512414909254203E-2</v>
      </c>
      <c r="Z164" s="105">
        <f t="shared" si="25"/>
        <v>48.512414909254204</v>
      </c>
      <c r="AA164" s="51">
        <f t="shared" si="26"/>
        <v>0.60825375792262326</v>
      </c>
      <c r="AB164">
        <f t="shared" si="27"/>
        <v>208.01748233208656</v>
      </c>
      <c r="AC164">
        <f>(AB164/1000)*'Soil samples'!AR164/100</f>
        <v>4.8512414909254203E-2</v>
      </c>
      <c r="AD164" s="6">
        <f t="shared" si="28"/>
        <v>48.512414909254204</v>
      </c>
      <c r="AE164" s="135"/>
      <c r="AF164" s="6"/>
      <c r="AG164" s="6"/>
      <c r="AH164" s="6"/>
      <c r="AO164">
        <f>IF(S164&lt;'Olsen P ref'!$K$72,1,0)</f>
        <v>0</v>
      </c>
    </row>
    <row r="165" spans="1:47">
      <c r="A165" s="6" t="s">
        <v>168</v>
      </c>
      <c r="B165" s="6" t="s">
        <v>548</v>
      </c>
      <c r="C165" t="s">
        <v>12</v>
      </c>
      <c r="D165" s="8">
        <v>4</v>
      </c>
      <c r="E165" s="3">
        <v>20</v>
      </c>
      <c r="F165" s="26">
        <v>42776</v>
      </c>
      <c r="G165" s="93">
        <v>1</v>
      </c>
      <c r="I165">
        <v>4</v>
      </c>
      <c r="J165">
        <v>3</v>
      </c>
      <c r="K165"/>
      <c r="L165" s="44">
        <v>2.5</v>
      </c>
      <c r="M165">
        <v>0.51959465995936904</v>
      </c>
      <c r="N165">
        <v>0.373</v>
      </c>
      <c r="O165">
        <f t="shared" si="30"/>
        <v>1.0391893199187381</v>
      </c>
      <c r="Q165" s="51">
        <f>'Olsen P ref'!$B$76*'Soil samples'!AI165%</f>
        <v>2.2373301198366469</v>
      </c>
      <c r="R165" s="105">
        <f>'Olsen P ref'!$B$76*'Soil samples'!AH165%</f>
        <v>2.7626698801633531</v>
      </c>
      <c r="S165" s="51">
        <f>IF(O165-'Olsen P ref'!$K$68&gt;0,O165-'Olsen P ref'!$K$68,0)</f>
        <v>0.83982948931841739</v>
      </c>
      <c r="T165" s="8">
        <f t="shared" si="22"/>
        <v>8.3982948931841743E-4</v>
      </c>
      <c r="U165" s="8">
        <f t="shared" si="23"/>
        <v>8.3982948931841748E-3</v>
      </c>
      <c r="V165">
        <f>U165*('Olsen P ref'!$B$75+Q165)</f>
        <v>0.85861924743820872</v>
      </c>
      <c r="W165">
        <f t="shared" si="29"/>
        <v>0.3107932850042292</v>
      </c>
      <c r="X165" s="8">
        <f t="shared" si="24"/>
        <v>310.79328500422918</v>
      </c>
      <c r="Y165" s="51">
        <f>W165*'Soil samples'!AK165/100</f>
        <v>0.10196962182576165</v>
      </c>
      <c r="Z165" s="105">
        <f t="shared" si="25"/>
        <v>101.96962182576166</v>
      </c>
      <c r="AA165" s="51">
        <f t="shared" si="26"/>
        <v>0.83982948931841739</v>
      </c>
      <c r="AB165">
        <f t="shared" si="27"/>
        <v>310.79328500422918</v>
      </c>
      <c r="AC165">
        <f>(AB165/1000)*'Soil samples'!AR165/100</f>
        <v>0.10196962182576165</v>
      </c>
      <c r="AD165" s="6">
        <f t="shared" si="28"/>
        <v>101.96962182576166</v>
      </c>
      <c r="AE165" s="135"/>
      <c r="AF165" s="6"/>
      <c r="AG165" s="6"/>
      <c r="AH165" s="6"/>
      <c r="AO165">
        <f>IF(S165&lt;'Olsen P ref'!$K$72,1,0)</f>
        <v>0</v>
      </c>
    </row>
    <row r="166" spans="1:47">
      <c r="A166" s="6" t="s">
        <v>169</v>
      </c>
      <c r="B166" s="6" t="s">
        <v>548</v>
      </c>
      <c r="C166" t="s">
        <v>12</v>
      </c>
      <c r="D166" s="8">
        <v>4</v>
      </c>
      <c r="E166" s="3">
        <v>30</v>
      </c>
      <c r="F166" s="26">
        <v>42776</v>
      </c>
      <c r="G166" s="93">
        <v>1</v>
      </c>
      <c r="I166">
        <v>4</v>
      </c>
      <c r="J166">
        <v>2</v>
      </c>
      <c r="K166"/>
      <c r="L166" s="44">
        <v>2.5</v>
      </c>
      <c r="M166">
        <v>0.64834897294508398</v>
      </c>
      <c r="N166">
        <v>0.46500000000000002</v>
      </c>
      <c r="O166">
        <f t="shared" si="30"/>
        <v>1.296697945890168</v>
      </c>
      <c r="Q166" s="51">
        <f>'Olsen P ref'!$B$76*'Soil samples'!AI166%</f>
        <v>2.1305978380763295</v>
      </c>
      <c r="R166" s="105">
        <f>'Olsen P ref'!$B$76*'Soil samples'!AH166%</f>
        <v>2.8694021619236709</v>
      </c>
      <c r="S166" s="51">
        <f>IF(O166-'Olsen P ref'!$K$68&gt;0,O166-'Olsen P ref'!$K$68,0)</f>
        <v>1.0973381152898474</v>
      </c>
      <c r="T166" s="8">
        <f t="shared" si="22"/>
        <v>1.0973381152898473E-3</v>
      </c>
      <c r="U166" s="8">
        <f t="shared" si="23"/>
        <v>1.0973381152898472E-2</v>
      </c>
      <c r="V166">
        <f>U166*('Olsen P ref'!$B$75+Q166)</f>
        <v>1.1207179774506002</v>
      </c>
      <c r="W166">
        <f t="shared" si="29"/>
        <v>0.39057542798366807</v>
      </c>
      <c r="X166" s="8">
        <f t="shared" si="24"/>
        <v>390.57542798366808</v>
      </c>
      <c r="Y166" s="51">
        <f>W166*'Soil samples'!AK166/100</f>
        <v>0.16824218277488409</v>
      </c>
      <c r="Z166" s="105">
        <f t="shared" si="25"/>
        <v>168.2421827748841</v>
      </c>
      <c r="AA166" s="51">
        <f t="shared" si="26"/>
        <v>1.0973381152898474</v>
      </c>
      <c r="AB166">
        <f t="shared" si="27"/>
        <v>390.57542798366808</v>
      </c>
      <c r="AC166">
        <f>(AB166/1000)*'Soil samples'!AR166/100</f>
        <v>0.16824218277488409</v>
      </c>
      <c r="AD166" s="6">
        <f t="shared" si="28"/>
        <v>168.2421827748841</v>
      </c>
      <c r="AE166" s="135"/>
      <c r="AF166" s="6"/>
      <c r="AG166" s="6"/>
      <c r="AH166" s="6"/>
      <c r="AO166">
        <f>IF(S166&lt;'Olsen P ref'!$K$72,1,0)</f>
        <v>0</v>
      </c>
    </row>
    <row r="167" spans="1:47">
      <c r="A167" s="206" t="s">
        <v>170</v>
      </c>
      <c r="B167" s="6" t="s">
        <v>548</v>
      </c>
      <c r="C167" t="s">
        <v>12</v>
      </c>
      <c r="D167" s="8">
        <v>5</v>
      </c>
      <c r="E167" s="3">
        <v>5</v>
      </c>
      <c r="F167" s="25" t="s">
        <v>469</v>
      </c>
      <c r="G167" s="96" t="s">
        <v>469</v>
      </c>
      <c r="H167" s="8" t="s">
        <v>469</v>
      </c>
      <c r="I167" s="8" t="s">
        <v>469</v>
      </c>
      <c r="J167" s="8" t="s">
        <v>469</v>
      </c>
      <c r="K167" s="8" t="s">
        <v>469</v>
      </c>
      <c r="L167" s="36" t="s">
        <v>469</v>
      </c>
      <c r="M167" s="8" t="s">
        <v>469</v>
      </c>
      <c r="N167" s="8" t="s">
        <v>469</v>
      </c>
      <c r="O167" t="e">
        <f t="shared" si="30"/>
        <v>#VALUE!</v>
      </c>
      <c r="P167" s="8" t="s">
        <v>469</v>
      </c>
      <c r="Q167" s="51" t="e">
        <f>'Olsen P ref'!$B$76*'Soil samples'!AI167%</f>
        <v>#VALUE!</v>
      </c>
      <c r="R167" s="105" t="e">
        <f>'Olsen P ref'!$B$76*'Soil samples'!AH167%</f>
        <v>#VALUE!</v>
      </c>
      <c r="S167" s="51" t="e">
        <f>IF(O167-'Olsen P ref'!$K$68&gt;0,O167-'Olsen P ref'!$K$68,0)</f>
        <v>#VALUE!</v>
      </c>
      <c r="T167" s="8" t="e">
        <f t="shared" si="22"/>
        <v>#VALUE!</v>
      </c>
      <c r="U167" s="8" t="e">
        <f t="shared" si="23"/>
        <v>#VALUE!</v>
      </c>
      <c r="V167" t="e">
        <f>U167*('Olsen P ref'!$B$75+Q167)</f>
        <v>#VALUE!</v>
      </c>
      <c r="W167" t="e">
        <f t="shared" si="29"/>
        <v>#VALUE!</v>
      </c>
      <c r="X167" s="8" t="e">
        <f t="shared" si="24"/>
        <v>#VALUE!</v>
      </c>
      <c r="Y167" s="51" t="e">
        <f>W167*'Soil samples'!AK167/100</f>
        <v>#VALUE!</v>
      </c>
      <c r="Z167" s="105" t="e">
        <f t="shared" si="25"/>
        <v>#VALUE!</v>
      </c>
      <c r="AA167" s="51">
        <f>AM44</f>
        <v>0.64389901303580832</v>
      </c>
      <c r="AB167">
        <f>AM22</f>
        <v>234.6041625781871</v>
      </c>
      <c r="AC167">
        <f>(AB167/1000)*'Soil samples'!AR167/100</f>
        <v>4.1016183618498821E-3</v>
      </c>
      <c r="AD167" s="6">
        <f t="shared" si="28"/>
        <v>4.1016183618498818</v>
      </c>
      <c r="AE167" s="6"/>
      <c r="AF167" s="6"/>
      <c r="AG167" s="6"/>
      <c r="AH167" s="6"/>
      <c r="AO167" t="e">
        <f>IF(S167&lt;'Olsen P ref'!$K$72,1,0)</f>
        <v>#VALUE!</v>
      </c>
    </row>
    <row r="168" spans="1:47">
      <c r="A168" s="6" t="s">
        <v>171</v>
      </c>
      <c r="B168" s="6" t="s">
        <v>548</v>
      </c>
      <c r="C168" t="s">
        <v>12</v>
      </c>
      <c r="D168" s="8">
        <v>5</v>
      </c>
      <c r="E168" s="3">
        <v>10</v>
      </c>
      <c r="F168" s="25">
        <v>42753</v>
      </c>
      <c r="G168" s="94">
        <v>3</v>
      </c>
      <c r="I168">
        <v>11</v>
      </c>
      <c r="J168">
        <v>18</v>
      </c>
      <c r="K168"/>
      <c r="L168" s="44">
        <v>2.5</v>
      </c>
      <c r="M168">
        <v>0.50891778470146898</v>
      </c>
      <c r="N168">
        <v>0.36699999999999999</v>
      </c>
      <c r="O168">
        <f t="shared" si="30"/>
        <v>1.017835569402938</v>
      </c>
      <c r="Q168" s="51">
        <f>'Olsen P ref'!$B$76*'Soil samples'!AI168%</f>
        <v>2.1512103369316331</v>
      </c>
      <c r="R168" s="105">
        <f>'Olsen P ref'!$B$76*'Soil samples'!AH168%</f>
        <v>2.8487896630683673</v>
      </c>
      <c r="S168" s="51">
        <f>IF(O168-'Olsen P ref'!$K$68&gt;0,O168-'Olsen P ref'!$K$68,0)</f>
        <v>0.81847573880261726</v>
      </c>
      <c r="T168" s="8">
        <f t="shared" si="22"/>
        <v>8.1847573880261721E-4</v>
      </c>
      <c r="U168" s="8">
        <f t="shared" si="23"/>
        <v>8.1847573880261711E-3</v>
      </c>
      <c r="V168">
        <f>U168*('Olsen P ref'!$B$75+Q168)</f>
        <v>0.83608287350101651</v>
      </c>
      <c r="W168">
        <f t="shared" si="29"/>
        <v>0.29348704972500161</v>
      </c>
      <c r="X168" s="8">
        <f t="shared" si="24"/>
        <v>293.48704972500161</v>
      </c>
      <c r="Y168" s="51">
        <f>W168*'Soil samples'!AK168/100</f>
        <v>0.12300451234946955</v>
      </c>
      <c r="Z168" s="105">
        <f t="shared" si="25"/>
        <v>123.00451234946955</v>
      </c>
      <c r="AA168" s="51">
        <f t="shared" si="26"/>
        <v>0.81847573880261726</v>
      </c>
      <c r="AB168">
        <f t="shared" si="27"/>
        <v>293.48704972500161</v>
      </c>
      <c r="AC168">
        <f>(AB168/1000)*'Soil samples'!AR168/100</f>
        <v>0.12300451234946955</v>
      </c>
      <c r="AD168" s="6">
        <f t="shared" si="28"/>
        <v>123.00451234946955</v>
      </c>
      <c r="AE168" s="135"/>
      <c r="AF168" s="6"/>
      <c r="AG168" s="6"/>
      <c r="AH168" s="6"/>
      <c r="AO168">
        <f>IF(S168&lt;'Olsen P ref'!$K$72,1,0)</f>
        <v>0</v>
      </c>
    </row>
    <row r="169" spans="1:47">
      <c r="A169" s="6" t="s">
        <v>172</v>
      </c>
      <c r="B169" s="6" t="s">
        <v>548</v>
      </c>
      <c r="C169" t="s">
        <v>12</v>
      </c>
      <c r="D169" s="8">
        <v>5</v>
      </c>
      <c r="E169" s="3">
        <v>20</v>
      </c>
      <c r="F169" s="25">
        <v>42753</v>
      </c>
      <c r="G169" s="94">
        <v>2</v>
      </c>
      <c r="I169">
        <v>7</v>
      </c>
      <c r="J169">
        <v>11</v>
      </c>
      <c r="K169"/>
      <c r="L169" s="44">
        <v>2.5</v>
      </c>
      <c r="M169">
        <v>0.32226468027474098</v>
      </c>
      <c r="N169">
        <v>0.23200000000000001</v>
      </c>
      <c r="O169">
        <f t="shared" si="30"/>
        <v>0.64452936054948196</v>
      </c>
      <c r="Q169" s="51">
        <f>'Olsen P ref'!$B$76*'Soil samples'!AI169%</f>
        <v>2.436636595898618</v>
      </c>
      <c r="R169" s="105">
        <f>'Olsen P ref'!$B$76*'Soil samples'!AH169%</f>
        <v>2.563363404101382</v>
      </c>
      <c r="S169" s="51">
        <f>IF(O169-'Olsen P ref'!$K$68&gt;0,O169-'Olsen P ref'!$K$68,0)</f>
        <v>0.44516952994916126</v>
      </c>
      <c r="T169" s="8">
        <f t="shared" si="22"/>
        <v>4.4516952994916125E-4</v>
      </c>
      <c r="U169" s="8">
        <f t="shared" si="23"/>
        <v>4.4516952994916124E-3</v>
      </c>
      <c r="V169">
        <f>U169*('Olsen P ref'!$B$75+Q169)</f>
        <v>0.45601669362969238</v>
      </c>
      <c r="W169">
        <f t="shared" si="29"/>
        <v>0.17789779353956039</v>
      </c>
      <c r="X169" s="8">
        <f t="shared" si="24"/>
        <v>177.89779353956038</v>
      </c>
      <c r="Y169" s="51">
        <f>W169*'Soil samples'!AK169/100</f>
        <v>6.4307474135659209E-2</v>
      </c>
      <c r="Z169" s="105">
        <f t="shared" si="25"/>
        <v>64.30747413565922</v>
      </c>
      <c r="AA169" s="51">
        <f t="shared" si="26"/>
        <v>0.44516952994916126</v>
      </c>
      <c r="AB169">
        <f t="shared" si="27"/>
        <v>177.89779353956038</v>
      </c>
      <c r="AC169">
        <f>(AB169/1000)*'Soil samples'!AR169/100</f>
        <v>6.4307474135659209E-2</v>
      </c>
      <c r="AD169" s="6">
        <f t="shared" si="28"/>
        <v>64.30747413565922</v>
      </c>
      <c r="AE169" s="135"/>
      <c r="AF169" s="6"/>
      <c r="AG169" s="6"/>
      <c r="AH169" s="6"/>
      <c r="AO169">
        <f>IF(S169&lt;'Olsen P ref'!$K$72,1,0)</f>
        <v>0</v>
      </c>
    </row>
    <row r="170" spans="1:47">
      <c r="A170" s="6" t="s">
        <v>173</v>
      </c>
      <c r="B170" s="6" t="s">
        <v>548</v>
      </c>
      <c r="C170" t="s">
        <v>12</v>
      </c>
      <c r="D170" s="8">
        <v>5</v>
      </c>
      <c r="E170" s="3">
        <v>30</v>
      </c>
      <c r="F170" s="25">
        <v>42753</v>
      </c>
      <c r="G170" s="94">
        <v>2</v>
      </c>
      <c r="I170">
        <v>7</v>
      </c>
      <c r="J170">
        <v>3</v>
      </c>
      <c r="K170"/>
      <c r="L170" s="44">
        <v>2.5</v>
      </c>
      <c r="M170">
        <v>0.56437876882396598</v>
      </c>
      <c r="N170">
        <v>0.40500000000000003</v>
      </c>
      <c r="O170">
        <f t="shared" si="30"/>
        <v>1.128757537647932</v>
      </c>
      <c r="Q170" s="51">
        <f>'Olsen P ref'!$B$76*'Soil samples'!AI170%</f>
        <v>2.1535960509297167</v>
      </c>
      <c r="R170" s="105">
        <f>'Olsen P ref'!$B$76*'Soil samples'!AH170%</f>
        <v>2.8464039490702833</v>
      </c>
      <c r="S170" s="51">
        <f>IF(O170-'Olsen P ref'!$K$68&gt;0,O170-'Olsen P ref'!$K$68,0)</f>
        <v>0.92939770704761127</v>
      </c>
      <c r="T170" s="8">
        <f t="shared" si="22"/>
        <v>9.2939770704761132E-4</v>
      </c>
      <c r="U170" s="8">
        <f t="shared" si="23"/>
        <v>9.2939770704761129E-3</v>
      </c>
      <c r="V170">
        <f>U170*('Olsen P ref'!$B$75+Q170)</f>
        <v>0.94941317936402003</v>
      </c>
      <c r="W170">
        <f t="shared" si="29"/>
        <v>0.33354829333838071</v>
      </c>
      <c r="X170" s="8">
        <f t="shared" si="24"/>
        <v>333.54829333838069</v>
      </c>
      <c r="Y170" s="51">
        <f>W170*'Soil samples'!AK170/100</f>
        <v>0.12841762664077733</v>
      </c>
      <c r="Z170" s="105">
        <f t="shared" si="25"/>
        <v>128.41762664077731</v>
      </c>
      <c r="AA170" s="51">
        <f t="shared" si="26"/>
        <v>0.92939770704761127</v>
      </c>
      <c r="AB170">
        <f t="shared" si="27"/>
        <v>333.54829333838069</v>
      </c>
      <c r="AC170">
        <f>(AB170/1000)*'Soil samples'!AR170/100</f>
        <v>0.12841762664077733</v>
      </c>
      <c r="AD170" s="6">
        <f t="shared" si="28"/>
        <v>128.41762664077731</v>
      </c>
      <c r="AE170" s="135"/>
      <c r="AF170" s="6"/>
      <c r="AG170" s="6"/>
      <c r="AH170" s="6"/>
      <c r="AO170">
        <f>IF(S170&lt;'Olsen P ref'!$K$72,1,0)</f>
        <v>0</v>
      </c>
    </row>
    <row r="171" spans="1:47">
      <c r="A171" s="206" t="s">
        <v>174</v>
      </c>
      <c r="B171" s="6" t="s">
        <v>548</v>
      </c>
      <c r="C171" t="s">
        <v>12</v>
      </c>
      <c r="D171" s="8">
        <v>6</v>
      </c>
      <c r="E171" s="3">
        <v>5</v>
      </c>
      <c r="F171" s="8" t="s">
        <v>469</v>
      </c>
      <c r="G171" s="94" t="s">
        <v>469</v>
      </c>
      <c r="H171" s="8" t="s">
        <v>469</v>
      </c>
      <c r="I171" s="8" t="s">
        <v>469</v>
      </c>
      <c r="J171" s="8" t="s">
        <v>469</v>
      </c>
      <c r="K171" s="8" t="s">
        <v>469</v>
      </c>
      <c r="L171" s="36" t="s">
        <v>469</v>
      </c>
      <c r="M171" s="8" t="s">
        <v>469</v>
      </c>
      <c r="N171" s="8" t="s">
        <v>469</v>
      </c>
      <c r="O171" t="e">
        <f t="shared" si="30"/>
        <v>#VALUE!</v>
      </c>
      <c r="P171" s="8" t="s">
        <v>469</v>
      </c>
      <c r="Q171" s="51">
        <f>'Olsen P ref'!$B$76*'Soil samples'!AI171%</f>
        <v>2.696422601136744</v>
      </c>
      <c r="R171" s="105">
        <f>'Olsen P ref'!$B$76*'Soil samples'!AH171%</f>
        <v>2.303577398863256</v>
      </c>
      <c r="S171" s="51" t="e">
        <f>IF(O171-'Olsen P ref'!$K$68&gt;0,O171-'Olsen P ref'!$K$68,0)</f>
        <v>#VALUE!</v>
      </c>
      <c r="T171" s="8" t="e">
        <f t="shared" si="22"/>
        <v>#VALUE!</v>
      </c>
      <c r="U171" s="8" t="e">
        <f t="shared" si="23"/>
        <v>#VALUE!</v>
      </c>
      <c r="V171" t="e">
        <f>U171*('Olsen P ref'!$B$75+Q171)</f>
        <v>#VALUE!</v>
      </c>
      <c r="W171" t="e">
        <f t="shared" si="29"/>
        <v>#VALUE!</v>
      </c>
      <c r="X171" s="8" t="e">
        <f t="shared" si="24"/>
        <v>#VALUE!</v>
      </c>
      <c r="Y171" s="51" t="e">
        <f>W171*'Soil samples'!AK171/100</f>
        <v>#VALUE!</v>
      </c>
      <c r="Z171" s="105" t="e">
        <f t="shared" si="25"/>
        <v>#VALUE!</v>
      </c>
      <c r="AA171" s="51">
        <f>AM45</f>
        <v>0.64389901303580832</v>
      </c>
      <c r="AB171">
        <f>AM23</f>
        <v>234.6041625781871</v>
      </c>
      <c r="AC171">
        <f>(AB171/1000)*'Soil samples'!AR171/100</f>
        <v>3.4479360412719672E-3</v>
      </c>
      <c r="AD171" s="6">
        <f t="shared" si="28"/>
        <v>3.4479360412719671</v>
      </c>
      <c r="AE171" s="6"/>
      <c r="AF171" s="6"/>
      <c r="AG171" s="6"/>
      <c r="AH171" s="6"/>
      <c r="AO171" t="e">
        <f>IF(S171&lt;'Olsen P ref'!$K$72,1,0)</f>
        <v>#VALUE!</v>
      </c>
    </row>
    <row r="172" spans="1:47">
      <c r="A172" s="6" t="s">
        <v>175</v>
      </c>
      <c r="B172" s="6" t="s">
        <v>548</v>
      </c>
      <c r="C172" t="s">
        <v>12</v>
      </c>
      <c r="D172" s="8">
        <v>6</v>
      </c>
      <c r="E172" s="3">
        <v>10</v>
      </c>
      <c r="F172" s="26">
        <v>42823</v>
      </c>
      <c r="G172" s="94">
        <v>1</v>
      </c>
      <c r="I172">
        <v>5</v>
      </c>
      <c r="J172">
        <v>8</v>
      </c>
      <c r="K172"/>
      <c r="L172" s="44">
        <v>2.5</v>
      </c>
      <c r="M172">
        <v>0.390840346973654</v>
      </c>
      <c r="N172">
        <v>0.28100000000000003</v>
      </c>
      <c r="O172">
        <f t="shared" si="30"/>
        <v>0.78168069394730799</v>
      </c>
      <c r="Q172" s="51">
        <f>'Olsen P ref'!$B$76*'Soil samples'!AI172%</f>
        <v>2.9697354911259968</v>
      </c>
      <c r="R172" s="105">
        <f>'Olsen P ref'!$B$76*'Soil samples'!AH172%</f>
        <v>2.0302645088740032</v>
      </c>
      <c r="S172" s="51">
        <f>IF(O172-'Olsen P ref'!$K$68&gt;0,O172-'Olsen P ref'!$K$68,0)</f>
        <v>0.58232086334698729</v>
      </c>
      <c r="T172" s="8">
        <f t="shared" si="22"/>
        <v>5.8232086334698732E-4</v>
      </c>
      <c r="U172" s="8">
        <f t="shared" si="23"/>
        <v>5.8232086334698728E-3</v>
      </c>
      <c r="V172">
        <f>U172*('Olsen P ref'!$B$75+Q172)</f>
        <v>0.59961425269803414</v>
      </c>
      <c r="W172">
        <f t="shared" si="29"/>
        <v>0.29533799663896199</v>
      </c>
      <c r="X172" s="8">
        <f t="shared" si="24"/>
        <v>295.33799663896201</v>
      </c>
      <c r="Y172" s="51">
        <f>W172*'Soil samples'!AK172/100</f>
        <v>5.322176106947752E-2</v>
      </c>
      <c r="Z172" s="105">
        <f t="shared" si="25"/>
        <v>53.221761069477523</v>
      </c>
      <c r="AA172" s="51">
        <f t="shared" si="26"/>
        <v>0.58232086334698729</v>
      </c>
      <c r="AB172">
        <f t="shared" si="27"/>
        <v>295.33799663896201</v>
      </c>
      <c r="AC172">
        <f>(AB172/1000)*'Soil samples'!AR172/100</f>
        <v>5.322176106947752E-2</v>
      </c>
      <c r="AD172" s="6">
        <f t="shared" si="28"/>
        <v>53.221761069477523</v>
      </c>
      <c r="AE172" s="135"/>
      <c r="AF172" s="6"/>
      <c r="AG172" s="6"/>
      <c r="AH172" s="6"/>
      <c r="AO172">
        <f>IF(S172&lt;'Olsen P ref'!$K$72,1,0)</f>
        <v>0</v>
      </c>
    </row>
    <row r="173" spans="1:47">
      <c r="A173" s="6" t="s">
        <v>176</v>
      </c>
      <c r="B173" s="6" t="s">
        <v>548</v>
      </c>
      <c r="C173" t="s">
        <v>12</v>
      </c>
      <c r="D173" s="8">
        <v>6</v>
      </c>
      <c r="E173" s="3">
        <v>20</v>
      </c>
      <c r="F173" s="26">
        <v>42823</v>
      </c>
      <c r="G173" s="94">
        <v>1</v>
      </c>
      <c r="I173">
        <v>3</v>
      </c>
      <c r="J173">
        <v>17</v>
      </c>
      <c r="K173"/>
      <c r="L173" s="44">
        <v>2.5</v>
      </c>
      <c r="M173">
        <v>0.62165711324848605</v>
      </c>
      <c r="N173">
        <v>0.442</v>
      </c>
      <c r="O173">
        <f t="shared" si="30"/>
        <v>1.2433142264969721</v>
      </c>
      <c r="Q173" s="51">
        <f>'Olsen P ref'!$B$76*'Soil samples'!AI173%</f>
        <v>2.2343463818955085</v>
      </c>
      <c r="R173" s="105">
        <f>'Olsen P ref'!$B$76*'Soil samples'!AH173%</f>
        <v>2.7656536181044915</v>
      </c>
      <c r="S173" s="51">
        <f>IF(O173-'Olsen P ref'!$K$68&gt;0,O173-'Olsen P ref'!$K$68,0)</f>
        <v>1.0439543958966515</v>
      </c>
      <c r="T173" s="8">
        <f t="shared" si="22"/>
        <v>1.0439543958966515E-3</v>
      </c>
      <c r="U173" s="8">
        <f t="shared" si="23"/>
        <v>1.0439543958966516E-2</v>
      </c>
      <c r="V173">
        <f>U173*('Olsen P ref'!$B$75+Q173)</f>
        <v>1.0672799531700075</v>
      </c>
      <c r="W173">
        <f t="shared" si="29"/>
        <v>0.38590514234443213</v>
      </c>
      <c r="X173" s="8">
        <f t="shared" si="24"/>
        <v>385.90514234443214</v>
      </c>
      <c r="Y173" s="51">
        <f>W173*'Soil samples'!AK173/100</f>
        <v>0.1380419891430088</v>
      </c>
      <c r="Z173" s="105">
        <f t="shared" si="25"/>
        <v>138.04198914300881</v>
      </c>
      <c r="AA173" s="51">
        <f t="shared" si="26"/>
        <v>1.0439543958966515</v>
      </c>
      <c r="AB173">
        <f t="shared" si="27"/>
        <v>385.90514234443214</v>
      </c>
      <c r="AC173">
        <f>(AB173/1000)*'Soil samples'!AR173/100</f>
        <v>0.1380419891430088</v>
      </c>
      <c r="AD173" s="6">
        <f t="shared" si="28"/>
        <v>138.04198914300881</v>
      </c>
      <c r="AE173" s="135"/>
      <c r="AF173" s="6"/>
      <c r="AG173" s="6"/>
      <c r="AH173" s="6"/>
      <c r="AO173">
        <f>IF(S173&lt;'Olsen P ref'!$K$72,1,0)</f>
        <v>0</v>
      </c>
    </row>
    <row r="174" spans="1:47">
      <c r="A174" s="6" t="s">
        <v>177</v>
      </c>
      <c r="B174" s="6" t="s">
        <v>548</v>
      </c>
      <c r="C174" t="s">
        <v>12</v>
      </c>
      <c r="D174" s="8">
        <v>6</v>
      </c>
      <c r="E174" s="3">
        <v>30</v>
      </c>
      <c r="F174" s="26">
        <v>42823</v>
      </c>
      <c r="G174" s="94">
        <v>1</v>
      </c>
      <c r="I174">
        <v>3</v>
      </c>
      <c r="J174">
        <v>19</v>
      </c>
      <c r="K174"/>
      <c r="L174" s="44">
        <v>2.5</v>
      </c>
      <c r="M174">
        <v>0.46564817513520501</v>
      </c>
      <c r="N174">
        <v>0.33100000000000002</v>
      </c>
      <c r="O174">
        <f t="shared" si="30"/>
        <v>0.93129635027040991</v>
      </c>
      <c r="Q174" s="51">
        <f>'Olsen P ref'!$B$76*'Soil samples'!AI174%</f>
        <v>2.5749725231590515</v>
      </c>
      <c r="R174" s="105">
        <f>'Olsen P ref'!$B$76*'Soil samples'!AH174%</f>
        <v>2.4250274768409481</v>
      </c>
      <c r="S174" s="51">
        <f>IF(O174-'Olsen P ref'!$K$68&gt;0,O174-'Olsen P ref'!$K$68,0)</f>
        <v>0.73193651967008921</v>
      </c>
      <c r="T174" s="8">
        <f t="shared" si="22"/>
        <v>7.3193651967008917E-4</v>
      </c>
      <c r="U174" s="8">
        <f t="shared" si="23"/>
        <v>7.3193651967008912E-3</v>
      </c>
      <c r="V174">
        <f>U174*('Olsen P ref'!$B$75+Q174)</f>
        <v>0.75078368393856054</v>
      </c>
      <c r="W174">
        <f t="shared" si="29"/>
        <v>0.30959801120133978</v>
      </c>
      <c r="X174" s="8">
        <f t="shared" si="24"/>
        <v>309.59801120133977</v>
      </c>
      <c r="Y174" s="51">
        <f>W174*'Soil samples'!AK174/100</f>
        <v>0.12204739566105247</v>
      </c>
      <c r="Z174" s="105">
        <f t="shared" si="25"/>
        <v>122.04739566105246</v>
      </c>
      <c r="AA174" s="51">
        <f t="shared" si="26"/>
        <v>0.73193651967008921</v>
      </c>
      <c r="AB174">
        <f t="shared" si="27"/>
        <v>309.59801120133977</v>
      </c>
      <c r="AC174">
        <f>(AB174/1000)*'Soil samples'!AR174/100</f>
        <v>0.12204739566105247</v>
      </c>
      <c r="AD174" s="6">
        <f t="shared" si="28"/>
        <v>122.04739566105246</v>
      </c>
      <c r="AE174" s="135"/>
      <c r="AF174" s="6"/>
      <c r="AG174" s="6"/>
      <c r="AH174" s="6"/>
      <c r="AO174">
        <f>IF(S174&lt;'Olsen P ref'!$K$72,1,0)</f>
        <v>0</v>
      </c>
    </row>
    <row r="175" spans="1:47">
      <c r="A175" s="6" t="s">
        <v>178</v>
      </c>
      <c r="B175" s="6" t="s">
        <v>548</v>
      </c>
      <c r="C175" t="s">
        <v>13</v>
      </c>
      <c r="D175" s="8">
        <v>1</v>
      </c>
      <c r="E175" s="3">
        <v>5</v>
      </c>
      <c r="F175" s="26">
        <v>42776</v>
      </c>
      <c r="G175" s="93">
        <v>1</v>
      </c>
      <c r="I175">
        <v>6</v>
      </c>
      <c r="J175">
        <v>4</v>
      </c>
      <c r="K175"/>
      <c r="L175" s="44">
        <v>5</v>
      </c>
      <c r="M175">
        <v>0.58956983006030095</v>
      </c>
      <c r="N175">
        <v>0.42299999999999999</v>
      </c>
      <c r="O175">
        <f t="shared" si="30"/>
        <v>0.58956983006030095</v>
      </c>
      <c r="Q175" s="51">
        <f>'Olsen P ref'!$B$76*'Soil samples'!AI175%</f>
        <v>3.5337092731829571</v>
      </c>
      <c r="R175" s="105">
        <f>'Olsen P ref'!$B$76*'Soil samples'!AH175%</f>
        <v>1.4662907268170424</v>
      </c>
      <c r="S175" s="51">
        <f>IF(O175-'Olsen P ref'!$K$68&gt;0,O175-'Olsen P ref'!$K$68,0)</f>
        <v>0.39020999945998025</v>
      </c>
      <c r="T175" s="8">
        <f t="shared" si="22"/>
        <v>3.9020999945998025E-4</v>
      </c>
      <c r="U175" s="8">
        <f t="shared" si="23"/>
        <v>3.9020999945998023E-3</v>
      </c>
      <c r="V175">
        <f>U175*('Olsen P ref'!$B$75+Q175)</f>
        <v>0.40399888639578468</v>
      </c>
      <c r="W175">
        <f t="shared" si="29"/>
        <v>0.27552440931872169</v>
      </c>
      <c r="X175" s="8">
        <f t="shared" si="24"/>
        <v>275.52440931872167</v>
      </c>
      <c r="Y175" s="51">
        <f>W175*'Soil samples'!AK175/100</f>
        <v>2.6009448306160619E-2</v>
      </c>
      <c r="Z175" s="105">
        <f t="shared" si="25"/>
        <v>26.009448306160618</v>
      </c>
      <c r="AA175" s="51">
        <f t="shared" si="26"/>
        <v>0.39020999945998025</v>
      </c>
      <c r="AB175">
        <f t="shared" si="27"/>
        <v>275.52440931872167</v>
      </c>
      <c r="AC175">
        <f>(AB175/1000)*'Soil samples'!AR175/100</f>
        <v>2.6009448306160619E-2</v>
      </c>
      <c r="AD175" s="6">
        <f t="shared" si="28"/>
        <v>26.009448306160618</v>
      </c>
      <c r="AE175" s="135"/>
      <c r="AF175" s="6"/>
      <c r="AG175" s="6"/>
      <c r="AH175" s="6"/>
      <c r="AO175">
        <f>IF(S175&lt;'Olsen P ref'!$K$72,1,0)</f>
        <v>0</v>
      </c>
    </row>
    <row r="176" spans="1:47">
      <c r="A176" s="6" t="s">
        <v>179</v>
      </c>
      <c r="B176" s="6" t="s">
        <v>548</v>
      </c>
      <c r="C176" t="s">
        <v>13</v>
      </c>
      <c r="D176" s="8">
        <v>1</v>
      </c>
      <c r="E176" s="3">
        <v>10</v>
      </c>
      <c r="F176" s="26">
        <v>42776</v>
      </c>
      <c r="G176" s="93">
        <v>1</v>
      </c>
      <c r="I176">
        <v>4</v>
      </c>
      <c r="J176">
        <v>16</v>
      </c>
      <c r="K176"/>
      <c r="L176" s="44">
        <v>5</v>
      </c>
      <c r="M176">
        <v>0.35305375511915099</v>
      </c>
      <c r="N176">
        <v>0.254</v>
      </c>
      <c r="O176">
        <f t="shared" si="30"/>
        <v>0.35305375511915099</v>
      </c>
      <c r="Q176" s="51">
        <f>'Olsen P ref'!$B$76*'Soil samples'!AI176%</f>
        <v>3.0236734531888714</v>
      </c>
      <c r="R176" s="105">
        <f>'Olsen P ref'!$B$76*'Soil samples'!AH176%</f>
        <v>1.9763265468111286</v>
      </c>
      <c r="S176" s="51">
        <f>IF(O176-'Olsen P ref'!$K$68&gt;0,O176-'Olsen P ref'!$K$68,0)</f>
        <v>0.15369392451883032</v>
      </c>
      <c r="T176" s="8">
        <f t="shared" si="22"/>
        <v>1.5369392451883033E-4</v>
      </c>
      <c r="U176" s="8">
        <f t="shared" si="23"/>
        <v>1.5369392451883034E-3</v>
      </c>
      <c r="V176">
        <f>U176*('Olsen P ref'!$B$75+Q176)</f>
        <v>0.15834112691367036</v>
      </c>
      <c r="W176">
        <f t="shared" si="29"/>
        <v>8.0118909078643538E-2</v>
      </c>
      <c r="X176" s="8">
        <f t="shared" si="24"/>
        <v>80.11890907864354</v>
      </c>
      <c r="Y176" s="51">
        <f>W176*'Soil samples'!AK176/100</f>
        <v>2.290562741933155E-2</v>
      </c>
      <c r="Z176" s="105">
        <f t="shared" si="25"/>
        <v>22.905627419331552</v>
      </c>
      <c r="AA176" s="51">
        <f t="shared" si="26"/>
        <v>0.15369392451883032</v>
      </c>
      <c r="AB176">
        <f t="shared" si="27"/>
        <v>80.11890907864354</v>
      </c>
      <c r="AC176">
        <f>(AB176/1000)*'Soil samples'!AR176/100</f>
        <v>2.290562741933155E-2</v>
      </c>
      <c r="AD176" s="6">
        <f t="shared" si="28"/>
        <v>22.905627419331552</v>
      </c>
      <c r="AE176" s="135"/>
      <c r="AF176" s="6"/>
      <c r="AG176" s="6"/>
      <c r="AH176" s="6"/>
      <c r="AO176">
        <f>IF(S176&lt;'Olsen P ref'!$K$72,1,0)</f>
        <v>0</v>
      </c>
    </row>
    <row r="177" spans="1:41">
      <c r="A177" s="6" t="s">
        <v>180</v>
      </c>
      <c r="B177" s="6" t="s">
        <v>548</v>
      </c>
      <c r="C177" t="s">
        <v>13</v>
      </c>
      <c r="D177" s="8">
        <v>1</v>
      </c>
      <c r="E177" s="3">
        <v>20</v>
      </c>
      <c r="F177" s="26">
        <v>42776</v>
      </c>
      <c r="G177" s="93">
        <v>1</v>
      </c>
      <c r="I177">
        <v>6</v>
      </c>
      <c r="J177">
        <v>15</v>
      </c>
      <c r="K177"/>
      <c r="L177" s="44">
        <v>5</v>
      </c>
      <c r="M177">
        <v>0.65954500016123296</v>
      </c>
      <c r="N177">
        <v>0.47299999999999998</v>
      </c>
      <c r="O177">
        <f t="shared" si="30"/>
        <v>0.65954500016123296</v>
      </c>
      <c r="Q177" s="51">
        <f>'Olsen P ref'!$B$76*'Soil samples'!AI177%</f>
        <v>3.3627133929389217</v>
      </c>
      <c r="R177" s="105">
        <f>'Olsen P ref'!$B$76*'Soil samples'!AH177%</f>
        <v>1.6372866070610781</v>
      </c>
      <c r="S177" s="51">
        <f>IF(O177-'Olsen P ref'!$K$68&gt;0,O177-'Olsen P ref'!$K$68,0)</f>
        <v>0.46018516956091227</v>
      </c>
      <c r="T177" s="8">
        <f t="shared" si="22"/>
        <v>4.6018516956091224E-4</v>
      </c>
      <c r="U177" s="8">
        <f t="shared" si="23"/>
        <v>4.6018516956091221E-3</v>
      </c>
      <c r="V177">
        <f>U177*('Olsen P ref'!$B$75+Q177)</f>
        <v>0.4756598778900557</v>
      </c>
      <c r="W177">
        <f t="shared" si="29"/>
        <v>0.2905171738647902</v>
      </c>
      <c r="X177" s="8">
        <f t="shared" si="24"/>
        <v>290.51717386479021</v>
      </c>
      <c r="Y177" s="51">
        <f>W177*'Soil samples'!AK177/100</f>
        <v>9.3571811178531708E-2</v>
      </c>
      <c r="Z177" s="105">
        <f t="shared" si="25"/>
        <v>93.571811178531703</v>
      </c>
      <c r="AA177" s="51">
        <f t="shared" si="26"/>
        <v>0.46018516956091227</v>
      </c>
      <c r="AB177">
        <f t="shared" si="27"/>
        <v>290.51717386479021</v>
      </c>
      <c r="AC177">
        <f>(AB177/1000)*'Soil samples'!AR177/100</f>
        <v>9.3571811178531708E-2</v>
      </c>
      <c r="AD177" s="6">
        <f t="shared" si="28"/>
        <v>93.571811178531703</v>
      </c>
      <c r="AE177" s="135"/>
      <c r="AF177" s="6"/>
      <c r="AG177" s="6"/>
      <c r="AH177" s="6"/>
      <c r="AO177">
        <f>IF(S177&lt;'Olsen P ref'!$K$72,1,0)</f>
        <v>0</v>
      </c>
    </row>
    <row r="178" spans="1:41">
      <c r="A178" s="6" t="s">
        <v>181</v>
      </c>
      <c r="B178" s="6" t="s">
        <v>548</v>
      </c>
      <c r="C178" t="s">
        <v>13</v>
      </c>
      <c r="D178" s="8">
        <v>2</v>
      </c>
      <c r="E178" s="3">
        <v>5</v>
      </c>
      <c r="F178" s="25">
        <v>42767</v>
      </c>
      <c r="G178" s="94">
        <v>1</v>
      </c>
      <c r="I178">
        <v>10</v>
      </c>
      <c r="J178">
        <v>16</v>
      </c>
      <c r="K178"/>
      <c r="L178" s="44">
        <v>5</v>
      </c>
      <c r="M178">
        <v>0.35162141540026698</v>
      </c>
      <c r="N178">
        <v>0.253</v>
      </c>
      <c r="O178">
        <f t="shared" si="30"/>
        <v>0.35162141540026698</v>
      </c>
      <c r="Q178" s="51">
        <f>'Olsen P ref'!$B$76*'Soil samples'!AI178%</f>
        <v>3.6311979809151094</v>
      </c>
      <c r="R178" s="105">
        <f>'Olsen P ref'!$B$76*'Soil samples'!AH178%</f>
        <v>1.3688020190848897</v>
      </c>
      <c r="S178" s="51">
        <f>IF(O178-'Olsen P ref'!$K$68&gt;0,O178-'Olsen P ref'!$K$68,0)</f>
        <v>0.15226158479994631</v>
      </c>
      <c r="T178" s="8">
        <f t="shared" si="22"/>
        <v>1.5226158479994631E-4</v>
      </c>
      <c r="U178" s="8">
        <f t="shared" si="23"/>
        <v>1.5226158479994631E-3</v>
      </c>
      <c r="V178">
        <f>U178*('Olsen P ref'!$B$75+Q178)</f>
        <v>0.15779050439291131</v>
      </c>
      <c r="W178">
        <f t="shared" si="29"/>
        <v>0.11527635274705533</v>
      </c>
      <c r="X178" s="8">
        <f t="shared" si="24"/>
        <v>115.27635274705533</v>
      </c>
      <c r="Y178" s="51">
        <f>W178*'Soil samples'!AK178/100</f>
        <v>1.7947091969649734E-2</v>
      </c>
      <c r="Z178" s="105">
        <f t="shared" si="25"/>
        <v>17.947091969649733</v>
      </c>
      <c r="AA178" s="51">
        <f t="shared" si="26"/>
        <v>0.15226158479994631</v>
      </c>
      <c r="AB178">
        <f t="shared" si="27"/>
        <v>115.27635274705533</v>
      </c>
      <c r="AC178">
        <f>(AB178/1000)*'Soil samples'!AR178/100</f>
        <v>1.7947091969649734E-2</v>
      </c>
      <c r="AD178" s="6">
        <f t="shared" si="28"/>
        <v>17.947091969649733</v>
      </c>
      <c r="AE178" s="135"/>
      <c r="AF178" s="6"/>
      <c r="AG178" s="6"/>
      <c r="AH178" s="6"/>
      <c r="AO178">
        <f>IF(S178&lt;'Olsen P ref'!$K$72,1,0)</f>
        <v>0</v>
      </c>
    </row>
    <row r="179" spans="1:41">
      <c r="A179" s="6" t="s">
        <v>182</v>
      </c>
      <c r="B179" s="6" t="s">
        <v>548</v>
      </c>
      <c r="C179" t="s">
        <v>13</v>
      </c>
      <c r="D179" s="8">
        <v>2</v>
      </c>
      <c r="E179" s="3">
        <v>10</v>
      </c>
      <c r="F179" s="25">
        <v>42767</v>
      </c>
      <c r="G179" s="94">
        <v>1</v>
      </c>
      <c r="I179">
        <v>7</v>
      </c>
      <c r="J179">
        <v>19</v>
      </c>
      <c r="K179"/>
      <c r="L179" s="44">
        <v>5</v>
      </c>
      <c r="M179">
        <v>0.26208603398794</v>
      </c>
      <c r="N179">
        <v>0.189</v>
      </c>
      <c r="O179">
        <f t="shared" si="30"/>
        <v>0.26208603398794</v>
      </c>
      <c r="Q179" s="51">
        <f>'Olsen P ref'!$B$76*'Soil samples'!AI179%</f>
        <v>3.5178766116799394</v>
      </c>
      <c r="R179" s="105">
        <f>'Olsen P ref'!$B$76*'Soil samples'!AH179%</f>
        <v>1.4821233883200606</v>
      </c>
      <c r="S179" s="51">
        <f>IF(O179-'Olsen P ref'!$K$68&gt;0,O179-'Olsen P ref'!$K$68,0)</f>
        <v>6.2726203387619334E-2</v>
      </c>
      <c r="T179" s="8">
        <f t="shared" si="22"/>
        <v>6.2726203387619337E-5</v>
      </c>
      <c r="U179" s="8">
        <f t="shared" si="23"/>
        <v>6.2726203387619337E-4</v>
      </c>
      <c r="V179">
        <f>U179*('Olsen P ref'!$B$75+Q179)</f>
        <v>6.4932833825987191E-2</v>
      </c>
      <c r="W179">
        <f t="shared" si="29"/>
        <v>4.3810680229253031E-2</v>
      </c>
      <c r="X179" s="8">
        <f t="shared" si="24"/>
        <v>43.81068022925303</v>
      </c>
      <c r="Y179" s="51">
        <f>W179*'Soil samples'!AK179/100</f>
        <v>8.8282680869812228E-3</v>
      </c>
      <c r="Z179" s="105">
        <f t="shared" si="25"/>
        <v>8.8282680869812236</v>
      </c>
      <c r="AA179" s="51">
        <f t="shared" si="26"/>
        <v>6.2726203387619334E-2</v>
      </c>
      <c r="AB179">
        <f t="shared" si="27"/>
        <v>43.81068022925303</v>
      </c>
      <c r="AC179">
        <f>(AB179/1000)*'Soil samples'!AR179/100</f>
        <v>8.8282680869812228E-3</v>
      </c>
      <c r="AD179" s="6">
        <f t="shared" si="28"/>
        <v>8.8282680869812236</v>
      </c>
      <c r="AE179" s="135"/>
      <c r="AF179" s="6"/>
      <c r="AG179" s="6"/>
      <c r="AH179" s="6"/>
      <c r="AO179">
        <f>IF(S179&lt;'Olsen P ref'!$K$72,1,0)</f>
        <v>1</v>
      </c>
    </row>
    <row r="180" spans="1:41">
      <c r="A180" s="6" t="s">
        <v>183</v>
      </c>
      <c r="B180" s="6" t="s">
        <v>548</v>
      </c>
      <c r="C180" t="s">
        <v>13</v>
      </c>
      <c r="D180" s="8">
        <v>2</v>
      </c>
      <c r="E180" s="3">
        <v>20</v>
      </c>
      <c r="F180" s="25">
        <v>42767</v>
      </c>
      <c r="G180" s="94">
        <v>2</v>
      </c>
      <c r="H180" s="3" t="s">
        <v>480</v>
      </c>
      <c r="I180">
        <v>7</v>
      </c>
      <c r="J180">
        <v>2</v>
      </c>
      <c r="K180" t="s">
        <v>763</v>
      </c>
      <c r="L180" s="44">
        <v>5</v>
      </c>
      <c r="M180">
        <v>0.50839863274321995</v>
      </c>
      <c r="N180">
        <v>0.36499999999999999</v>
      </c>
      <c r="O180">
        <f t="shared" si="30"/>
        <v>0.50839863274321995</v>
      </c>
      <c r="Q180" s="51">
        <f>'Olsen P ref'!$B$76*'Soil samples'!AI180%</f>
        <v>3.2225933637958626</v>
      </c>
      <c r="R180" s="105">
        <f>'Olsen P ref'!$B$76*'Soil samples'!AH180%</f>
        <v>1.7774066362041374</v>
      </c>
      <c r="S180" s="51">
        <f>IF(O180-'Olsen P ref'!$K$68&gt;0,O180-'Olsen P ref'!$K$68,0)</f>
        <v>0.30903880214289925</v>
      </c>
      <c r="T180" s="8">
        <f t="shared" si="22"/>
        <v>3.0903880214289923E-4</v>
      </c>
      <c r="U180" s="8">
        <f t="shared" si="23"/>
        <v>3.0903880214289926E-3</v>
      </c>
      <c r="V180">
        <f>U180*('Olsen P ref'!$B$75+Q180)</f>
        <v>0.31899786607231057</v>
      </c>
      <c r="W180">
        <f t="shared" si="29"/>
        <v>0.17947376789003575</v>
      </c>
      <c r="X180" s="8">
        <f t="shared" si="24"/>
        <v>179.47376789003576</v>
      </c>
      <c r="Y180" s="51">
        <f>W180*'Soil samples'!AK180/100</f>
        <v>5.0465462412639515E-2</v>
      </c>
      <c r="Z180" s="105">
        <f t="shared" si="25"/>
        <v>50.465462412639511</v>
      </c>
      <c r="AA180" s="51">
        <f t="shared" si="26"/>
        <v>0.30903880214289925</v>
      </c>
      <c r="AB180">
        <f t="shared" si="27"/>
        <v>179.47376789003576</v>
      </c>
      <c r="AC180">
        <f>(AB180/1000)*'Soil samples'!AR180/100</f>
        <v>5.0465462412639515E-2</v>
      </c>
      <c r="AD180" s="6">
        <f t="shared" si="28"/>
        <v>50.465462412639511</v>
      </c>
      <c r="AE180" s="135"/>
      <c r="AF180" s="6"/>
      <c r="AG180" s="6"/>
      <c r="AH180" s="6"/>
      <c r="AO180">
        <f>IF(S180&lt;'Olsen P ref'!$K$72,1,0)</f>
        <v>0</v>
      </c>
    </row>
    <row r="181" spans="1:41">
      <c r="A181" s="6" t="s">
        <v>184</v>
      </c>
      <c r="B181" s="6" t="s">
        <v>548</v>
      </c>
      <c r="C181" t="s">
        <v>13</v>
      </c>
      <c r="D181" s="8">
        <v>3</v>
      </c>
      <c r="E181" s="3">
        <v>5</v>
      </c>
      <c r="F181" s="26">
        <v>42818</v>
      </c>
      <c r="G181" s="94">
        <v>1</v>
      </c>
      <c r="I181">
        <v>5</v>
      </c>
      <c r="J181">
        <v>20</v>
      </c>
      <c r="K181"/>
      <c r="L181" s="44">
        <v>5</v>
      </c>
      <c r="M181">
        <v>0.264885040791977</v>
      </c>
      <c r="N181">
        <v>0.191</v>
      </c>
      <c r="O181">
        <f t="shared" si="30"/>
        <v>0.264885040791977</v>
      </c>
      <c r="Q181" s="51">
        <f>'Olsen P ref'!$B$76*'Soil samples'!AI181%</f>
        <v>3.7635449915811874</v>
      </c>
      <c r="R181" s="105">
        <f>'Olsen P ref'!$B$76*'Soil samples'!AH181%</f>
        <v>1.2364550084188126</v>
      </c>
      <c r="S181" s="51">
        <f>IF(O181-'Olsen P ref'!$K$68&gt;0,O181-'Olsen P ref'!$K$68,0)</f>
        <v>6.552521019165633E-2</v>
      </c>
      <c r="T181" s="8">
        <f t="shared" si="22"/>
        <v>6.5525210191656324E-5</v>
      </c>
      <c r="U181" s="8">
        <f t="shared" si="23"/>
        <v>6.5525210191656324E-4</v>
      </c>
      <c r="V181">
        <f>U181*('Olsen P ref'!$B$75+Q181)</f>
        <v>6.7991280958047448E-2</v>
      </c>
      <c r="W181">
        <f t="shared" si="29"/>
        <v>5.4988883942485849E-2</v>
      </c>
      <c r="X181" s="8">
        <f t="shared" si="24"/>
        <v>54.988883942485849</v>
      </c>
      <c r="Y181" s="51">
        <f>W181*'Soil samples'!AK181/100</f>
        <v>9.1774631037172469E-3</v>
      </c>
      <c r="Z181" s="105">
        <f t="shared" si="25"/>
        <v>9.1774631037172476</v>
      </c>
      <c r="AA181" s="51">
        <f t="shared" si="26"/>
        <v>6.552521019165633E-2</v>
      </c>
      <c r="AB181">
        <f t="shared" si="27"/>
        <v>54.988883942485849</v>
      </c>
      <c r="AC181">
        <f>(AB181/1000)*'Soil samples'!AR181/100</f>
        <v>9.1774631037172469E-3</v>
      </c>
      <c r="AD181" s="6">
        <f t="shared" si="28"/>
        <v>9.1774631037172476</v>
      </c>
      <c r="AE181" s="135"/>
      <c r="AF181" s="6"/>
      <c r="AG181" s="6"/>
      <c r="AH181" s="6"/>
      <c r="AO181">
        <f>IF(S181&lt;'Olsen P ref'!$K$72,1,0)</f>
        <v>0</v>
      </c>
    </row>
    <row r="182" spans="1:41">
      <c r="A182" s="136" t="s">
        <v>185</v>
      </c>
      <c r="B182" s="6" t="s">
        <v>548</v>
      </c>
      <c r="C182" t="s">
        <v>13</v>
      </c>
      <c r="D182" s="8">
        <v>4</v>
      </c>
      <c r="E182" s="3">
        <v>5</v>
      </c>
      <c r="F182" s="8" t="s">
        <v>469</v>
      </c>
      <c r="G182" s="94" t="s">
        <v>469</v>
      </c>
      <c r="H182" s="94" t="s">
        <v>469</v>
      </c>
      <c r="I182" s="94" t="s">
        <v>469</v>
      </c>
      <c r="J182" s="94" t="s">
        <v>469</v>
      </c>
      <c r="K182" s="94" t="s">
        <v>469</v>
      </c>
      <c r="L182" s="36" t="s">
        <v>469</v>
      </c>
      <c r="M182" s="94" t="s">
        <v>469</v>
      </c>
      <c r="N182" s="94" t="s">
        <v>469</v>
      </c>
      <c r="O182" t="e">
        <f t="shared" si="30"/>
        <v>#VALUE!</v>
      </c>
      <c r="P182" s="8" t="s">
        <v>469</v>
      </c>
      <c r="Q182" s="51">
        <f>'Olsen P ref'!$B$76*'Soil samples'!AI182%</f>
        <v>3.3385024744085143</v>
      </c>
      <c r="R182" s="105">
        <f>'Olsen P ref'!$B$76*'Soil samples'!AH182%</f>
        <v>1.6614975255914854</v>
      </c>
      <c r="S182" s="51" t="e">
        <f>IF(O182-'Olsen P ref'!$K$68&gt;0,O182-'Olsen P ref'!$K$68,0)</f>
        <v>#VALUE!</v>
      </c>
      <c r="T182" s="8" t="e">
        <f t="shared" si="22"/>
        <v>#VALUE!</v>
      </c>
      <c r="U182" s="8" t="e">
        <f t="shared" si="23"/>
        <v>#VALUE!</v>
      </c>
      <c r="V182" t="e">
        <f>U182*('Olsen P ref'!$B$75+Q182)</f>
        <v>#VALUE!</v>
      </c>
      <c r="W182" t="e">
        <f t="shared" si="29"/>
        <v>#VALUE!</v>
      </c>
      <c r="X182" s="8" t="e">
        <f t="shared" si="24"/>
        <v>#VALUE!</v>
      </c>
      <c r="Y182" s="51" t="e">
        <f>W182*'Soil samples'!AK182/100</f>
        <v>#VALUE!</v>
      </c>
      <c r="Z182" s="105" t="e">
        <f t="shared" si="25"/>
        <v>#VALUE!</v>
      </c>
      <c r="AA182" s="51">
        <f>AM46</f>
        <v>0.16373418266397871</v>
      </c>
      <c r="AB182">
        <f>AM24</f>
        <v>127.18853601631841</v>
      </c>
      <c r="AC182">
        <f>(AB182/1000)*'Soil samples'!AR182/100</f>
        <v>8.0471965142692153E-3</v>
      </c>
      <c r="AD182" s="6">
        <f t="shared" si="28"/>
        <v>8.0471965142692152</v>
      </c>
      <c r="AE182" s="6"/>
      <c r="AF182" s="6"/>
      <c r="AG182" s="6"/>
      <c r="AH182" s="6"/>
      <c r="AO182" t="e">
        <f>IF(S182&lt;'Olsen P ref'!$K$72,1,0)</f>
        <v>#VALUE!</v>
      </c>
    </row>
    <row r="183" spans="1:41">
      <c r="A183" s="6" t="s">
        <v>186</v>
      </c>
      <c r="B183" s="6" t="s">
        <v>548</v>
      </c>
      <c r="C183" t="s">
        <v>13</v>
      </c>
      <c r="D183" s="8">
        <v>4</v>
      </c>
      <c r="E183" s="3">
        <v>10</v>
      </c>
      <c r="F183" s="26">
        <v>42818</v>
      </c>
      <c r="G183" s="94">
        <v>1</v>
      </c>
      <c r="I183">
        <v>4</v>
      </c>
      <c r="J183">
        <v>9</v>
      </c>
      <c r="K183"/>
      <c r="L183" s="44">
        <v>5</v>
      </c>
      <c r="M183">
        <v>0.19211086388700799</v>
      </c>
      <c r="N183">
        <v>0.13900000000000001</v>
      </c>
      <c r="O183">
        <f t="shared" si="30"/>
        <v>0.19211086388700799</v>
      </c>
      <c r="Q183" s="51">
        <f>'Olsen P ref'!$B$76*'Soil samples'!AI183%</f>
        <v>3.5550688576711078</v>
      </c>
      <c r="R183" s="105">
        <f>'Olsen P ref'!$B$76*'Soil samples'!AH183%</f>
        <v>1.4449311423288924</v>
      </c>
      <c r="S183" s="51">
        <f>IF(O183-'Olsen P ref'!$K$68&gt;0,O183-'Olsen P ref'!$K$68,0)</f>
        <v>0</v>
      </c>
      <c r="T183" s="8">
        <f t="shared" si="22"/>
        <v>0</v>
      </c>
      <c r="U183" s="8">
        <f t="shared" si="23"/>
        <v>0</v>
      </c>
      <c r="V183">
        <f>U183*('Olsen P ref'!$B$75+Q183)</f>
        <v>0</v>
      </c>
      <c r="W183">
        <f t="shared" si="29"/>
        <v>0</v>
      </c>
      <c r="X183" s="8">
        <f t="shared" si="24"/>
        <v>0</v>
      </c>
      <c r="Y183" s="51">
        <f>W183*'Soil samples'!AK183/100</f>
        <v>0</v>
      </c>
      <c r="Z183" s="105">
        <f t="shared" si="25"/>
        <v>0</v>
      </c>
      <c r="AA183" s="51">
        <f t="shared" si="26"/>
        <v>0</v>
      </c>
      <c r="AB183">
        <f t="shared" si="27"/>
        <v>0</v>
      </c>
      <c r="AC183">
        <f>(AB183/1000)*'Soil samples'!AR183/100</f>
        <v>0</v>
      </c>
      <c r="AD183" s="6">
        <f t="shared" si="28"/>
        <v>0</v>
      </c>
      <c r="AE183" s="135"/>
      <c r="AF183" s="6"/>
      <c r="AG183" s="6"/>
      <c r="AH183" s="6"/>
      <c r="AO183">
        <f>IF(S183&lt;'Olsen P ref'!$K$72,1,0)</f>
        <v>1</v>
      </c>
    </row>
    <row r="184" spans="1:41">
      <c r="A184" s="6" t="s">
        <v>187</v>
      </c>
      <c r="B184" s="6" t="s">
        <v>548</v>
      </c>
      <c r="C184" t="s">
        <v>13</v>
      </c>
      <c r="D184" s="8">
        <v>4</v>
      </c>
      <c r="E184" s="3">
        <v>20</v>
      </c>
      <c r="F184" s="26">
        <v>42818</v>
      </c>
      <c r="G184" s="94">
        <v>2</v>
      </c>
      <c r="H184" s="3" t="s">
        <v>715</v>
      </c>
      <c r="I184">
        <v>6</v>
      </c>
      <c r="J184">
        <v>3</v>
      </c>
      <c r="K184"/>
      <c r="L184" s="44">
        <v>5</v>
      </c>
      <c r="M184">
        <v>0.21170391151526899</v>
      </c>
      <c r="N184">
        <v>0.153</v>
      </c>
      <c r="O184">
        <f t="shared" si="30"/>
        <v>0.21170391151526899</v>
      </c>
      <c r="Q184" s="51">
        <f>'Olsen P ref'!$B$76*'Soil samples'!AI184%</f>
        <v>3.2744718478156964</v>
      </c>
      <c r="R184" s="105">
        <f>'Olsen P ref'!$B$76*'Soil samples'!AH184%</f>
        <v>1.7255281521843038</v>
      </c>
      <c r="S184" s="51">
        <f>IF(O184-'Olsen P ref'!$K$68&gt;0,O184-'Olsen P ref'!$K$68,0)</f>
        <v>1.2344080914948319E-2</v>
      </c>
      <c r="T184" s="8">
        <f t="shared" si="22"/>
        <v>1.234408091494832E-5</v>
      </c>
      <c r="U184" s="8">
        <f t="shared" si="23"/>
        <v>1.234408091494832E-4</v>
      </c>
      <c r="V184">
        <f>U184*('Olsen P ref'!$B$75+Q184)</f>
        <v>1.2748284369379892E-2</v>
      </c>
      <c r="W184">
        <f t="shared" si="29"/>
        <v>7.3880477425083742E-3</v>
      </c>
      <c r="X184" s="8">
        <f t="shared" si="24"/>
        <v>7.3880477425083741</v>
      </c>
      <c r="Y184" s="51">
        <f>W184*'Soil samples'!AK184/100</f>
        <v>1.9244810084015889E-3</v>
      </c>
      <c r="Z184" s="105">
        <f t="shared" si="25"/>
        <v>1.9244810084015889</v>
      </c>
      <c r="AA184" s="51">
        <f t="shared" si="26"/>
        <v>1.2344080914948319E-2</v>
      </c>
      <c r="AB184">
        <f t="shared" si="27"/>
        <v>7.3880477425083741</v>
      </c>
      <c r="AC184">
        <f>(AB184/1000)*'Soil samples'!AR184/100</f>
        <v>1.9244810084015889E-3</v>
      </c>
      <c r="AD184" s="6">
        <f t="shared" si="28"/>
        <v>1.9244810084015889</v>
      </c>
      <c r="AE184" s="135"/>
      <c r="AF184" s="6"/>
      <c r="AG184" s="6"/>
      <c r="AH184" s="6"/>
      <c r="AO184">
        <f>IF(S184&lt;'Olsen P ref'!$K$72,1,0)</f>
        <v>1</v>
      </c>
    </row>
    <row r="185" spans="1:41">
      <c r="A185" s="6" t="s">
        <v>188</v>
      </c>
      <c r="B185" s="6" t="s">
        <v>548</v>
      </c>
      <c r="C185" t="s">
        <v>13</v>
      </c>
      <c r="D185" s="8">
        <v>5</v>
      </c>
      <c r="E185" s="3">
        <v>5</v>
      </c>
      <c r="F185" s="26">
        <v>42795</v>
      </c>
      <c r="G185" s="94">
        <v>1</v>
      </c>
      <c r="I185">
        <v>1</v>
      </c>
      <c r="J185">
        <v>17</v>
      </c>
      <c r="K185"/>
      <c r="L185" s="44">
        <v>5</v>
      </c>
      <c r="M185">
        <v>0.34055992745879099</v>
      </c>
      <c r="N185">
        <v>0.24199999999999999</v>
      </c>
      <c r="O185">
        <f t="shared" si="30"/>
        <v>0.34055992745879105</v>
      </c>
      <c r="Q185" s="51">
        <f>'Olsen P ref'!$B$76*'Soil samples'!AI185%</f>
        <v>3.889863547758285</v>
      </c>
      <c r="R185" s="105">
        <f>'Olsen P ref'!$B$76*'Soil samples'!AH185%</f>
        <v>1.110136452241715</v>
      </c>
      <c r="S185" s="51">
        <f>IF(O185-'Olsen P ref'!$K$68&gt;0,O185-'Olsen P ref'!$K$68,0)</f>
        <v>0.14120009685847038</v>
      </c>
      <c r="T185" s="8">
        <f t="shared" si="22"/>
        <v>1.4120009685847037E-4</v>
      </c>
      <c r="U185" s="8">
        <f t="shared" si="23"/>
        <v>1.4120009685847036E-3</v>
      </c>
      <c r="V185">
        <f>U185*('Olsen P ref'!$B$75+Q185)</f>
        <v>0.14669258795556739</v>
      </c>
      <c r="W185">
        <f t="shared" si="29"/>
        <v>0.13213924077472536</v>
      </c>
      <c r="X185" s="8">
        <f t="shared" si="24"/>
        <v>132.13924077472535</v>
      </c>
      <c r="Y185" s="51">
        <f>W185*'Soil samples'!AK185/100</f>
        <v>1.316125899137351E-2</v>
      </c>
      <c r="Z185" s="105">
        <f t="shared" si="25"/>
        <v>13.16125899137351</v>
      </c>
      <c r="AA185" s="51">
        <f t="shared" si="26"/>
        <v>0.14120009685847038</v>
      </c>
      <c r="AB185">
        <f t="shared" si="27"/>
        <v>132.13924077472535</v>
      </c>
      <c r="AC185">
        <f>(AB185/1000)*'Soil samples'!AR185/100</f>
        <v>1.316125899137351E-2</v>
      </c>
      <c r="AD185" s="6">
        <f t="shared" si="28"/>
        <v>13.16125899137351</v>
      </c>
      <c r="AE185" s="135"/>
      <c r="AF185" s="6"/>
      <c r="AG185" s="6"/>
      <c r="AH185" s="6"/>
      <c r="AO185">
        <f>IF(S185&lt;'Olsen P ref'!$K$72,1,0)</f>
        <v>0</v>
      </c>
    </row>
    <row r="186" spans="1:41">
      <c r="A186" s="6" t="s">
        <v>189</v>
      </c>
      <c r="B186" s="6" t="s">
        <v>548</v>
      </c>
      <c r="C186" t="s">
        <v>13</v>
      </c>
      <c r="D186" s="8">
        <v>5</v>
      </c>
      <c r="E186" s="3">
        <v>10</v>
      </c>
      <c r="F186" s="26">
        <v>42795</v>
      </c>
      <c r="G186" s="94">
        <v>1</v>
      </c>
      <c r="I186">
        <v>1</v>
      </c>
      <c r="J186">
        <v>11</v>
      </c>
      <c r="K186"/>
      <c r="L186" s="44">
        <v>5</v>
      </c>
      <c r="M186">
        <v>0.35742575860617198</v>
      </c>
      <c r="N186">
        <v>0.254</v>
      </c>
      <c r="O186">
        <f t="shared" si="30"/>
        <v>0.35742575860617198</v>
      </c>
      <c r="Q186" s="51">
        <f>'Olsen P ref'!$B$76*'Soil samples'!AI186%</f>
        <v>3.716935362187634</v>
      </c>
      <c r="R186" s="105">
        <f>'Olsen P ref'!$B$76*'Soil samples'!AH186%</f>
        <v>1.2830646378123656</v>
      </c>
      <c r="S186" s="51">
        <f>IF(O186-'Olsen P ref'!$K$68&gt;0,O186-'Olsen P ref'!$K$68,0)</f>
        <v>0.15806592800585131</v>
      </c>
      <c r="T186" s="8">
        <f t="shared" si="22"/>
        <v>1.5806592800585132E-4</v>
      </c>
      <c r="U186" s="8">
        <f t="shared" si="23"/>
        <v>1.5806592800585132E-3</v>
      </c>
      <c r="V186">
        <f>U186*('Olsen P ref'!$B$75+Q186)</f>
        <v>0.16394113637947083</v>
      </c>
      <c r="W186">
        <f t="shared" si="29"/>
        <v>0.12777309228862518</v>
      </c>
      <c r="X186" s="8">
        <f t="shared" si="24"/>
        <v>127.77309228862518</v>
      </c>
      <c r="Y186" s="51">
        <f>W186*'Soil samples'!AK186/100</f>
        <v>2.3312429593160759E-2</v>
      </c>
      <c r="Z186" s="105">
        <f t="shared" si="25"/>
        <v>23.312429593160758</v>
      </c>
      <c r="AA186" s="51">
        <f t="shared" si="26"/>
        <v>0.15806592800585131</v>
      </c>
      <c r="AB186">
        <f t="shared" si="27"/>
        <v>127.77309228862518</v>
      </c>
      <c r="AC186">
        <f>(AB186/1000)*'Soil samples'!AR186/100</f>
        <v>2.3312429593160759E-2</v>
      </c>
      <c r="AD186" s="6">
        <f t="shared" si="28"/>
        <v>23.312429593160758</v>
      </c>
      <c r="AE186" s="135"/>
      <c r="AF186" s="6"/>
      <c r="AG186" s="6"/>
      <c r="AH186" s="6"/>
      <c r="AO186">
        <f>IF(S186&lt;'Olsen P ref'!$K$72,1,0)</f>
        <v>0</v>
      </c>
    </row>
    <row r="187" spans="1:41">
      <c r="A187" s="6" t="s">
        <v>190</v>
      </c>
      <c r="B187" s="6" t="s">
        <v>548</v>
      </c>
      <c r="C187" t="s">
        <v>13</v>
      </c>
      <c r="D187" s="8">
        <v>5</v>
      </c>
      <c r="E187" s="3">
        <v>20</v>
      </c>
      <c r="F187" s="26">
        <v>42795</v>
      </c>
      <c r="G187" s="94">
        <v>1</v>
      </c>
      <c r="I187">
        <v>1</v>
      </c>
      <c r="J187">
        <v>20</v>
      </c>
      <c r="K187"/>
      <c r="L187" s="44">
        <v>5</v>
      </c>
      <c r="M187">
        <v>0.33353249781404798</v>
      </c>
      <c r="N187">
        <v>0.23699999999999999</v>
      </c>
      <c r="O187">
        <f t="shared" si="30"/>
        <v>0.33353249781404798</v>
      </c>
      <c r="Q187" s="51">
        <f>'Olsen P ref'!$B$76*'Soil samples'!AI187%</f>
        <v>2.8120312031203119</v>
      </c>
      <c r="R187" s="105">
        <f>'Olsen P ref'!$B$76*'Soil samples'!AH187%</f>
        <v>2.1879687968796881</v>
      </c>
      <c r="S187" s="51">
        <f>IF(O187-'Olsen P ref'!$K$68&gt;0,O187-'Olsen P ref'!$K$68,0)</f>
        <v>0.13417266721372731</v>
      </c>
      <c r="T187" s="8">
        <f t="shared" si="22"/>
        <v>1.341726672137273E-4</v>
      </c>
      <c r="U187" s="8">
        <f t="shared" si="23"/>
        <v>1.341726672137273E-3</v>
      </c>
      <c r="V187">
        <f>U187*('Olsen P ref'!$B$75+Q187)</f>
        <v>0.1379456444818361</v>
      </c>
      <c r="W187">
        <f t="shared" si="29"/>
        <v>6.3047354550285872E-2</v>
      </c>
      <c r="X187" s="8">
        <f t="shared" si="24"/>
        <v>63.047354550285874</v>
      </c>
      <c r="Y187" s="51">
        <f>W187*'Soil samples'!AK187/100</f>
        <v>2.2929325025770782E-2</v>
      </c>
      <c r="Z187" s="105">
        <f t="shared" si="25"/>
        <v>22.92932502577078</v>
      </c>
      <c r="AA187" s="51">
        <f t="shared" si="26"/>
        <v>0.13417266721372731</v>
      </c>
      <c r="AB187">
        <f t="shared" si="27"/>
        <v>63.047354550285874</v>
      </c>
      <c r="AC187">
        <f>(AB187/1000)*'Soil samples'!AR187/100</f>
        <v>2.2929325025770782E-2</v>
      </c>
      <c r="AD187" s="6">
        <f t="shared" si="28"/>
        <v>22.92932502577078</v>
      </c>
      <c r="AE187" s="135"/>
      <c r="AF187" s="6"/>
      <c r="AG187" s="6"/>
      <c r="AH187" s="6"/>
      <c r="AO187">
        <f>IF(S187&lt;'Olsen P ref'!$K$72,1,0)</f>
        <v>0</v>
      </c>
    </row>
    <row r="188" spans="1:41">
      <c r="A188" s="6" t="s">
        <v>191</v>
      </c>
      <c r="B188" s="6" t="s">
        <v>548</v>
      </c>
      <c r="C188" t="s">
        <v>13</v>
      </c>
      <c r="D188" s="8">
        <v>5</v>
      </c>
      <c r="E188" s="3">
        <v>30</v>
      </c>
      <c r="F188" s="26">
        <v>42795</v>
      </c>
      <c r="G188" s="94">
        <v>1</v>
      </c>
      <c r="I188">
        <v>1</v>
      </c>
      <c r="J188">
        <v>19</v>
      </c>
      <c r="K188"/>
      <c r="L188" s="44">
        <v>5</v>
      </c>
      <c r="M188">
        <v>0.34477638524563597</v>
      </c>
      <c r="N188">
        <v>0.245</v>
      </c>
      <c r="O188">
        <f t="shared" si="30"/>
        <v>0.34477638524563597</v>
      </c>
      <c r="Q188" s="51">
        <f>'Olsen P ref'!$B$76*'Soil samples'!AI188%</f>
        <v>3.0659679753139719</v>
      </c>
      <c r="R188" s="105">
        <f>'Olsen P ref'!$B$76*'Soil samples'!AH188%</f>
        <v>1.9340320246860285</v>
      </c>
      <c r="S188" s="51">
        <f>IF(O188-'Olsen P ref'!$K$68&gt;0,O188-'Olsen P ref'!$K$68,0)</f>
        <v>0.1454165546453153</v>
      </c>
      <c r="T188" s="8">
        <f t="shared" si="22"/>
        <v>1.4541655464531532E-4</v>
      </c>
      <c r="U188" s="8">
        <f t="shared" si="23"/>
        <v>1.4541655464531532E-3</v>
      </c>
      <c r="V188">
        <f>U188*('Olsen P ref'!$B$75+Q188)</f>
        <v>0.14987497964154561</v>
      </c>
      <c r="W188">
        <f t="shared" si="29"/>
        <v>7.7493535643949008E-2</v>
      </c>
      <c r="X188" s="8">
        <f t="shared" si="24"/>
        <v>77.493535643949002</v>
      </c>
      <c r="Y188" s="51">
        <f>W188*'Soil samples'!AK188/100</f>
        <v>2.7229286301275999E-2</v>
      </c>
      <c r="Z188" s="105">
        <f t="shared" si="25"/>
        <v>27.229286301275998</v>
      </c>
      <c r="AA188" s="51">
        <f t="shared" si="26"/>
        <v>0.1454165546453153</v>
      </c>
      <c r="AB188">
        <f t="shared" si="27"/>
        <v>77.493535643949002</v>
      </c>
      <c r="AC188">
        <f>(AB188/1000)*'Soil samples'!AR188/100</f>
        <v>2.7229286301275999E-2</v>
      </c>
      <c r="AD188" s="6">
        <f t="shared" si="28"/>
        <v>27.229286301275998</v>
      </c>
      <c r="AE188" s="135"/>
      <c r="AF188" s="6"/>
      <c r="AG188" s="6"/>
      <c r="AH188" s="6"/>
      <c r="AO188">
        <f>IF(S188&lt;'Olsen P ref'!$K$72,1,0)</f>
        <v>0</v>
      </c>
    </row>
    <row r="189" spans="1:41">
      <c r="A189" s="6" t="s">
        <v>192</v>
      </c>
      <c r="B189" s="6" t="s">
        <v>548</v>
      </c>
      <c r="C189" t="s">
        <v>13</v>
      </c>
      <c r="D189" s="8">
        <v>6</v>
      </c>
      <c r="E189" s="3">
        <v>5</v>
      </c>
      <c r="F189" s="25">
        <v>42753</v>
      </c>
      <c r="G189" s="94">
        <v>2</v>
      </c>
      <c r="I189">
        <v>12</v>
      </c>
      <c r="J189">
        <v>6</v>
      </c>
      <c r="K189"/>
      <c r="L189" s="44">
        <v>5</v>
      </c>
      <c r="M189">
        <v>0.26883385261016102</v>
      </c>
      <c r="N189">
        <v>0.193</v>
      </c>
      <c r="O189">
        <f t="shared" si="30"/>
        <v>0.26883385261016102</v>
      </c>
      <c r="Q189" s="51">
        <f>'Olsen P ref'!$B$76*'Soil samples'!AI189%</f>
        <v>3.7574596274476155</v>
      </c>
      <c r="R189" s="105">
        <f>'Olsen P ref'!$B$76*'Soil samples'!AH189%</f>
        <v>1.2425403725523843</v>
      </c>
      <c r="S189" s="51">
        <f>IF(O189-'Olsen P ref'!$K$68&gt;0,O189-'Olsen P ref'!$K$68,0)</f>
        <v>6.9474022009840347E-2</v>
      </c>
      <c r="T189" s="8">
        <f t="shared" si="22"/>
        <v>6.9474022009840354E-5</v>
      </c>
      <c r="U189" s="8">
        <f t="shared" si="23"/>
        <v>6.9474022009840348E-4</v>
      </c>
      <c r="V189">
        <f>U189*('Olsen P ref'!$B$75+Q189)</f>
        <v>7.208448033842417E-2</v>
      </c>
      <c r="W189">
        <f t="shared" si="29"/>
        <v>5.8013793298603795E-2</v>
      </c>
      <c r="X189" s="8">
        <f t="shared" si="24"/>
        <v>58.013793298603794</v>
      </c>
      <c r="Y189" s="51">
        <f>W189*'Soil samples'!AK189/100</f>
        <v>6.7456656700697372E-3</v>
      </c>
      <c r="Z189" s="105">
        <f t="shared" si="25"/>
        <v>6.7456656700697373</v>
      </c>
      <c r="AA189" s="51">
        <f t="shared" si="26"/>
        <v>6.9474022009840347E-2</v>
      </c>
      <c r="AB189">
        <f t="shared" si="27"/>
        <v>58.013793298603794</v>
      </c>
      <c r="AC189">
        <f>(AB189/1000)*'Soil samples'!AR189/100</f>
        <v>6.7456656700697372E-3</v>
      </c>
      <c r="AD189" s="6">
        <f t="shared" si="28"/>
        <v>6.7456656700697373</v>
      </c>
      <c r="AE189" s="135"/>
      <c r="AF189" s="6"/>
      <c r="AG189" s="6"/>
      <c r="AH189" s="6"/>
      <c r="AO189">
        <f>IF(S189&lt;'Olsen P ref'!$K$72,1,0)</f>
        <v>0</v>
      </c>
    </row>
    <row r="190" spans="1:41">
      <c r="A190" s="6" t="s">
        <v>193</v>
      </c>
      <c r="B190" s="6" t="s">
        <v>548</v>
      </c>
      <c r="C190" t="s">
        <v>13</v>
      </c>
      <c r="D190" s="8">
        <v>6</v>
      </c>
      <c r="E190" s="3">
        <v>10</v>
      </c>
      <c r="F190" s="25">
        <v>42753</v>
      </c>
      <c r="G190" s="94">
        <v>3</v>
      </c>
      <c r="I190">
        <v>11</v>
      </c>
      <c r="J190">
        <v>13</v>
      </c>
      <c r="K190"/>
      <c r="L190" s="44">
        <v>5</v>
      </c>
      <c r="M190">
        <v>0.343342659121256</v>
      </c>
      <c r="N190">
        <v>0.247</v>
      </c>
      <c r="O190">
        <f t="shared" si="30"/>
        <v>0.343342659121256</v>
      </c>
      <c r="Q190" s="51">
        <f>'Olsen P ref'!$B$76*'Soil samples'!AI190%</f>
        <v>3.7335368930180763</v>
      </c>
      <c r="R190" s="105">
        <f>'Olsen P ref'!$B$76*'Soil samples'!AH190%</f>
        <v>1.2664631069819234</v>
      </c>
      <c r="S190" s="51">
        <f>IF(O190-'Olsen P ref'!$K$68&gt;0,O190-'Olsen P ref'!$K$68,0)</f>
        <v>0.14398282852093533</v>
      </c>
      <c r="T190" s="8">
        <f t="shared" si="22"/>
        <v>1.4398282852093534E-4</v>
      </c>
      <c r="U190" s="8">
        <f t="shared" si="23"/>
        <v>1.4398282852093533E-3</v>
      </c>
      <c r="V190">
        <f>U190*('Olsen P ref'!$B$75+Q190)</f>
        <v>0.14935848054337542</v>
      </c>
      <c r="W190">
        <f t="shared" si="29"/>
        <v>0.11793354241428151</v>
      </c>
      <c r="X190" s="8">
        <f t="shared" si="24"/>
        <v>117.93354241428152</v>
      </c>
      <c r="Y190" s="51">
        <f>W190*'Soil samples'!AK190/100</f>
        <v>2.5089237561676202E-2</v>
      </c>
      <c r="Z190" s="105">
        <f t="shared" si="25"/>
        <v>25.089237561676203</v>
      </c>
      <c r="AA190" s="51">
        <f t="shared" si="26"/>
        <v>0.14398282852093533</v>
      </c>
      <c r="AB190">
        <f t="shared" si="27"/>
        <v>117.93354241428152</v>
      </c>
      <c r="AC190">
        <f>(AB190/1000)*'Soil samples'!AR190/100</f>
        <v>2.5089237561676202E-2</v>
      </c>
      <c r="AD190" s="6">
        <f t="shared" si="28"/>
        <v>25.089237561676203</v>
      </c>
      <c r="AE190" s="135"/>
      <c r="AF190" s="6"/>
      <c r="AG190" s="6"/>
      <c r="AH190" s="6"/>
      <c r="AO190">
        <f>IF(S190&lt;'Olsen P ref'!$K$72,1,0)</f>
        <v>0</v>
      </c>
    </row>
    <row r="191" spans="1:41">
      <c r="A191" s="6" t="s">
        <v>194</v>
      </c>
      <c r="B191" s="6" t="s">
        <v>548</v>
      </c>
      <c r="C191" t="s">
        <v>13</v>
      </c>
      <c r="D191" s="8">
        <v>6</v>
      </c>
      <c r="E191" s="3">
        <v>20</v>
      </c>
      <c r="F191" s="25">
        <v>42753</v>
      </c>
      <c r="G191" s="94">
        <v>2</v>
      </c>
      <c r="I191">
        <v>7</v>
      </c>
      <c r="J191">
        <v>18</v>
      </c>
      <c r="K191"/>
      <c r="L191" s="44">
        <v>5</v>
      </c>
      <c r="M191">
        <v>0.21730192512334301</v>
      </c>
      <c r="N191">
        <v>0.157</v>
      </c>
      <c r="O191">
        <f t="shared" si="30"/>
        <v>0.21730192512334301</v>
      </c>
      <c r="Q191" s="51">
        <f>'Olsen P ref'!$B$76*'Soil samples'!AI191%</f>
        <v>3.4134329871521891</v>
      </c>
      <c r="R191" s="105">
        <f>'Olsen P ref'!$B$76*'Soil samples'!AH191%</f>
        <v>1.5865670128478107</v>
      </c>
      <c r="S191" s="51">
        <f>IF(O191-'Olsen P ref'!$K$68&gt;0,O191-'Olsen P ref'!$K$68,0)</f>
        <v>1.7942094523022339E-2</v>
      </c>
      <c r="T191" s="8">
        <f t="shared" si="22"/>
        <v>1.7942094523022339E-5</v>
      </c>
      <c r="U191" s="8">
        <f t="shared" si="23"/>
        <v>1.7942094523022337E-4</v>
      </c>
      <c r="V191">
        <f>U191*('Olsen P ref'!$B$75+Q191)</f>
        <v>1.8554535896057208E-2</v>
      </c>
      <c r="W191">
        <f t="shared" si="29"/>
        <v>1.1694769742346223E-2</v>
      </c>
      <c r="X191" s="8">
        <f t="shared" si="24"/>
        <v>11.694769742346223</v>
      </c>
      <c r="Y191" s="51">
        <f>W191*'Soil samples'!AK191/100</f>
        <v>3.3212619253942407E-3</v>
      </c>
      <c r="Z191" s="105">
        <f t="shared" si="25"/>
        <v>3.3212619253942406</v>
      </c>
      <c r="AA191" s="51">
        <f t="shared" si="26"/>
        <v>1.7942094523022339E-2</v>
      </c>
      <c r="AB191">
        <f t="shared" si="27"/>
        <v>11.694769742346223</v>
      </c>
      <c r="AC191">
        <f>(AB191/1000)*'Soil samples'!AR191/100</f>
        <v>3.3212619253942407E-3</v>
      </c>
      <c r="AD191" s="6">
        <f t="shared" si="28"/>
        <v>3.3212619253942406</v>
      </c>
      <c r="AE191" s="135"/>
      <c r="AF191" s="6"/>
      <c r="AG191" s="6"/>
      <c r="AH191" s="6"/>
      <c r="AO191">
        <f>IF(S191&lt;'Olsen P ref'!$K$72,1,0)</f>
        <v>1</v>
      </c>
    </row>
    <row r="192" spans="1:41">
      <c r="A192" s="7" t="s">
        <v>195</v>
      </c>
      <c r="B192" s="6" t="s">
        <v>548</v>
      </c>
      <c r="C192" s="4" t="s">
        <v>13</v>
      </c>
      <c r="D192" s="4">
        <v>6</v>
      </c>
      <c r="E192" s="5">
        <v>30</v>
      </c>
      <c r="F192" s="27">
        <v>42753</v>
      </c>
      <c r="G192" s="95">
        <v>2</v>
      </c>
      <c r="I192">
        <v>9</v>
      </c>
      <c r="J192">
        <v>12</v>
      </c>
      <c r="K192"/>
      <c r="L192" s="44">
        <v>5</v>
      </c>
      <c r="M192">
        <v>0.24123799834679199</v>
      </c>
      <c r="N192">
        <v>0.17299999999999999</v>
      </c>
      <c r="O192">
        <f t="shared" si="30"/>
        <v>0.24123799834679199</v>
      </c>
      <c r="Q192" s="51">
        <f>'Olsen P ref'!$B$76*'Soil samples'!AI192%</f>
        <v>2.2605145490035863</v>
      </c>
      <c r="R192" s="105">
        <f>'Olsen P ref'!$B$76*'Soil samples'!AH192%</f>
        <v>2.7394854509964137</v>
      </c>
      <c r="S192" s="51">
        <f>IF(O192-'Olsen P ref'!$K$68&gt;0,O192-'Olsen P ref'!$K$68,0)</f>
        <v>4.1878167746471323E-2</v>
      </c>
      <c r="T192" s="8">
        <f t="shared" si="22"/>
        <v>4.1878167746471323E-5</v>
      </c>
      <c r="U192" s="8">
        <f t="shared" si="23"/>
        <v>4.1878167746471325E-4</v>
      </c>
      <c r="V192">
        <f>U192*('Olsen P ref'!$B$75+Q192)</f>
        <v>4.2824829821236435E-2</v>
      </c>
      <c r="W192">
        <f t="shared" si="29"/>
        <v>1.5632435574958085E-2</v>
      </c>
      <c r="X192" s="8">
        <f t="shared" si="24"/>
        <v>15.632435574958084</v>
      </c>
      <c r="Y192" s="51">
        <f>W192*'Soil samples'!AK192/100</f>
        <v>1.0241129803450481E-2</v>
      </c>
      <c r="Z192" s="105">
        <f t="shared" si="25"/>
        <v>10.241129803450482</v>
      </c>
      <c r="AA192" s="51">
        <f t="shared" si="26"/>
        <v>4.1878167746471323E-2</v>
      </c>
      <c r="AB192">
        <f t="shared" si="27"/>
        <v>15.632435574958084</v>
      </c>
      <c r="AC192">
        <f>(AB192/1000)*'Soil samples'!AR192/100</f>
        <v>1.0241129803450481E-2</v>
      </c>
      <c r="AD192" s="6">
        <f t="shared" si="28"/>
        <v>10.241129803450482</v>
      </c>
      <c r="AE192" s="135"/>
      <c r="AF192" s="6"/>
      <c r="AG192" s="6"/>
      <c r="AH192" s="6"/>
      <c r="AO192">
        <f>IF(S192&lt;'Olsen P ref'!$K$72,1,0)</f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W210"/>
  <sheetViews>
    <sheetView workbookViewId="0">
      <pane xSplit="5" topLeftCell="R1" activePane="topRight" state="frozen"/>
      <selection activeCell="A43" sqref="A43"/>
      <selection pane="topRight" activeCell="AC3" sqref="AC3"/>
    </sheetView>
  </sheetViews>
  <sheetFormatPr baseColWidth="10" defaultRowHeight="16"/>
  <cols>
    <col min="7" max="7" width="7.83203125" style="211" bestFit="1" customWidth="1"/>
    <col min="8" max="8" width="7.5" style="211" bestFit="1" customWidth="1"/>
    <col min="9" max="9" width="9.33203125" style="211" bestFit="1" customWidth="1"/>
    <col min="10" max="10" width="9.6640625" customWidth="1"/>
    <col min="11" max="11" width="8" style="3" bestFit="1" customWidth="1"/>
    <col min="12" max="12" width="12.5" style="211" bestFit="1" customWidth="1"/>
    <col min="13" max="13" width="14.83203125" style="211" bestFit="1" customWidth="1"/>
    <col min="14" max="14" width="10.83203125" style="211"/>
    <col min="15" max="15" width="10.83203125" style="214"/>
    <col min="16" max="16" width="10.83203125" style="211"/>
    <col min="17" max="17" width="10.83203125" style="250"/>
    <col min="19" max="19" width="10.83203125" style="3"/>
    <col min="20" max="21" width="10.83203125" style="236"/>
    <col min="22" max="22" width="13.33203125" style="214" bestFit="1" customWidth="1"/>
    <col min="23" max="23" width="16" style="8" bestFit="1" customWidth="1"/>
    <col min="24" max="24" width="38.5" customWidth="1"/>
    <col min="37" max="37" width="14.83203125" bestFit="1" customWidth="1"/>
    <col min="38" max="38" width="15.6640625" bestFit="1" customWidth="1"/>
  </cols>
  <sheetData>
    <row r="1" spans="1:49" ht="19">
      <c r="A1" s="19"/>
      <c r="B1" s="19"/>
      <c r="C1" s="19"/>
      <c r="D1" s="19"/>
      <c r="E1" s="21"/>
    </row>
    <row r="2" spans="1:49">
      <c r="A2" s="9"/>
      <c r="B2" s="9"/>
      <c r="C2" s="9"/>
      <c r="D2" s="9"/>
      <c r="E2" s="23"/>
      <c r="AA2" s="8"/>
      <c r="AB2" t="s">
        <v>1024</v>
      </c>
      <c r="AE2" s="1" t="s">
        <v>881</v>
      </c>
    </row>
    <row r="3" spans="1:49">
      <c r="A3" s="1" t="s">
        <v>10</v>
      </c>
      <c r="B3" s="1" t="s">
        <v>8</v>
      </c>
      <c r="C3" s="1" t="s">
        <v>11</v>
      </c>
      <c r="D3" s="1" t="s">
        <v>212</v>
      </c>
      <c r="E3" s="2" t="s">
        <v>20</v>
      </c>
      <c r="G3" s="212" t="s">
        <v>1117</v>
      </c>
      <c r="H3" s="212" t="s">
        <v>1118</v>
      </c>
      <c r="I3" s="212" t="s">
        <v>519</v>
      </c>
      <c r="J3" t="s">
        <v>1120</v>
      </c>
      <c r="K3" s="234" t="s">
        <v>1119</v>
      </c>
      <c r="L3" s="212" t="s">
        <v>1135</v>
      </c>
      <c r="M3" s="212" t="s">
        <v>1133</v>
      </c>
      <c r="N3" s="212" t="s">
        <v>1134</v>
      </c>
      <c r="O3" s="212" t="s">
        <v>1136</v>
      </c>
      <c r="P3" s="212" t="s">
        <v>1137</v>
      </c>
      <c r="Q3" s="234" t="s">
        <v>1159</v>
      </c>
      <c r="R3" s="212" t="s">
        <v>1162</v>
      </c>
      <c r="S3" s="2" t="s">
        <v>1163</v>
      </c>
      <c r="T3" s="237" t="s">
        <v>1164</v>
      </c>
      <c r="U3" s="237" t="s">
        <v>1165</v>
      </c>
      <c r="V3" s="216" t="s">
        <v>435</v>
      </c>
      <c r="W3" s="212" t="s">
        <v>1202</v>
      </c>
      <c r="X3" s="212" t="s">
        <v>1203</v>
      </c>
      <c r="Y3" s="212" t="s">
        <v>1204</v>
      </c>
      <c r="Z3" s="61" t="s">
        <v>874</v>
      </c>
      <c r="AA3" s="108" t="s">
        <v>875</v>
      </c>
      <c r="AB3" s="108" t="s">
        <v>875</v>
      </c>
      <c r="AC3" s="61" t="s">
        <v>1240</v>
      </c>
      <c r="AD3" s="61"/>
      <c r="AE3" s="138" t="s">
        <v>822</v>
      </c>
      <c r="AF3" s="138" t="s">
        <v>865</v>
      </c>
      <c r="AG3" s="134" t="s">
        <v>867</v>
      </c>
      <c r="AH3" s="61" t="s">
        <v>871</v>
      </c>
      <c r="AJ3" t="s">
        <v>1138</v>
      </c>
      <c r="AM3" t="s">
        <v>1141</v>
      </c>
    </row>
    <row r="4" spans="1:49">
      <c r="A4" t="s">
        <v>0</v>
      </c>
      <c r="B4" t="s">
        <v>9</v>
      </c>
      <c r="C4" t="s">
        <v>12</v>
      </c>
      <c r="D4" s="8">
        <v>1</v>
      </c>
      <c r="E4">
        <v>5</v>
      </c>
      <c r="H4" s="211" t="s">
        <v>525</v>
      </c>
      <c r="J4" t="s">
        <v>525</v>
      </c>
      <c r="K4" s="3" t="s">
        <v>525</v>
      </c>
      <c r="L4" s="211" t="s">
        <v>525</v>
      </c>
      <c r="O4" s="217" t="s">
        <v>525</v>
      </c>
      <c r="Q4" s="250" t="s">
        <v>1160</v>
      </c>
      <c r="R4">
        <v>4</v>
      </c>
      <c r="S4" s="3">
        <v>2</v>
      </c>
      <c r="T4" s="236" t="s">
        <v>525</v>
      </c>
      <c r="V4" s="214">
        <f>'Soil samples 2017'!AJ4</f>
        <v>3.3052702702702725</v>
      </c>
      <c r="W4" s="8">
        <v>7.4</v>
      </c>
      <c r="X4">
        <f t="shared" ref="X4:X35" si="0">IF(R4&gt;0,W4/(R4/6*100)*100,W4)</f>
        <v>11.100000000000001</v>
      </c>
      <c r="Y4">
        <f>X4/100</f>
        <v>0.11100000000000002</v>
      </c>
      <c r="Z4">
        <f>Y4*V4/100</f>
        <v>3.668850000000003E-3</v>
      </c>
      <c r="AA4" s="8">
        <f>Z4*1000000/1000</f>
        <v>3.6688500000000031</v>
      </c>
      <c r="AB4">
        <f>AA4</f>
        <v>3.6688500000000031</v>
      </c>
      <c r="AC4">
        <f>AB4*0.05</f>
        <v>0.18344250000000017</v>
      </c>
      <c r="AE4" t="s">
        <v>1115</v>
      </c>
      <c r="AF4">
        <v>20</v>
      </c>
      <c r="AG4">
        <v>5</v>
      </c>
      <c r="AH4">
        <f>AVERAGE(AA30,AA34,AA38,AA42,AA49)</f>
        <v>24.941024135992055</v>
      </c>
      <c r="AJ4" t="s">
        <v>1139</v>
      </c>
      <c r="AK4" t="s">
        <v>1140</v>
      </c>
      <c r="AM4" t="s">
        <v>1142</v>
      </c>
      <c r="AN4" t="s">
        <v>1139</v>
      </c>
      <c r="AO4" t="s">
        <v>1140</v>
      </c>
      <c r="AP4" t="s">
        <v>1153</v>
      </c>
      <c r="AQ4" t="s">
        <v>1154</v>
      </c>
      <c r="AR4" t="s">
        <v>1157</v>
      </c>
      <c r="AS4" t="s">
        <v>1158</v>
      </c>
      <c r="AT4" t="s">
        <v>1156</v>
      </c>
      <c r="AV4" t="s">
        <v>1155</v>
      </c>
    </row>
    <row r="5" spans="1:49">
      <c r="A5" t="s">
        <v>642</v>
      </c>
      <c r="B5" t="s">
        <v>9</v>
      </c>
      <c r="C5" t="s">
        <v>12</v>
      </c>
      <c r="D5" s="8">
        <v>1</v>
      </c>
      <c r="E5">
        <v>10</v>
      </c>
      <c r="H5" s="211" t="s">
        <v>525</v>
      </c>
      <c r="L5" s="211" t="s">
        <v>525</v>
      </c>
      <c r="O5" s="214" t="s">
        <v>525</v>
      </c>
      <c r="P5" s="235"/>
      <c r="R5">
        <v>1</v>
      </c>
      <c r="S5" s="3">
        <v>5</v>
      </c>
      <c r="T5" s="236" t="s">
        <v>525</v>
      </c>
      <c r="V5" s="214">
        <f>'Soil samples 2017'!AJ5</f>
        <v>7.4247114530926304</v>
      </c>
      <c r="W5" s="8">
        <v>1.8</v>
      </c>
      <c r="X5">
        <f t="shared" si="0"/>
        <v>10.8</v>
      </c>
      <c r="Y5">
        <f t="shared" ref="Y5:Y68" si="1">X5/100</f>
        <v>0.10800000000000001</v>
      </c>
      <c r="Z5">
        <f t="shared" ref="Z5:Z7" si="2">Y5*V5/100</f>
        <v>8.0186883693400407E-3</v>
      </c>
      <c r="AA5" s="8">
        <f>Z5*1000000/1000</f>
        <v>8.0186883693400404</v>
      </c>
      <c r="AB5">
        <f t="shared" ref="AB5:AB68" si="3">AA5</f>
        <v>8.0186883693400404</v>
      </c>
      <c r="AC5">
        <f t="shared" ref="AC5:AC68" si="4">AB5*0.05</f>
        <v>0.40093441846700206</v>
      </c>
      <c r="AE5" t="s">
        <v>63</v>
      </c>
      <c r="AF5">
        <v>5</v>
      </c>
      <c r="AG5">
        <v>4</v>
      </c>
      <c r="AH5">
        <f>AVERAGE(AA71,AA77,AA84,AA88)</f>
        <v>14.817635283656228</v>
      </c>
      <c r="AJ5">
        <v>0</v>
      </c>
      <c r="AK5">
        <v>0</v>
      </c>
      <c r="AM5" t="s">
        <v>1143</v>
      </c>
      <c r="AN5">
        <v>0.1706</v>
      </c>
      <c r="AO5">
        <v>0.114</v>
      </c>
      <c r="AP5">
        <v>7.806</v>
      </c>
      <c r="AQ5">
        <f>(7.014-6.504)*(5/7)</f>
        <v>0.36428571428571477</v>
      </c>
      <c r="AR5">
        <f>0.0226*AP5-0.0158</f>
        <v>0.16061559999999997</v>
      </c>
      <c r="AS5">
        <f t="shared" ref="AS5:AS10" si="5">AN5-AR5</f>
        <v>9.9844000000000321E-3</v>
      </c>
      <c r="AT5">
        <f>AS5/AQ5</f>
        <v>2.7408156862745149E-2</v>
      </c>
      <c r="AV5">
        <v>0</v>
      </c>
      <c r="AW5">
        <v>0</v>
      </c>
    </row>
    <row r="6" spans="1:49">
      <c r="A6" t="s">
        <v>1</v>
      </c>
      <c r="B6" t="s">
        <v>9</v>
      </c>
      <c r="C6" t="s">
        <v>12</v>
      </c>
      <c r="D6" s="8">
        <v>1</v>
      </c>
      <c r="E6">
        <v>20</v>
      </c>
      <c r="G6" s="211" t="s">
        <v>525</v>
      </c>
      <c r="M6" s="211" t="s">
        <v>525</v>
      </c>
      <c r="T6" s="236" t="s">
        <v>525</v>
      </c>
      <c r="V6" s="214">
        <f>'Soil samples'!AK5</f>
        <v>53.640616844602576</v>
      </c>
      <c r="W6" s="8">
        <v>12</v>
      </c>
      <c r="X6">
        <f t="shared" si="0"/>
        <v>12</v>
      </c>
      <c r="Y6">
        <f t="shared" si="1"/>
        <v>0.12</v>
      </c>
      <c r="Z6">
        <f t="shared" si="2"/>
        <v>6.4368740213523082E-2</v>
      </c>
      <c r="AA6" s="8">
        <f t="shared" ref="AA6:AA69" si="6">Z6*1000000/1000</f>
        <v>64.368740213523083</v>
      </c>
      <c r="AB6">
        <f t="shared" si="3"/>
        <v>64.368740213523083</v>
      </c>
      <c r="AC6">
        <f t="shared" si="4"/>
        <v>3.2184370106761544</v>
      </c>
      <c r="AE6" t="s">
        <v>72</v>
      </c>
      <c r="AF6">
        <v>5</v>
      </c>
      <c r="AG6">
        <v>4</v>
      </c>
      <c r="AH6">
        <f>AVERAGE(AA71,AA77,AA84,AA88)</f>
        <v>14.817635283656228</v>
      </c>
      <c r="AJ6">
        <v>0.05</v>
      </c>
      <c r="AK6">
        <v>2.5000000000000001E-2</v>
      </c>
      <c r="AM6" t="s">
        <v>1144</v>
      </c>
      <c r="AN6">
        <v>0.1837</v>
      </c>
      <c r="AO6">
        <v>0.122</v>
      </c>
      <c r="AP6">
        <v>6.9870000000000001</v>
      </c>
      <c r="AQ6">
        <f>(7.011-6.009)*(5/7)</f>
        <v>0.71571428571428553</v>
      </c>
      <c r="AR6">
        <f t="shared" ref="AR6:AR9" si="7">0.0226*AP6-0.0158</f>
        <v>0.14210619999999999</v>
      </c>
      <c r="AS6">
        <f t="shared" si="5"/>
        <v>4.1593800000000014E-2</v>
      </c>
      <c r="AT6">
        <f t="shared" ref="AT6:AT9" si="8">AS6/AQ6</f>
        <v>5.8115089820359317E-2</v>
      </c>
      <c r="AV6">
        <v>0.93899999999999995</v>
      </c>
      <c r="AW6">
        <v>1.4E-2</v>
      </c>
    </row>
    <row r="7" spans="1:49">
      <c r="A7" t="s">
        <v>2</v>
      </c>
      <c r="B7" t="s">
        <v>9</v>
      </c>
      <c r="C7" t="s">
        <v>12</v>
      </c>
      <c r="D7" s="8">
        <v>1</v>
      </c>
      <c r="E7">
        <v>30</v>
      </c>
      <c r="G7" s="211" t="s">
        <v>525</v>
      </c>
      <c r="M7" s="211" t="s">
        <v>525</v>
      </c>
      <c r="T7" s="236" t="s">
        <v>525</v>
      </c>
      <c r="V7" s="214">
        <f>'Soil samples'!AK6</f>
        <v>67.580631849167318</v>
      </c>
      <c r="W7" s="6">
        <v>20</v>
      </c>
      <c r="X7">
        <f t="shared" si="0"/>
        <v>20</v>
      </c>
      <c r="Y7">
        <f t="shared" si="1"/>
        <v>0.2</v>
      </c>
      <c r="Z7">
        <f t="shared" si="2"/>
        <v>0.13516126369833464</v>
      </c>
      <c r="AA7" s="8">
        <f t="shared" si="6"/>
        <v>135.16126369833464</v>
      </c>
      <c r="AB7">
        <f t="shared" si="3"/>
        <v>135.16126369833464</v>
      </c>
      <c r="AC7">
        <f t="shared" si="4"/>
        <v>6.7580631849167325</v>
      </c>
      <c r="AE7" t="s">
        <v>87</v>
      </c>
      <c r="AF7">
        <v>5</v>
      </c>
      <c r="AG7">
        <v>5</v>
      </c>
      <c r="AH7">
        <f>AVERAGE(AB92,AB95,AB102,AB105,AB108)</f>
        <v>65.762617204844702</v>
      </c>
      <c r="AJ7">
        <v>0.1</v>
      </c>
      <c r="AK7">
        <v>6.5000000000000002E-2</v>
      </c>
      <c r="AM7" t="s">
        <v>1145</v>
      </c>
      <c r="AN7">
        <v>0.22289999999999999</v>
      </c>
      <c r="AO7">
        <v>0.14599999999999999</v>
      </c>
      <c r="AP7">
        <v>7.9349999999999996</v>
      </c>
      <c r="AQ7">
        <f>(6.996-5.009)*(5/7)</f>
        <v>1.4192857142857145</v>
      </c>
      <c r="AR7">
        <f t="shared" si="7"/>
        <v>0.16353099999999998</v>
      </c>
      <c r="AS7">
        <f t="shared" si="5"/>
        <v>5.9369000000000005E-2</v>
      </c>
      <c r="AT7">
        <f t="shared" si="8"/>
        <v>4.1830196275792653E-2</v>
      </c>
      <c r="AV7">
        <v>3.0129999999999999</v>
      </c>
      <c r="AW7">
        <v>5.6000000000000001E-2</v>
      </c>
    </row>
    <row r="8" spans="1:49">
      <c r="A8" t="s">
        <v>3</v>
      </c>
      <c r="B8" t="s">
        <v>9</v>
      </c>
      <c r="C8" t="s">
        <v>12</v>
      </c>
      <c r="D8" s="8">
        <v>2</v>
      </c>
      <c r="E8">
        <v>5</v>
      </c>
      <c r="H8" s="211" t="s">
        <v>525</v>
      </c>
      <c r="J8" t="s">
        <v>525</v>
      </c>
      <c r="K8" s="3" t="s">
        <v>525</v>
      </c>
      <c r="L8" s="211" t="s">
        <v>525</v>
      </c>
      <c r="R8">
        <v>2</v>
      </c>
      <c r="S8" s="3">
        <v>4</v>
      </c>
      <c r="T8" s="236" t="s">
        <v>525</v>
      </c>
      <c r="V8" s="214">
        <f>'Soil samples 2017'!AJ6</f>
        <v>0.96450918738331459</v>
      </c>
      <c r="W8" s="6">
        <v>3.5</v>
      </c>
      <c r="X8">
        <f t="shared" si="0"/>
        <v>10.500000000000002</v>
      </c>
      <c r="Y8">
        <f t="shared" si="1"/>
        <v>0.10500000000000002</v>
      </c>
      <c r="Z8">
        <f>Y8*V8/100</f>
        <v>1.0127346467524805E-3</v>
      </c>
      <c r="AA8" s="8">
        <f t="shared" si="6"/>
        <v>1.0127346467524805</v>
      </c>
      <c r="AB8">
        <f t="shared" si="3"/>
        <v>1.0127346467524805</v>
      </c>
      <c r="AC8">
        <f t="shared" si="4"/>
        <v>5.063673233762403E-2</v>
      </c>
      <c r="AE8" t="s">
        <v>108</v>
      </c>
      <c r="AF8">
        <v>5</v>
      </c>
      <c r="AG8">
        <v>3</v>
      </c>
      <c r="AH8">
        <f>AVERAGE(AB112,AB115,AB131)</f>
        <v>9.6574721630995359</v>
      </c>
      <c r="AJ8">
        <v>0.25</v>
      </c>
      <c r="AK8">
        <v>0.17</v>
      </c>
      <c r="AM8" t="s">
        <v>1146</v>
      </c>
      <c r="AN8">
        <v>0.38969999999999999</v>
      </c>
      <c r="AO8">
        <v>0.248</v>
      </c>
      <c r="AP8">
        <v>8.407</v>
      </c>
      <c r="AQ8">
        <f>(7.002-1.999)*(5/7)</f>
        <v>3.5735714285714288</v>
      </c>
      <c r="AR8">
        <f t="shared" si="7"/>
        <v>0.17419819999999997</v>
      </c>
      <c r="AS8">
        <f t="shared" si="5"/>
        <v>0.21550180000000002</v>
      </c>
      <c r="AT8">
        <f t="shared" si="8"/>
        <v>6.0304321407155706E-2</v>
      </c>
      <c r="AV8">
        <v>6.0220000000000002</v>
      </c>
      <c r="AW8">
        <v>9.4E-2</v>
      </c>
    </row>
    <row r="9" spans="1:49">
      <c r="A9" t="s">
        <v>643</v>
      </c>
      <c r="B9" t="s">
        <v>9</v>
      </c>
      <c r="C9" t="s">
        <v>12</v>
      </c>
      <c r="D9" s="6">
        <v>2</v>
      </c>
      <c r="E9">
        <v>10</v>
      </c>
      <c r="H9" s="211" t="s">
        <v>525</v>
      </c>
      <c r="L9" s="211" t="s">
        <v>525</v>
      </c>
      <c r="O9" s="214" t="s">
        <v>525</v>
      </c>
      <c r="P9" s="235"/>
      <c r="R9">
        <v>2</v>
      </c>
      <c r="S9" s="3">
        <v>4</v>
      </c>
      <c r="T9" s="236" t="s">
        <v>525</v>
      </c>
      <c r="V9" s="214">
        <f>'Soil samples 2017'!AJ7</f>
        <v>13.605895462454823</v>
      </c>
      <c r="W9" s="6">
        <v>2.8</v>
      </c>
      <c r="X9">
        <f t="shared" si="0"/>
        <v>8.4</v>
      </c>
      <c r="Y9">
        <f t="shared" si="1"/>
        <v>8.4000000000000005E-2</v>
      </c>
      <c r="Z9">
        <f t="shared" ref="Z9:Z72" si="9">Y9*V9/100</f>
        <v>1.1428952188462051E-2</v>
      </c>
      <c r="AA9" s="8">
        <f t="shared" si="6"/>
        <v>11.42895218846205</v>
      </c>
      <c r="AB9">
        <f t="shared" si="3"/>
        <v>11.42895218846205</v>
      </c>
      <c r="AC9">
        <f t="shared" si="4"/>
        <v>0.57144760942310258</v>
      </c>
      <c r="AE9" t="s">
        <v>109</v>
      </c>
      <c r="AF9">
        <v>10</v>
      </c>
      <c r="AG9">
        <v>5</v>
      </c>
      <c r="AH9">
        <f>AVERAGE(AB113,AB116,AB124,AB128,AB132)</f>
        <v>7.1518941898876589</v>
      </c>
      <c r="AJ9">
        <v>0.5</v>
      </c>
      <c r="AK9">
        <v>0.36299999999999999</v>
      </c>
      <c r="AM9" t="s">
        <v>1148</v>
      </c>
      <c r="AN9">
        <v>0.44369999999999998</v>
      </c>
      <c r="AO9">
        <v>0.28100000000000003</v>
      </c>
      <c r="AP9">
        <v>8.2880000000000003</v>
      </c>
      <c r="AQ9">
        <v>5.0049999999999999</v>
      </c>
      <c r="AR9">
        <f t="shared" si="7"/>
        <v>0.17150879999999999</v>
      </c>
      <c r="AS9">
        <f t="shared" si="5"/>
        <v>0.27219119999999997</v>
      </c>
      <c r="AT9">
        <f t="shared" si="8"/>
        <v>5.4383856143856137E-2</v>
      </c>
      <c r="AV9">
        <v>10.231999999999999</v>
      </c>
      <c r="AW9">
        <v>0.14799999999999999</v>
      </c>
    </row>
    <row r="10" spans="1:49">
      <c r="A10" t="s">
        <v>21</v>
      </c>
      <c r="B10" t="s">
        <v>9</v>
      </c>
      <c r="C10" t="s">
        <v>12</v>
      </c>
      <c r="D10" s="8">
        <v>2</v>
      </c>
      <c r="E10">
        <v>20</v>
      </c>
      <c r="G10" s="211" t="s">
        <v>525</v>
      </c>
      <c r="M10" s="211" t="s">
        <v>525</v>
      </c>
      <c r="T10" s="236" t="s">
        <v>525</v>
      </c>
      <c r="V10" s="214">
        <f>'Soil samples'!AK8</f>
        <v>40.418622391828528</v>
      </c>
      <c r="W10" s="6">
        <v>11</v>
      </c>
      <c r="X10">
        <f t="shared" si="0"/>
        <v>11</v>
      </c>
      <c r="Y10">
        <f t="shared" si="1"/>
        <v>0.11</v>
      </c>
      <c r="Z10">
        <f t="shared" si="9"/>
        <v>4.4460484631011384E-2</v>
      </c>
      <c r="AA10" s="8">
        <f t="shared" si="6"/>
        <v>44.460484631011383</v>
      </c>
      <c r="AB10">
        <f t="shared" si="3"/>
        <v>44.460484631011383</v>
      </c>
      <c r="AC10">
        <f t="shared" si="4"/>
        <v>2.2230242315505691</v>
      </c>
      <c r="AE10" t="s">
        <v>112</v>
      </c>
      <c r="AF10">
        <v>5</v>
      </c>
      <c r="AG10">
        <v>3</v>
      </c>
      <c r="AH10">
        <f>AVERAGE(AB112,AB115,AB131)</f>
        <v>9.6574721630995359</v>
      </c>
      <c r="AJ10">
        <v>1</v>
      </c>
      <c r="AK10">
        <v>0.59699999999999998</v>
      </c>
      <c r="AM10" t="s">
        <v>1147</v>
      </c>
      <c r="AN10">
        <v>0.17549999999999999</v>
      </c>
      <c r="AO10">
        <v>0.11700000000000001</v>
      </c>
      <c r="AP10">
        <v>8.4719999999999995</v>
      </c>
      <c r="AS10">
        <f t="shared" si="5"/>
        <v>0.17549999999999999</v>
      </c>
      <c r="AV10">
        <v>15.026</v>
      </c>
      <c r="AW10">
        <v>0.217</v>
      </c>
    </row>
    <row r="11" spans="1:49">
      <c r="A11" t="s">
        <v>22</v>
      </c>
      <c r="B11" t="s">
        <v>9</v>
      </c>
      <c r="C11" t="s">
        <v>12</v>
      </c>
      <c r="D11" s="8">
        <v>2</v>
      </c>
      <c r="E11">
        <v>30</v>
      </c>
      <c r="G11" s="211" t="s">
        <v>525</v>
      </c>
      <c r="M11" s="211" t="s">
        <v>525</v>
      </c>
      <c r="T11" s="236" t="s">
        <v>525</v>
      </c>
      <c r="V11" s="214">
        <f>'Soil samples'!AK9</f>
        <v>64.398928850095885</v>
      </c>
      <c r="W11" s="6">
        <v>14</v>
      </c>
      <c r="X11">
        <f t="shared" si="0"/>
        <v>14</v>
      </c>
      <c r="Y11">
        <f t="shared" si="1"/>
        <v>0.14000000000000001</v>
      </c>
      <c r="Z11">
        <f t="shared" si="9"/>
        <v>9.0158500390134233E-2</v>
      </c>
      <c r="AA11" s="8">
        <f t="shared" si="6"/>
        <v>90.158500390134222</v>
      </c>
      <c r="AB11">
        <f t="shared" si="3"/>
        <v>90.158500390134222</v>
      </c>
      <c r="AC11">
        <f t="shared" si="4"/>
        <v>4.5079250195067111</v>
      </c>
      <c r="AE11" t="s">
        <v>116</v>
      </c>
      <c r="AF11">
        <v>5</v>
      </c>
      <c r="AG11">
        <v>3</v>
      </c>
      <c r="AH11">
        <f>AVERAGE(AB112,AB115,AB131)</f>
        <v>9.6574721630995359</v>
      </c>
      <c r="AM11" t="s">
        <v>1112</v>
      </c>
      <c r="AN11">
        <v>-1.5800000000000002E-2</v>
      </c>
      <c r="AO11">
        <v>0</v>
      </c>
      <c r="AP11">
        <v>0</v>
      </c>
      <c r="AS11">
        <f t="shared" ref="AS11" si="10">AO11-AR11</f>
        <v>0</v>
      </c>
      <c r="AV11">
        <v>8.4719999999999995</v>
      </c>
      <c r="AW11">
        <v>0.11700000000000001</v>
      </c>
    </row>
    <row r="12" spans="1:49">
      <c r="A12" t="s">
        <v>23</v>
      </c>
      <c r="B12" t="s">
        <v>9</v>
      </c>
      <c r="C12" t="s">
        <v>12</v>
      </c>
      <c r="D12" s="8">
        <v>3</v>
      </c>
      <c r="E12">
        <v>5</v>
      </c>
      <c r="G12" s="211" t="s">
        <v>525</v>
      </c>
      <c r="K12" s="3" t="s">
        <v>525</v>
      </c>
      <c r="L12" s="211" t="s">
        <v>525</v>
      </c>
      <c r="R12">
        <v>5</v>
      </c>
      <c r="S12" s="3">
        <v>1</v>
      </c>
      <c r="T12" s="236" t="s">
        <v>525</v>
      </c>
      <c r="V12" s="214">
        <f>'Soil samples 2017'!AJ8</f>
        <v>5.7808489722967051</v>
      </c>
      <c r="W12" s="6">
        <v>6.9</v>
      </c>
      <c r="X12">
        <f t="shared" si="0"/>
        <v>8.2799999999999994</v>
      </c>
      <c r="Y12">
        <f t="shared" si="1"/>
        <v>8.2799999999999999E-2</v>
      </c>
      <c r="Z12">
        <f t="shared" si="9"/>
        <v>4.7865429490616717E-3</v>
      </c>
      <c r="AA12" s="8">
        <f t="shared" si="6"/>
        <v>4.7865429490616718</v>
      </c>
      <c r="AB12">
        <f t="shared" si="3"/>
        <v>4.7865429490616718</v>
      </c>
      <c r="AC12">
        <f t="shared" si="4"/>
        <v>0.23932714745308359</v>
      </c>
      <c r="AE12" t="s">
        <v>127</v>
      </c>
      <c r="AF12">
        <v>5</v>
      </c>
      <c r="AG12">
        <v>4</v>
      </c>
      <c r="AH12">
        <f>AVERAGE(AA134,AA142,AA146,AA149)</f>
        <v>8.8497763129115974</v>
      </c>
      <c r="AM12" t="s">
        <v>1149</v>
      </c>
      <c r="AO12">
        <v>-4.0000000000000001E-3</v>
      </c>
    </row>
    <row r="13" spans="1:49">
      <c r="A13" t="s">
        <v>1089</v>
      </c>
      <c r="B13" t="s">
        <v>9</v>
      </c>
      <c r="C13" t="s">
        <v>12</v>
      </c>
      <c r="D13" s="6">
        <v>3</v>
      </c>
      <c r="E13">
        <v>10</v>
      </c>
      <c r="G13" s="211" t="s">
        <v>525</v>
      </c>
      <c r="L13" s="211" t="s">
        <v>525</v>
      </c>
      <c r="O13" s="214" t="s">
        <v>525</v>
      </c>
      <c r="P13" s="235"/>
      <c r="R13">
        <v>4</v>
      </c>
      <c r="S13" s="3">
        <v>2</v>
      </c>
      <c r="T13" s="236" t="s">
        <v>525</v>
      </c>
      <c r="V13" s="214">
        <f>'Soil samples 2017'!AJ9</f>
        <v>17.980195554123728</v>
      </c>
      <c r="W13" s="6">
        <v>7.5</v>
      </c>
      <c r="X13">
        <f t="shared" si="0"/>
        <v>11.250000000000002</v>
      </c>
      <c r="Y13">
        <f t="shared" si="1"/>
        <v>0.11250000000000002</v>
      </c>
      <c r="Z13">
        <f t="shared" si="9"/>
        <v>2.0227719998389196E-2</v>
      </c>
      <c r="AA13" s="8">
        <f t="shared" si="6"/>
        <v>20.227719998389194</v>
      </c>
      <c r="AB13">
        <f t="shared" si="3"/>
        <v>20.227719998389194</v>
      </c>
      <c r="AC13">
        <f t="shared" si="4"/>
        <v>1.0113859999194597</v>
      </c>
      <c r="AE13" t="s">
        <v>1100</v>
      </c>
      <c r="AF13">
        <v>20</v>
      </c>
      <c r="AG13">
        <v>4</v>
      </c>
      <c r="AH13">
        <f>AVERAGE(AA136,AA144,AA148,AA151)</f>
        <v>89.162870083736109</v>
      </c>
      <c r="AM13" t="s">
        <v>1150</v>
      </c>
      <c r="AO13">
        <v>-1E-3</v>
      </c>
    </row>
    <row r="14" spans="1:49">
      <c r="A14" t="s">
        <v>14</v>
      </c>
      <c r="B14" t="s">
        <v>9</v>
      </c>
      <c r="C14" t="s">
        <v>12</v>
      </c>
      <c r="D14" s="8">
        <v>3</v>
      </c>
      <c r="E14">
        <v>20</v>
      </c>
      <c r="G14" s="211" t="s">
        <v>525</v>
      </c>
      <c r="M14" s="211" t="s">
        <v>525</v>
      </c>
      <c r="T14" s="236" t="s">
        <v>525</v>
      </c>
      <c r="V14" s="214">
        <f>'Soil samples'!AK11</f>
        <v>46.873778495924611</v>
      </c>
      <c r="W14" s="6">
        <v>19</v>
      </c>
      <c r="X14">
        <f t="shared" si="0"/>
        <v>19</v>
      </c>
      <c r="Y14">
        <f t="shared" si="1"/>
        <v>0.19</v>
      </c>
      <c r="Z14">
        <f t="shared" si="9"/>
        <v>8.9060179142256765E-2</v>
      </c>
      <c r="AA14" s="8">
        <f t="shared" si="6"/>
        <v>89.060179142256757</v>
      </c>
      <c r="AB14">
        <f t="shared" si="3"/>
        <v>89.060179142256757</v>
      </c>
      <c r="AC14">
        <f t="shared" si="4"/>
        <v>4.4530089571128384</v>
      </c>
      <c r="AE14" t="s">
        <v>578</v>
      </c>
      <c r="AF14">
        <v>5</v>
      </c>
      <c r="AG14">
        <v>4</v>
      </c>
      <c r="AH14">
        <f>AVERAGE(AA134,AA142,AA146,AA149)</f>
        <v>8.8497763129115974</v>
      </c>
      <c r="AJ14" t="s">
        <v>1151</v>
      </c>
      <c r="AK14">
        <v>-3.0000000000000001E-3</v>
      </c>
    </row>
    <row r="15" spans="1:49">
      <c r="A15" t="s">
        <v>15</v>
      </c>
      <c r="B15" t="s">
        <v>9</v>
      </c>
      <c r="C15" t="s">
        <v>12</v>
      </c>
      <c r="D15" s="8">
        <v>3</v>
      </c>
      <c r="E15">
        <v>30</v>
      </c>
      <c r="G15" s="211" t="s">
        <v>525</v>
      </c>
      <c r="M15" s="211" t="s">
        <v>525</v>
      </c>
      <c r="T15" s="236" t="s">
        <v>525</v>
      </c>
      <c r="V15" s="214">
        <f>'Soil samples'!AK12</f>
        <v>53.418214231908806</v>
      </c>
      <c r="W15" s="6">
        <v>25</v>
      </c>
      <c r="X15">
        <f t="shared" si="0"/>
        <v>25</v>
      </c>
      <c r="Y15">
        <f t="shared" si="1"/>
        <v>0.25</v>
      </c>
      <c r="Z15">
        <f t="shared" si="9"/>
        <v>0.133545535579772</v>
      </c>
      <c r="AA15" s="8">
        <f t="shared" si="6"/>
        <v>133.54553557977201</v>
      </c>
      <c r="AB15">
        <f t="shared" si="3"/>
        <v>133.54553557977201</v>
      </c>
      <c r="AC15">
        <f t="shared" si="4"/>
        <v>6.6772767789886007</v>
      </c>
      <c r="AE15" t="s">
        <v>139</v>
      </c>
      <c r="AF15">
        <v>5</v>
      </c>
      <c r="AG15">
        <v>3</v>
      </c>
      <c r="AH15">
        <f>AVERAGE(AB155,AB158,AB161)</f>
        <v>12.125080451890675</v>
      </c>
      <c r="AJ15" t="s">
        <v>1152</v>
      </c>
      <c r="AK15">
        <v>-8.0000000000000002E-3</v>
      </c>
    </row>
    <row r="16" spans="1:49">
      <c r="A16" t="s">
        <v>16</v>
      </c>
      <c r="B16" t="s">
        <v>9</v>
      </c>
      <c r="C16" t="s">
        <v>12</v>
      </c>
      <c r="D16" s="8">
        <v>4</v>
      </c>
      <c r="E16">
        <v>5</v>
      </c>
      <c r="G16" s="211" t="s">
        <v>525</v>
      </c>
      <c r="K16" s="3" t="s">
        <v>525</v>
      </c>
      <c r="M16" s="211" t="s">
        <v>525</v>
      </c>
      <c r="T16" s="236" t="s">
        <v>525</v>
      </c>
      <c r="V16" s="214">
        <f>'Soil samples 2017'!AJ10</f>
        <v>16.673792849244407</v>
      </c>
      <c r="W16" s="6">
        <v>23</v>
      </c>
      <c r="X16">
        <f t="shared" si="0"/>
        <v>23</v>
      </c>
      <c r="Y16">
        <f t="shared" si="1"/>
        <v>0.23</v>
      </c>
      <c r="Z16">
        <f t="shared" si="9"/>
        <v>3.834972355326214E-2</v>
      </c>
      <c r="AA16" s="8">
        <f t="shared" si="6"/>
        <v>38.349723553262145</v>
      </c>
      <c r="AB16">
        <f t="shared" si="3"/>
        <v>38.349723553262145</v>
      </c>
      <c r="AC16">
        <f t="shared" si="4"/>
        <v>1.9174861776631074</v>
      </c>
      <c r="AE16" t="s">
        <v>145</v>
      </c>
      <c r="AF16">
        <v>5</v>
      </c>
      <c r="AG16">
        <v>3</v>
      </c>
      <c r="AH16">
        <f>AVERAGE(AB155,AB158,AB161)</f>
        <v>12.125080451890675</v>
      </c>
    </row>
    <row r="17" spans="1:34">
      <c r="A17" t="s">
        <v>1090</v>
      </c>
      <c r="B17" t="s">
        <v>9</v>
      </c>
      <c r="C17" t="s">
        <v>12</v>
      </c>
      <c r="D17" s="6">
        <v>4</v>
      </c>
      <c r="E17">
        <v>10</v>
      </c>
      <c r="G17" s="211" t="s">
        <v>525</v>
      </c>
      <c r="L17" s="211" t="s">
        <v>525</v>
      </c>
      <c r="P17" s="235"/>
      <c r="T17" s="236" t="s">
        <v>525</v>
      </c>
      <c r="U17" s="236" t="s">
        <v>525</v>
      </c>
      <c r="V17" s="214">
        <f>'Soil samples 2017'!AJ11</f>
        <v>14.879656912854619</v>
      </c>
      <c r="W17" s="6">
        <v>25</v>
      </c>
      <c r="X17">
        <f t="shared" si="0"/>
        <v>25</v>
      </c>
      <c r="Y17">
        <f t="shared" si="1"/>
        <v>0.25</v>
      </c>
      <c r="Z17">
        <f t="shared" si="9"/>
        <v>3.7199142282136548E-2</v>
      </c>
      <c r="AA17" s="8">
        <f t="shared" si="6"/>
        <v>37.199142282136549</v>
      </c>
      <c r="AB17">
        <f t="shared" si="3"/>
        <v>37.199142282136549</v>
      </c>
      <c r="AC17">
        <f t="shared" si="4"/>
        <v>1.8599571141068276</v>
      </c>
      <c r="AE17" t="s">
        <v>151</v>
      </c>
      <c r="AF17">
        <v>5</v>
      </c>
      <c r="AG17">
        <v>3</v>
      </c>
      <c r="AH17">
        <f>AVERAGE(AB155,AB158,AB161)</f>
        <v>12.125080451890675</v>
      </c>
    </row>
    <row r="18" spans="1:34">
      <c r="A18" t="s">
        <v>24</v>
      </c>
      <c r="B18" t="s">
        <v>9</v>
      </c>
      <c r="C18" t="s">
        <v>12</v>
      </c>
      <c r="D18" s="8">
        <v>4</v>
      </c>
      <c r="E18">
        <v>20</v>
      </c>
      <c r="G18" s="211" t="s">
        <v>525</v>
      </c>
      <c r="M18" s="211" t="s">
        <v>525</v>
      </c>
      <c r="T18" s="236" t="s">
        <v>525</v>
      </c>
      <c r="V18" s="214">
        <f>'Soil samples'!AK14</f>
        <v>60.436462788582816</v>
      </c>
      <c r="W18" s="6">
        <v>29</v>
      </c>
      <c r="X18">
        <f t="shared" si="0"/>
        <v>29</v>
      </c>
      <c r="Y18">
        <f t="shared" si="1"/>
        <v>0.28999999999999998</v>
      </c>
      <c r="Z18">
        <f t="shared" si="9"/>
        <v>0.17526574208689016</v>
      </c>
      <c r="AA18" s="8">
        <f t="shared" si="6"/>
        <v>175.26574208689016</v>
      </c>
      <c r="AB18">
        <f t="shared" si="3"/>
        <v>175.26574208689016</v>
      </c>
      <c r="AC18">
        <f t="shared" si="4"/>
        <v>8.7632871043445082</v>
      </c>
      <c r="AE18" t="s">
        <v>158</v>
      </c>
      <c r="AF18">
        <v>5</v>
      </c>
      <c r="AG18">
        <v>5</v>
      </c>
      <c r="AH18">
        <f>AVERAGE(AB168,AB176,AB180,AB184,AB188)</f>
        <v>14.782676337444959</v>
      </c>
    </row>
    <row r="19" spans="1:34">
      <c r="A19" t="s">
        <v>25</v>
      </c>
      <c r="B19" t="s">
        <v>9</v>
      </c>
      <c r="C19" t="s">
        <v>12</v>
      </c>
      <c r="D19" s="8">
        <v>4</v>
      </c>
      <c r="E19">
        <v>30</v>
      </c>
      <c r="G19" s="211" t="s">
        <v>525</v>
      </c>
      <c r="M19" s="211" t="s">
        <v>525</v>
      </c>
      <c r="T19" s="236" t="s">
        <v>525</v>
      </c>
      <c r="V19" s="214">
        <f>'Soil samples'!AK15</f>
        <v>41.577696713147425</v>
      </c>
      <c r="W19" s="6">
        <v>3.3</v>
      </c>
      <c r="X19">
        <f t="shared" si="0"/>
        <v>3.3</v>
      </c>
      <c r="Y19">
        <f t="shared" si="1"/>
        <v>3.3000000000000002E-2</v>
      </c>
      <c r="Z19">
        <f t="shared" si="9"/>
        <v>1.372063991533865E-2</v>
      </c>
      <c r="AA19" s="8">
        <f t="shared" si="6"/>
        <v>13.72063991533865</v>
      </c>
      <c r="AB19">
        <f t="shared" si="3"/>
        <v>13.72063991533865</v>
      </c>
      <c r="AC19">
        <f t="shared" si="4"/>
        <v>0.68603199576693252</v>
      </c>
    </row>
    <row r="20" spans="1:34">
      <c r="A20" t="s">
        <v>26</v>
      </c>
      <c r="B20" t="s">
        <v>9</v>
      </c>
      <c r="C20" t="s">
        <v>12</v>
      </c>
      <c r="D20" s="8">
        <v>5</v>
      </c>
      <c r="E20">
        <v>5</v>
      </c>
      <c r="G20" s="211" t="s">
        <v>525</v>
      </c>
      <c r="K20" s="3" t="s">
        <v>525</v>
      </c>
      <c r="L20" s="211" t="s">
        <v>525</v>
      </c>
      <c r="O20" s="217"/>
      <c r="Q20" s="250" t="s">
        <v>1160</v>
      </c>
      <c r="T20" s="236" t="s">
        <v>525</v>
      </c>
      <c r="V20" s="214">
        <f>'Soil samples 2017'!AJ12</f>
        <v>30.125543108036208</v>
      </c>
      <c r="W20" s="6">
        <v>16</v>
      </c>
      <c r="X20">
        <f t="shared" si="0"/>
        <v>16</v>
      </c>
      <c r="Y20">
        <f t="shared" si="1"/>
        <v>0.16</v>
      </c>
      <c r="Z20">
        <f t="shared" si="9"/>
        <v>4.8200868972857934E-2</v>
      </c>
      <c r="AA20" s="8">
        <f t="shared" si="6"/>
        <v>48.200868972857933</v>
      </c>
      <c r="AB20">
        <f t="shared" si="3"/>
        <v>48.200868972857933</v>
      </c>
      <c r="AC20">
        <f t="shared" si="4"/>
        <v>2.410043448642897</v>
      </c>
    </row>
    <row r="21" spans="1:34">
      <c r="A21" t="s">
        <v>1091</v>
      </c>
      <c r="B21" t="s">
        <v>9</v>
      </c>
      <c r="C21" t="s">
        <v>12</v>
      </c>
      <c r="D21" s="6">
        <v>5</v>
      </c>
      <c r="E21">
        <v>10</v>
      </c>
      <c r="G21" s="211" t="s">
        <v>525</v>
      </c>
      <c r="M21" s="211" t="s">
        <v>525</v>
      </c>
      <c r="P21" s="235"/>
      <c r="T21" s="236" t="s">
        <v>525</v>
      </c>
      <c r="V21" s="214">
        <f>'Soil samples 2017'!AJ13</f>
        <v>40.039027935207876</v>
      </c>
      <c r="W21" s="6">
        <v>5.5</v>
      </c>
      <c r="X21">
        <f t="shared" si="0"/>
        <v>5.5</v>
      </c>
      <c r="Y21">
        <f t="shared" si="1"/>
        <v>5.5E-2</v>
      </c>
      <c r="Z21">
        <f t="shared" si="9"/>
        <v>2.2021465364364334E-2</v>
      </c>
      <c r="AA21" s="8">
        <f t="shared" si="6"/>
        <v>22.021465364364335</v>
      </c>
      <c r="AB21">
        <f t="shared" si="3"/>
        <v>22.021465364364335</v>
      </c>
      <c r="AC21">
        <f t="shared" si="4"/>
        <v>1.1010732682182167</v>
      </c>
    </row>
    <row r="22" spans="1:34">
      <c r="A22" t="s">
        <v>27</v>
      </c>
      <c r="B22" t="s">
        <v>9</v>
      </c>
      <c r="C22" t="s">
        <v>12</v>
      </c>
      <c r="D22" s="8">
        <v>5</v>
      </c>
      <c r="E22">
        <v>20</v>
      </c>
      <c r="G22" s="211" t="s">
        <v>525</v>
      </c>
      <c r="M22" s="211" t="s">
        <v>525</v>
      </c>
      <c r="T22" s="236" t="s">
        <v>525</v>
      </c>
      <c r="V22" s="214">
        <f>'Soil samples'!AK17</f>
        <v>44.473173277661772</v>
      </c>
      <c r="W22" s="6">
        <v>3.4</v>
      </c>
      <c r="X22">
        <f t="shared" si="0"/>
        <v>3.4</v>
      </c>
      <c r="Y22">
        <f t="shared" si="1"/>
        <v>3.4000000000000002E-2</v>
      </c>
      <c r="Z22">
        <f t="shared" si="9"/>
        <v>1.5120878914405002E-2</v>
      </c>
      <c r="AA22" s="8">
        <f t="shared" si="6"/>
        <v>15.120878914405003</v>
      </c>
      <c r="AB22">
        <f t="shared" si="3"/>
        <v>15.120878914405003</v>
      </c>
      <c r="AC22">
        <f t="shared" si="4"/>
        <v>0.75604394572025013</v>
      </c>
    </row>
    <row r="23" spans="1:34">
      <c r="A23" t="s">
        <v>28</v>
      </c>
      <c r="B23" t="s">
        <v>9</v>
      </c>
      <c r="C23" t="s">
        <v>12</v>
      </c>
      <c r="D23" s="8">
        <v>5</v>
      </c>
      <c r="E23">
        <v>30</v>
      </c>
      <c r="G23" s="211" t="s">
        <v>525</v>
      </c>
      <c r="M23" s="211" t="s">
        <v>525</v>
      </c>
      <c r="T23" s="236" t="s">
        <v>525</v>
      </c>
      <c r="V23" s="214">
        <f>'Soil samples'!AK18</f>
        <v>58.847634985544239</v>
      </c>
      <c r="W23" s="6">
        <v>27</v>
      </c>
      <c r="X23">
        <f t="shared" si="0"/>
        <v>27</v>
      </c>
      <c r="Y23">
        <f t="shared" si="1"/>
        <v>0.27</v>
      </c>
      <c r="Z23">
        <f t="shared" si="9"/>
        <v>0.15888861446096947</v>
      </c>
      <c r="AA23" s="8">
        <f t="shared" si="6"/>
        <v>158.88861446096945</v>
      </c>
      <c r="AB23">
        <f t="shared" si="3"/>
        <v>158.88861446096945</v>
      </c>
      <c r="AC23">
        <f t="shared" si="4"/>
        <v>7.9444307230484732</v>
      </c>
    </row>
    <row r="24" spans="1:34">
      <c r="A24" t="s">
        <v>17</v>
      </c>
      <c r="B24" t="s">
        <v>9</v>
      </c>
      <c r="C24" t="s">
        <v>12</v>
      </c>
      <c r="D24" s="8">
        <v>6</v>
      </c>
      <c r="E24">
        <v>5</v>
      </c>
      <c r="H24" s="211" t="s">
        <v>525</v>
      </c>
      <c r="J24" t="s">
        <v>525</v>
      </c>
      <c r="K24" s="3" t="s">
        <v>525</v>
      </c>
      <c r="L24" s="211" t="s">
        <v>525</v>
      </c>
      <c r="O24" s="217"/>
      <c r="Q24" s="250" t="s">
        <v>1160</v>
      </c>
      <c r="T24" s="236" t="s">
        <v>525</v>
      </c>
      <c r="V24" s="214">
        <f>'Soil samples 2017'!AJ14</f>
        <v>1.5635069008782747</v>
      </c>
      <c r="W24" s="6">
        <v>1.7</v>
      </c>
      <c r="X24">
        <f t="shared" si="0"/>
        <v>1.7</v>
      </c>
      <c r="Y24">
        <f t="shared" si="1"/>
        <v>1.7000000000000001E-2</v>
      </c>
      <c r="Z24">
        <f t="shared" si="9"/>
        <v>2.6579617314930674E-4</v>
      </c>
      <c r="AA24" s="8">
        <f t="shared" si="6"/>
        <v>0.26579617314930676</v>
      </c>
      <c r="AB24">
        <f t="shared" si="3"/>
        <v>0.26579617314930676</v>
      </c>
      <c r="AC24">
        <f t="shared" si="4"/>
        <v>1.3289808657465339E-2</v>
      </c>
    </row>
    <row r="25" spans="1:34">
      <c r="A25" t="s">
        <v>1092</v>
      </c>
      <c r="B25" t="s">
        <v>9</v>
      </c>
      <c r="C25" t="s">
        <v>12</v>
      </c>
      <c r="D25" s="6">
        <v>6</v>
      </c>
      <c r="E25">
        <v>10</v>
      </c>
      <c r="G25" s="211" t="s">
        <v>525</v>
      </c>
      <c r="J25" t="s">
        <v>525</v>
      </c>
      <c r="L25" s="211" t="s">
        <v>525</v>
      </c>
      <c r="P25" s="235"/>
      <c r="T25" s="239" t="s">
        <v>525</v>
      </c>
      <c r="V25" s="214">
        <f>'Soil samples 2017'!AJ15</f>
        <v>7.7396235204276493</v>
      </c>
      <c r="W25" s="6">
        <v>8</v>
      </c>
      <c r="X25">
        <f t="shared" si="0"/>
        <v>8</v>
      </c>
      <c r="Y25">
        <f t="shared" si="1"/>
        <v>0.08</v>
      </c>
      <c r="Z25">
        <f t="shared" si="9"/>
        <v>6.1916988163421196E-3</v>
      </c>
      <c r="AA25" s="8">
        <f t="shared" si="6"/>
        <v>6.1916988163421189</v>
      </c>
      <c r="AB25">
        <f t="shared" si="3"/>
        <v>6.1916988163421189</v>
      </c>
      <c r="AC25">
        <f t="shared" si="4"/>
        <v>0.30958494081710597</v>
      </c>
    </row>
    <row r="26" spans="1:34">
      <c r="A26" t="s">
        <v>18</v>
      </c>
      <c r="B26" t="s">
        <v>9</v>
      </c>
      <c r="C26" t="s">
        <v>12</v>
      </c>
      <c r="D26" s="8">
        <v>6</v>
      </c>
      <c r="E26">
        <v>20</v>
      </c>
      <c r="G26" s="211" t="s">
        <v>525</v>
      </c>
      <c r="L26" s="211" t="s">
        <v>525</v>
      </c>
      <c r="T26" s="236" t="s">
        <v>525</v>
      </c>
      <c r="V26" s="214">
        <f>'Soil samples'!AK20</f>
        <v>49.797987576628834</v>
      </c>
      <c r="W26" s="6">
        <v>2.4</v>
      </c>
      <c r="X26">
        <f t="shared" si="0"/>
        <v>2.4</v>
      </c>
      <c r="Y26">
        <f t="shared" si="1"/>
        <v>2.4E-2</v>
      </c>
      <c r="Z26">
        <f t="shared" si="9"/>
        <v>1.1951517018390921E-2</v>
      </c>
      <c r="AA26" s="8">
        <f t="shared" si="6"/>
        <v>11.951517018390922</v>
      </c>
      <c r="AB26">
        <f t="shared" si="3"/>
        <v>11.951517018390922</v>
      </c>
      <c r="AC26">
        <f t="shared" si="4"/>
        <v>0.59757585091954613</v>
      </c>
    </row>
    <row r="27" spans="1:34">
      <c r="A27" t="s">
        <v>19</v>
      </c>
      <c r="B27" t="s">
        <v>9</v>
      </c>
      <c r="C27" t="s">
        <v>12</v>
      </c>
      <c r="D27" s="8">
        <v>6</v>
      </c>
      <c r="E27">
        <v>30</v>
      </c>
      <c r="G27" s="211" t="s">
        <v>525</v>
      </c>
      <c r="L27" s="211" t="s">
        <v>525</v>
      </c>
      <c r="O27" s="214" t="s">
        <v>525</v>
      </c>
      <c r="T27" s="236" t="s">
        <v>525</v>
      </c>
      <c r="V27" s="214">
        <f>'Soil samples'!AK21</f>
        <v>35.456429790535289</v>
      </c>
      <c r="W27" s="6">
        <v>2.7</v>
      </c>
      <c r="X27">
        <f t="shared" si="0"/>
        <v>2.7</v>
      </c>
      <c r="Y27">
        <f t="shared" si="1"/>
        <v>2.7000000000000003E-2</v>
      </c>
      <c r="Z27">
        <f t="shared" si="9"/>
        <v>9.5732360434445298E-3</v>
      </c>
      <c r="AA27" s="8">
        <f t="shared" si="6"/>
        <v>9.5732360434445294</v>
      </c>
      <c r="AB27">
        <f t="shared" si="3"/>
        <v>9.5732360434445294</v>
      </c>
      <c r="AC27">
        <f t="shared" si="4"/>
        <v>0.47866180217222648</v>
      </c>
    </row>
    <row r="28" spans="1:34">
      <c r="A28" t="s">
        <v>4</v>
      </c>
      <c r="B28" t="s">
        <v>9</v>
      </c>
      <c r="C28" t="s">
        <v>13</v>
      </c>
      <c r="D28" s="8">
        <v>1</v>
      </c>
      <c r="E28">
        <v>5</v>
      </c>
      <c r="G28" s="211" t="s">
        <v>525</v>
      </c>
      <c r="K28" s="3" t="s">
        <v>525</v>
      </c>
      <c r="M28" s="211" t="s">
        <v>525</v>
      </c>
      <c r="T28" s="236" t="s">
        <v>525</v>
      </c>
      <c r="V28" s="214">
        <f>'Soil samples 2017'!AJ16</f>
        <v>9.2677885652643006</v>
      </c>
      <c r="W28" s="6">
        <v>3.3</v>
      </c>
      <c r="X28">
        <f t="shared" si="0"/>
        <v>3.3</v>
      </c>
      <c r="Y28">
        <f t="shared" si="1"/>
        <v>3.3000000000000002E-2</v>
      </c>
      <c r="Z28">
        <f t="shared" si="9"/>
        <v>3.058370226537219E-3</v>
      </c>
      <c r="AA28" s="8">
        <f t="shared" si="6"/>
        <v>3.0583702265372188</v>
      </c>
      <c r="AB28">
        <f t="shared" si="3"/>
        <v>3.0583702265372188</v>
      </c>
      <c r="AC28">
        <f t="shared" si="4"/>
        <v>0.15291851132686096</v>
      </c>
    </row>
    <row r="29" spans="1:34">
      <c r="A29" t="s">
        <v>640</v>
      </c>
      <c r="B29" t="s">
        <v>9</v>
      </c>
      <c r="C29" t="s">
        <v>13</v>
      </c>
      <c r="D29" s="6">
        <v>1</v>
      </c>
      <c r="E29">
        <v>10</v>
      </c>
      <c r="G29" s="211" t="s">
        <v>525</v>
      </c>
      <c r="M29" s="211" t="s">
        <v>525</v>
      </c>
      <c r="P29" s="235"/>
      <c r="T29" s="236" t="s">
        <v>525</v>
      </c>
      <c r="V29" s="214">
        <f>'Soil samples 2017'!AJ17</f>
        <v>39.112598685275763</v>
      </c>
      <c r="W29" s="6">
        <v>2.4</v>
      </c>
      <c r="X29">
        <f t="shared" si="0"/>
        <v>2.4</v>
      </c>
      <c r="Y29">
        <f t="shared" si="1"/>
        <v>2.4E-2</v>
      </c>
      <c r="Z29">
        <f t="shared" si="9"/>
        <v>9.3870236844661829E-3</v>
      </c>
      <c r="AA29" s="8">
        <f t="shared" si="6"/>
        <v>9.3870236844661825</v>
      </c>
      <c r="AB29">
        <f t="shared" si="3"/>
        <v>9.3870236844661825</v>
      </c>
      <c r="AC29">
        <f t="shared" si="4"/>
        <v>0.46935118422330913</v>
      </c>
    </row>
    <row r="30" spans="1:34">
      <c r="A30" t="s">
        <v>5</v>
      </c>
      <c r="B30" t="s">
        <v>9</v>
      </c>
      <c r="C30" t="s">
        <v>13</v>
      </c>
      <c r="D30" s="8">
        <v>1</v>
      </c>
      <c r="E30">
        <v>20</v>
      </c>
      <c r="G30" s="211" t="s">
        <v>525</v>
      </c>
      <c r="M30" s="211" t="s">
        <v>525</v>
      </c>
      <c r="T30" s="236" t="s">
        <v>525</v>
      </c>
      <c r="V30" s="214">
        <f>'Soil samples'!AK23</f>
        <v>56.243488301874464</v>
      </c>
      <c r="W30" s="6">
        <v>4.5</v>
      </c>
      <c r="X30">
        <f t="shared" si="0"/>
        <v>4.5</v>
      </c>
      <c r="Y30">
        <f t="shared" si="1"/>
        <v>4.4999999999999998E-2</v>
      </c>
      <c r="Z30">
        <f t="shared" si="9"/>
        <v>2.5309569735843508E-2</v>
      </c>
      <c r="AA30" s="8">
        <f t="shared" si="6"/>
        <v>25.309569735843507</v>
      </c>
      <c r="AB30">
        <f t="shared" si="3"/>
        <v>25.309569735843507</v>
      </c>
      <c r="AC30">
        <f t="shared" si="4"/>
        <v>1.2654784867921753</v>
      </c>
    </row>
    <row r="31" spans="1:34">
      <c r="A31" t="s">
        <v>6</v>
      </c>
      <c r="B31" t="s">
        <v>9</v>
      </c>
      <c r="C31" t="s">
        <v>13</v>
      </c>
      <c r="D31" s="8">
        <v>1</v>
      </c>
      <c r="E31">
        <v>30</v>
      </c>
      <c r="G31" s="211" t="s">
        <v>525</v>
      </c>
      <c r="M31" s="211" t="s">
        <v>525</v>
      </c>
      <c r="T31" s="236" t="s">
        <v>525</v>
      </c>
      <c r="V31" s="214">
        <f>'Soil samples'!AK24</f>
        <v>69.249590097469792</v>
      </c>
      <c r="W31" s="6">
        <v>4.2</v>
      </c>
      <c r="X31">
        <f t="shared" si="0"/>
        <v>4.2</v>
      </c>
      <c r="Y31">
        <f t="shared" si="1"/>
        <v>4.2000000000000003E-2</v>
      </c>
      <c r="Z31">
        <f t="shared" si="9"/>
        <v>2.9084827840937313E-2</v>
      </c>
      <c r="AA31" s="8">
        <f t="shared" si="6"/>
        <v>29.084827840937312</v>
      </c>
      <c r="AB31">
        <f t="shared" si="3"/>
        <v>29.084827840937312</v>
      </c>
      <c r="AC31">
        <f t="shared" si="4"/>
        <v>1.4542413920468658</v>
      </c>
    </row>
    <row r="32" spans="1:34">
      <c r="A32" t="s">
        <v>7</v>
      </c>
      <c r="B32" t="s">
        <v>9</v>
      </c>
      <c r="C32" t="s">
        <v>13</v>
      </c>
      <c r="D32" s="8">
        <v>2</v>
      </c>
      <c r="E32">
        <v>5</v>
      </c>
      <c r="G32" s="211" t="s">
        <v>525</v>
      </c>
      <c r="K32" s="3" t="s">
        <v>525</v>
      </c>
      <c r="M32" s="211" t="s">
        <v>525</v>
      </c>
      <c r="T32" s="236" t="s">
        <v>525</v>
      </c>
      <c r="V32" s="214">
        <f>'Soil samples 2017'!AJ18</f>
        <v>28.002346752700248</v>
      </c>
      <c r="W32" s="6">
        <v>1.9</v>
      </c>
      <c r="X32">
        <f t="shared" si="0"/>
        <v>1.9</v>
      </c>
      <c r="Y32">
        <f t="shared" si="1"/>
        <v>1.9E-2</v>
      </c>
      <c r="Z32">
        <f t="shared" si="9"/>
        <v>5.3204458830130473E-3</v>
      </c>
      <c r="AA32" s="8">
        <f t="shared" si="6"/>
        <v>5.320445883013047</v>
      </c>
      <c r="AB32">
        <f t="shared" si="3"/>
        <v>5.320445883013047</v>
      </c>
      <c r="AC32">
        <f t="shared" si="4"/>
        <v>0.26602229415065237</v>
      </c>
    </row>
    <row r="33" spans="1:29">
      <c r="A33" t="s">
        <v>641</v>
      </c>
      <c r="B33" t="s">
        <v>9</v>
      </c>
      <c r="C33" t="s">
        <v>13</v>
      </c>
      <c r="D33" s="6">
        <v>2</v>
      </c>
      <c r="E33">
        <v>10</v>
      </c>
      <c r="G33" s="211" t="s">
        <v>525</v>
      </c>
      <c r="M33" s="211" t="s">
        <v>525</v>
      </c>
      <c r="P33" s="235"/>
      <c r="T33" s="236" t="s">
        <v>525</v>
      </c>
      <c r="V33" s="214">
        <f>'Soil samples 2017'!AJ19</f>
        <v>50.501486755313579</v>
      </c>
      <c r="W33" s="6">
        <v>2.9</v>
      </c>
      <c r="X33">
        <f t="shared" si="0"/>
        <v>2.9</v>
      </c>
      <c r="Y33">
        <f t="shared" si="1"/>
        <v>2.8999999999999998E-2</v>
      </c>
      <c r="Z33">
        <f t="shared" si="9"/>
        <v>1.4645431159040935E-2</v>
      </c>
      <c r="AA33" s="8">
        <f t="shared" si="6"/>
        <v>14.645431159040935</v>
      </c>
      <c r="AB33">
        <f t="shared" si="3"/>
        <v>14.645431159040935</v>
      </c>
      <c r="AC33">
        <f t="shared" si="4"/>
        <v>0.73227155795204679</v>
      </c>
    </row>
    <row r="34" spans="1:29">
      <c r="A34" t="s">
        <v>29</v>
      </c>
      <c r="B34" t="s">
        <v>9</v>
      </c>
      <c r="C34" t="s">
        <v>13</v>
      </c>
      <c r="D34" s="8">
        <v>2</v>
      </c>
      <c r="E34">
        <v>20</v>
      </c>
      <c r="G34" s="211" t="s">
        <v>525</v>
      </c>
      <c r="T34" s="239" t="s">
        <v>525</v>
      </c>
      <c r="V34" s="214">
        <f>'Soil samples'!AK26</f>
        <v>92.062065243485833</v>
      </c>
      <c r="W34" s="6">
        <v>2.6</v>
      </c>
      <c r="X34">
        <f t="shared" si="0"/>
        <v>2.6</v>
      </c>
      <c r="Y34">
        <f t="shared" si="1"/>
        <v>2.6000000000000002E-2</v>
      </c>
      <c r="Z34">
        <f t="shared" si="9"/>
        <v>2.393613696330632E-2</v>
      </c>
      <c r="AA34" s="8">
        <f t="shared" si="6"/>
        <v>23.936136963306318</v>
      </c>
      <c r="AB34">
        <f t="shared" si="3"/>
        <v>23.936136963306318</v>
      </c>
      <c r="AC34">
        <f t="shared" si="4"/>
        <v>1.196806848165316</v>
      </c>
    </row>
    <row r="35" spans="1:29">
      <c r="A35" t="s">
        <v>30</v>
      </c>
      <c r="B35" t="s">
        <v>9</v>
      </c>
      <c r="C35" t="s">
        <v>13</v>
      </c>
      <c r="D35" s="8">
        <v>2</v>
      </c>
      <c r="E35">
        <v>30</v>
      </c>
      <c r="G35" s="211" t="s">
        <v>525</v>
      </c>
      <c r="M35" s="211" t="s">
        <v>525</v>
      </c>
      <c r="T35" s="236" t="s">
        <v>525</v>
      </c>
      <c r="U35" s="236" t="s">
        <v>525</v>
      </c>
      <c r="V35" s="214">
        <f>'Soil samples'!AK27</f>
        <v>134.68101829705003</v>
      </c>
      <c r="W35" s="6">
        <v>4.4000000000000004</v>
      </c>
      <c r="X35">
        <f t="shared" si="0"/>
        <v>4.4000000000000004</v>
      </c>
      <c r="Y35">
        <f t="shared" si="1"/>
        <v>4.4000000000000004E-2</v>
      </c>
      <c r="Z35">
        <f t="shared" si="9"/>
        <v>5.9259648050702024E-2</v>
      </c>
      <c r="AA35" s="8">
        <f t="shared" si="6"/>
        <v>59.259648050702026</v>
      </c>
      <c r="AB35">
        <f t="shared" si="3"/>
        <v>59.259648050702026</v>
      </c>
      <c r="AC35">
        <f t="shared" si="4"/>
        <v>2.9629824025351015</v>
      </c>
    </row>
    <row r="36" spans="1:29">
      <c r="A36" t="s">
        <v>31</v>
      </c>
      <c r="B36" t="s">
        <v>9</v>
      </c>
      <c r="C36" t="s">
        <v>13</v>
      </c>
      <c r="D36" s="8">
        <v>3</v>
      </c>
      <c r="E36">
        <v>5</v>
      </c>
      <c r="G36" s="211" t="s">
        <v>525</v>
      </c>
      <c r="K36" s="3" t="s">
        <v>525</v>
      </c>
      <c r="M36" s="211" t="s">
        <v>525</v>
      </c>
      <c r="T36" s="236" t="s">
        <v>525</v>
      </c>
      <c r="V36" s="214">
        <f>'Soil samples 2017'!AJ20</f>
        <v>38.216487218370872</v>
      </c>
      <c r="W36" s="6">
        <v>1.8</v>
      </c>
      <c r="X36">
        <f t="shared" ref="X36:X67" si="11">IF(R36&gt;0,W36/(R36/6*100)*100,W36)</f>
        <v>1.8</v>
      </c>
      <c r="Y36">
        <f t="shared" si="1"/>
        <v>1.8000000000000002E-2</v>
      </c>
      <c r="Z36">
        <f t="shared" si="9"/>
        <v>6.8789676993067581E-3</v>
      </c>
      <c r="AA36" s="8">
        <f t="shared" si="6"/>
        <v>6.8789676993067577</v>
      </c>
      <c r="AB36">
        <f t="shared" si="3"/>
        <v>6.8789676993067577</v>
      </c>
      <c r="AC36">
        <f t="shared" si="4"/>
        <v>0.34394838496533792</v>
      </c>
    </row>
    <row r="37" spans="1:29">
      <c r="A37" t="s">
        <v>1093</v>
      </c>
      <c r="B37" t="s">
        <v>9</v>
      </c>
      <c r="C37" t="s">
        <v>13</v>
      </c>
      <c r="D37" s="6">
        <v>3</v>
      </c>
      <c r="E37">
        <v>10</v>
      </c>
      <c r="G37" s="211" t="s">
        <v>525</v>
      </c>
      <c r="M37" s="211" t="s">
        <v>525</v>
      </c>
      <c r="P37" s="235"/>
      <c r="T37" s="236" t="s">
        <v>525</v>
      </c>
      <c r="V37" s="214">
        <f>'Soil samples 2017'!AJ21</f>
        <v>51.812799104837325</v>
      </c>
      <c r="W37" s="6">
        <v>2</v>
      </c>
      <c r="X37">
        <f t="shared" si="11"/>
        <v>2</v>
      </c>
      <c r="Y37">
        <f t="shared" si="1"/>
        <v>0.02</v>
      </c>
      <c r="Z37">
        <f t="shared" si="9"/>
        <v>1.0362559820967465E-2</v>
      </c>
      <c r="AA37" s="8">
        <f t="shared" si="6"/>
        <v>10.362559820967464</v>
      </c>
      <c r="AB37">
        <f t="shared" si="3"/>
        <v>10.362559820967464</v>
      </c>
      <c r="AC37">
        <f t="shared" si="4"/>
        <v>0.51812799104837326</v>
      </c>
    </row>
    <row r="38" spans="1:29">
      <c r="A38" s="59" t="s">
        <v>32</v>
      </c>
      <c r="B38" s="59" t="s">
        <v>9</v>
      </c>
      <c r="C38" s="59" t="s">
        <v>13</v>
      </c>
      <c r="D38" s="6">
        <v>3</v>
      </c>
      <c r="E38" s="59">
        <v>20</v>
      </c>
      <c r="G38" s="211" t="s">
        <v>525</v>
      </c>
      <c r="M38" s="211" t="s">
        <v>525</v>
      </c>
      <c r="T38" s="236" t="s">
        <v>525</v>
      </c>
      <c r="V38" s="214">
        <f>'Soil samples'!AK29</f>
        <v>75.326344097808359</v>
      </c>
      <c r="W38" s="6">
        <v>4.9000000000000004</v>
      </c>
      <c r="X38">
        <f t="shared" si="11"/>
        <v>4.9000000000000004</v>
      </c>
      <c r="Y38">
        <f t="shared" si="1"/>
        <v>4.9000000000000002E-2</v>
      </c>
      <c r="Z38">
        <f t="shared" si="9"/>
        <v>3.6909908607926097E-2</v>
      </c>
      <c r="AA38" s="8">
        <f t="shared" si="6"/>
        <v>36.909908607926099</v>
      </c>
      <c r="AB38">
        <f t="shared" si="3"/>
        <v>36.909908607926099</v>
      </c>
      <c r="AC38">
        <f t="shared" si="4"/>
        <v>1.8454954303963049</v>
      </c>
    </row>
    <row r="39" spans="1:29">
      <c r="A39" s="59" t="s">
        <v>33</v>
      </c>
      <c r="B39" s="59" t="s">
        <v>9</v>
      </c>
      <c r="C39" s="59" t="s">
        <v>13</v>
      </c>
      <c r="D39" s="6">
        <v>3</v>
      </c>
      <c r="E39" s="59">
        <v>30</v>
      </c>
      <c r="G39" s="211" t="s">
        <v>525</v>
      </c>
      <c r="M39" s="211" t="s">
        <v>525</v>
      </c>
      <c r="T39" s="236" t="s">
        <v>525</v>
      </c>
      <c r="V39" s="214">
        <f>'Soil samples'!AK30</f>
        <v>108.95808520228674</v>
      </c>
      <c r="W39" s="6">
        <v>3.9</v>
      </c>
      <c r="X39">
        <f t="shared" si="11"/>
        <v>3.9</v>
      </c>
      <c r="Y39">
        <f t="shared" si="1"/>
        <v>3.9E-2</v>
      </c>
      <c r="Z39">
        <f t="shared" si="9"/>
        <v>4.2493653228891828E-2</v>
      </c>
      <c r="AA39" s="8">
        <f t="shared" si="6"/>
        <v>42.49365322889183</v>
      </c>
      <c r="AB39">
        <f t="shared" si="3"/>
        <v>42.49365322889183</v>
      </c>
      <c r="AC39">
        <f t="shared" si="4"/>
        <v>2.1246826614445915</v>
      </c>
    </row>
    <row r="40" spans="1:29">
      <c r="A40" s="59" t="s">
        <v>34</v>
      </c>
      <c r="B40" s="59" t="s">
        <v>9</v>
      </c>
      <c r="C40" s="59" t="s">
        <v>13</v>
      </c>
      <c r="D40" s="6">
        <v>4</v>
      </c>
      <c r="E40" s="59">
        <v>5</v>
      </c>
      <c r="G40" s="211" t="s">
        <v>525</v>
      </c>
      <c r="K40" s="3" t="s">
        <v>525</v>
      </c>
      <c r="M40" s="211" t="s">
        <v>525</v>
      </c>
      <c r="T40" s="236" t="s">
        <v>525</v>
      </c>
      <c r="V40" s="214">
        <f>'Soil samples 2017'!AJ22</f>
        <v>44.858074191247141</v>
      </c>
      <c r="W40" s="6">
        <v>3.8</v>
      </c>
      <c r="X40">
        <f t="shared" si="11"/>
        <v>3.8</v>
      </c>
      <c r="Y40">
        <f t="shared" si="1"/>
        <v>3.7999999999999999E-2</v>
      </c>
      <c r="Z40">
        <f t="shared" si="9"/>
        <v>1.7046068192673913E-2</v>
      </c>
      <c r="AA40" s="8">
        <f t="shared" si="6"/>
        <v>17.046068192673914</v>
      </c>
      <c r="AB40">
        <f t="shared" si="3"/>
        <v>17.046068192673914</v>
      </c>
      <c r="AC40">
        <f t="shared" si="4"/>
        <v>0.85230340963369577</v>
      </c>
    </row>
    <row r="41" spans="1:29">
      <c r="A41" s="59" t="s">
        <v>1094</v>
      </c>
      <c r="B41" s="59" t="s">
        <v>9</v>
      </c>
      <c r="C41" s="59" t="s">
        <v>13</v>
      </c>
      <c r="D41" s="6">
        <v>4</v>
      </c>
      <c r="E41" s="59">
        <v>10</v>
      </c>
      <c r="G41" s="211" t="s">
        <v>525</v>
      </c>
      <c r="M41" s="211" t="s">
        <v>525</v>
      </c>
      <c r="P41" s="235"/>
      <c r="T41" s="236" t="s">
        <v>525</v>
      </c>
      <c r="V41" s="214">
        <f>'Soil samples 2017'!AJ23</f>
        <v>73.368974017015418</v>
      </c>
      <c r="W41" s="6">
        <v>6.1</v>
      </c>
      <c r="X41">
        <f t="shared" si="11"/>
        <v>6.1</v>
      </c>
      <c r="Y41">
        <f t="shared" si="1"/>
        <v>6.0999999999999999E-2</v>
      </c>
      <c r="Z41">
        <f t="shared" si="9"/>
        <v>4.4755074150379402E-2</v>
      </c>
      <c r="AA41" s="8">
        <f t="shared" si="6"/>
        <v>44.755074150379407</v>
      </c>
      <c r="AB41">
        <f t="shared" si="3"/>
        <v>44.755074150379407</v>
      </c>
      <c r="AC41">
        <f t="shared" si="4"/>
        <v>2.2377537075189706</v>
      </c>
    </row>
    <row r="42" spans="1:29">
      <c r="A42" t="s">
        <v>35</v>
      </c>
      <c r="B42" t="s">
        <v>9</v>
      </c>
      <c r="C42" t="s">
        <v>13</v>
      </c>
      <c r="D42" s="8">
        <v>4</v>
      </c>
      <c r="E42">
        <v>20</v>
      </c>
      <c r="G42" s="211" t="s">
        <v>525</v>
      </c>
      <c r="M42" s="211" t="s">
        <v>525</v>
      </c>
      <c r="T42" s="236" t="s">
        <v>525</v>
      </c>
      <c r="V42" s="214">
        <f>'Soil samples'!AK32</f>
        <v>69.589644205022239</v>
      </c>
      <c r="W42" s="6">
        <v>4.4000000000000004</v>
      </c>
      <c r="X42">
        <f t="shared" si="11"/>
        <v>4.4000000000000004</v>
      </c>
      <c r="Y42">
        <f t="shared" si="1"/>
        <v>4.4000000000000004E-2</v>
      </c>
      <c r="Z42">
        <f t="shared" si="9"/>
        <v>3.0619443450209789E-2</v>
      </c>
      <c r="AA42" s="8">
        <f t="shared" si="6"/>
        <v>30.61944345020979</v>
      </c>
      <c r="AB42">
        <f t="shared" si="3"/>
        <v>30.61944345020979</v>
      </c>
      <c r="AC42">
        <f t="shared" si="4"/>
        <v>1.5309721725104897</v>
      </c>
    </row>
    <row r="43" spans="1:29">
      <c r="A43" t="s">
        <v>36</v>
      </c>
      <c r="B43" t="s">
        <v>9</v>
      </c>
      <c r="C43" t="s">
        <v>13</v>
      </c>
      <c r="D43" s="8">
        <v>4</v>
      </c>
      <c r="E43">
        <v>30</v>
      </c>
      <c r="G43" s="211" t="s">
        <v>525</v>
      </c>
      <c r="M43" s="211" t="s">
        <v>525</v>
      </c>
      <c r="T43" s="236" t="s">
        <v>525</v>
      </c>
      <c r="V43" s="214">
        <f>'Soil samples'!AK33</f>
        <v>84.030741786447621</v>
      </c>
      <c r="W43" s="6">
        <v>12</v>
      </c>
      <c r="X43">
        <f t="shared" si="11"/>
        <v>12</v>
      </c>
      <c r="Y43">
        <f t="shared" si="1"/>
        <v>0.12</v>
      </c>
      <c r="Z43">
        <f t="shared" si="9"/>
        <v>0.10083689014373715</v>
      </c>
      <c r="AA43" s="8">
        <f t="shared" si="6"/>
        <v>100.83689014373714</v>
      </c>
      <c r="AB43">
        <f t="shared" si="3"/>
        <v>100.83689014373714</v>
      </c>
      <c r="AC43">
        <f t="shared" si="4"/>
        <v>5.0418445071868572</v>
      </c>
    </row>
    <row r="44" spans="1:29">
      <c r="A44" t="s">
        <v>37</v>
      </c>
      <c r="B44" t="s">
        <v>9</v>
      </c>
      <c r="C44" t="s">
        <v>13</v>
      </c>
      <c r="D44" s="8">
        <v>5</v>
      </c>
      <c r="E44">
        <v>5</v>
      </c>
      <c r="G44" s="211" t="s">
        <v>525</v>
      </c>
      <c r="K44" s="3" t="s">
        <v>525</v>
      </c>
      <c r="M44" s="211" t="s">
        <v>525</v>
      </c>
      <c r="T44" s="236" t="s">
        <v>525</v>
      </c>
      <c r="V44" s="214">
        <f>'Soil samples 2017'!AJ24</f>
        <v>38.369791864664506</v>
      </c>
      <c r="W44" s="6">
        <v>1.9</v>
      </c>
      <c r="X44">
        <f t="shared" si="11"/>
        <v>1.9</v>
      </c>
      <c r="Y44">
        <f t="shared" si="1"/>
        <v>1.9E-2</v>
      </c>
      <c r="Z44">
        <f t="shared" si="9"/>
        <v>7.290260454286256E-3</v>
      </c>
      <c r="AA44" s="8">
        <f t="shared" si="6"/>
        <v>7.2902604542862566</v>
      </c>
      <c r="AB44">
        <f t="shared" si="3"/>
        <v>7.2902604542862566</v>
      </c>
      <c r="AC44">
        <f t="shared" si="4"/>
        <v>0.36451302271431285</v>
      </c>
    </row>
    <row r="45" spans="1:29">
      <c r="A45" t="s">
        <v>38</v>
      </c>
      <c r="B45" t="s">
        <v>9</v>
      </c>
      <c r="C45" t="s">
        <v>13</v>
      </c>
      <c r="D45" s="6">
        <v>5</v>
      </c>
      <c r="E45">
        <v>10</v>
      </c>
      <c r="G45" s="211" t="s">
        <v>525</v>
      </c>
      <c r="K45" s="3" t="s">
        <v>525</v>
      </c>
      <c r="M45" s="211" t="s">
        <v>525</v>
      </c>
      <c r="T45" s="236" t="s">
        <v>525</v>
      </c>
      <c r="V45" s="214">
        <f>'Soil samples 2017'!AJ25</f>
        <v>58.369010752426604</v>
      </c>
      <c r="W45" s="6">
        <v>2.2000000000000002</v>
      </c>
      <c r="X45">
        <f t="shared" si="11"/>
        <v>2.2000000000000002</v>
      </c>
      <c r="Y45">
        <f t="shared" si="1"/>
        <v>2.2000000000000002E-2</v>
      </c>
      <c r="Z45">
        <f t="shared" si="9"/>
        <v>1.2841182365533855E-2</v>
      </c>
      <c r="AA45" s="8">
        <f t="shared" si="6"/>
        <v>12.841182365533854</v>
      </c>
      <c r="AB45">
        <f t="shared" si="3"/>
        <v>12.841182365533854</v>
      </c>
      <c r="AC45">
        <f t="shared" si="4"/>
        <v>0.64205911827669271</v>
      </c>
    </row>
    <row r="46" spans="1:29">
      <c r="A46" s="209" t="s">
        <v>1115</v>
      </c>
      <c r="B46" t="s">
        <v>9</v>
      </c>
      <c r="C46" t="s">
        <v>13</v>
      </c>
      <c r="D46" s="8">
        <v>5</v>
      </c>
      <c r="E46">
        <v>20</v>
      </c>
      <c r="F46" t="s">
        <v>1116</v>
      </c>
      <c r="P46" s="211" t="s">
        <v>525</v>
      </c>
      <c r="V46" s="214">
        <f>'Soil samples'!AK35</f>
        <v>61.934078158714939</v>
      </c>
      <c r="W46" s="6" t="s">
        <v>469</v>
      </c>
      <c r="X46" t="str">
        <f t="shared" si="11"/>
        <v>none</v>
      </c>
      <c r="Y46" s="6" t="s">
        <v>469</v>
      </c>
      <c r="Z46" s="6" t="s">
        <v>469</v>
      </c>
      <c r="AA46" s="6" t="s">
        <v>469</v>
      </c>
      <c r="AB46">
        <f>AH4</f>
        <v>24.941024135992055</v>
      </c>
      <c r="AC46">
        <f t="shared" si="4"/>
        <v>1.2470512067996029</v>
      </c>
    </row>
    <row r="47" spans="1:29">
      <c r="A47" t="s">
        <v>39</v>
      </c>
      <c r="B47" t="s">
        <v>9</v>
      </c>
      <c r="C47" t="s">
        <v>13</v>
      </c>
      <c r="D47" s="8">
        <v>6</v>
      </c>
      <c r="E47">
        <v>5</v>
      </c>
      <c r="H47" s="211" t="s">
        <v>525</v>
      </c>
      <c r="K47" s="3" t="s">
        <v>525</v>
      </c>
      <c r="L47" s="211" t="s">
        <v>525</v>
      </c>
      <c r="T47" s="236" t="s">
        <v>525</v>
      </c>
      <c r="V47" s="214">
        <f>'Soil samples 2017'!AJ26</f>
        <v>11.41532221594121</v>
      </c>
      <c r="W47" s="6">
        <v>2.2999999999999998</v>
      </c>
      <c r="X47">
        <f t="shared" si="11"/>
        <v>2.2999999999999998</v>
      </c>
      <c r="Y47">
        <f t="shared" si="1"/>
        <v>2.3E-2</v>
      </c>
      <c r="Z47">
        <f t="shared" si="9"/>
        <v>2.6255241096664783E-3</v>
      </c>
      <c r="AA47" s="8">
        <f t="shared" si="6"/>
        <v>2.6255241096664781</v>
      </c>
      <c r="AB47">
        <f t="shared" si="3"/>
        <v>2.6255241096664781</v>
      </c>
      <c r="AC47">
        <f t="shared" si="4"/>
        <v>0.13127620548332392</v>
      </c>
    </row>
    <row r="48" spans="1:29">
      <c r="A48" s="8" t="s">
        <v>1095</v>
      </c>
      <c r="B48" s="8" t="s">
        <v>9</v>
      </c>
      <c r="C48" s="8" t="s">
        <v>13</v>
      </c>
      <c r="D48" s="6">
        <v>6</v>
      </c>
      <c r="E48" s="8">
        <v>10</v>
      </c>
      <c r="G48" s="211" t="s">
        <v>525</v>
      </c>
      <c r="M48" s="211" t="s">
        <v>525</v>
      </c>
      <c r="T48" s="239" t="s">
        <v>525</v>
      </c>
      <c r="V48" s="214">
        <f>'Soil samples 2017'!AJ27</f>
        <v>88.494589163152639</v>
      </c>
      <c r="W48" s="6">
        <v>1</v>
      </c>
      <c r="X48">
        <f t="shared" si="11"/>
        <v>1</v>
      </c>
      <c r="Y48">
        <f t="shared" si="1"/>
        <v>0.01</v>
      </c>
      <c r="Z48">
        <f t="shared" si="9"/>
        <v>8.8494589163152643E-3</v>
      </c>
      <c r="AA48" s="8">
        <f t="shared" si="6"/>
        <v>8.8494589163152657</v>
      </c>
      <c r="AB48">
        <f t="shared" si="3"/>
        <v>8.8494589163152657</v>
      </c>
      <c r="AC48">
        <f t="shared" si="4"/>
        <v>0.4424729458157633</v>
      </c>
    </row>
    <row r="49" spans="1:29">
      <c r="A49" t="s">
        <v>40</v>
      </c>
      <c r="B49" t="s">
        <v>9</v>
      </c>
      <c r="C49" t="s">
        <v>13</v>
      </c>
      <c r="D49" s="8">
        <v>6</v>
      </c>
      <c r="E49">
        <v>20</v>
      </c>
      <c r="G49" s="211" t="s">
        <v>525</v>
      </c>
      <c r="M49" s="211" t="s">
        <v>525</v>
      </c>
      <c r="T49" s="236" t="s">
        <v>525</v>
      </c>
      <c r="V49" s="214">
        <f>'Soil samples'!AK37</f>
        <v>88.111799140828452</v>
      </c>
      <c r="W49" s="6">
        <v>0.9</v>
      </c>
      <c r="X49">
        <f t="shared" si="11"/>
        <v>0.9</v>
      </c>
      <c r="Y49">
        <f t="shared" si="1"/>
        <v>9.0000000000000011E-3</v>
      </c>
      <c r="Z49">
        <f t="shared" si="9"/>
        <v>7.9300619226745622E-3</v>
      </c>
      <c r="AA49" s="8">
        <f t="shared" si="6"/>
        <v>7.9300619226745619</v>
      </c>
      <c r="AB49">
        <f t="shared" si="3"/>
        <v>7.9300619226745619</v>
      </c>
      <c r="AC49">
        <f t="shared" si="4"/>
        <v>0.39650309613372814</v>
      </c>
    </row>
    <row r="50" spans="1:29">
      <c r="A50" s="4" t="s">
        <v>41</v>
      </c>
      <c r="B50" s="4" t="s">
        <v>9</v>
      </c>
      <c r="C50" s="4" t="s">
        <v>13</v>
      </c>
      <c r="D50" s="4">
        <v>6</v>
      </c>
      <c r="E50" s="4">
        <v>30</v>
      </c>
      <c r="G50" s="211" t="s">
        <v>525</v>
      </c>
      <c r="M50" s="211" t="s">
        <v>525</v>
      </c>
      <c r="T50" s="236" t="s">
        <v>525</v>
      </c>
      <c r="U50" s="236" t="s">
        <v>525</v>
      </c>
      <c r="V50" s="214">
        <f>'Soil samples'!AK38</f>
        <v>131.9702438545045</v>
      </c>
      <c r="W50" s="6">
        <v>7.4</v>
      </c>
      <c r="X50">
        <f t="shared" si="11"/>
        <v>7.4</v>
      </c>
      <c r="Y50">
        <f t="shared" si="1"/>
        <v>7.400000000000001E-2</v>
      </c>
      <c r="Z50">
        <f t="shared" si="9"/>
        <v>9.7657980452333343E-2</v>
      </c>
      <c r="AA50" s="8">
        <f t="shared" si="6"/>
        <v>97.657980452333348</v>
      </c>
      <c r="AB50">
        <f t="shared" si="3"/>
        <v>97.657980452333348</v>
      </c>
      <c r="AC50">
        <f t="shared" si="4"/>
        <v>4.8828990226166678</v>
      </c>
    </row>
    <row r="51" spans="1:29" ht="19">
      <c r="A51" s="6" t="s">
        <v>43</v>
      </c>
      <c r="B51" s="6" t="s">
        <v>196</v>
      </c>
      <c r="C51" t="s">
        <v>12</v>
      </c>
      <c r="D51" s="8">
        <v>1</v>
      </c>
      <c r="E51" s="3">
        <v>5</v>
      </c>
      <c r="G51" s="211" t="s">
        <v>525</v>
      </c>
      <c r="I51" s="213"/>
      <c r="J51" s="19"/>
      <c r="K51" s="21"/>
      <c r="L51" s="233"/>
      <c r="M51" s="211" t="s">
        <v>525</v>
      </c>
      <c r="T51" s="236" t="s">
        <v>525</v>
      </c>
      <c r="V51" s="214">
        <f>'Soil samples'!AK39</f>
        <v>45.360945075989086</v>
      </c>
      <c r="W51" s="6">
        <v>2</v>
      </c>
      <c r="X51">
        <f t="shared" si="11"/>
        <v>2</v>
      </c>
      <c r="Y51">
        <f t="shared" si="1"/>
        <v>0.02</v>
      </c>
      <c r="Z51">
        <f t="shared" si="9"/>
        <v>9.0721890151978183E-3</v>
      </c>
      <c r="AA51" s="8">
        <f t="shared" si="6"/>
        <v>9.072189015197818</v>
      </c>
      <c r="AB51">
        <f t="shared" si="3"/>
        <v>9.072189015197818</v>
      </c>
      <c r="AC51">
        <f t="shared" si="4"/>
        <v>0.4536094507598909</v>
      </c>
    </row>
    <row r="52" spans="1:29">
      <c r="A52" s="6" t="s">
        <v>44</v>
      </c>
      <c r="B52" s="6" t="s">
        <v>196</v>
      </c>
      <c r="C52" t="s">
        <v>12</v>
      </c>
      <c r="D52" s="8">
        <v>1</v>
      </c>
      <c r="E52" s="3">
        <v>10</v>
      </c>
      <c r="G52" s="211" t="s">
        <v>525</v>
      </c>
      <c r="H52" s="214"/>
      <c r="I52" s="215"/>
      <c r="J52" s="22"/>
      <c r="K52" s="23"/>
      <c r="L52" s="215" t="s">
        <v>525</v>
      </c>
      <c r="M52" s="214"/>
      <c r="N52" s="214"/>
      <c r="T52" s="236" t="s">
        <v>525</v>
      </c>
      <c r="V52" s="214">
        <f>'Soil samples'!AK40</f>
        <v>24.589320203633736</v>
      </c>
      <c r="W52" s="6">
        <v>2.8</v>
      </c>
      <c r="X52">
        <f t="shared" si="11"/>
        <v>2.8</v>
      </c>
      <c r="Y52">
        <f t="shared" si="1"/>
        <v>2.7999999999999997E-2</v>
      </c>
      <c r="Z52">
        <f t="shared" si="9"/>
        <v>6.8850096570174458E-3</v>
      </c>
      <c r="AA52" s="8">
        <f t="shared" si="6"/>
        <v>6.8850096570174459</v>
      </c>
      <c r="AB52">
        <f t="shared" si="3"/>
        <v>6.8850096570174459</v>
      </c>
      <c r="AC52">
        <f t="shared" si="4"/>
        <v>0.34425048285087234</v>
      </c>
    </row>
    <row r="53" spans="1:29">
      <c r="A53" s="6" t="s">
        <v>45</v>
      </c>
      <c r="B53" s="6" t="s">
        <v>196</v>
      </c>
      <c r="C53" t="s">
        <v>12</v>
      </c>
      <c r="D53" s="8">
        <v>1</v>
      </c>
      <c r="E53" s="3">
        <v>20</v>
      </c>
      <c r="G53" s="211" t="s">
        <v>525</v>
      </c>
      <c r="H53" s="214"/>
      <c r="I53" s="216"/>
      <c r="J53" s="18"/>
      <c r="K53" s="2"/>
      <c r="L53" s="216"/>
      <c r="M53" s="214" t="s">
        <v>525</v>
      </c>
      <c r="N53" s="214"/>
      <c r="T53" s="236" t="s">
        <v>525</v>
      </c>
      <c r="V53" s="214">
        <f>'Soil samples'!AK41</f>
        <v>54.491062451101151</v>
      </c>
      <c r="W53" s="6">
        <v>6.3</v>
      </c>
      <c r="X53">
        <f t="shared" si="11"/>
        <v>6.3</v>
      </c>
      <c r="Y53">
        <f t="shared" si="1"/>
        <v>6.3E-2</v>
      </c>
      <c r="Z53">
        <f t="shared" si="9"/>
        <v>3.4329369344193721E-2</v>
      </c>
      <c r="AA53" s="8">
        <f t="shared" si="6"/>
        <v>34.329369344193722</v>
      </c>
      <c r="AB53">
        <f t="shared" si="3"/>
        <v>34.329369344193722</v>
      </c>
      <c r="AC53">
        <f t="shared" si="4"/>
        <v>1.7164684672096862</v>
      </c>
    </row>
    <row r="54" spans="1:29">
      <c r="A54" s="6" t="s">
        <v>46</v>
      </c>
      <c r="B54" s="6" t="s">
        <v>196</v>
      </c>
      <c r="C54" t="s">
        <v>12</v>
      </c>
      <c r="D54" s="8">
        <v>1</v>
      </c>
      <c r="E54" s="3">
        <v>30</v>
      </c>
      <c r="G54" s="211" t="s">
        <v>525</v>
      </c>
      <c r="H54" s="214"/>
      <c r="I54" s="214"/>
      <c r="J54" s="8"/>
      <c r="L54" s="214"/>
      <c r="M54" s="214" t="s">
        <v>525</v>
      </c>
      <c r="N54" s="214"/>
      <c r="T54" s="236" t="s">
        <v>525</v>
      </c>
      <c r="V54" s="214">
        <f>'Soil samples'!AK42</f>
        <v>101.98933309631033</v>
      </c>
      <c r="W54" s="6">
        <v>7</v>
      </c>
      <c r="X54">
        <f t="shared" si="11"/>
        <v>7</v>
      </c>
      <c r="Y54">
        <f t="shared" si="1"/>
        <v>7.0000000000000007E-2</v>
      </c>
      <c r="Z54">
        <f t="shared" si="9"/>
        <v>7.1392533167417241E-2</v>
      </c>
      <c r="AA54" s="8">
        <f t="shared" si="6"/>
        <v>71.392533167417227</v>
      </c>
      <c r="AB54">
        <f t="shared" si="3"/>
        <v>71.392533167417227</v>
      </c>
      <c r="AC54">
        <f t="shared" si="4"/>
        <v>3.5696266583708613</v>
      </c>
    </row>
    <row r="55" spans="1:29">
      <c r="A55" s="6" t="s">
        <v>47</v>
      </c>
      <c r="B55" s="6" t="s">
        <v>196</v>
      </c>
      <c r="C55" t="s">
        <v>12</v>
      </c>
      <c r="D55" s="8">
        <v>2</v>
      </c>
      <c r="E55" s="3">
        <v>5</v>
      </c>
      <c r="G55" s="211" t="s">
        <v>525</v>
      </c>
      <c r="H55" s="214"/>
      <c r="I55" s="214"/>
      <c r="J55" s="8"/>
      <c r="L55" s="214" t="s">
        <v>525</v>
      </c>
      <c r="M55" s="214"/>
      <c r="N55" s="214"/>
      <c r="T55" s="239" t="s">
        <v>525</v>
      </c>
      <c r="V55" s="214">
        <f>'Soil samples'!AK43</f>
        <v>29.947817084713694</v>
      </c>
      <c r="W55" s="6">
        <v>13</v>
      </c>
      <c r="X55">
        <f t="shared" si="11"/>
        <v>13</v>
      </c>
      <c r="Y55">
        <f t="shared" si="1"/>
        <v>0.13</v>
      </c>
      <c r="Z55">
        <f t="shared" si="9"/>
        <v>3.8932162210127803E-2</v>
      </c>
      <c r="AA55" s="8">
        <f t="shared" si="6"/>
        <v>38.932162210127807</v>
      </c>
      <c r="AB55">
        <f t="shared" si="3"/>
        <v>38.932162210127807</v>
      </c>
      <c r="AC55">
        <f t="shared" si="4"/>
        <v>1.9466081105063904</v>
      </c>
    </row>
    <row r="56" spans="1:29">
      <c r="A56" s="6" t="s">
        <v>48</v>
      </c>
      <c r="B56" s="6" t="s">
        <v>196</v>
      </c>
      <c r="C56" t="s">
        <v>12</v>
      </c>
      <c r="D56" s="8">
        <v>2</v>
      </c>
      <c r="E56" s="3">
        <v>10</v>
      </c>
      <c r="G56" s="211" t="s">
        <v>525</v>
      </c>
      <c r="H56" s="214"/>
      <c r="I56" s="214"/>
      <c r="J56" s="8"/>
      <c r="L56" s="214"/>
      <c r="M56" s="214" t="s">
        <v>525</v>
      </c>
      <c r="N56" s="214"/>
      <c r="T56" s="236" t="s">
        <v>525</v>
      </c>
      <c r="V56" s="214">
        <f>'Soil samples'!AK44</f>
        <v>42.232803863145982</v>
      </c>
      <c r="W56" s="6">
        <v>23</v>
      </c>
      <c r="X56">
        <f t="shared" si="11"/>
        <v>23</v>
      </c>
      <c r="Y56">
        <f t="shared" si="1"/>
        <v>0.23</v>
      </c>
      <c r="Z56">
        <f t="shared" si="9"/>
        <v>9.7135448885235773E-2</v>
      </c>
      <c r="AA56" s="8">
        <f t="shared" si="6"/>
        <v>97.135448885235775</v>
      </c>
      <c r="AB56">
        <f t="shared" si="3"/>
        <v>97.135448885235775</v>
      </c>
      <c r="AC56">
        <f t="shared" si="4"/>
        <v>4.8567724442617894</v>
      </c>
    </row>
    <row r="57" spans="1:29">
      <c r="A57" s="6" t="s">
        <v>49</v>
      </c>
      <c r="B57" s="6" t="s">
        <v>196</v>
      </c>
      <c r="C57" t="s">
        <v>12</v>
      </c>
      <c r="D57" s="8">
        <v>2</v>
      </c>
      <c r="E57" s="3">
        <v>20</v>
      </c>
      <c r="G57" s="211" t="s">
        <v>525</v>
      </c>
      <c r="H57" s="214"/>
      <c r="I57" s="214"/>
      <c r="J57" s="8"/>
      <c r="L57" s="214"/>
      <c r="M57" s="214" t="s">
        <v>525</v>
      </c>
      <c r="N57" s="214"/>
      <c r="T57" s="236" t="s">
        <v>525</v>
      </c>
      <c r="V57" s="214">
        <f>'Soil samples'!AK45</f>
        <v>47.696677318100825</v>
      </c>
      <c r="W57" s="6">
        <v>14</v>
      </c>
      <c r="X57">
        <f t="shared" si="11"/>
        <v>14</v>
      </c>
      <c r="Y57">
        <f t="shared" si="1"/>
        <v>0.14000000000000001</v>
      </c>
      <c r="Z57">
        <f t="shared" si="9"/>
        <v>6.6775348245341162E-2</v>
      </c>
      <c r="AA57" s="8">
        <f t="shared" si="6"/>
        <v>66.775348245341149</v>
      </c>
      <c r="AB57">
        <f t="shared" si="3"/>
        <v>66.775348245341149</v>
      </c>
      <c r="AC57">
        <f t="shared" si="4"/>
        <v>3.3387674122670576</v>
      </c>
    </row>
    <row r="58" spans="1:29">
      <c r="A58" s="6" t="s">
        <v>50</v>
      </c>
      <c r="B58" s="6" t="s">
        <v>196</v>
      </c>
      <c r="C58" t="s">
        <v>12</v>
      </c>
      <c r="D58" s="8">
        <v>2</v>
      </c>
      <c r="E58" s="3">
        <v>30</v>
      </c>
      <c r="G58" s="211" t="s">
        <v>525</v>
      </c>
      <c r="H58" s="214"/>
      <c r="I58" s="214"/>
      <c r="J58" s="8"/>
      <c r="L58" s="214"/>
      <c r="M58" s="214" t="s">
        <v>525</v>
      </c>
      <c r="N58" s="214"/>
      <c r="T58" s="236" t="s">
        <v>525</v>
      </c>
      <c r="V58" s="214">
        <f>'Soil samples'!AK46</f>
        <v>51.73381750098541</v>
      </c>
      <c r="W58" s="6">
        <v>11</v>
      </c>
      <c r="X58">
        <f t="shared" si="11"/>
        <v>11</v>
      </c>
      <c r="Y58">
        <f t="shared" si="1"/>
        <v>0.11</v>
      </c>
      <c r="Z58">
        <f t="shared" si="9"/>
        <v>5.6907199251083951E-2</v>
      </c>
      <c r="AA58" s="8">
        <f t="shared" si="6"/>
        <v>56.907199251083945</v>
      </c>
      <c r="AB58">
        <f t="shared" si="3"/>
        <v>56.907199251083945</v>
      </c>
      <c r="AC58">
        <f t="shared" si="4"/>
        <v>2.8453599625541974</v>
      </c>
    </row>
    <row r="59" spans="1:29">
      <c r="A59" s="210" t="s">
        <v>51</v>
      </c>
      <c r="B59" s="6" t="s">
        <v>196</v>
      </c>
      <c r="C59" t="s">
        <v>12</v>
      </c>
      <c r="D59" s="8">
        <v>3</v>
      </c>
      <c r="E59" s="3">
        <v>5</v>
      </c>
      <c r="H59" s="214" t="s">
        <v>525</v>
      </c>
      <c r="I59" s="214"/>
      <c r="J59" s="8"/>
      <c r="L59" s="214" t="s">
        <v>525</v>
      </c>
      <c r="M59" s="214"/>
      <c r="N59" s="214"/>
      <c r="O59" s="214" t="s">
        <v>525</v>
      </c>
      <c r="R59">
        <v>2</v>
      </c>
      <c r="S59" s="3">
        <v>4</v>
      </c>
      <c r="T59" s="236" t="s">
        <v>525</v>
      </c>
      <c r="V59" s="214">
        <f>'Soil samples 2017'!AJ28</f>
        <v>3.3419396179913798</v>
      </c>
      <c r="W59" s="8">
        <v>6.9</v>
      </c>
      <c r="X59">
        <f t="shared" si="11"/>
        <v>20.700000000000003</v>
      </c>
      <c r="Y59">
        <f t="shared" si="1"/>
        <v>0.20700000000000002</v>
      </c>
      <c r="Z59">
        <f t="shared" si="9"/>
        <v>6.9178150092421564E-3</v>
      </c>
      <c r="AA59" s="8">
        <f t="shared" si="6"/>
        <v>6.9178150092421564</v>
      </c>
      <c r="AB59">
        <f t="shared" si="3"/>
        <v>6.9178150092421564</v>
      </c>
      <c r="AC59">
        <f t="shared" si="4"/>
        <v>0.34589075046210782</v>
      </c>
    </row>
    <row r="60" spans="1:29">
      <c r="A60" s="210" t="s">
        <v>1096</v>
      </c>
      <c r="B60" s="6" t="s">
        <v>196</v>
      </c>
      <c r="C60" t="s">
        <v>12</v>
      </c>
      <c r="D60" s="8">
        <v>3</v>
      </c>
      <c r="E60">
        <v>10</v>
      </c>
      <c r="G60" s="211" t="s">
        <v>525</v>
      </c>
      <c r="H60" s="214"/>
      <c r="I60" s="214"/>
      <c r="J60" s="8"/>
      <c r="L60" s="214" t="s">
        <v>525</v>
      </c>
      <c r="M60" s="214"/>
      <c r="N60" s="214"/>
      <c r="R60">
        <v>4</v>
      </c>
      <c r="S60" s="3">
        <v>2</v>
      </c>
      <c r="T60" s="236" t="s">
        <v>525</v>
      </c>
      <c r="V60" s="214">
        <f>'Soil samples 2017'!AJ29</f>
        <v>5.4159063444108915</v>
      </c>
      <c r="W60" s="8">
        <v>9.1</v>
      </c>
      <c r="X60">
        <f t="shared" si="11"/>
        <v>13.65</v>
      </c>
      <c r="Y60">
        <f t="shared" si="1"/>
        <v>0.13650000000000001</v>
      </c>
      <c r="Z60">
        <f t="shared" si="9"/>
        <v>7.392712160120868E-3</v>
      </c>
      <c r="AA60" s="8">
        <f t="shared" si="6"/>
        <v>7.3927121601208681</v>
      </c>
      <c r="AB60">
        <f t="shared" si="3"/>
        <v>7.3927121601208681</v>
      </c>
      <c r="AC60">
        <f t="shared" si="4"/>
        <v>0.36963560800604345</v>
      </c>
    </row>
    <row r="61" spans="1:29">
      <c r="A61" s="210" t="s">
        <v>1097</v>
      </c>
      <c r="B61" s="6" t="s">
        <v>196</v>
      </c>
      <c r="C61" t="s">
        <v>12</v>
      </c>
      <c r="D61" s="8">
        <v>3</v>
      </c>
      <c r="E61">
        <v>20</v>
      </c>
      <c r="G61" s="211" t="s">
        <v>525</v>
      </c>
      <c r="H61" s="214"/>
      <c r="I61" s="214"/>
      <c r="J61" s="8"/>
      <c r="L61" s="214"/>
      <c r="M61" s="214" t="s">
        <v>525</v>
      </c>
      <c r="N61" s="214"/>
      <c r="T61" s="236" t="s">
        <v>525</v>
      </c>
      <c r="V61" s="214">
        <f>'Soil samples 2017'!AJ30</f>
        <v>48.645732089732277</v>
      </c>
      <c r="W61" s="6">
        <v>7.4</v>
      </c>
      <c r="X61">
        <f t="shared" si="11"/>
        <v>7.4</v>
      </c>
      <c r="Y61">
        <f t="shared" si="1"/>
        <v>7.400000000000001E-2</v>
      </c>
      <c r="Z61">
        <f t="shared" si="9"/>
        <v>3.5997841746401887E-2</v>
      </c>
      <c r="AA61" s="8">
        <f t="shared" si="6"/>
        <v>35.997841746401889</v>
      </c>
      <c r="AB61">
        <f t="shared" si="3"/>
        <v>35.997841746401889</v>
      </c>
      <c r="AC61">
        <f t="shared" si="4"/>
        <v>1.7998920873200945</v>
      </c>
    </row>
    <row r="62" spans="1:29">
      <c r="A62" s="210" t="s">
        <v>1098</v>
      </c>
      <c r="B62" s="6" t="s">
        <v>196</v>
      </c>
      <c r="C62" t="s">
        <v>12</v>
      </c>
      <c r="D62" s="8">
        <v>3</v>
      </c>
      <c r="E62">
        <v>30</v>
      </c>
      <c r="G62" s="211" t="s">
        <v>525</v>
      </c>
      <c r="H62" s="214"/>
      <c r="I62" s="214"/>
      <c r="J62" s="8"/>
      <c r="L62" s="214"/>
      <c r="M62" s="214" t="s">
        <v>525</v>
      </c>
      <c r="N62" s="214"/>
      <c r="T62" s="236" t="s">
        <v>525</v>
      </c>
      <c r="V62" s="214">
        <f>'Soil samples 2017'!AJ31</f>
        <v>52.424151171902864</v>
      </c>
      <c r="W62" s="6">
        <v>14</v>
      </c>
      <c r="X62">
        <f t="shared" si="11"/>
        <v>14</v>
      </c>
      <c r="Y62">
        <f t="shared" si="1"/>
        <v>0.14000000000000001</v>
      </c>
      <c r="Z62">
        <f t="shared" si="9"/>
        <v>7.3393811640664011E-2</v>
      </c>
      <c r="AA62" s="8">
        <f t="shared" si="6"/>
        <v>73.393811640664012</v>
      </c>
      <c r="AB62">
        <f t="shared" si="3"/>
        <v>73.393811640664012</v>
      </c>
      <c r="AC62">
        <f t="shared" si="4"/>
        <v>3.6696905820332009</v>
      </c>
    </row>
    <row r="63" spans="1:29">
      <c r="A63" s="6" t="s">
        <v>52</v>
      </c>
      <c r="B63" s="6" t="s">
        <v>196</v>
      </c>
      <c r="C63" t="s">
        <v>12</v>
      </c>
      <c r="D63" s="8">
        <v>4</v>
      </c>
      <c r="E63" s="3">
        <v>5</v>
      </c>
      <c r="G63" s="211" t="s">
        <v>525</v>
      </c>
      <c r="H63" s="214"/>
      <c r="I63" s="214"/>
      <c r="J63" s="8"/>
      <c r="L63" s="214" t="s">
        <v>525</v>
      </c>
      <c r="M63" s="214"/>
      <c r="N63" s="214"/>
      <c r="R63">
        <v>3</v>
      </c>
      <c r="S63" s="3">
        <v>3</v>
      </c>
      <c r="T63" s="236" t="s">
        <v>525</v>
      </c>
      <c r="V63" s="214">
        <f>'Soil samples'!AK48</f>
        <v>12.558491735537197</v>
      </c>
      <c r="W63" s="6">
        <v>7.8</v>
      </c>
      <c r="X63">
        <f t="shared" si="11"/>
        <v>15.6</v>
      </c>
      <c r="Y63">
        <f t="shared" si="1"/>
        <v>0.156</v>
      </c>
      <c r="Z63">
        <f t="shared" si="9"/>
        <v>1.9591247107438026E-2</v>
      </c>
      <c r="AA63" s="8">
        <f t="shared" si="6"/>
        <v>19.591247107438026</v>
      </c>
      <c r="AB63">
        <f t="shared" si="3"/>
        <v>19.591247107438026</v>
      </c>
      <c r="AC63">
        <f t="shared" si="4"/>
        <v>0.97956235537190128</v>
      </c>
    </row>
    <row r="64" spans="1:29">
      <c r="A64" s="6" t="s">
        <v>53</v>
      </c>
      <c r="B64" s="6" t="s">
        <v>196</v>
      </c>
      <c r="C64" t="s">
        <v>12</v>
      </c>
      <c r="D64" s="8">
        <v>4</v>
      </c>
      <c r="E64" s="3">
        <v>10</v>
      </c>
      <c r="G64" s="211" t="s">
        <v>525</v>
      </c>
      <c r="H64" s="214"/>
      <c r="I64" s="214"/>
      <c r="J64" s="8"/>
      <c r="L64" s="214"/>
      <c r="M64" s="214" t="s">
        <v>525</v>
      </c>
      <c r="N64" s="214"/>
      <c r="T64" s="236" t="s">
        <v>525</v>
      </c>
      <c r="V64" s="214">
        <f>'Soil samples'!AK49</f>
        <v>59.178887339376445</v>
      </c>
      <c r="W64" s="6">
        <v>11</v>
      </c>
      <c r="X64">
        <f t="shared" si="11"/>
        <v>11</v>
      </c>
      <c r="Y64">
        <f t="shared" si="1"/>
        <v>0.11</v>
      </c>
      <c r="Z64">
        <f t="shared" si="9"/>
        <v>6.5096776073314086E-2</v>
      </c>
      <c r="AA64" s="8">
        <f t="shared" si="6"/>
        <v>65.096776073314089</v>
      </c>
      <c r="AB64">
        <f t="shared" si="3"/>
        <v>65.096776073314089</v>
      </c>
      <c r="AC64">
        <f t="shared" si="4"/>
        <v>3.2548388036657045</v>
      </c>
    </row>
    <row r="65" spans="1:29">
      <c r="A65" s="6" t="s">
        <v>54</v>
      </c>
      <c r="B65" s="6" t="s">
        <v>196</v>
      </c>
      <c r="C65" t="s">
        <v>12</v>
      </c>
      <c r="D65" s="8">
        <v>4</v>
      </c>
      <c r="E65" s="3">
        <v>20</v>
      </c>
      <c r="G65" s="211" t="s">
        <v>525</v>
      </c>
      <c r="H65" s="214"/>
      <c r="I65" s="214"/>
      <c r="J65" s="8"/>
      <c r="L65" s="214"/>
      <c r="M65" s="214" t="s">
        <v>525</v>
      </c>
      <c r="N65" s="214"/>
      <c r="T65" s="236" t="s">
        <v>525</v>
      </c>
      <c r="V65" s="214">
        <f>'Soil samples'!AK50</f>
        <v>77.929613408490056</v>
      </c>
      <c r="W65" s="6">
        <v>13</v>
      </c>
      <c r="X65">
        <f t="shared" si="11"/>
        <v>13</v>
      </c>
      <c r="Y65">
        <f t="shared" si="1"/>
        <v>0.13</v>
      </c>
      <c r="Z65">
        <f t="shared" si="9"/>
        <v>0.10130849743103708</v>
      </c>
      <c r="AA65" s="8">
        <f t="shared" si="6"/>
        <v>101.30849743103707</v>
      </c>
      <c r="AB65">
        <f t="shared" si="3"/>
        <v>101.30849743103707</v>
      </c>
      <c r="AC65">
        <f t="shared" si="4"/>
        <v>5.0654248715518539</v>
      </c>
    </row>
    <row r="66" spans="1:29">
      <c r="A66" s="6" t="s">
        <v>55</v>
      </c>
      <c r="B66" s="6" t="s">
        <v>196</v>
      </c>
      <c r="C66" t="s">
        <v>12</v>
      </c>
      <c r="D66" s="8">
        <v>5</v>
      </c>
      <c r="E66" s="3">
        <v>5</v>
      </c>
      <c r="H66" s="214" t="s">
        <v>525</v>
      </c>
      <c r="I66" s="214"/>
      <c r="J66" s="8"/>
      <c r="L66" s="214" t="s">
        <v>525</v>
      </c>
      <c r="M66" s="214"/>
      <c r="N66" s="214"/>
      <c r="O66" s="214" t="s">
        <v>525</v>
      </c>
      <c r="R66">
        <v>1</v>
      </c>
      <c r="S66" s="3">
        <v>5</v>
      </c>
      <c r="T66" s="236" t="s">
        <v>525</v>
      </c>
      <c r="V66" s="214">
        <f>'Soil samples'!AK51</f>
        <v>9.5138693699948949</v>
      </c>
      <c r="W66" s="6">
        <v>2.9</v>
      </c>
      <c r="X66">
        <f t="shared" si="11"/>
        <v>17.400000000000002</v>
      </c>
      <c r="Y66">
        <f t="shared" si="1"/>
        <v>0.17400000000000002</v>
      </c>
      <c r="Z66">
        <f t="shared" si="9"/>
        <v>1.6554132703791118E-2</v>
      </c>
      <c r="AA66" s="8">
        <f t="shared" si="6"/>
        <v>16.554132703791119</v>
      </c>
      <c r="AB66">
        <f t="shared" si="3"/>
        <v>16.554132703791119</v>
      </c>
      <c r="AC66">
        <f t="shared" si="4"/>
        <v>0.82770663518955601</v>
      </c>
    </row>
    <row r="67" spans="1:29">
      <c r="A67" s="6" t="s">
        <v>56</v>
      </c>
      <c r="B67" s="6" t="s">
        <v>196</v>
      </c>
      <c r="C67" t="s">
        <v>12</v>
      </c>
      <c r="D67" s="8">
        <v>5</v>
      </c>
      <c r="E67" s="3">
        <v>10</v>
      </c>
      <c r="G67" s="211" t="s">
        <v>525</v>
      </c>
      <c r="H67" s="214"/>
      <c r="I67" s="214"/>
      <c r="J67" s="8"/>
      <c r="L67" s="214"/>
      <c r="M67" s="214" t="s">
        <v>525</v>
      </c>
      <c r="N67" s="214"/>
      <c r="R67">
        <v>3</v>
      </c>
      <c r="S67" s="3">
        <v>3</v>
      </c>
      <c r="T67" s="236" t="s">
        <v>525</v>
      </c>
      <c r="V67" s="214">
        <f>'Soil samples'!AK52</f>
        <v>23.132130346140407</v>
      </c>
      <c r="W67" s="6">
        <v>8.1</v>
      </c>
      <c r="X67">
        <f t="shared" si="11"/>
        <v>16.2</v>
      </c>
      <c r="Y67">
        <f t="shared" si="1"/>
        <v>0.16200000000000001</v>
      </c>
      <c r="Z67">
        <f t="shared" si="9"/>
        <v>3.7474051160747458E-2</v>
      </c>
      <c r="AA67" s="8">
        <f t="shared" si="6"/>
        <v>37.474051160747464</v>
      </c>
      <c r="AB67">
        <f t="shared" si="3"/>
        <v>37.474051160747464</v>
      </c>
      <c r="AC67">
        <f t="shared" si="4"/>
        <v>1.8737025580373734</v>
      </c>
    </row>
    <row r="68" spans="1:29">
      <c r="A68" s="6" t="s">
        <v>57</v>
      </c>
      <c r="B68" s="6" t="s">
        <v>196</v>
      </c>
      <c r="C68" t="s">
        <v>12</v>
      </c>
      <c r="D68" s="8">
        <v>6</v>
      </c>
      <c r="E68" s="3">
        <v>5</v>
      </c>
      <c r="G68" s="211" t="s">
        <v>525</v>
      </c>
      <c r="H68" s="214"/>
      <c r="I68" s="214"/>
      <c r="J68" s="8"/>
      <c r="L68" s="214" t="s">
        <v>525</v>
      </c>
      <c r="M68" s="214"/>
      <c r="N68" s="214"/>
      <c r="T68" s="236" t="s">
        <v>525</v>
      </c>
      <c r="V68" s="214">
        <f>'Soil samples'!AK53</f>
        <v>22.192230445963745</v>
      </c>
      <c r="W68" s="6">
        <v>10</v>
      </c>
      <c r="X68">
        <f t="shared" ref="X68:X82" si="12">IF(R68&gt;0,W68/(R68/6*100)*100,W68)</f>
        <v>10</v>
      </c>
      <c r="Y68">
        <f t="shared" si="1"/>
        <v>0.1</v>
      </c>
      <c r="Z68">
        <f t="shared" si="9"/>
        <v>2.2192230445963745E-2</v>
      </c>
      <c r="AA68" s="8">
        <f t="shared" si="6"/>
        <v>22.192230445963745</v>
      </c>
      <c r="AB68">
        <f t="shared" si="3"/>
        <v>22.192230445963745</v>
      </c>
      <c r="AC68">
        <f t="shared" si="4"/>
        <v>1.1096115222981873</v>
      </c>
    </row>
    <row r="69" spans="1:29">
      <c r="A69" s="6" t="s">
        <v>58</v>
      </c>
      <c r="B69" s="6" t="s">
        <v>196</v>
      </c>
      <c r="C69" t="s">
        <v>12</v>
      </c>
      <c r="D69" s="8">
        <v>6</v>
      </c>
      <c r="E69" s="3">
        <v>10</v>
      </c>
      <c r="G69" s="211" t="s">
        <v>525</v>
      </c>
      <c r="H69" s="214"/>
      <c r="I69" s="214"/>
      <c r="J69" s="8"/>
      <c r="L69" s="214" t="s">
        <v>525</v>
      </c>
      <c r="M69" s="214"/>
      <c r="N69" s="214"/>
      <c r="R69">
        <v>4</v>
      </c>
      <c r="S69" s="3">
        <v>2</v>
      </c>
      <c r="T69" s="236" t="s">
        <v>525</v>
      </c>
      <c r="V69" s="214">
        <f>'Soil samples'!AK54</f>
        <v>18.783016053309098</v>
      </c>
      <c r="W69" s="6">
        <v>7.5</v>
      </c>
      <c r="X69">
        <f t="shared" si="12"/>
        <v>11.250000000000002</v>
      </c>
      <c r="Y69">
        <f t="shared" ref="Y69:Y132" si="13">X69/100</f>
        <v>0.11250000000000002</v>
      </c>
      <c r="Z69">
        <f t="shared" si="9"/>
        <v>2.1130893059972736E-2</v>
      </c>
      <c r="AA69" s="8">
        <f t="shared" si="6"/>
        <v>21.130893059972735</v>
      </c>
      <c r="AB69">
        <f t="shared" ref="AB69:AB132" si="14">AA69</f>
        <v>21.130893059972735</v>
      </c>
      <c r="AC69">
        <f t="shared" ref="AC69:AC132" si="15">AB69*0.05</f>
        <v>1.0565446529986369</v>
      </c>
    </row>
    <row r="70" spans="1:29">
      <c r="A70" s="6" t="s">
        <v>59</v>
      </c>
      <c r="B70" s="6" t="s">
        <v>196</v>
      </c>
      <c r="C70" t="s">
        <v>12</v>
      </c>
      <c r="D70" s="8">
        <v>6</v>
      </c>
      <c r="E70" s="3">
        <v>20</v>
      </c>
      <c r="G70" s="211" t="s">
        <v>525</v>
      </c>
      <c r="H70" s="214"/>
      <c r="I70" s="214"/>
      <c r="J70" s="8"/>
      <c r="L70" s="214"/>
      <c r="M70" s="214" t="s">
        <v>525</v>
      </c>
      <c r="N70" s="214"/>
      <c r="T70" s="236" t="s">
        <v>525</v>
      </c>
      <c r="V70" s="214">
        <f>'Soil samples'!AK55</f>
        <v>30.892316286628386</v>
      </c>
      <c r="W70" s="6">
        <v>16</v>
      </c>
      <c r="X70">
        <f t="shared" si="12"/>
        <v>16</v>
      </c>
      <c r="Y70">
        <f t="shared" si="13"/>
        <v>0.16</v>
      </c>
      <c r="Z70">
        <f t="shared" si="9"/>
        <v>4.9427706058605414E-2</v>
      </c>
      <c r="AA70" s="8">
        <f t="shared" ref="AA70:AA133" si="16">Z70*1000000/1000</f>
        <v>49.427706058605416</v>
      </c>
      <c r="AB70">
        <f t="shared" si="14"/>
        <v>49.427706058605416</v>
      </c>
      <c r="AC70">
        <f t="shared" si="15"/>
        <v>2.4713853029302708</v>
      </c>
    </row>
    <row r="71" spans="1:29">
      <c r="A71" s="111" t="s">
        <v>60</v>
      </c>
      <c r="B71" s="111" t="s">
        <v>196</v>
      </c>
      <c r="C71" s="110" t="s">
        <v>13</v>
      </c>
      <c r="D71" s="111">
        <v>1</v>
      </c>
      <c r="E71" s="112">
        <v>5</v>
      </c>
      <c r="G71" s="211" t="s">
        <v>525</v>
      </c>
      <c r="H71" s="214"/>
      <c r="I71" s="214"/>
      <c r="J71" s="8"/>
      <c r="L71" s="214"/>
      <c r="M71" s="214" t="s">
        <v>525</v>
      </c>
      <c r="N71" s="214"/>
      <c r="T71" s="236" t="s">
        <v>525</v>
      </c>
      <c r="V71" s="214">
        <f>'Soil samples'!AK56</f>
        <v>54.118142578298269</v>
      </c>
      <c r="W71" s="6">
        <v>5.8</v>
      </c>
      <c r="X71">
        <f t="shared" si="12"/>
        <v>5.8</v>
      </c>
      <c r="Y71">
        <f t="shared" si="13"/>
        <v>5.7999999999999996E-2</v>
      </c>
      <c r="Z71">
        <f t="shared" si="9"/>
        <v>3.1388522695412993E-2</v>
      </c>
      <c r="AA71" s="8">
        <f t="shared" si="16"/>
        <v>31.388522695412995</v>
      </c>
      <c r="AB71">
        <f t="shared" si="14"/>
        <v>31.388522695412995</v>
      </c>
      <c r="AC71">
        <f t="shared" si="15"/>
        <v>1.5694261347706497</v>
      </c>
    </row>
    <row r="72" spans="1:29">
      <c r="A72" s="6" t="s">
        <v>61</v>
      </c>
      <c r="B72" s="6" t="s">
        <v>196</v>
      </c>
      <c r="C72" t="s">
        <v>13</v>
      </c>
      <c r="D72" s="8">
        <v>1</v>
      </c>
      <c r="E72" s="3">
        <v>10</v>
      </c>
      <c r="G72" s="211" t="s">
        <v>525</v>
      </c>
      <c r="H72" s="214"/>
      <c r="I72" s="214"/>
      <c r="J72" s="8"/>
      <c r="L72" s="214"/>
      <c r="M72" s="214" t="s">
        <v>525</v>
      </c>
      <c r="N72" s="214"/>
      <c r="T72" s="236" t="s">
        <v>525</v>
      </c>
      <c r="V72" s="214">
        <f>'Soil samples'!AK57</f>
        <v>77.292935749195394</v>
      </c>
      <c r="W72" s="6">
        <v>1.9</v>
      </c>
      <c r="X72">
        <f t="shared" si="12"/>
        <v>1.9</v>
      </c>
      <c r="Y72">
        <f t="shared" si="13"/>
        <v>1.9E-2</v>
      </c>
      <c r="Z72">
        <f t="shared" si="9"/>
        <v>1.4685657792347125E-2</v>
      </c>
      <c r="AA72" s="8">
        <f t="shared" si="16"/>
        <v>14.685657792347126</v>
      </c>
      <c r="AB72">
        <f t="shared" si="14"/>
        <v>14.685657792347126</v>
      </c>
      <c r="AC72">
        <f t="shared" si="15"/>
        <v>0.73428288961735633</v>
      </c>
    </row>
    <row r="73" spans="1:29">
      <c r="A73" s="6" t="s">
        <v>62</v>
      </c>
      <c r="B73" s="6" t="s">
        <v>196</v>
      </c>
      <c r="C73" t="s">
        <v>13</v>
      </c>
      <c r="D73" s="8">
        <v>1</v>
      </c>
      <c r="E73" s="3">
        <v>20</v>
      </c>
      <c r="G73" s="211" t="s">
        <v>525</v>
      </c>
      <c r="H73" s="214"/>
      <c r="I73" s="214"/>
      <c r="J73" s="8"/>
      <c r="L73" s="214"/>
      <c r="M73" s="214"/>
      <c r="N73" s="214"/>
      <c r="T73" s="239" t="s">
        <v>525</v>
      </c>
      <c r="V73" s="214">
        <f>'Soil samples'!AK58</f>
        <v>99.749124712820461</v>
      </c>
      <c r="W73" s="6">
        <v>1.2</v>
      </c>
      <c r="X73">
        <f t="shared" si="12"/>
        <v>1.2</v>
      </c>
      <c r="Y73">
        <f t="shared" si="13"/>
        <v>1.2E-2</v>
      </c>
      <c r="Z73">
        <f t="shared" ref="Z73:Z136" si="17">Y73*V73/100</f>
        <v>1.1969894965538455E-2</v>
      </c>
      <c r="AA73" s="8">
        <f t="shared" si="16"/>
        <v>11.969894965538455</v>
      </c>
      <c r="AB73">
        <f t="shared" si="14"/>
        <v>11.969894965538455</v>
      </c>
      <c r="AC73">
        <f t="shared" si="15"/>
        <v>0.59849474827692273</v>
      </c>
    </row>
    <row r="74" spans="1:29">
      <c r="A74" s="206" t="s">
        <v>63</v>
      </c>
      <c r="B74" s="6" t="s">
        <v>196</v>
      </c>
      <c r="C74" t="s">
        <v>13</v>
      </c>
      <c r="D74" s="8">
        <v>2</v>
      </c>
      <c r="E74" s="3">
        <v>5</v>
      </c>
      <c r="H74" s="214"/>
      <c r="I74" s="214"/>
      <c r="J74" s="8"/>
      <c r="L74" s="214"/>
      <c r="M74" s="214"/>
      <c r="N74" s="214"/>
      <c r="P74" s="211" t="s">
        <v>525</v>
      </c>
      <c r="T74" s="239"/>
      <c r="V74" s="214">
        <f>'Soil samples 2017'!AJ32</f>
        <v>5.2963253994131092</v>
      </c>
      <c r="W74" s="6" t="s">
        <v>469</v>
      </c>
      <c r="X74" t="str">
        <f t="shared" si="12"/>
        <v>none</v>
      </c>
      <c r="Y74" s="6" t="s">
        <v>469</v>
      </c>
      <c r="Z74" s="6" t="s">
        <v>469</v>
      </c>
      <c r="AA74" s="6" t="s">
        <v>469</v>
      </c>
      <c r="AB74">
        <v>14.817635283656228</v>
      </c>
      <c r="AC74">
        <f t="shared" si="15"/>
        <v>0.74088176418281149</v>
      </c>
    </row>
    <row r="75" spans="1:29">
      <c r="A75" s="6" t="s">
        <v>64</v>
      </c>
      <c r="B75" s="6" t="s">
        <v>196</v>
      </c>
      <c r="C75" t="s">
        <v>13</v>
      </c>
      <c r="D75" s="8">
        <v>2</v>
      </c>
      <c r="E75" s="3">
        <v>10</v>
      </c>
      <c r="G75" s="211" t="s">
        <v>525</v>
      </c>
      <c r="H75" s="214"/>
      <c r="I75" s="214"/>
      <c r="J75" s="8"/>
      <c r="L75" s="214"/>
      <c r="M75" s="214" t="s">
        <v>525</v>
      </c>
      <c r="N75" s="214"/>
      <c r="T75" s="236" t="s">
        <v>525</v>
      </c>
      <c r="V75" s="214">
        <f>'Soil samples'!AK60</f>
        <v>61.378195559754367</v>
      </c>
      <c r="W75" s="6">
        <v>2</v>
      </c>
      <c r="X75">
        <f t="shared" si="12"/>
        <v>2</v>
      </c>
      <c r="Y75">
        <f t="shared" si="13"/>
        <v>0.02</v>
      </c>
      <c r="Z75">
        <f t="shared" si="17"/>
        <v>1.2275639111950874E-2</v>
      </c>
      <c r="AA75" s="8">
        <f t="shared" si="16"/>
        <v>12.275639111950873</v>
      </c>
      <c r="AB75">
        <f t="shared" si="14"/>
        <v>12.275639111950873</v>
      </c>
      <c r="AC75">
        <f t="shared" si="15"/>
        <v>0.61378195559754367</v>
      </c>
    </row>
    <row r="76" spans="1:29">
      <c r="A76" s="6" t="s">
        <v>65</v>
      </c>
      <c r="B76" s="6" t="s">
        <v>196</v>
      </c>
      <c r="C76" t="s">
        <v>13</v>
      </c>
      <c r="D76" s="8">
        <v>2</v>
      </c>
      <c r="E76" s="3">
        <v>20</v>
      </c>
      <c r="G76" s="211" t="s">
        <v>525</v>
      </c>
      <c r="H76" s="214"/>
      <c r="I76" s="214"/>
      <c r="J76" s="8"/>
      <c r="L76" s="214"/>
      <c r="M76" s="214" t="s">
        <v>525</v>
      </c>
      <c r="N76" s="214"/>
      <c r="T76" s="236" t="s">
        <v>525</v>
      </c>
      <c r="V76" s="214">
        <f>'Soil samples'!AK61</f>
        <v>125.68974128233967</v>
      </c>
      <c r="W76" s="6">
        <v>1.7</v>
      </c>
      <c r="X76">
        <f t="shared" si="12"/>
        <v>1.7</v>
      </c>
      <c r="Y76">
        <f t="shared" si="13"/>
        <v>1.7000000000000001E-2</v>
      </c>
      <c r="Z76">
        <f t="shared" si="17"/>
        <v>2.1367256017997747E-2</v>
      </c>
      <c r="AA76" s="8">
        <f t="shared" si="16"/>
        <v>21.367256017997747</v>
      </c>
      <c r="AB76">
        <f t="shared" si="14"/>
        <v>21.367256017997747</v>
      </c>
      <c r="AC76">
        <f t="shared" si="15"/>
        <v>1.0683628008998873</v>
      </c>
    </row>
    <row r="77" spans="1:29">
      <c r="A77" s="206" t="s">
        <v>66</v>
      </c>
      <c r="B77" s="6" t="s">
        <v>196</v>
      </c>
      <c r="C77" t="s">
        <v>13</v>
      </c>
      <c r="D77" s="8">
        <v>3</v>
      </c>
      <c r="E77" s="3">
        <v>5</v>
      </c>
      <c r="G77" s="211" t="s">
        <v>525</v>
      </c>
      <c r="H77" s="214"/>
      <c r="I77" s="214"/>
      <c r="J77" s="8" t="s">
        <v>525</v>
      </c>
      <c r="L77" s="214" t="s">
        <v>525</v>
      </c>
      <c r="M77" s="214"/>
      <c r="N77" s="214"/>
      <c r="Q77" s="250" t="s">
        <v>1160</v>
      </c>
      <c r="R77">
        <v>4</v>
      </c>
      <c r="S77" s="3">
        <v>2</v>
      </c>
      <c r="T77" s="236" t="s">
        <v>525</v>
      </c>
      <c r="V77" s="214">
        <f>'Soil samples 2017'!AJ33</f>
        <v>6.1062958985030598</v>
      </c>
      <c r="W77" s="6">
        <v>7.7</v>
      </c>
      <c r="X77">
        <f t="shared" si="12"/>
        <v>11.550000000000002</v>
      </c>
      <c r="Y77">
        <f t="shared" si="13"/>
        <v>0.11550000000000002</v>
      </c>
      <c r="Z77">
        <f t="shared" si="17"/>
        <v>7.0527717627710349E-3</v>
      </c>
      <c r="AA77" s="8">
        <f t="shared" si="16"/>
        <v>7.0527717627710356</v>
      </c>
      <c r="AB77">
        <f t="shared" si="14"/>
        <v>7.0527717627710356</v>
      </c>
      <c r="AC77">
        <f t="shared" si="15"/>
        <v>0.35263858813855181</v>
      </c>
    </row>
    <row r="78" spans="1:29">
      <c r="A78" s="6" t="s">
        <v>67</v>
      </c>
      <c r="B78" s="6" t="s">
        <v>196</v>
      </c>
      <c r="C78" t="s">
        <v>13</v>
      </c>
      <c r="D78" s="8">
        <v>3</v>
      </c>
      <c r="E78" s="3">
        <v>10</v>
      </c>
      <c r="G78" s="211" t="s">
        <v>525</v>
      </c>
      <c r="H78" s="214"/>
      <c r="I78" s="214"/>
      <c r="J78" s="8"/>
      <c r="L78" s="214"/>
      <c r="M78" s="214" t="s">
        <v>525</v>
      </c>
      <c r="N78" s="214"/>
      <c r="T78" s="236" t="s">
        <v>525</v>
      </c>
      <c r="V78" s="214">
        <f>'Soil samples'!AK63</f>
        <v>37.667770628311871</v>
      </c>
      <c r="W78" s="6">
        <v>3</v>
      </c>
      <c r="X78">
        <f t="shared" si="12"/>
        <v>3</v>
      </c>
      <c r="Y78">
        <f t="shared" si="13"/>
        <v>0.03</v>
      </c>
      <c r="Z78">
        <f t="shared" si="17"/>
        <v>1.130033118849356E-2</v>
      </c>
      <c r="AA78" s="8">
        <f t="shared" si="16"/>
        <v>11.300331188493558</v>
      </c>
      <c r="AB78">
        <f t="shared" si="14"/>
        <v>11.300331188493558</v>
      </c>
      <c r="AC78">
        <f t="shared" si="15"/>
        <v>0.56501655942467799</v>
      </c>
    </row>
    <row r="79" spans="1:29">
      <c r="A79" s="6" t="s">
        <v>68</v>
      </c>
      <c r="B79" s="6" t="s">
        <v>196</v>
      </c>
      <c r="C79" t="s">
        <v>13</v>
      </c>
      <c r="D79" s="8">
        <v>3</v>
      </c>
      <c r="E79" s="3">
        <v>20</v>
      </c>
      <c r="G79" s="211" t="s">
        <v>525</v>
      </c>
      <c r="H79" s="214"/>
      <c r="I79" s="214"/>
      <c r="J79" s="8"/>
      <c r="L79" s="214"/>
      <c r="M79" s="214" t="s">
        <v>525</v>
      </c>
      <c r="N79" s="214"/>
      <c r="T79" s="236" t="s">
        <v>525</v>
      </c>
      <c r="V79" s="214">
        <f>'Soil samples'!AK64</f>
        <v>42.083893460108484</v>
      </c>
      <c r="W79" s="6">
        <v>1.2</v>
      </c>
      <c r="X79">
        <f t="shared" si="12"/>
        <v>1.2</v>
      </c>
      <c r="Y79">
        <f t="shared" si="13"/>
        <v>1.2E-2</v>
      </c>
      <c r="Z79">
        <f t="shared" si="17"/>
        <v>5.0500672152130176E-3</v>
      </c>
      <c r="AA79" s="8">
        <f t="shared" si="16"/>
        <v>5.0500672152130175</v>
      </c>
      <c r="AB79">
        <f t="shared" si="14"/>
        <v>5.0500672152130175</v>
      </c>
      <c r="AC79">
        <f t="shared" si="15"/>
        <v>0.25250336076065089</v>
      </c>
    </row>
    <row r="80" spans="1:29">
      <c r="A80" s="6" t="s">
        <v>69</v>
      </c>
      <c r="B80" s="6" t="s">
        <v>196</v>
      </c>
      <c r="C80" t="s">
        <v>13</v>
      </c>
      <c r="D80" s="8">
        <v>4</v>
      </c>
      <c r="E80" s="3">
        <v>30</v>
      </c>
      <c r="G80" s="211" t="s">
        <v>525</v>
      </c>
      <c r="H80" s="214"/>
      <c r="I80" s="214"/>
      <c r="J80" s="8"/>
      <c r="L80" s="214"/>
      <c r="M80" s="214" t="s">
        <v>525</v>
      </c>
      <c r="N80" s="214"/>
      <c r="T80" s="236" t="s">
        <v>525</v>
      </c>
      <c r="V80" s="214">
        <f>'Soil samples'!AK65</f>
        <v>35.051015546510087</v>
      </c>
      <c r="W80" s="6">
        <v>1.8</v>
      </c>
      <c r="X80">
        <f t="shared" si="12"/>
        <v>1.8</v>
      </c>
      <c r="Y80">
        <f t="shared" si="13"/>
        <v>1.8000000000000002E-2</v>
      </c>
      <c r="Z80">
        <f t="shared" si="17"/>
        <v>6.3091827983718166E-3</v>
      </c>
      <c r="AA80" s="8">
        <f t="shared" si="16"/>
        <v>6.3091827983718165</v>
      </c>
      <c r="AB80">
        <f t="shared" si="14"/>
        <v>6.3091827983718165</v>
      </c>
      <c r="AC80">
        <f t="shared" si="15"/>
        <v>0.31545913991859087</v>
      </c>
    </row>
    <row r="81" spans="1:29">
      <c r="A81" s="6" t="s">
        <v>70</v>
      </c>
      <c r="B81" s="6" t="s">
        <v>196</v>
      </c>
      <c r="C81" t="s">
        <v>13</v>
      </c>
      <c r="D81" s="8">
        <v>4</v>
      </c>
      <c r="E81" s="3">
        <v>10</v>
      </c>
      <c r="G81" s="211" t="s">
        <v>525</v>
      </c>
      <c r="H81" s="214"/>
      <c r="I81" s="217"/>
      <c r="J81" s="6"/>
      <c r="L81" s="214" t="s">
        <v>525</v>
      </c>
      <c r="M81" s="214"/>
      <c r="N81" s="214"/>
      <c r="T81" s="236" t="s">
        <v>525</v>
      </c>
      <c r="V81" s="214">
        <f>'Soil samples'!AK66</f>
        <v>17.007250995253411</v>
      </c>
      <c r="W81" s="6">
        <v>3.5</v>
      </c>
      <c r="X81">
        <f t="shared" si="12"/>
        <v>3.5</v>
      </c>
      <c r="Y81">
        <f t="shared" si="13"/>
        <v>3.5000000000000003E-2</v>
      </c>
      <c r="Z81">
        <f t="shared" si="17"/>
        <v>5.9525378483386952E-3</v>
      </c>
      <c r="AA81" s="8">
        <f t="shared" si="16"/>
        <v>5.9525378483386948</v>
      </c>
      <c r="AB81">
        <f t="shared" si="14"/>
        <v>5.9525378483386948</v>
      </c>
      <c r="AC81">
        <f t="shared" si="15"/>
        <v>0.29762689241693474</v>
      </c>
    </row>
    <row r="82" spans="1:29">
      <c r="A82" s="6" t="s">
        <v>71</v>
      </c>
      <c r="B82" s="6" t="s">
        <v>196</v>
      </c>
      <c r="C82" t="s">
        <v>13</v>
      </c>
      <c r="D82" s="8">
        <v>4</v>
      </c>
      <c r="E82" s="3">
        <v>20</v>
      </c>
      <c r="G82" s="211" t="s">
        <v>525</v>
      </c>
      <c r="H82" s="214"/>
      <c r="I82" s="217"/>
      <c r="J82" s="6"/>
      <c r="L82" s="214"/>
      <c r="M82" s="214" t="s">
        <v>525</v>
      </c>
      <c r="N82" s="214"/>
      <c r="R82">
        <v>4</v>
      </c>
      <c r="S82" s="3">
        <v>2</v>
      </c>
      <c r="T82" s="236" t="s">
        <v>525</v>
      </c>
      <c r="V82" s="214">
        <f>'Soil samples'!AK67</f>
        <v>31.378754654695825</v>
      </c>
      <c r="W82" s="6">
        <v>1.7</v>
      </c>
      <c r="X82">
        <f t="shared" si="12"/>
        <v>2.5500000000000003</v>
      </c>
      <c r="Y82">
        <f t="shared" si="13"/>
        <v>2.5500000000000002E-2</v>
      </c>
      <c r="Z82">
        <f t="shared" si="17"/>
        <v>8.0015824369474367E-3</v>
      </c>
      <c r="AA82" s="8">
        <f t="shared" si="16"/>
        <v>8.0015824369474373</v>
      </c>
      <c r="AB82">
        <f t="shared" si="14"/>
        <v>8.0015824369474373</v>
      </c>
      <c r="AC82">
        <f t="shared" si="15"/>
        <v>0.40007912184737188</v>
      </c>
    </row>
    <row r="83" spans="1:29">
      <c r="A83" s="6" t="s">
        <v>72</v>
      </c>
      <c r="B83" s="6" t="s">
        <v>196</v>
      </c>
      <c r="C83" t="s">
        <v>13</v>
      </c>
      <c r="D83" s="8">
        <v>4</v>
      </c>
      <c r="E83" s="3">
        <v>5</v>
      </c>
      <c r="H83" s="214"/>
      <c r="I83" s="217" t="s">
        <v>525</v>
      </c>
      <c r="J83" s="6"/>
      <c r="L83" s="217"/>
      <c r="M83" s="217"/>
      <c r="N83" s="217"/>
      <c r="O83" s="217"/>
      <c r="P83" s="211" t="s">
        <v>525</v>
      </c>
      <c r="V83" s="214">
        <f>'Soil samples'!AK68</f>
        <v>8.7843444884251021</v>
      </c>
      <c r="W83" s="6" t="s">
        <v>469</v>
      </c>
      <c r="X83" s="6" t="s">
        <v>469</v>
      </c>
      <c r="Y83" s="6" t="s">
        <v>469</v>
      </c>
      <c r="Z83" s="6" t="s">
        <v>469</v>
      </c>
      <c r="AA83" s="6" t="s">
        <v>469</v>
      </c>
      <c r="AB83">
        <v>14.817635283656228</v>
      </c>
      <c r="AC83">
        <f t="shared" si="15"/>
        <v>0.74088176418281149</v>
      </c>
    </row>
    <row r="84" spans="1:29">
      <c r="A84" s="6" t="s">
        <v>73</v>
      </c>
      <c r="B84" s="6" t="s">
        <v>196</v>
      </c>
      <c r="C84" t="s">
        <v>13</v>
      </c>
      <c r="D84" s="8">
        <v>5</v>
      </c>
      <c r="E84" s="3">
        <v>5</v>
      </c>
      <c r="H84" s="214" t="s">
        <v>525</v>
      </c>
      <c r="I84" s="217"/>
      <c r="J84" s="6"/>
      <c r="L84" s="214" t="s">
        <v>525</v>
      </c>
      <c r="M84" s="214"/>
      <c r="N84" s="214"/>
      <c r="O84" s="214" t="s">
        <v>525</v>
      </c>
      <c r="R84">
        <v>1</v>
      </c>
      <c r="S84" s="3">
        <v>5</v>
      </c>
      <c r="T84" s="236" t="s">
        <v>525</v>
      </c>
      <c r="V84" s="214">
        <f>'Soil samples'!AK69</f>
        <v>13.349364016076903</v>
      </c>
      <c r="W84" s="6">
        <v>1.9</v>
      </c>
      <c r="X84">
        <f t="shared" ref="X84:X97" si="18">IF(R84&gt;0,W84/(R84/6*100)*100,W84)</f>
        <v>11.4</v>
      </c>
      <c r="Y84">
        <f t="shared" si="13"/>
        <v>0.114</v>
      </c>
      <c r="Z84">
        <f t="shared" si="17"/>
        <v>1.5218274978327671E-2</v>
      </c>
      <c r="AA84" s="8">
        <f t="shared" si="16"/>
        <v>15.218274978327671</v>
      </c>
      <c r="AB84">
        <f t="shared" si="14"/>
        <v>15.218274978327671</v>
      </c>
      <c r="AC84">
        <f t="shared" si="15"/>
        <v>0.76091374891638353</v>
      </c>
    </row>
    <row r="85" spans="1:29">
      <c r="A85" s="6" t="s">
        <v>74</v>
      </c>
      <c r="B85" s="6" t="s">
        <v>196</v>
      </c>
      <c r="C85" t="s">
        <v>13</v>
      </c>
      <c r="D85" s="8">
        <v>5</v>
      </c>
      <c r="E85" s="3">
        <v>10</v>
      </c>
      <c r="G85" s="211" t="s">
        <v>525</v>
      </c>
      <c r="H85" s="214"/>
      <c r="I85" s="217"/>
      <c r="J85" s="6"/>
      <c r="L85" s="214"/>
      <c r="M85" s="214" t="s">
        <v>525</v>
      </c>
      <c r="N85" s="214"/>
      <c r="R85">
        <v>4</v>
      </c>
      <c r="S85" s="3">
        <v>2</v>
      </c>
      <c r="T85" s="236" t="s">
        <v>525</v>
      </c>
      <c r="V85" s="214">
        <f>'Soil samples'!AK70</f>
        <v>31.979807376906152</v>
      </c>
      <c r="W85" s="6">
        <v>4</v>
      </c>
      <c r="X85">
        <f t="shared" si="18"/>
        <v>6.0000000000000009</v>
      </c>
      <c r="Y85">
        <f t="shared" si="13"/>
        <v>6.0000000000000012E-2</v>
      </c>
      <c r="Z85">
        <f t="shared" si="17"/>
        <v>1.9187884426143696E-2</v>
      </c>
      <c r="AA85" s="8">
        <f t="shared" si="16"/>
        <v>19.187884426143697</v>
      </c>
      <c r="AB85">
        <f t="shared" si="14"/>
        <v>19.187884426143697</v>
      </c>
      <c r="AC85">
        <f t="shared" si="15"/>
        <v>0.95939422130718488</v>
      </c>
    </row>
    <row r="86" spans="1:29">
      <c r="A86" s="6" t="s">
        <v>75</v>
      </c>
      <c r="B86" s="6" t="s">
        <v>196</v>
      </c>
      <c r="C86" t="s">
        <v>13</v>
      </c>
      <c r="D86" s="8">
        <v>5</v>
      </c>
      <c r="E86" s="3">
        <v>20</v>
      </c>
      <c r="G86" s="211" t="s">
        <v>525</v>
      </c>
      <c r="H86" s="214"/>
      <c r="I86" s="217"/>
      <c r="J86" s="6"/>
      <c r="L86" s="214"/>
      <c r="M86" s="214" t="s">
        <v>525</v>
      </c>
      <c r="N86" s="214"/>
      <c r="T86" s="236" t="s">
        <v>525</v>
      </c>
      <c r="V86" s="214">
        <f>'Soil samples'!AK71</f>
        <v>47.756210340775532</v>
      </c>
      <c r="W86" s="6">
        <v>8.6</v>
      </c>
      <c r="X86">
        <f t="shared" si="18"/>
        <v>8.6</v>
      </c>
      <c r="Y86">
        <f t="shared" si="13"/>
        <v>8.5999999999999993E-2</v>
      </c>
      <c r="Z86">
        <f t="shared" si="17"/>
        <v>4.1070340893066951E-2</v>
      </c>
      <c r="AA86" s="8">
        <f t="shared" si="16"/>
        <v>41.070340893066955</v>
      </c>
      <c r="AB86">
        <f t="shared" si="14"/>
        <v>41.070340893066955</v>
      </c>
      <c r="AC86">
        <f t="shared" si="15"/>
        <v>2.0535170446533479</v>
      </c>
    </row>
    <row r="87" spans="1:29">
      <c r="A87" s="6" t="s">
        <v>76</v>
      </c>
      <c r="B87" s="6" t="s">
        <v>196</v>
      </c>
      <c r="C87" t="s">
        <v>13</v>
      </c>
      <c r="D87" s="8">
        <v>5</v>
      </c>
      <c r="E87" s="3">
        <v>30</v>
      </c>
      <c r="G87" s="211" t="s">
        <v>525</v>
      </c>
      <c r="H87" s="214"/>
      <c r="I87" s="217"/>
      <c r="J87" s="6"/>
      <c r="K87" s="11"/>
      <c r="L87" s="217"/>
      <c r="M87" s="214" t="s">
        <v>525</v>
      </c>
      <c r="N87" s="214"/>
      <c r="T87" s="236" t="s">
        <v>525</v>
      </c>
      <c r="V87" s="214">
        <f>'Soil samples'!AK72</f>
        <v>116.47466557350162</v>
      </c>
      <c r="W87" s="6">
        <v>0.5</v>
      </c>
      <c r="X87">
        <f t="shared" si="18"/>
        <v>0.5</v>
      </c>
      <c r="Y87">
        <f t="shared" si="13"/>
        <v>5.0000000000000001E-3</v>
      </c>
      <c r="Z87">
        <f t="shared" si="17"/>
        <v>5.8237332786750815E-3</v>
      </c>
      <c r="AA87" s="8">
        <f t="shared" si="16"/>
        <v>5.8237332786750811</v>
      </c>
      <c r="AB87">
        <f t="shared" si="14"/>
        <v>5.8237332786750811</v>
      </c>
      <c r="AC87">
        <f t="shared" si="15"/>
        <v>0.29118666393375409</v>
      </c>
    </row>
    <row r="88" spans="1:29">
      <c r="A88" s="6" t="s">
        <v>77</v>
      </c>
      <c r="B88" s="6" t="s">
        <v>196</v>
      </c>
      <c r="C88" t="s">
        <v>13</v>
      </c>
      <c r="D88" s="8">
        <v>6</v>
      </c>
      <c r="E88" s="3">
        <v>5</v>
      </c>
      <c r="G88" s="211" t="s">
        <v>525</v>
      </c>
      <c r="H88" s="214"/>
      <c r="I88" s="217"/>
      <c r="J88" s="6"/>
      <c r="K88" s="11"/>
      <c r="L88" s="217" t="s">
        <v>525</v>
      </c>
      <c r="M88" s="214"/>
      <c r="N88" s="214"/>
      <c r="T88" s="236" t="s">
        <v>525</v>
      </c>
      <c r="V88" s="214">
        <f>'Soil samples'!AK73</f>
        <v>37.40647798742139</v>
      </c>
      <c r="W88" s="6">
        <v>1.5</v>
      </c>
      <c r="X88">
        <f t="shared" si="18"/>
        <v>1.5</v>
      </c>
      <c r="Y88">
        <f t="shared" si="13"/>
        <v>1.4999999999999999E-2</v>
      </c>
      <c r="Z88">
        <f t="shared" si="17"/>
        <v>5.6109716981132089E-3</v>
      </c>
      <c r="AA88" s="8">
        <f t="shared" si="16"/>
        <v>5.6109716981132092</v>
      </c>
      <c r="AB88">
        <f t="shared" si="14"/>
        <v>5.6109716981132092</v>
      </c>
      <c r="AC88">
        <f t="shared" si="15"/>
        <v>0.28054858490566048</v>
      </c>
    </row>
    <row r="89" spans="1:29">
      <c r="A89" s="6" t="s">
        <v>78</v>
      </c>
      <c r="B89" s="6" t="s">
        <v>196</v>
      </c>
      <c r="C89" t="s">
        <v>13</v>
      </c>
      <c r="D89" s="8">
        <v>6</v>
      </c>
      <c r="E89" s="3">
        <v>10</v>
      </c>
      <c r="G89" s="211" t="s">
        <v>525</v>
      </c>
      <c r="H89" s="214"/>
      <c r="I89" s="217"/>
      <c r="J89" s="6"/>
      <c r="K89" s="11"/>
      <c r="L89" s="217"/>
      <c r="M89" s="214" t="s">
        <v>525</v>
      </c>
      <c r="N89" s="214"/>
      <c r="T89" s="236" t="s">
        <v>525</v>
      </c>
      <c r="V89" s="214">
        <f>'Soil samples'!AK74</f>
        <v>61.447283365972382</v>
      </c>
      <c r="W89" s="6">
        <v>1.7</v>
      </c>
      <c r="X89">
        <f t="shared" si="18"/>
        <v>1.7</v>
      </c>
      <c r="Y89">
        <f t="shared" si="13"/>
        <v>1.7000000000000001E-2</v>
      </c>
      <c r="Z89">
        <f t="shared" si="17"/>
        <v>1.0446038172215306E-2</v>
      </c>
      <c r="AA89" s="8">
        <f t="shared" si="16"/>
        <v>10.446038172215305</v>
      </c>
      <c r="AB89">
        <f t="shared" si="14"/>
        <v>10.446038172215305</v>
      </c>
      <c r="AC89">
        <f t="shared" si="15"/>
        <v>0.52230190861076531</v>
      </c>
    </row>
    <row r="90" spans="1:29">
      <c r="A90" s="6" t="s">
        <v>79</v>
      </c>
      <c r="B90" s="6" t="s">
        <v>196</v>
      </c>
      <c r="C90" t="s">
        <v>13</v>
      </c>
      <c r="D90" s="8">
        <v>6</v>
      </c>
      <c r="E90" s="3">
        <v>20</v>
      </c>
      <c r="G90" s="211" t="s">
        <v>525</v>
      </c>
      <c r="H90" s="214"/>
      <c r="I90" s="217"/>
      <c r="J90" s="6"/>
      <c r="K90" s="11"/>
      <c r="L90" s="217"/>
      <c r="M90" s="214" t="s">
        <v>525</v>
      </c>
      <c r="N90" s="214"/>
      <c r="T90" s="236" t="s">
        <v>525</v>
      </c>
      <c r="V90" s="214">
        <f>'Soil samples'!AK75</f>
        <v>103.97834306460858</v>
      </c>
      <c r="W90" s="6">
        <v>2.1</v>
      </c>
      <c r="X90">
        <f t="shared" si="18"/>
        <v>2.1</v>
      </c>
      <c r="Y90">
        <f t="shared" si="13"/>
        <v>2.1000000000000001E-2</v>
      </c>
      <c r="Z90">
        <f t="shared" si="17"/>
        <v>2.1835452043567804E-2</v>
      </c>
      <c r="AA90" s="8">
        <f t="shared" si="16"/>
        <v>21.835452043567802</v>
      </c>
      <c r="AB90">
        <f t="shared" si="14"/>
        <v>21.835452043567802</v>
      </c>
      <c r="AC90">
        <f t="shared" si="15"/>
        <v>1.0917726021783902</v>
      </c>
    </row>
    <row r="91" spans="1:29">
      <c r="A91" s="7" t="s">
        <v>80</v>
      </c>
      <c r="B91" s="7" t="s">
        <v>196</v>
      </c>
      <c r="C91" s="4" t="s">
        <v>13</v>
      </c>
      <c r="D91" s="4">
        <v>6</v>
      </c>
      <c r="E91" s="5">
        <v>30</v>
      </c>
      <c r="G91" s="211" t="s">
        <v>525</v>
      </c>
      <c r="H91" s="214"/>
      <c r="I91" s="217"/>
      <c r="J91" s="6"/>
      <c r="K91" s="11"/>
      <c r="L91" s="217"/>
      <c r="M91" s="214"/>
      <c r="N91" s="214"/>
      <c r="T91" s="239" t="s">
        <v>525</v>
      </c>
      <c r="V91" s="214">
        <f>'Soil samples'!AK76</f>
        <v>91.846806442300604</v>
      </c>
      <c r="W91" s="6">
        <v>2.2000000000000002</v>
      </c>
      <c r="X91">
        <f t="shared" si="18"/>
        <v>2.2000000000000002</v>
      </c>
      <c r="Y91">
        <f t="shared" si="13"/>
        <v>2.2000000000000002E-2</v>
      </c>
      <c r="Z91">
        <f t="shared" si="17"/>
        <v>2.0206297417306132E-2</v>
      </c>
      <c r="AA91" s="8">
        <f t="shared" si="16"/>
        <v>20.206297417306136</v>
      </c>
      <c r="AB91">
        <f t="shared" si="14"/>
        <v>20.206297417306136</v>
      </c>
      <c r="AC91">
        <f t="shared" si="15"/>
        <v>1.0103148708653069</v>
      </c>
    </row>
    <row r="92" spans="1:29">
      <c r="A92" s="6" t="s">
        <v>81</v>
      </c>
      <c r="B92" s="6" t="s">
        <v>197</v>
      </c>
      <c r="C92" t="s">
        <v>12</v>
      </c>
      <c r="D92" s="8">
        <v>1</v>
      </c>
      <c r="E92" s="3">
        <v>5</v>
      </c>
      <c r="G92" s="211" t="s">
        <v>525</v>
      </c>
      <c r="H92" s="214"/>
      <c r="I92" s="217"/>
      <c r="J92" s="6"/>
      <c r="K92" s="11"/>
      <c r="L92" s="217" t="s">
        <v>525</v>
      </c>
      <c r="M92" s="214"/>
      <c r="N92" s="214"/>
      <c r="O92" s="214" t="s">
        <v>525</v>
      </c>
      <c r="R92">
        <v>2</v>
      </c>
      <c r="S92" s="3">
        <v>4</v>
      </c>
      <c r="T92" s="236" t="s">
        <v>525</v>
      </c>
      <c r="V92" s="214">
        <f>'Soil samples'!AK77</f>
        <v>16.809968648867294</v>
      </c>
      <c r="W92" s="6">
        <v>9.9</v>
      </c>
      <c r="X92">
        <f t="shared" si="18"/>
        <v>29.700000000000003</v>
      </c>
      <c r="Y92">
        <f t="shared" si="13"/>
        <v>0.29700000000000004</v>
      </c>
      <c r="Z92">
        <f t="shared" si="17"/>
        <v>4.9925606887135869E-2</v>
      </c>
      <c r="AA92" s="8">
        <f t="shared" si="16"/>
        <v>49.925606887135864</v>
      </c>
      <c r="AB92">
        <f t="shared" si="14"/>
        <v>49.925606887135864</v>
      </c>
      <c r="AC92">
        <f t="shared" si="15"/>
        <v>2.4962803443567934</v>
      </c>
    </row>
    <row r="93" spans="1:29">
      <c r="A93" s="6" t="s">
        <v>82</v>
      </c>
      <c r="B93" s="6" t="s">
        <v>197</v>
      </c>
      <c r="C93" t="s">
        <v>12</v>
      </c>
      <c r="D93" s="8">
        <v>1</v>
      </c>
      <c r="E93" s="3">
        <v>10</v>
      </c>
      <c r="G93" s="211" t="s">
        <v>525</v>
      </c>
      <c r="H93" s="214"/>
      <c r="I93" s="217"/>
      <c r="J93" s="6"/>
      <c r="K93" s="11"/>
      <c r="L93" s="217" t="s">
        <v>525</v>
      </c>
      <c r="M93" s="214"/>
      <c r="N93" s="214"/>
      <c r="T93" s="236" t="s">
        <v>525</v>
      </c>
      <c r="V93" s="214">
        <f>'Soil samples'!AK78</f>
        <v>23.356621220159152</v>
      </c>
      <c r="W93" s="6">
        <v>36</v>
      </c>
      <c r="X93">
        <f t="shared" si="18"/>
        <v>36</v>
      </c>
      <c r="Y93">
        <f t="shared" si="13"/>
        <v>0.36</v>
      </c>
      <c r="Z93">
        <f t="shared" si="17"/>
        <v>8.4083836392572942E-2</v>
      </c>
      <c r="AA93" s="8">
        <f t="shared" si="16"/>
        <v>84.083836392572934</v>
      </c>
      <c r="AB93">
        <f t="shared" si="14"/>
        <v>84.083836392572934</v>
      </c>
      <c r="AC93">
        <f t="shared" si="15"/>
        <v>4.2041918196286465</v>
      </c>
    </row>
    <row r="94" spans="1:29">
      <c r="A94" s="6" t="s">
        <v>83</v>
      </c>
      <c r="B94" s="6" t="s">
        <v>197</v>
      </c>
      <c r="C94" t="s">
        <v>12</v>
      </c>
      <c r="D94" s="8">
        <v>1</v>
      </c>
      <c r="E94" s="3">
        <v>20</v>
      </c>
      <c r="G94" s="211" t="s">
        <v>525</v>
      </c>
      <c r="H94" s="214"/>
      <c r="I94" s="217"/>
      <c r="J94" s="6"/>
      <c r="K94" s="11"/>
      <c r="L94" s="217" t="s">
        <v>525</v>
      </c>
      <c r="M94" s="214"/>
      <c r="N94" s="214"/>
      <c r="O94" s="214" t="s">
        <v>525</v>
      </c>
      <c r="T94" s="236" t="s">
        <v>525</v>
      </c>
      <c r="V94" s="214">
        <f>'Soil samples'!AK79</f>
        <v>31.034598239986838</v>
      </c>
      <c r="W94" s="6">
        <v>43</v>
      </c>
      <c r="X94">
        <f t="shared" si="18"/>
        <v>43</v>
      </c>
      <c r="Y94">
        <f t="shared" si="13"/>
        <v>0.43</v>
      </c>
      <c r="Z94">
        <f t="shared" si="17"/>
        <v>0.13344877243194339</v>
      </c>
      <c r="AA94" s="8">
        <f t="shared" si="16"/>
        <v>133.44877243194338</v>
      </c>
      <c r="AB94">
        <f t="shared" si="14"/>
        <v>133.44877243194338</v>
      </c>
      <c r="AC94">
        <f t="shared" si="15"/>
        <v>6.6724386215971698</v>
      </c>
    </row>
    <row r="95" spans="1:29">
      <c r="A95" s="6" t="s">
        <v>84</v>
      </c>
      <c r="B95" s="6" t="s">
        <v>197</v>
      </c>
      <c r="C95" t="s">
        <v>12</v>
      </c>
      <c r="D95" s="8">
        <v>2</v>
      </c>
      <c r="E95" s="3">
        <v>5</v>
      </c>
      <c r="G95" s="211" t="s">
        <v>525</v>
      </c>
      <c r="H95" s="214"/>
      <c r="I95" s="217"/>
      <c r="J95" s="6"/>
      <c r="K95" s="11"/>
      <c r="L95" s="217" t="s">
        <v>525</v>
      </c>
      <c r="M95" s="214"/>
      <c r="N95" s="214"/>
      <c r="T95" s="236" t="s">
        <v>525</v>
      </c>
      <c r="V95" s="214">
        <f>'Soil samples'!AK80</f>
        <v>20.769807049245017</v>
      </c>
      <c r="W95" s="6">
        <v>19</v>
      </c>
      <c r="X95">
        <f t="shared" si="18"/>
        <v>19</v>
      </c>
      <c r="Y95">
        <f t="shared" si="13"/>
        <v>0.19</v>
      </c>
      <c r="Z95">
        <f t="shared" si="17"/>
        <v>3.9462633393565531E-2</v>
      </c>
      <c r="AA95" s="8">
        <f t="shared" si="16"/>
        <v>39.462633393565532</v>
      </c>
      <c r="AB95">
        <f t="shared" si="14"/>
        <v>39.462633393565532</v>
      </c>
      <c r="AC95">
        <f t="shared" si="15"/>
        <v>1.9731316696782768</v>
      </c>
    </row>
    <row r="96" spans="1:29">
      <c r="A96" s="6" t="s">
        <v>85</v>
      </c>
      <c r="B96" s="6" t="s">
        <v>197</v>
      </c>
      <c r="C96" t="s">
        <v>12</v>
      </c>
      <c r="D96" s="8">
        <v>2</v>
      </c>
      <c r="E96" s="3">
        <v>10</v>
      </c>
      <c r="G96" s="211" t="s">
        <v>525</v>
      </c>
      <c r="H96" s="214"/>
      <c r="I96" s="217"/>
      <c r="J96" s="6"/>
      <c r="K96" s="11"/>
      <c r="L96" s="217"/>
      <c r="M96" s="214" t="s">
        <v>525</v>
      </c>
      <c r="N96" s="214"/>
      <c r="T96" s="236" t="s">
        <v>525</v>
      </c>
      <c r="V96" s="214">
        <f>'Soil samples'!AK81</f>
        <v>27.810313212081027</v>
      </c>
      <c r="W96" s="6">
        <v>18</v>
      </c>
      <c r="X96">
        <f t="shared" si="18"/>
        <v>18</v>
      </c>
      <c r="Y96">
        <f t="shared" si="13"/>
        <v>0.18</v>
      </c>
      <c r="Z96">
        <f t="shared" si="17"/>
        <v>5.0058563781745849E-2</v>
      </c>
      <c r="AA96" s="8">
        <f t="shared" si="16"/>
        <v>50.058563781745846</v>
      </c>
      <c r="AB96">
        <f t="shared" si="14"/>
        <v>50.058563781745846</v>
      </c>
      <c r="AC96">
        <f t="shared" si="15"/>
        <v>2.5029281890872923</v>
      </c>
    </row>
    <row r="97" spans="1:29">
      <c r="A97" s="6" t="s">
        <v>86</v>
      </c>
      <c r="B97" s="6" t="s">
        <v>197</v>
      </c>
      <c r="C97" t="s">
        <v>12</v>
      </c>
      <c r="D97" s="8">
        <v>2</v>
      </c>
      <c r="E97" s="3">
        <v>20</v>
      </c>
      <c r="G97" s="211" t="s">
        <v>525</v>
      </c>
      <c r="H97" s="214"/>
      <c r="I97" s="217"/>
      <c r="J97" s="6"/>
      <c r="K97" s="11"/>
      <c r="L97" s="217"/>
      <c r="M97" s="214" t="s">
        <v>525</v>
      </c>
      <c r="N97" s="214"/>
      <c r="T97" s="236" t="s">
        <v>525</v>
      </c>
      <c r="V97" s="214">
        <f>'Soil samples'!AK82</f>
        <v>31.583963848080696</v>
      </c>
      <c r="W97" s="6">
        <v>15</v>
      </c>
      <c r="X97">
        <f t="shared" si="18"/>
        <v>15</v>
      </c>
      <c r="Y97">
        <f t="shared" si="13"/>
        <v>0.15</v>
      </c>
      <c r="Z97">
        <f t="shared" si="17"/>
        <v>4.7375945772121043E-2</v>
      </c>
      <c r="AA97" s="8">
        <f t="shared" si="16"/>
        <v>47.375945772121042</v>
      </c>
      <c r="AB97">
        <f t="shared" si="14"/>
        <v>47.375945772121042</v>
      </c>
      <c r="AC97">
        <f t="shared" si="15"/>
        <v>2.3687972886060522</v>
      </c>
    </row>
    <row r="98" spans="1:29">
      <c r="A98" s="6" t="s">
        <v>87</v>
      </c>
      <c r="B98" s="6" t="s">
        <v>197</v>
      </c>
      <c r="C98" t="s">
        <v>12</v>
      </c>
      <c r="D98" s="8">
        <v>3</v>
      </c>
      <c r="E98" s="3">
        <v>5</v>
      </c>
      <c r="H98" s="214"/>
      <c r="I98" s="217" t="s">
        <v>525</v>
      </c>
      <c r="J98" s="6"/>
      <c r="K98" s="11"/>
      <c r="L98" s="217"/>
      <c r="M98" s="214"/>
      <c r="N98" s="214"/>
      <c r="P98" s="211" t="s">
        <v>525</v>
      </c>
      <c r="V98" s="214">
        <f>'Soil samples'!AK83</f>
        <v>8.8897568177870472</v>
      </c>
      <c r="W98" s="6" t="s">
        <v>469</v>
      </c>
      <c r="X98" s="6" t="s">
        <v>469</v>
      </c>
      <c r="Y98" s="6" t="s">
        <v>469</v>
      </c>
      <c r="Z98" s="6" t="s">
        <v>469</v>
      </c>
      <c r="AA98" s="6" t="s">
        <v>469</v>
      </c>
      <c r="AB98">
        <f>AH7</f>
        <v>65.762617204844702</v>
      </c>
      <c r="AC98">
        <f t="shared" si="15"/>
        <v>3.2881308602422354</v>
      </c>
    </row>
    <row r="99" spans="1:29">
      <c r="A99" s="6" t="s">
        <v>88</v>
      </c>
      <c r="B99" s="6" t="s">
        <v>197</v>
      </c>
      <c r="C99" t="s">
        <v>12</v>
      </c>
      <c r="D99" s="8">
        <v>3</v>
      </c>
      <c r="E99" s="3">
        <v>10</v>
      </c>
      <c r="G99" s="211" t="s">
        <v>525</v>
      </c>
      <c r="H99" s="214"/>
      <c r="I99" s="217"/>
      <c r="J99" s="6"/>
      <c r="K99" s="11"/>
      <c r="L99" s="217"/>
      <c r="M99" s="214" t="s">
        <v>525</v>
      </c>
      <c r="N99" s="214"/>
      <c r="T99" s="236" t="s">
        <v>525</v>
      </c>
      <c r="V99" s="214">
        <f>'Soil samples'!AK84</f>
        <v>97.005801030149627</v>
      </c>
      <c r="W99" s="6">
        <v>8.3000000000000007</v>
      </c>
      <c r="X99">
        <f t="shared" ref="X99:X118" si="19">IF(R99&gt;0,W99/(R99/6*100)*100,W99)</f>
        <v>8.3000000000000007</v>
      </c>
      <c r="Y99">
        <f t="shared" si="13"/>
        <v>8.3000000000000004E-2</v>
      </c>
      <c r="Z99">
        <f t="shared" si="17"/>
        <v>8.0514814855024194E-2</v>
      </c>
      <c r="AA99" s="8">
        <f t="shared" si="16"/>
        <v>80.514814855024184</v>
      </c>
      <c r="AB99">
        <f t="shared" si="14"/>
        <v>80.514814855024184</v>
      </c>
      <c r="AC99">
        <f t="shared" si="15"/>
        <v>4.0257407427512097</v>
      </c>
    </row>
    <row r="100" spans="1:29">
      <c r="A100" s="6" t="s">
        <v>89</v>
      </c>
      <c r="B100" s="6" t="s">
        <v>197</v>
      </c>
      <c r="C100" t="s">
        <v>12</v>
      </c>
      <c r="D100" s="8">
        <v>3</v>
      </c>
      <c r="E100" s="3">
        <v>20</v>
      </c>
      <c r="G100" s="211" t="s">
        <v>525</v>
      </c>
      <c r="H100" s="214"/>
      <c r="I100" s="217"/>
      <c r="J100" s="6"/>
      <c r="K100" s="11"/>
      <c r="L100" s="217"/>
      <c r="M100" s="214" t="s">
        <v>525</v>
      </c>
      <c r="N100" s="214"/>
      <c r="T100" s="236" t="s">
        <v>525</v>
      </c>
      <c r="V100" s="214">
        <f>'Soil samples'!AK85</f>
        <v>72.979750966118488</v>
      </c>
      <c r="W100" s="6">
        <v>5.9</v>
      </c>
      <c r="X100">
        <f t="shared" si="19"/>
        <v>5.9</v>
      </c>
      <c r="Y100">
        <f t="shared" si="13"/>
        <v>5.9000000000000004E-2</v>
      </c>
      <c r="Z100">
        <f t="shared" si="17"/>
        <v>4.3058053070009913E-2</v>
      </c>
      <c r="AA100" s="8">
        <f t="shared" si="16"/>
        <v>43.058053070009912</v>
      </c>
      <c r="AB100">
        <f t="shared" si="14"/>
        <v>43.058053070009912</v>
      </c>
      <c r="AC100">
        <f t="shared" si="15"/>
        <v>2.1529026535004956</v>
      </c>
    </row>
    <row r="101" spans="1:29">
      <c r="A101" s="6" t="s">
        <v>90</v>
      </c>
      <c r="B101" s="6" t="s">
        <v>197</v>
      </c>
      <c r="C101" t="s">
        <v>12</v>
      </c>
      <c r="D101" s="8">
        <v>3</v>
      </c>
      <c r="E101" s="3">
        <v>30</v>
      </c>
      <c r="G101" s="211" t="s">
        <v>525</v>
      </c>
      <c r="H101" s="214"/>
      <c r="I101" s="217"/>
      <c r="J101" s="6"/>
      <c r="K101" s="11"/>
      <c r="L101" s="217"/>
      <c r="M101" s="214" t="s">
        <v>525</v>
      </c>
      <c r="N101" s="214"/>
      <c r="T101" s="236" t="s">
        <v>525</v>
      </c>
      <c r="V101" s="214">
        <f>'Soil samples'!AK86</f>
        <v>155.70793449947084</v>
      </c>
      <c r="W101" s="6">
        <v>7.2</v>
      </c>
      <c r="X101">
        <f t="shared" si="19"/>
        <v>7.2</v>
      </c>
      <c r="Y101">
        <f t="shared" si="13"/>
        <v>7.2000000000000008E-2</v>
      </c>
      <c r="Z101">
        <f t="shared" si="17"/>
        <v>0.11210971283961901</v>
      </c>
      <c r="AA101" s="8">
        <f t="shared" si="16"/>
        <v>112.10971283961901</v>
      </c>
      <c r="AB101">
        <f t="shared" si="14"/>
        <v>112.10971283961901</v>
      </c>
      <c r="AC101">
        <f t="shared" si="15"/>
        <v>5.6054856419809509</v>
      </c>
    </row>
    <row r="102" spans="1:29">
      <c r="A102" s="6" t="s">
        <v>91</v>
      </c>
      <c r="B102" s="6" t="s">
        <v>197</v>
      </c>
      <c r="C102" t="s">
        <v>12</v>
      </c>
      <c r="D102" s="8">
        <v>4</v>
      </c>
      <c r="E102" s="3">
        <v>5</v>
      </c>
      <c r="G102" s="211" t="s">
        <v>525</v>
      </c>
      <c r="H102" s="214"/>
      <c r="I102" s="214"/>
      <c r="J102" s="8"/>
      <c r="L102" s="214" t="s">
        <v>525</v>
      </c>
      <c r="M102" s="214"/>
      <c r="N102" s="214"/>
      <c r="T102" s="236" t="s">
        <v>525</v>
      </c>
      <c r="V102" s="214">
        <f>'Soil samples'!AK87</f>
        <v>31.016137410976118</v>
      </c>
      <c r="W102" s="6">
        <v>37</v>
      </c>
      <c r="X102">
        <f t="shared" si="19"/>
        <v>37</v>
      </c>
      <c r="Y102">
        <f t="shared" si="13"/>
        <v>0.37</v>
      </c>
      <c r="Z102">
        <f t="shared" si="17"/>
        <v>0.11475970842061164</v>
      </c>
      <c r="AA102" s="8">
        <f t="shared" si="16"/>
        <v>114.75970842061164</v>
      </c>
      <c r="AB102">
        <f t="shared" si="14"/>
        <v>114.75970842061164</v>
      </c>
      <c r="AC102">
        <f t="shared" si="15"/>
        <v>5.737985421030583</v>
      </c>
    </row>
    <row r="103" spans="1:29">
      <c r="A103" s="6" t="s">
        <v>92</v>
      </c>
      <c r="B103" s="6" t="s">
        <v>197</v>
      </c>
      <c r="C103" t="s">
        <v>12</v>
      </c>
      <c r="D103" s="8">
        <v>4</v>
      </c>
      <c r="E103" s="3">
        <v>10</v>
      </c>
      <c r="G103" s="211" t="s">
        <v>525</v>
      </c>
      <c r="M103" s="211" t="s">
        <v>525</v>
      </c>
      <c r="T103" s="236" t="s">
        <v>525</v>
      </c>
      <c r="V103" s="214">
        <f>'Soil samples'!AK88</f>
        <v>49.286851086380487</v>
      </c>
      <c r="W103" s="6">
        <v>43</v>
      </c>
      <c r="X103">
        <f t="shared" si="19"/>
        <v>43</v>
      </c>
      <c r="Y103">
        <f t="shared" si="13"/>
        <v>0.43</v>
      </c>
      <c r="Z103">
        <f t="shared" si="17"/>
        <v>0.21193345967143609</v>
      </c>
      <c r="AA103" s="8">
        <f t="shared" si="16"/>
        <v>211.93345967143608</v>
      </c>
      <c r="AB103">
        <f t="shared" si="14"/>
        <v>211.93345967143608</v>
      </c>
      <c r="AC103">
        <f t="shared" si="15"/>
        <v>10.596672983571805</v>
      </c>
    </row>
    <row r="104" spans="1:29">
      <c r="A104" s="6" t="s">
        <v>93</v>
      </c>
      <c r="B104" s="6" t="s">
        <v>197</v>
      </c>
      <c r="C104" t="s">
        <v>12</v>
      </c>
      <c r="D104" s="8">
        <v>4</v>
      </c>
      <c r="E104" s="3">
        <v>20</v>
      </c>
      <c r="G104" s="211" t="s">
        <v>525</v>
      </c>
      <c r="M104" s="211" t="s">
        <v>525</v>
      </c>
      <c r="T104" s="236" t="s">
        <v>525</v>
      </c>
      <c r="V104" s="214">
        <f>'Soil samples'!AK89</f>
        <v>51.131119697280518</v>
      </c>
      <c r="W104" s="6">
        <v>53</v>
      </c>
      <c r="X104">
        <f t="shared" si="19"/>
        <v>53</v>
      </c>
      <c r="Y104">
        <f t="shared" si="13"/>
        <v>0.53</v>
      </c>
      <c r="Z104">
        <f t="shared" si="17"/>
        <v>0.27099493439558675</v>
      </c>
      <c r="AA104" s="8">
        <f t="shared" si="16"/>
        <v>270.99493439558671</v>
      </c>
      <c r="AB104">
        <f t="shared" si="14"/>
        <v>270.99493439558671</v>
      </c>
      <c r="AC104">
        <f t="shared" si="15"/>
        <v>13.549746719779336</v>
      </c>
    </row>
    <row r="105" spans="1:29">
      <c r="A105" s="6" t="s">
        <v>94</v>
      </c>
      <c r="B105" s="6" t="s">
        <v>197</v>
      </c>
      <c r="C105" t="s">
        <v>12</v>
      </c>
      <c r="D105" s="8">
        <v>5</v>
      </c>
      <c r="E105" s="3">
        <v>5</v>
      </c>
      <c r="G105" s="211" t="s">
        <v>525</v>
      </c>
      <c r="L105" s="211" t="s">
        <v>525</v>
      </c>
      <c r="T105" s="236" t="s">
        <v>525</v>
      </c>
      <c r="V105" s="214">
        <f>'Soil samples'!AK90</f>
        <v>23.008139309900049</v>
      </c>
      <c r="W105" s="6">
        <v>30</v>
      </c>
      <c r="X105">
        <f t="shared" si="19"/>
        <v>30</v>
      </c>
      <c r="Y105">
        <f t="shared" si="13"/>
        <v>0.3</v>
      </c>
      <c r="Z105">
        <f t="shared" si="17"/>
        <v>6.9024417929700141E-2</v>
      </c>
      <c r="AA105" s="8">
        <f t="shared" si="16"/>
        <v>69.024417929700135</v>
      </c>
      <c r="AB105">
        <f t="shared" si="14"/>
        <v>69.024417929700135</v>
      </c>
      <c r="AC105">
        <f t="shared" si="15"/>
        <v>3.4512208964850069</v>
      </c>
    </row>
    <row r="106" spans="1:29">
      <c r="A106" s="6" t="s">
        <v>95</v>
      </c>
      <c r="B106" s="6" t="s">
        <v>197</v>
      </c>
      <c r="C106" t="s">
        <v>12</v>
      </c>
      <c r="D106" s="8">
        <v>5</v>
      </c>
      <c r="E106" s="3">
        <v>10</v>
      </c>
      <c r="G106" s="211" t="s">
        <v>525</v>
      </c>
      <c r="L106" s="211" t="s">
        <v>525</v>
      </c>
      <c r="T106" s="236" t="s">
        <v>525</v>
      </c>
      <c r="V106" s="214">
        <f>'Soil samples'!AK91</f>
        <v>25.350459346597923</v>
      </c>
      <c r="W106" s="6">
        <v>42</v>
      </c>
      <c r="X106">
        <f t="shared" si="19"/>
        <v>42</v>
      </c>
      <c r="Y106">
        <f t="shared" si="13"/>
        <v>0.42</v>
      </c>
      <c r="Z106">
        <f t="shared" si="17"/>
        <v>0.10647192925571128</v>
      </c>
      <c r="AA106" s="8">
        <f t="shared" si="16"/>
        <v>106.47192925571127</v>
      </c>
      <c r="AB106">
        <f t="shared" si="14"/>
        <v>106.47192925571127</v>
      </c>
      <c r="AC106">
        <f t="shared" si="15"/>
        <v>5.3235964627855639</v>
      </c>
    </row>
    <row r="107" spans="1:29">
      <c r="A107" s="6" t="s">
        <v>96</v>
      </c>
      <c r="B107" s="6" t="s">
        <v>197</v>
      </c>
      <c r="C107" t="s">
        <v>12</v>
      </c>
      <c r="D107" s="8">
        <v>5</v>
      </c>
      <c r="E107" s="3">
        <v>20</v>
      </c>
      <c r="G107" s="211" t="s">
        <v>525</v>
      </c>
      <c r="L107" s="211" t="s">
        <v>525</v>
      </c>
      <c r="T107" s="236" t="s">
        <v>525</v>
      </c>
      <c r="V107" s="214">
        <f>'Soil samples'!AK92</f>
        <v>22.306533247256301</v>
      </c>
      <c r="W107" s="6">
        <v>67</v>
      </c>
      <c r="X107">
        <f t="shared" si="19"/>
        <v>67</v>
      </c>
      <c r="Y107">
        <f t="shared" si="13"/>
        <v>0.67</v>
      </c>
      <c r="Z107">
        <f t="shared" si="17"/>
        <v>0.14945377275661723</v>
      </c>
      <c r="AA107" s="8">
        <f t="shared" si="16"/>
        <v>149.45377275661721</v>
      </c>
      <c r="AB107">
        <f t="shared" si="14"/>
        <v>149.45377275661721</v>
      </c>
      <c r="AC107">
        <f t="shared" si="15"/>
        <v>7.4726886378308608</v>
      </c>
    </row>
    <row r="108" spans="1:29">
      <c r="A108" s="6" t="s">
        <v>97</v>
      </c>
      <c r="B108" s="6" t="s">
        <v>197</v>
      </c>
      <c r="C108" t="s">
        <v>12</v>
      </c>
      <c r="D108" s="8">
        <v>6</v>
      </c>
      <c r="E108" s="3">
        <v>5</v>
      </c>
      <c r="G108" s="211" t="s">
        <v>525</v>
      </c>
      <c r="L108" s="211" t="s">
        <v>525</v>
      </c>
      <c r="R108">
        <v>4</v>
      </c>
      <c r="S108" s="3">
        <v>2</v>
      </c>
      <c r="T108" s="236" t="s">
        <v>525</v>
      </c>
      <c r="V108" s="214">
        <f>'Soil samples'!AK93</f>
        <v>21.819889958121713</v>
      </c>
      <c r="W108" s="6">
        <v>17</v>
      </c>
      <c r="X108">
        <f t="shared" si="19"/>
        <v>25.500000000000007</v>
      </c>
      <c r="Y108">
        <f t="shared" si="13"/>
        <v>0.25500000000000006</v>
      </c>
      <c r="Z108">
        <f t="shared" si="17"/>
        <v>5.5640719393210379E-2</v>
      </c>
      <c r="AA108" s="8">
        <f t="shared" si="16"/>
        <v>55.640719393210375</v>
      </c>
      <c r="AB108">
        <f t="shared" si="14"/>
        <v>55.640719393210375</v>
      </c>
      <c r="AC108">
        <f t="shared" si="15"/>
        <v>2.782035969660519</v>
      </c>
    </row>
    <row r="109" spans="1:29">
      <c r="A109" s="6" t="s">
        <v>98</v>
      </c>
      <c r="B109" s="6" t="s">
        <v>197</v>
      </c>
      <c r="C109" t="s">
        <v>12</v>
      </c>
      <c r="D109" s="8">
        <v>6</v>
      </c>
      <c r="E109" s="3">
        <v>10</v>
      </c>
      <c r="G109" s="211" t="s">
        <v>525</v>
      </c>
      <c r="M109" s="211" t="s">
        <v>525</v>
      </c>
      <c r="T109" s="236" t="s">
        <v>525</v>
      </c>
      <c r="V109" s="214">
        <f>'Soil samples'!AK94</f>
        <v>37.768665180863707</v>
      </c>
      <c r="W109" s="6">
        <v>30</v>
      </c>
      <c r="X109">
        <f t="shared" si="19"/>
        <v>30</v>
      </c>
      <c r="Y109">
        <f t="shared" si="13"/>
        <v>0.3</v>
      </c>
      <c r="Z109">
        <f t="shared" si="17"/>
        <v>0.1133059955425911</v>
      </c>
      <c r="AA109" s="8">
        <f t="shared" si="16"/>
        <v>113.30599554259111</v>
      </c>
      <c r="AB109">
        <f t="shared" si="14"/>
        <v>113.30599554259111</v>
      </c>
      <c r="AC109">
        <f t="shared" si="15"/>
        <v>5.6652997771295555</v>
      </c>
    </row>
    <row r="110" spans="1:29">
      <c r="A110" s="6" t="s">
        <v>99</v>
      </c>
      <c r="B110" s="6" t="s">
        <v>197</v>
      </c>
      <c r="C110" t="s">
        <v>12</v>
      </c>
      <c r="D110" s="8">
        <v>6</v>
      </c>
      <c r="E110" s="3">
        <v>20</v>
      </c>
      <c r="G110" s="211" t="s">
        <v>525</v>
      </c>
      <c r="M110" s="211" t="s">
        <v>525</v>
      </c>
      <c r="T110" s="236" t="s">
        <v>525</v>
      </c>
      <c r="V110" s="214">
        <f>'Soil samples'!AK95</f>
        <v>33.080473350864843</v>
      </c>
      <c r="W110" s="6">
        <v>21</v>
      </c>
      <c r="X110">
        <f t="shared" si="19"/>
        <v>21</v>
      </c>
      <c r="Y110">
        <f t="shared" si="13"/>
        <v>0.21</v>
      </c>
      <c r="Z110">
        <f t="shared" si="17"/>
        <v>6.9468994036816167E-2</v>
      </c>
      <c r="AA110" s="8">
        <f t="shared" si="16"/>
        <v>69.468994036816156</v>
      </c>
      <c r="AB110">
        <f t="shared" si="14"/>
        <v>69.468994036816156</v>
      </c>
      <c r="AC110">
        <f t="shared" si="15"/>
        <v>3.4734497018408081</v>
      </c>
    </row>
    <row r="111" spans="1:29">
      <c r="A111" s="6" t="s">
        <v>100</v>
      </c>
      <c r="B111" s="6" t="s">
        <v>197</v>
      </c>
      <c r="C111" t="s">
        <v>12</v>
      </c>
      <c r="D111" s="8">
        <v>6</v>
      </c>
      <c r="E111" s="3">
        <v>30</v>
      </c>
      <c r="G111" s="211" t="s">
        <v>525</v>
      </c>
      <c r="M111" s="211" t="s">
        <v>525</v>
      </c>
      <c r="T111" s="236" t="s">
        <v>525</v>
      </c>
      <c r="V111" s="214">
        <f>'Soil samples'!AK96</f>
        <v>49.664874343786828</v>
      </c>
      <c r="W111" s="6">
        <v>27</v>
      </c>
      <c r="X111">
        <f t="shared" si="19"/>
        <v>27</v>
      </c>
      <c r="Y111">
        <f t="shared" si="13"/>
        <v>0.27</v>
      </c>
      <c r="Z111">
        <f t="shared" si="17"/>
        <v>0.13409516072822444</v>
      </c>
      <c r="AA111" s="8">
        <f t="shared" si="16"/>
        <v>134.09516072822444</v>
      </c>
      <c r="AB111">
        <f t="shared" si="14"/>
        <v>134.09516072822444</v>
      </c>
      <c r="AC111">
        <f t="shared" si="15"/>
        <v>6.7047580364112225</v>
      </c>
    </row>
    <row r="112" spans="1:29">
      <c r="A112" s="206" t="s">
        <v>101</v>
      </c>
      <c r="B112" s="6" t="s">
        <v>197</v>
      </c>
      <c r="C112" t="s">
        <v>13</v>
      </c>
      <c r="D112" s="8">
        <v>1</v>
      </c>
      <c r="E112" s="3">
        <v>5</v>
      </c>
      <c r="G112" s="211" t="s">
        <v>525</v>
      </c>
      <c r="K112" s="3" t="s">
        <v>525</v>
      </c>
      <c r="L112" s="211" t="s">
        <v>525</v>
      </c>
      <c r="Q112" s="250" t="s">
        <v>1161</v>
      </c>
      <c r="T112" s="236" t="s">
        <v>525</v>
      </c>
      <c r="V112" s="214">
        <f>'Soil samples 2017'!AJ34</f>
        <v>4.9142547123015721</v>
      </c>
      <c r="W112" s="6">
        <v>9.1999999999999993</v>
      </c>
      <c r="X112">
        <f t="shared" si="19"/>
        <v>9.1999999999999993</v>
      </c>
      <c r="Y112">
        <f t="shared" si="13"/>
        <v>9.1999999999999998E-2</v>
      </c>
      <c r="Z112">
        <f t="shared" si="17"/>
        <v>4.5211143353174462E-3</v>
      </c>
      <c r="AA112" s="8">
        <f t="shared" si="16"/>
        <v>4.5211143353174466</v>
      </c>
      <c r="AB112">
        <f t="shared" si="14"/>
        <v>4.5211143353174466</v>
      </c>
      <c r="AC112">
        <f t="shared" si="15"/>
        <v>0.22605571676587233</v>
      </c>
    </row>
    <row r="113" spans="1:29">
      <c r="A113" s="6" t="s">
        <v>102</v>
      </c>
      <c r="B113" s="6" t="s">
        <v>197</v>
      </c>
      <c r="C113" t="s">
        <v>13</v>
      </c>
      <c r="D113" s="8">
        <v>1</v>
      </c>
      <c r="E113" s="3">
        <v>10</v>
      </c>
      <c r="G113" s="211" t="s">
        <v>525</v>
      </c>
      <c r="M113" s="211" t="s">
        <v>525</v>
      </c>
      <c r="T113" s="236" t="s">
        <v>525</v>
      </c>
      <c r="V113" s="214">
        <f>'Soil samples'!AK98</f>
        <v>19.788346231493936</v>
      </c>
      <c r="W113" s="6">
        <v>3.1</v>
      </c>
      <c r="X113">
        <f t="shared" si="19"/>
        <v>3.1</v>
      </c>
      <c r="Y113">
        <f t="shared" si="13"/>
        <v>3.1E-2</v>
      </c>
      <c r="Z113">
        <f t="shared" si="17"/>
        <v>6.1343873317631203E-3</v>
      </c>
      <c r="AA113" s="8">
        <f t="shared" si="16"/>
        <v>6.1343873317631203</v>
      </c>
      <c r="AB113">
        <f t="shared" si="14"/>
        <v>6.1343873317631203</v>
      </c>
      <c r="AC113">
        <f t="shared" si="15"/>
        <v>0.30671936658815602</v>
      </c>
    </row>
    <row r="114" spans="1:29">
      <c r="A114" s="6" t="s">
        <v>103</v>
      </c>
      <c r="B114" s="6" t="s">
        <v>197</v>
      </c>
      <c r="C114" t="s">
        <v>13</v>
      </c>
      <c r="D114" s="8">
        <v>1</v>
      </c>
      <c r="E114" s="3">
        <v>20</v>
      </c>
      <c r="G114" s="211" t="s">
        <v>525</v>
      </c>
      <c r="M114" s="211" t="s">
        <v>525</v>
      </c>
      <c r="T114" s="236" t="s">
        <v>525</v>
      </c>
      <c r="V114" s="214">
        <f>'Soil samples'!AK99</f>
        <v>29.237750791974637</v>
      </c>
      <c r="W114" s="6">
        <v>5</v>
      </c>
      <c r="X114">
        <f t="shared" si="19"/>
        <v>5</v>
      </c>
      <c r="Y114">
        <f t="shared" si="13"/>
        <v>0.05</v>
      </c>
      <c r="Z114">
        <f t="shared" si="17"/>
        <v>1.4618875395987319E-2</v>
      </c>
      <c r="AA114" s="8">
        <f t="shared" si="16"/>
        <v>14.618875395987319</v>
      </c>
      <c r="AB114">
        <f t="shared" si="14"/>
        <v>14.618875395987319</v>
      </c>
      <c r="AC114">
        <f t="shared" si="15"/>
        <v>0.73094376979936593</v>
      </c>
    </row>
    <row r="115" spans="1:29">
      <c r="A115" s="6" t="s">
        <v>104</v>
      </c>
      <c r="B115" s="6" t="s">
        <v>197</v>
      </c>
      <c r="C115" t="s">
        <v>13</v>
      </c>
      <c r="D115" s="8">
        <v>2</v>
      </c>
      <c r="E115" s="3">
        <v>5</v>
      </c>
      <c r="H115" s="211" t="s">
        <v>525</v>
      </c>
      <c r="L115" s="211" t="s">
        <v>525</v>
      </c>
      <c r="O115" s="214" t="s">
        <v>525</v>
      </c>
      <c r="R115">
        <v>1</v>
      </c>
      <c r="S115" s="3">
        <v>5</v>
      </c>
      <c r="T115" s="236" t="s">
        <v>525</v>
      </c>
      <c r="V115" s="214">
        <f>'Soil samples'!AK100</f>
        <v>16.064052843707994</v>
      </c>
      <c r="W115" s="6">
        <v>2.2000000000000002</v>
      </c>
      <c r="X115">
        <f t="shared" si="19"/>
        <v>13.200000000000003</v>
      </c>
      <c r="Y115">
        <f t="shared" si="13"/>
        <v>0.13200000000000003</v>
      </c>
      <c r="Z115">
        <f t="shared" si="17"/>
        <v>2.1204549753694558E-2</v>
      </c>
      <c r="AA115" s="8">
        <f t="shared" si="16"/>
        <v>21.204549753694558</v>
      </c>
      <c r="AB115">
        <f t="shared" si="14"/>
        <v>21.204549753694558</v>
      </c>
      <c r="AC115">
        <f t="shared" si="15"/>
        <v>1.060227487684728</v>
      </c>
    </row>
    <row r="116" spans="1:29">
      <c r="A116" s="6" t="s">
        <v>105</v>
      </c>
      <c r="B116" s="6" t="s">
        <v>197</v>
      </c>
      <c r="C116" t="s">
        <v>13</v>
      </c>
      <c r="D116" s="8">
        <v>2</v>
      </c>
      <c r="E116" s="3">
        <v>10</v>
      </c>
      <c r="G116" s="211" t="s">
        <v>525</v>
      </c>
      <c r="L116" s="211" t="s">
        <v>525</v>
      </c>
      <c r="T116" s="236" t="s">
        <v>525</v>
      </c>
      <c r="V116" s="214">
        <f>'Soil samples'!AK101</f>
        <v>24.541062945368154</v>
      </c>
      <c r="W116" s="6">
        <v>2.7</v>
      </c>
      <c r="X116">
        <f t="shared" si="19"/>
        <v>2.7</v>
      </c>
      <c r="Y116">
        <f t="shared" si="13"/>
        <v>2.7000000000000003E-2</v>
      </c>
      <c r="Z116">
        <f t="shared" si="17"/>
        <v>6.6260869952494026E-3</v>
      </c>
      <c r="AA116" s="8">
        <f t="shared" si="16"/>
        <v>6.6260869952494019</v>
      </c>
      <c r="AB116">
        <f t="shared" si="14"/>
        <v>6.6260869952494019</v>
      </c>
      <c r="AC116">
        <f t="shared" si="15"/>
        <v>0.33130434976247014</v>
      </c>
    </row>
    <row r="117" spans="1:29">
      <c r="A117" s="6" t="s">
        <v>106</v>
      </c>
      <c r="B117" s="6" t="s">
        <v>197</v>
      </c>
      <c r="C117" t="s">
        <v>13</v>
      </c>
      <c r="D117" s="8">
        <v>2</v>
      </c>
      <c r="E117" s="3">
        <v>20</v>
      </c>
      <c r="G117" s="211" t="s">
        <v>525</v>
      </c>
      <c r="L117" s="211" t="s">
        <v>525</v>
      </c>
      <c r="T117" s="236" t="s">
        <v>525</v>
      </c>
      <c r="V117" s="214">
        <f>'Soil samples'!AK102</f>
        <v>27.743786928825799</v>
      </c>
      <c r="W117" s="6">
        <v>1.1000000000000001</v>
      </c>
      <c r="X117">
        <f t="shared" si="19"/>
        <v>1.1000000000000001</v>
      </c>
      <c r="Y117">
        <f t="shared" si="13"/>
        <v>1.1000000000000001E-2</v>
      </c>
      <c r="Z117">
        <f t="shared" si="17"/>
        <v>3.0518165621708383E-3</v>
      </c>
      <c r="AA117" s="8">
        <f t="shared" si="16"/>
        <v>3.051816562170838</v>
      </c>
      <c r="AB117">
        <f t="shared" si="14"/>
        <v>3.051816562170838</v>
      </c>
      <c r="AC117">
        <f t="shared" si="15"/>
        <v>0.15259082810854191</v>
      </c>
    </row>
    <row r="118" spans="1:29">
      <c r="A118" s="6" t="s">
        <v>107</v>
      </c>
      <c r="B118" s="6" t="s">
        <v>197</v>
      </c>
      <c r="C118" t="s">
        <v>13</v>
      </c>
      <c r="D118" s="8">
        <v>2</v>
      </c>
      <c r="E118" s="3">
        <v>30</v>
      </c>
      <c r="G118" s="211" t="s">
        <v>525</v>
      </c>
      <c r="M118" s="211" t="s">
        <v>525</v>
      </c>
      <c r="T118" s="236" t="s">
        <v>525</v>
      </c>
      <c r="V118" s="214">
        <f>'Soil samples'!AK103</f>
        <v>42.179133620229763</v>
      </c>
      <c r="W118" s="6">
        <v>3.2</v>
      </c>
      <c r="X118">
        <f t="shared" si="19"/>
        <v>3.2</v>
      </c>
      <c r="Y118">
        <f t="shared" si="13"/>
        <v>3.2000000000000001E-2</v>
      </c>
      <c r="Z118">
        <f t="shared" si="17"/>
        <v>1.3497322758473524E-2</v>
      </c>
      <c r="AA118" s="8">
        <f t="shared" si="16"/>
        <v>13.497322758473524</v>
      </c>
      <c r="AB118">
        <f t="shared" si="14"/>
        <v>13.497322758473524</v>
      </c>
      <c r="AC118">
        <f t="shared" si="15"/>
        <v>0.67486613792367622</v>
      </c>
    </row>
    <row r="119" spans="1:29">
      <c r="A119" s="6" t="s">
        <v>108</v>
      </c>
      <c r="B119" s="6" t="s">
        <v>197</v>
      </c>
      <c r="C119" t="s">
        <v>13</v>
      </c>
      <c r="D119" s="8">
        <v>3</v>
      </c>
      <c r="E119" s="3">
        <v>5</v>
      </c>
      <c r="I119" s="211" t="s">
        <v>525</v>
      </c>
      <c r="P119" s="211" t="s">
        <v>525</v>
      </c>
      <c r="V119" s="214">
        <f>'Soil samples'!AK104</f>
        <v>11.116677283630215</v>
      </c>
      <c r="W119" s="6" t="s">
        <v>469</v>
      </c>
      <c r="X119" s="6" t="s">
        <v>469</v>
      </c>
      <c r="Y119" s="6" t="s">
        <v>469</v>
      </c>
      <c r="Z119" s="6" t="s">
        <v>469</v>
      </c>
      <c r="AA119" s="6" t="s">
        <v>469</v>
      </c>
      <c r="AB119">
        <v>9.6574721630995359</v>
      </c>
      <c r="AC119">
        <f t="shared" si="15"/>
        <v>0.48287360815497682</v>
      </c>
    </row>
    <row r="120" spans="1:29">
      <c r="A120" s="6" t="s">
        <v>109</v>
      </c>
      <c r="B120" s="6" t="s">
        <v>197</v>
      </c>
      <c r="C120" t="s">
        <v>13</v>
      </c>
      <c r="D120" s="8">
        <v>3</v>
      </c>
      <c r="E120" s="3">
        <v>10</v>
      </c>
      <c r="I120" s="211" t="s">
        <v>525</v>
      </c>
      <c r="P120" s="211" t="s">
        <v>525</v>
      </c>
      <c r="V120" s="214">
        <f>'Soil samples'!AK105</f>
        <v>11.632667459373753</v>
      </c>
      <c r="W120" s="6" t="s">
        <v>469</v>
      </c>
      <c r="X120" s="6" t="s">
        <v>469</v>
      </c>
      <c r="Y120" s="6" t="s">
        <v>469</v>
      </c>
      <c r="Z120" s="6" t="s">
        <v>469</v>
      </c>
      <c r="AA120" s="6" t="s">
        <v>469</v>
      </c>
      <c r="AB120">
        <f>AH9</f>
        <v>7.1518941898876589</v>
      </c>
      <c r="AC120">
        <f t="shared" si="15"/>
        <v>0.35759470949438299</v>
      </c>
    </row>
    <row r="121" spans="1:29">
      <c r="A121" s="6" t="s">
        <v>110</v>
      </c>
      <c r="B121" s="6" t="s">
        <v>197</v>
      </c>
      <c r="C121" t="s">
        <v>13</v>
      </c>
      <c r="D121" s="8">
        <v>3</v>
      </c>
      <c r="E121" s="3">
        <v>20</v>
      </c>
      <c r="G121" s="211" t="s">
        <v>525</v>
      </c>
      <c r="M121" s="211" t="s">
        <v>525</v>
      </c>
      <c r="T121" s="236" t="s">
        <v>525</v>
      </c>
      <c r="V121" s="214">
        <f>'Soil samples'!AK106</f>
        <v>44.802678559057846</v>
      </c>
      <c r="W121" s="6">
        <v>3.1</v>
      </c>
      <c r="X121">
        <f>IF(R121&gt;0,W121/(R121/6*100)*100,W121)</f>
        <v>3.1</v>
      </c>
      <c r="Y121">
        <f t="shared" si="13"/>
        <v>3.1E-2</v>
      </c>
      <c r="Z121">
        <f t="shared" si="17"/>
        <v>1.3888830353307933E-2</v>
      </c>
      <c r="AA121" s="8">
        <f t="shared" si="16"/>
        <v>13.888830353307933</v>
      </c>
      <c r="AB121">
        <f t="shared" si="14"/>
        <v>13.888830353307933</v>
      </c>
      <c r="AC121">
        <f t="shared" si="15"/>
        <v>0.69444151766539663</v>
      </c>
    </row>
    <row r="122" spans="1:29">
      <c r="A122" s="6" t="s">
        <v>111</v>
      </c>
      <c r="B122" s="6" t="s">
        <v>197</v>
      </c>
      <c r="C122" t="s">
        <v>13</v>
      </c>
      <c r="D122" s="8">
        <v>3</v>
      </c>
      <c r="E122" s="3">
        <v>30</v>
      </c>
      <c r="G122" s="211" t="s">
        <v>525</v>
      </c>
      <c r="M122" s="211" t="s">
        <v>525</v>
      </c>
      <c r="T122" s="236" t="s">
        <v>525</v>
      </c>
      <c r="V122" s="214">
        <f>'Soil samples'!AK107</f>
        <v>43.838580436316747</v>
      </c>
      <c r="W122" s="6">
        <v>7.4</v>
      </c>
      <c r="X122">
        <f>IF(R122&gt;0,W122/(R122/6*100)*100,W122)</f>
        <v>7.4</v>
      </c>
      <c r="Y122">
        <f t="shared" si="13"/>
        <v>7.400000000000001E-2</v>
      </c>
      <c r="Z122">
        <f t="shared" si="17"/>
        <v>3.2440549522874396E-2</v>
      </c>
      <c r="AA122" s="8">
        <f t="shared" si="16"/>
        <v>32.440549522874399</v>
      </c>
      <c r="AB122">
        <f t="shared" si="14"/>
        <v>32.440549522874399</v>
      </c>
      <c r="AC122">
        <f t="shared" si="15"/>
        <v>1.6220274761437201</v>
      </c>
    </row>
    <row r="123" spans="1:29">
      <c r="A123" s="206" t="s">
        <v>112</v>
      </c>
      <c r="B123" s="6" t="s">
        <v>197</v>
      </c>
      <c r="C123" t="s">
        <v>13</v>
      </c>
      <c r="D123" s="8">
        <v>4</v>
      </c>
      <c r="E123" s="3">
        <v>5</v>
      </c>
      <c r="P123" s="211" t="s">
        <v>525</v>
      </c>
      <c r="V123" s="214">
        <f>'Soil samples 2017'!AJ35</f>
        <v>1.2495652173913041</v>
      </c>
      <c r="W123" s="6" t="s">
        <v>469</v>
      </c>
      <c r="X123" s="6" t="s">
        <v>469</v>
      </c>
      <c r="Y123" s="6" t="s">
        <v>469</v>
      </c>
      <c r="Z123" s="6" t="s">
        <v>469</v>
      </c>
      <c r="AA123" s="6" t="s">
        <v>469</v>
      </c>
      <c r="AB123">
        <v>9.6574721630995359</v>
      </c>
      <c r="AC123">
        <f t="shared" si="15"/>
        <v>0.48287360815497682</v>
      </c>
    </row>
    <row r="124" spans="1:29">
      <c r="A124" s="6" t="s">
        <v>113</v>
      </c>
      <c r="B124" s="6" t="s">
        <v>197</v>
      </c>
      <c r="C124" t="s">
        <v>13</v>
      </c>
      <c r="D124" s="8">
        <v>4</v>
      </c>
      <c r="E124" s="3">
        <v>10</v>
      </c>
      <c r="H124" s="211" t="s">
        <v>525</v>
      </c>
      <c r="L124" s="211" t="s">
        <v>525</v>
      </c>
      <c r="O124" s="214" t="s">
        <v>525</v>
      </c>
      <c r="R124">
        <v>1</v>
      </c>
      <c r="S124" s="3">
        <v>5</v>
      </c>
      <c r="T124" s="236" t="s">
        <v>525</v>
      </c>
      <c r="V124" s="214">
        <f>'Soil samples'!AK109</f>
        <v>14.246074683348791</v>
      </c>
      <c r="W124" s="6">
        <v>1.9</v>
      </c>
      <c r="X124">
        <f>IF(R124&gt;0,W124/(R124/6*100)*100,W124)</f>
        <v>11.4</v>
      </c>
      <c r="Y124">
        <f t="shared" si="13"/>
        <v>0.114</v>
      </c>
      <c r="Z124">
        <f t="shared" si="17"/>
        <v>1.6240525139017623E-2</v>
      </c>
      <c r="AA124" s="8">
        <f t="shared" si="16"/>
        <v>16.24052513901762</v>
      </c>
      <c r="AB124">
        <f t="shared" si="14"/>
        <v>16.24052513901762</v>
      </c>
      <c r="AC124">
        <f t="shared" si="15"/>
        <v>0.81202625695088104</v>
      </c>
    </row>
    <row r="125" spans="1:29">
      <c r="A125" s="111" t="s">
        <v>114</v>
      </c>
      <c r="B125" s="111" t="s">
        <v>197</v>
      </c>
      <c r="C125" s="110" t="s">
        <v>13</v>
      </c>
      <c r="D125" s="111">
        <v>4</v>
      </c>
      <c r="E125" s="112">
        <v>20</v>
      </c>
      <c r="G125" s="211" t="s">
        <v>525</v>
      </c>
      <c r="M125" s="211" t="s">
        <v>525</v>
      </c>
      <c r="T125" s="236" t="s">
        <v>525</v>
      </c>
      <c r="V125" s="214">
        <f>'Soil samples'!AK110</f>
        <v>49.522440932512254</v>
      </c>
      <c r="W125" s="6">
        <v>1.2</v>
      </c>
      <c r="X125">
        <f>IF(R125&gt;0,W125/(R125/6*100)*100,W125)</f>
        <v>1.2</v>
      </c>
      <c r="Y125">
        <f t="shared" si="13"/>
        <v>1.2E-2</v>
      </c>
      <c r="Z125">
        <f t="shared" si="17"/>
        <v>5.9426929119014704E-3</v>
      </c>
      <c r="AA125" s="8">
        <f t="shared" si="16"/>
        <v>5.94269291190147</v>
      </c>
      <c r="AB125">
        <f t="shared" si="14"/>
        <v>5.94269291190147</v>
      </c>
      <c r="AC125">
        <f t="shared" si="15"/>
        <v>0.29713464559507352</v>
      </c>
    </row>
    <row r="126" spans="1:29">
      <c r="A126" s="111" t="s">
        <v>115</v>
      </c>
      <c r="B126" s="111" t="s">
        <v>197</v>
      </c>
      <c r="C126" s="110" t="s">
        <v>13</v>
      </c>
      <c r="D126" s="111">
        <v>4</v>
      </c>
      <c r="E126" s="112">
        <v>30</v>
      </c>
      <c r="G126" s="211" t="s">
        <v>525</v>
      </c>
      <c r="M126" s="211" t="s">
        <v>525</v>
      </c>
      <c r="T126" s="236" t="s">
        <v>525</v>
      </c>
      <c r="V126" s="214">
        <f>'Soil samples'!AK111</f>
        <v>46.319204037440613</v>
      </c>
      <c r="W126" s="6">
        <v>1</v>
      </c>
      <c r="X126">
        <f>IF(R126&gt;0,W126/(R126/6*100)*100,W126)</f>
        <v>1</v>
      </c>
      <c r="Y126">
        <f t="shared" si="13"/>
        <v>0.01</v>
      </c>
      <c r="Z126">
        <f t="shared" si="17"/>
        <v>4.6319204037440611E-3</v>
      </c>
      <c r="AA126" s="8">
        <f t="shared" si="16"/>
        <v>4.6319204037440613</v>
      </c>
      <c r="AB126">
        <f t="shared" si="14"/>
        <v>4.6319204037440613</v>
      </c>
      <c r="AC126">
        <f t="shared" si="15"/>
        <v>0.23159602018720307</v>
      </c>
    </row>
    <row r="127" spans="1:29">
      <c r="A127" s="6" t="s">
        <v>116</v>
      </c>
      <c r="B127" s="6" t="s">
        <v>197</v>
      </c>
      <c r="C127" t="s">
        <v>13</v>
      </c>
      <c r="D127" s="8">
        <v>5</v>
      </c>
      <c r="E127" s="3">
        <v>5</v>
      </c>
      <c r="I127" s="211" t="s">
        <v>525</v>
      </c>
      <c r="P127" s="211" t="s">
        <v>525</v>
      </c>
      <c r="V127" s="214">
        <f>'Soil samples'!AK112</f>
        <v>13.044859857938166</v>
      </c>
      <c r="W127" s="6" t="s">
        <v>469</v>
      </c>
      <c r="X127" s="6" t="s">
        <v>469</v>
      </c>
      <c r="Y127" s="6" t="s">
        <v>469</v>
      </c>
      <c r="Z127" s="6" t="s">
        <v>469</v>
      </c>
      <c r="AA127" s="6" t="s">
        <v>469</v>
      </c>
      <c r="AB127">
        <v>9.6574721630995359</v>
      </c>
      <c r="AC127">
        <f t="shared" si="15"/>
        <v>0.48287360815497682</v>
      </c>
    </row>
    <row r="128" spans="1:29">
      <c r="A128" s="6" t="s">
        <v>117</v>
      </c>
      <c r="B128" s="6" t="s">
        <v>197</v>
      </c>
      <c r="C128" t="s">
        <v>13</v>
      </c>
      <c r="D128" s="8">
        <v>5</v>
      </c>
      <c r="E128" s="3">
        <v>10</v>
      </c>
      <c r="G128" s="211" t="s">
        <v>525</v>
      </c>
      <c r="L128" s="211" t="s">
        <v>525</v>
      </c>
      <c r="T128" s="236" t="s">
        <v>525</v>
      </c>
      <c r="V128" s="214">
        <f>'Soil samples'!AK113</f>
        <v>20.988959390862934</v>
      </c>
      <c r="W128" s="6">
        <v>1.1000000000000001</v>
      </c>
      <c r="X128">
        <f t="shared" ref="X128:X137" si="20">IF(R128&gt;0,W128/(R128/6*100)*100,W128)</f>
        <v>1.1000000000000001</v>
      </c>
      <c r="Y128">
        <f t="shared" si="13"/>
        <v>1.1000000000000001E-2</v>
      </c>
      <c r="Z128">
        <f t="shared" si="17"/>
        <v>2.3087855329949232E-3</v>
      </c>
      <c r="AA128" s="8">
        <f t="shared" si="16"/>
        <v>2.3087855329949236</v>
      </c>
      <c r="AB128">
        <f t="shared" si="14"/>
        <v>2.3087855329949236</v>
      </c>
      <c r="AC128">
        <f t="shared" si="15"/>
        <v>0.11543927664974618</v>
      </c>
    </row>
    <row r="129" spans="1:29">
      <c r="A129" s="6" t="s">
        <v>118</v>
      </c>
      <c r="B129" s="6" t="s">
        <v>197</v>
      </c>
      <c r="C129" t="s">
        <v>13</v>
      </c>
      <c r="D129" s="8">
        <v>5</v>
      </c>
      <c r="E129" s="3">
        <v>20</v>
      </c>
      <c r="G129" s="211" t="s">
        <v>525</v>
      </c>
      <c r="M129" s="211" t="s">
        <v>525</v>
      </c>
      <c r="T129" s="236" t="s">
        <v>525</v>
      </c>
      <c r="V129" s="214">
        <f>'Soil samples'!AK114</f>
        <v>38.036360213897161</v>
      </c>
      <c r="W129" s="6">
        <v>4.5</v>
      </c>
      <c r="X129">
        <f t="shared" si="20"/>
        <v>4.5</v>
      </c>
      <c r="Y129">
        <f t="shared" si="13"/>
        <v>4.4999999999999998E-2</v>
      </c>
      <c r="Z129">
        <f t="shared" si="17"/>
        <v>1.711636209625372E-2</v>
      </c>
      <c r="AA129" s="8">
        <f t="shared" si="16"/>
        <v>17.11636209625372</v>
      </c>
      <c r="AB129">
        <f t="shared" si="14"/>
        <v>17.11636209625372</v>
      </c>
      <c r="AC129">
        <f t="shared" si="15"/>
        <v>0.85581810481268605</v>
      </c>
    </row>
    <row r="130" spans="1:29">
      <c r="A130" s="6" t="s">
        <v>119</v>
      </c>
      <c r="B130" s="6" t="s">
        <v>197</v>
      </c>
      <c r="C130" t="s">
        <v>13</v>
      </c>
      <c r="D130" s="8">
        <v>5</v>
      </c>
      <c r="E130" s="3">
        <v>30</v>
      </c>
      <c r="G130" s="211" t="s">
        <v>525</v>
      </c>
      <c r="M130" s="211" t="s">
        <v>525</v>
      </c>
      <c r="T130" s="236" t="s">
        <v>525</v>
      </c>
      <c r="V130" s="214">
        <f>'Soil samples'!AK115</f>
        <v>57.552890519694444</v>
      </c>
      <c r="W130" s="6">
        <v>0.5</v>
      </c>
      <c r="X130">
        <f t="shared" si="20"/>
        <v>0.5</v>
      </c>
      <c r="Y130">
        <f t="shared" si="13"/>
        <v>5.0000000000000001E-3</v>
      </c>
      <c r="Z130">
        <f t="shared" si="17"/>
        <v>2.8776445259847223E-3</v>
      </c>
      <c r="AA130" s="8">
        <f t="shared" si="16"/>
        <v>2.8776445259847225</v>
      </c>
      <c r="AB130">
        <f t="shared" si="14"/>
        <v>2.8776445259847225</v>
      </c>
      <c r="AC130">
        <f t="shared" si="15"/>
        <v>0.14388222629923614</v>
      </c>
    </row>
    <row r="131" spans="1:29">
      <c r="A131" s="206" t="s">
        <v>120</v>
      </c>
      <c r="B131" s="6" t="s">
        <v>197</v>
      </c>
      <c r="C131" t="s">
        <v>13</v>
      </c>
      <c r="D131" s="8">
        <v>6</v>
      </c>
      <c r="E131" s="3">
        <v>5</v>
      </c>
      <c r="G131" s="211" t="s">
        <v>525</v>
      </c>
      <c r="K131" s="3" t="s">
        <v>525</v>
      </c>
      <c r="L131" s="211" t="s">
        <v>525</v>
      </c>
      <c r="Q131" s="250" t="s">
        <v>1161</v>
      </c>
      <c r="R131">
        <v>4</v>
      </c>
      <c r="S131" s="3">
        <v>2</v>
      </c>
      <c r="T131" s="236" t="s">
        <v>525</v>
      </c>
      <c r="V131" s="214">
        <f>'Soil samples 2017'!AJ36</f>
        <v>4.7054382612849297</v>
      </c>
      <c r="W131" s="6">
        <v>4.5999999999999996</v>
      </c>
      <c r="X131">
        <f t="shared" si="20"/>
        <v>6.9</v>
      </c>
      <c r="Y131">
        <f t="shared" si="13"/>
        <v>6.9000000000000006E-2</v>
      </c>
      <c r="Z131">
        <f t="shared" si="17"/>
        <v>3.2467524002866015E-3</v>
      </c>
      <c r="AA131" s="8">
        <f t="shared" si="16"/>
        <v>3.2467524002866015</v>
      </c>
      <c r="AB131">
        <f t="shared" si="14"/>
        <v>3.2467524002866015</v>
      </c>
      <c r="AC131">
        <f t="shared" si="15"/>
        <v>0.16233762001433008</v>
      </c>
    </row>
    <row r="132" spans="1:29">
      <c r="A132" s="6" t="s">
        <v>121</v>
      </c>
      <c r="B132" s="6" t="s">
        <v>197</v>
      </c>
      <c r="C132" t="s">
        <v>13</v>
      </c>
      <c r="D132" s="8">
        <v>6</v>
      </c>
      <c r="E132" s="3">
        <v>10</v>
      </c>
      <c r="G132" s="211" t="s">
        <v>525</v>
      </c>
      <c r="M132" s="211" t="s">
        <v>525</v>
      </c>
      <c r="T132" s="236" t="s">
        <v>525</v>
      </c>
      <c r="V132" s="214">
        <f>'Soil samples'!AK117</f>
        <v>22.248429752066137</v>
      </c>
      <c r="W132" s="6">
        <v>2</v>
      </c>
      <c r="X132">
        <f t="shared" si="20"/>
        <v>2</v>
      </c>
      <c r="Y132">
        <f t="shared" si="13"/>
        <v>0.02</v>
      </c>
      <c r="Z132">
        <f t="shared" si="17"/>
        <v>4.4496859504132274E-3</v>
      </c>
      <c r="AA132" s="8">
        <f t="shared" si="16"/>
        <v>4.4496859504132269</v>
      </c>
      <c r="AB132">
        <f t="shared" si="14"/>
        <v>4.4496859504132269</v>
      </c>
      <c r="AC132">
        <f t="shared" si="15"/>
        <v>0.22248429752066134</v>
      </c>
    </row>
    <row r="133" spans="1:29">
      <c r="A133" s="7" t="s">
        <v>122</v>
      </c>
      <c r="B133" s="7" t="s">
        <v>197</v>
      </c>
      <c r="C133" s="4" t="s">
        <v>13</v>
      </c>
      <c r="D133" s="4">
        <v>6</v>
      </c>
      <c r="E133" s="5">
        <v>20</v>
      </c>
      <c r="G133" s="211" t="s">
        <v>525</v>
      </c>
      <c r="M133" s="211" t="s">
        <v>525</v>
      </c>
      <c r="T133" s="236" t="s">
        <v>525</v>
      </c>
      <c r="V133" s="214">
        <f>'Soil samples'!AK118</f>
        <v>117.93224398136529</v>
      </c>
      <c r="W133" s="6">
        <v>0.4</v>
      </c>
      <c r="X133">
        <f t="shared" si="20"/>
        <v>0.4</v>
      </c>
      <c r="Y133">
        <f t="shared" ref="Y133:Y196" si="21">X133/100</f>
        <v>4.0000000000000001E-3</v>
      </c>
      <c r="Z133">
        <f t="shared" si="17"/>
        <v>4.7172897592546118E-3</v>
      </c>
      <c r="AA133" s="8">
        <f t="shared" si="16"/>
        <v>4.7172897592546112</v>
      </c>
      <c r="AB133">
        <f t="shared" ref="AB133:AB196" si="22">AA133</f>
        <v>4.7172897592546112</v>
      </c>
      <c r="AC133">
        <f t="shared" ref="AC133:AC196" si="23">AB133*0.05</f>
        <v>0.23586448796273057</v>
      </c>
    </row>
    <row r="134" spans="1:29">
      <c r="A134" s="6" t="s">
        <v>123</v>
      </c>
      <c r="B134" s="6" t="s">
        <v>198</v>
      </c>
      <c r="C134" t="s">
        <v>12</v>
      </c>
      <c r="D134" s="8">
        <v>1</v>
      </c>
      <c r="E134" s="3">
        <v>5</v>
      </c>
      <c r="G134" s="211" t="s">
        <v>525</v>
      </c>
      <c r="L134" s="211" t="s">
        <v>525</v>
      </c>
      <c r="R134">
        <v>4</v>
      </c>
      <c r="S134" s="3">
        <v>2</v>
      </c>
      <c r="T134" s="236" t="s">
        <v>525</v>
      </c>
      <c r="V134" s="214">
        <f>'Soil samples'!AK119</f>
        <v>18.642324458835514</v>
      </c>
      <c r="W134" s="6">
        <v>5</v>
      </c>
      <c r="X134">
        <f t="shared" si="20"/>
        <v>7.5000000000000009</v>
      </c>
      <c r="Y134">
        <f t="shared" si="21"/>
        <v>7.5000000000000011E-2</v>
      </c>
      <c r="Z134">
        <f t="shared" si="17"/>
        <v>1.3981743344126638E-2</v>
      </c>
      <c r="AA134" s="8">
        <f t="shared" ref="AA134:AA197" si="24">Z134*1000000/1000</f>
        <v>13.981743344126638</v>
      </c>
      <c r="AB134">
        <f t="shared" si="22"/>
        <v>13.981743344126638</v>
      </c>
      <c r="AC134">
        <f t="shared" si="23"/>
        <v>0.69908716720633191</v>
      </c>
    </row>
    <row r="135" spans="1:29">
      <c r="A135" s="6" t="s">
        <v>124</v>
      </c>
      <c r="B135" s="6" t="s">
        <v>198</v>
      </c>
      <c r="C135" t="s">
        <v>12</v>
      </c>
      <c r="D135" s="8">
        <v>1</v>
      </c>
      <c r="E135" s="3">
        <v>10</v>
      </c>
      <c r="G135" s="211" t="s">
        <v>525</v>
      </c>
      <c r="M135" s="211" t="s">
        <v>525</v>
      </c>
      <c r="T135" s="236" t="s">
        <v>525</v>
      </c>
      <c r="V135" s="214">
        <f>'Soil samples'!AK120</f>
        <v>43.19155317417254</v>
      </c>
      <c r="W135" s="6">
        <v>7.5</v>
      </c>
      <c r="X135">
        <f t="shared" si="20"/>
        <v>7.5</v>
      </c>
      <c r="Y135">
        <f t="shared" si="21"/>
        <v>7.4999999999999997E-2</v>
      </c>
      <c r="Z135">
        <f t="shared" si="17"/>
        <v>3.2393664880629405E-2</v>
      </c>
      <c r="AA135" s="8">
        <f t="shared" si="24"/>
        <v>32.393664880629409</v>
      </c>
      <c r="AB135">
        <f t="shared" si="22"/>
        <v>32.393664880629409</v>
      </c>
      <c r="AC135">
        <f t="shared" si="23"/>
        <v>1.6196832440314706</v>
      </c>
    </row>
    <row r="136" spans="1:29">
      <c r="A136" s="6" t="s">
        <v>125</v>
      </c>
      <c r="B136" s="6" t="s">
        <v>198</v>
      </c>
      <c r="C136" t="s">
        <v>12</v>
      </c>
      <c r="D136" s="8">
        <v>1</v>
      </c>
      <c r="E136" s="3">
        <v>20</v>
      </c>
      <c r="G136" s="211" t="s">
        <v>525</v>
      </c>
      <c r="M136" s="211" t="s">
        <v>525</v>
      </c>
      <c r="T136" s="236" t="s">
        <v>525</v>
      </c>
      <c r="V136" s="214">
        <f>'Soil samples'!AK121</f>
        <v>40.063497881038089</v>
      </c>
      <c r="W136" s="6">
        <v>7</v>
      </c>
      <c r="X136">
        <f t="shared" si="20"/>
        <v>7</v>
      </c>
      <c r="Y136">
        <f t="shared" si="21"/>
        <v>7.0000000000000007E-2</v>
      </c>
      <c r="Z136">
        <f t="shared" si="17"/>
        <v>2.8044448516726665E-2</v>
      </c>
      <c r="AA136" s="8">
        <f t="shared" si="24"/>
        <v>28.044448516726664</v>
      </c>
      <c r="AB136">
        <f t="shared" si="22"/>
        <v>28.044448516726664</v>
      </c>
      <c r="AC136">
        <f t="shared" si="23"/>
        <v>1.4022224258363334</v>
      </c>
    </row>
    <row r="137" spans="1:29">
      <c r="A137" s="6" t="s">
        <v>126</v>
      </c>
      <c r="B137" s="6" t="s">
        <v>198</v>
      </c>
      <c r="C137" t="s">
        <v>12</v>
      </c>
      <c r="D137" s="8">
        <v>1</v>
      </c>
      <c r="E137" s="3">
        <v>30</v>
      </c>
      <c r="G137" s="211" t="s">
        <v>525</v>
      </c>
      <c r="M137" s="211" t="s">
        <v>525</v>
      </c>
      <c r="T137" s="236" t="s">
        <v>525</v>
      </c>
      <c r="V137" s="214">
        <f>'Soil samples'!AK122</f>
        <v>37.159337001306412</v>
      </c>
      <c r="W137" s="6">
        <v>12</v>
      </c>
      <c r="X137">
        <f t="shared" si="20"/>
        <v>12</v>
      </c>
      <c r="Y137">
        <f t="shared" si="21"/>
        <v>0.12</v>
      </c>
      <c r="Z137">
        <f t="shared" ref="Z137:Z200" si="25">Y137*V137/100</f>
        <v>4.4591204401567691E-2</v>
      </c>
      <c r="AA137" s="8">
        <f t="shared" si="24"/>
        <v>44.591204401567694</v>
      </c>
      <c r="AB137">
        <f t="shared" si="22"/>
        <v>44.591204401567694</v>
      </c>
      <c r="AC137">
        <f t="shared" si="23"/>
        <v>2.2295602200783846</v>
      </c>
    </row>
    <row r="138" spans="1:29">
      <c r="A138" s="206" t="s">
        <v>127</v>
      </c>
      <c r="B138" s="6" t="s">
        <v>198</v>
      </c>
      <c r="C138" t="s">
        <v>12</v>
      </c>
      <c r="D138" s="8">
        <v>2</v>
      </c>
      <c r="E138" s="3">
        <v>5</v>
      </c>
      <c r="P138" s="211" t="s">
        <v>525</v>
      </c>
      <c r="V138" s="214">
        <f>'Soil samples 2017'!AJ37</f>
        <v>3.60389108476065</v>
      </c>
      <c r="W138" s="6" t="s">
        <v>469</v>
      </c>
      <c r="X138" s="6" t="s">
        <v>469</v>
      </c>
      <c r="Y138" s="6" t="s">
        <v>469</v>
      </c>
      <c r="Z138" s="6" t="s">
        <v>469</v>
      </c>
      <c r="AA138" s="6" t="s">
        <v>469</v>
      </c>
      <c r="AB138">
        <v>8.8497763129115974</v>
      </c>
      <c r="AC138">
        <f t="shared" si="23"/>
        <v>0.4424888156455799</v>
      </c>
    </row>
    <row r="139" spans="1:29">
      <c r="A139" s="210" t="s">
        <v>650</v>
      </c>
      <c r="B139" s="6" t="s">
        <v>198</v>
      </c>
      <c r="C139" s="6" t="s">
        <v>12</v>
      </c>
      <c r="D139" s="6">
        <v>2</v>
      </c>
      <c r="E139" s="6">
        <v>10</v>
      </c>
      <c r="G139" s="211" t="s">
        <v>525</v>
      </c>
      <c r="L139" s="211" t="s">
        <v>525</v>
      </c>
      <c r="T139" s="236" t="s">
        <v>525</v>
      </c>
      <c r="V139" s="214">
        <f>'Soil samples 2017'!AJ38</f>
        <v>6.5678309909058772</v>
      </c>
      <c r="W139" s="6">
        <v>9.6999999999999993</v>
      </c>
      <c r="X139">
        <f>IF(R139&gt;0,W139/(R139/6*100)*100,W139)</f>
        <v>9.6999999999999993</v>
      </c>
      <c r="Y139">
        <f t="shared" si="21"/>
        <v>9.6999999999999989E-2</v>
      </c>
      <c r="Z139">
        <f t="shared" si="25"/>
        <v>6.3707960611787007E-3</v>
      </c>
      <c r="AA139" s="8">
        <f t="shared" si="24"/>
        <v>6.3707960611787016</v>
      </c>
      <c r="AB139">
        <f t="shared" si="22"/>
        <v>6.3707960611787016</v>
      </c>
      <c r="AC139">
        <f t="shared" si="23"/>
        <v>0.31853980305893509</v>
      </c>
    </row>
    <row r="140" spans="1:29">
      <c r="A140" s="210" t="s">
        <v>1100</v>
      </c>
      <c r="B140" s="6" t="s">
        <v>198</v>
      </c>
      <c r="C140" s="6" t="s">
        <v>12</v>
      </c>
      <c r="D140" s="6">
        <v>2</v>
      </c>
      <c r="E140" s="6">
        <v>20</v>
      </c>
      <c r="P140" s="211" t="s">
        <v>525</v>
      </c>
      <c r="V140" s="214">
        <f>'Soil samples 2017'!AJ39</f>
        <v>27.126301137106271</v>
      </c>
      <c r="W140" s="6" t="s">
        <v>469</v>
      </c>
      <c r="X140" s="6" t="s">
        <v>469</v>
      </c>
      <c r="Y140" s="6" t="s">
        <v>469</v>
      </c>
      <c r="Z140" s="6" t="s">
        <v>469</v>
      </c>
      <c r="AA140" s="6" t="s">
        <v>469</v>
      </c>
      <c r="AB140">
        <v>89.162870083736109</v>
      </c>
      <c r="AC140">
        <f t="shared" si="23"/>
        <v>4.4581435041868058</v>
      </c>
    </row>
    <row r="141" spans="1:29">
      <c r="A141" s="136" t="s">
        <v>578</v>
      </c>
      <c r="B141" s="6" t="s">
        <v>198</v>
      </c>
      <c r="C141" t="s">
        <v>12</v>
      </c>
      <c r="D141" s="6">
        <v>3</v>
      </c>
      <c r="E141" s="3">
        <v>5</v>
      </c>
      <c r="P141" s="211" t="s">
        <v>525</v>
      </c>
      <c r="W141" s="6" t="s">
        <v>469</v>
      </c>
      <c r="X141" s="6" t="s">
        <v>469</v>
      </c>
      <c r="Y141" s="6" t="s">
        <v>469</v>
      </c>
      <c r="Z141" s="6" t="s">
        <v>469</v>
      </c>
      <c r="AA141" s="6" t="s">
        <v>469</v>
      </c>
      <c r="AB141">
        <v>8.8497763129115974</v>
      </c>
      <c r="AC141">
        <f t="shared" si="23"/>
        <v>0.4424888156455799</v>
      </c>
    </row>
    <row r="142" spans="1:29">
      <c r="A142" s="206" t="s">
        <v>128</v>
      </c>
      <c r="B142" s="6" t="s">
        <v>198</v>
      </c>
      <c r="C142" t="s">
        <v>12</v>
      </c>
      <c r="D142" s="8">
        <v>4</v>
      </c>
      <c r="E142" s="3">
        <v>5</v>
      </c>
      <c r="G142" s="211" t="s">
        <v>525</v>
      </c>
      <c r="L142" s="211" t="s">
        <v>525</v>
      </c>
      <c r="T142" s="236" t="s">
        <v>525</v>
      </c>
      <c r="V142" s="214">
        <f>'Soil samples 2017'!AJ40</f>
        <v>5.4495010462683098</v>
      </c>
      <c r="W142" s="8">
        <v>17</v>
      </c>
      <c r="X142">
        <f t="shared" ref="X142:X152" si="26">IF(R142&gt;0,W142/(R142/6*100)*100,W142)</f>
        <v>17</v>
      </c>
      <c r="Y142">
        <f t="shared" si="21"/>
        <v>0.17</v>
      </c>
      <c r="Z142">
        <f t="shared" si="25"/>
        <v>9.2641517786561274E-3</v>
      </c>
      <c r="AA142" s="8">
        <f t="shared" si="24"/>
        <v>9.2641517786561263</v>
      </c>
      <c r="AB142">
        <f t="shared" si="22"/>
        <v>9.2641517786561263</v>
      </c>
      <c r="AC142">
        <f t="shared" si="23"/>
        <v>0.46320758893280634</v>
      </c>
    </row>
    <row r="143" spans="1:29">
      <c r="A143" s="6" t="s">
        <v>129</v>
      </c>
      <c r="B143" s="6" t="s">
        <v>198</v>
      </c>
      <c r="C143" t="s">
        <v>12</v>
      </c>
      <c r="D143" s="8">
        <v>4</v>
      </c>
      <c r="E143" s="3">
        <v>10</v>
      </c>
      <c r="G143" s="211" t="s">
        <v>525</v>
      </c>
      <c r="M143" s="211" t="s">
        <v>525</v>
      </c>
      <c r="T143" s="236" t="s">
        <v>525</v>
      </c>
      <c r="V143" s="214">
        <f>'Soil samples'!AK126</f>
        <v>26.401565557729938</v>
      </c>
      <c r="W143" s="8">
        <v>10</v>
      </c>
      <c r="X143">
        <f t="shared" si="26"/>
        <v>10</v>
      </c>
      <c r="Y143">
        <f t="shared" si="21"/>
        <v>0.1</v>
      </c>
      <c r="Z143">
        <f t="shared" si="25"/>
        <v>2.640156555772994E-2</v>
      </c>
      <c r="AA143" s="8">
        <f t="shared" si="24"/>
        <v>26.401565557729942</v>
      </c>
      <c r="AB143">
        <f t="shared" si="22"/>
        <v>26.401565557729942</v>
      </c>
      <c r="AC143">
        <f t="shared" si="23"/>
        <v>1.3200782778864972</v>
      </c>
    </row>
    <row r="144" spans="1:29">
      <c r="A144" s="6" t="s">
        <v>130</v>
      </c>
      <c r="B144" s="6" t="s">
        <v>198</v>
      </c>
      <c r="C144" t="s">
        <v>12</v>
      </c>
      <c r="D144" s="8">
        <v>4</v>
      </c>
      <c r="E144" s="3">
        <v>20</v>
      </c>
      <c r="G144" s="211" t="s">
        <v>525</v>
      </c>
      <c r="M144" s="211" t="s">
        <v>525</v>
      </c>
      <c r="T144" s="236" t="s">
        <v>525</v>
      </c>
      <c r="V144" s="214">
        <f>'Soil samples'!AK127</f>
        <v>39.931738013230557</v>
      </c>
      <c r="W144" s="6">
        <v>31</v>
      </c>
      <c r="X144">
        <f t="shared" si="26"/>
        <v>31</v>
      </c>
      <c r="Y144">
        <f t="shared" si="21"/>
        <v>0.31</v>
      </c>
      <c r="Z144">
        <f t="shared" si="25"/>
        <v>0.12378838784101473</v>
      </c>
      <c r="AA144" s="8">
        <f t="shared" si="24"/>
        <v>123.78838784101472</v>
      </c>
      <c r="AB144">
        <f t="shared" si="22"/>
        <v>123.78838784101472</v>
      </c>
      <c r="AC144">
        <f t="shared" si="23"/>
        <v>6.1894193920507368</v>
      </c>
    </row>
    <row r="145" spans="1:29">
      <c r="A145" s="6" t="s">
        <v>131</v>
      </c>
      <c r="B145" s="6" t="s">
        <v>198</v>
      </c>
      <c r="C145" t="s">
        <v>12</v>
      </c>
      <c r="D145" s="8">
        <v>4</v>
      </c>
      <c r="E145" s="3">
        <v>30</v>
      </c>
      <c r="G145" s="211" t="s">
        <v>525</v>
      </c>
      <c r="M145" s="211" t="s">
        <v>525</v>
      </c>
      <c r="T145" s="236" t="s">
        <v>525</v>
      </c>
      <c r="V145" s="214">
        <f>'Soil samples'!AK128</f>
        <v>47.485354470315208</v>
      </c>
      <c r="W145" s="6">
        <v>28</v>
      </c>
      <c r="X145">
        <f t="shared" si="26"/>
        <v>28</v>
      </c>
      <c r="Y145">
        <f t="shared" si="21"/>
        <v>0.28000000000000003</v>
      </c>
      <c r="Z145">
        <f t="shared" si="25"/>
        <v>0.13295899251688259</v>
      </c>
      <c r="AA145" s="8">
        <f t="shared" si="24"/>
        <v>132.9589925168826</v>
      </c>
      <c r="AB145">
        <f t="shared" si="22"/>
        <v>132.9589925168826</v>
      </c>
      <c r="AC145">
        <f t="shared" si="23"/>
        <v>6.6479496258441308</v>
      </c>
    </row>
    <row r="146" spans="1:29">
      <c r="A146" s="206" t="s">
        <v>132</v>
      </c>
      <c r="B146" s="6" t="s">
        <v>198</v>
      </c>
      <c r="C146" t="s">
        <v>12</v>
      </c>
      <c r="D146" s="8">
        <v>5</v>
      </c>
      <c r="E146" s="3">
        <v>5</v>
      </c>
      <c r="G146" s="211" t="s">
        <v>525</v>
      </c>
      <c r="L146" s="211" t="s">
        <v>525</v>
      </c>
      <c r="T146" s="236" t="s">
        <v>525</v>
      </c>
      <c r="V146" s="214">
        <f>'Soil samples 2017'!AJ41</f>
        <v>2.8571907167060924</v>
      </c>
      <c r="W146" s="6">
        <v>13</v>
      </c>
      <c r="X146">
        <f t="shared" si="26"/>
        <v>13</v>
      </c>
      <c r="Y146">
        <f t="shared" si="21"/>
        <v>0.13</v>
      </c>
      <c r="Z146">
        <f t="shared" si="25"/>
        <v>3.7143479317179201E-3</v>
      </c>
      <c r="AA146" s="8">
        <f t="shared" si="24"/>
        <v>3.7143479317179198</v>
      </c>
      <c r="AB146">
        <f t="shared" si="22"/>
        <v>3.7143479317179198</v>
      </c>
      <c r="AC146">
        <f t="shared" si="23"/>
        <v>0.18571739658589601</v>
      </c>
    </row>
    <row r="147" spans="1:29">
      <c r="A147" s="6" t="s">
        <v>133</v>
      </c>
      <c r="B147" s="6" t="s">
        <v>198</v>
      </c>
      <c r="C147" t="s">
        <v>12</v>
      </c>
      <c r="D147" s="8">
        <v>5</v>
      </c>
      <c r="E147" s="3">
        <v>10</v>
      </c>
      <c r="G147" s="211" t="s">
        <v>525</v>
      </c>
      <c r="L147" s="211" t="s">
        <v>525</v>
      </c>
      <c r="T147" s="236" t="s">
        <v>525</v>
      </c>
      <c r="V147" s="214">
        <f>'Soil samples'!AK130</f>
        <v>36.949752054603721</v>
      </c>
      <c r="W147" s="6">
        <v>23</v>
      </c>
      <c r="X147">
        <f t="shared" si="26"/>
        <v>23</v>
      </c>
      <c r="Y147">
        <f t="shared" si="21"/>
        <v>0.23</v>
      </c>
      <c r="Z147">
        <f t="shared" si="25"/>
        <v>8.4984429725588562E-2</v>
      </c>
      <c r="AA147" s="8">
        <f t="shared" si="24"/>
        <v>84.984429725588555</v>
      </c>
      <c r="AB147">
        <f t="shared" si="22"/>
        <v>84.984429725588555</v>
      </c>
      <c r="AC147">
        <f t="shared" si="23"/>
        <v>4.2492214862794278</v>
      </c>
    </row>
    <row r="148" spans="1:29">
      <c r="A148" s="6" t="s">
        <v>134</v>
      </c>
      <c r="B148" s="6" t="s">
        <v>198</v>
      </c>
      <c r="C148" t="s">
        <v>12</v>
      </c>
      <c r="D148" s="8">
        <v>5</v>
      </c>
      <c r="E148" s="3">
        <v>20</v>
      </c>
      <c r="G148" s="211" t="s">
        <v>525</v>
      </c>
      <c r="M148" s="211" t="s">
        <v>525</v>
      </c>
      <c r="T148" s="236" t="s">
        <v>525</v>
      </c>
      <c r="V148" s="214">
        <f>'Soil samples'!AK131</f>
        <v>46.918625305454242</v>
      </c>
      <c r="W148" s="6">
        <v>28</v>
      </c>
      <c r="X148">
        <f t="shared" si="26"/>
        <v>28</v>
      </c>
      <c r="Y148">
        <f t="shared" si="21"/>
        <v>0.28000000000000003</v>
      </c>
      <c r="Z148">
        <f t="shared" si="25"/>
        <v>0.13137215085527187</v>
      </c>
      <c r="AA148" s="8">
        <f t="shared" si="24"/>
        <v>131.37215085527188</v>
      </c>
      <c r="AB148">
        <f t="shared" si="22"/>
        <v>131.37215085527188</v>
      </c>
      <c r="AC148">
        <f t="shared" si="23"/>
        <v>6.5686075427635942</v>
      </c>
    </row>
    <row r="149" spans="1:29">
      <c r="A149" s="206" t="s">
        <v>135</v>
      </c>
      <c r="B149" s="6" t="s">
        <v>198</v>
      </c>
      <c r="C149" t="s">
        <v>12</v>
      </c>
      <c r="D149" s="8">
        <v>6</v>
      </c>
      <c r="E149" s="3">
        <v>5</v>
      </c>
      <c r="G149" s="211" t="s">
        <v>525</v>
      </c>
      <c r="K149" s="3" t="s">
        <v>525</v>
      </c>
      <c r="M149" s="211" t="s">
        <v>525</v>
      </c>
      <c r="R149">
        <v>4</v>
      </c>
      <c r="S149" s="3">
        <v>2</v>
      </c>
      <c r="T149" s="236" t="s">
        <v>525</v>
      </c>
      <c r="V149" s="214">
        <f>'Soil samples 2017'!AJ42</f>
        <v>4.3276216395618983</v>
      </c>
      <c r="W149" s="6">
        <v>13</v>
      </c>
      <c r="X149">
        <f t="shared" si="26"/>
        <v>19.500000000000004</v>
      </c>
      <c r="Y149">
        <f t="shared" si="21"/>
        <v>0.19500000000000003</v>
      </c>
      <c r="Z149">
        <f t="shared" si="25"/>
        <v>8.4388621971457026E-3</v>
      </c>
      <c r="AA149" s="8">
        <f t="shared" si="24"/>
        <v>8.4388621971457027</v>
      </c>
      <c r="AB149">
        <f t="shared" si="22"/>
        <v>8.4388621971457027</v>
      </c>
      <c r="AC149">
        <f t="shared" si="23"/>
        <v>0.42194310985728517</v>
      </c>
    </row>
    <row r="150" spans="1:29">
      <c r="A150" s="6" t="s">
        <v>136</v>
      </c>
      <c r="B150" s="6" t="s">
        <v>198</v>
      </c>
      <c r="C150" t="s">
        <v>12</v>
      </c>
      <c r="D150" s="8">
        <v>6</v>
      </c>
      <c r="E150" s="3">
        <v>10</v>
      </c>
      <c r="L150" s="211" t="s">
        <v>525</v>
      </c>
      <c r="T150" s="236" t="s">
        <v>525</v>
      </c>
      <c r="V150" s="214">
        <f>'Soil samples'!AK133</f>
        <v>30.156617091965405</v>
      </c>
      <c r="W150" s="6">
        <v>15</v>
      </c>
      <c r="X150">
        <f t="shared" si="26"/>
        <v>15</v>
      </c>
      <c r="Y150">
        <f t="shared" si="21"/>
        <v>0.15</v>
      </c>
      <c r="Z150">
        <f t="shared" si="25"/>
        <v>4.5234925637948106E-2</v>
      </c>
      <c r="AA150" s="8">
        <f t="shared" si="24"/>
        <v>45.234925637948109</v>
      </c>
      <c r="AB150">
        <f t="shared" si="22"/>
        <v>45.234925637948109</v>
      </c>
      <c r="AC150">
        <f t="shared" si="23"/>
        <v>2.2617462818974055</v>
      </c>
    </row>
    <row r="151" spans="1:29">
      <c r="A151" s="6" t="s">
        <v>137</v>
      </c>
      <c r="B151" s="6" t="s">
        <v>198</v>
      </c>
      <c r="C151" t="s">
        <v>12</v>
      </c>
      <c r="D151" s="8">
        <v>6</v>
      </c>
      <c r="E151" s="3">
        <v>20</v>
      </c>
      <c r="G151" s="211" t="s">
        <v>525</v>
      </c>
      <c r="M151" s="211" t="s">
        <v>525</v>
      </c>
      <c r="T151" s="236" t="s">
        <v>525</v>
      </c>
      <c r="V151" s="214">
        <f>'Soil samples'!AK134</f>
        <v>34.974520534252918</v>
      </c>
      <c r="W151" s="6">
        <v>21</v>
      </c>
      <c r="X151">
        <f t="shared" si="26"/>
        <v>21</v>
      </c>
      <c r="Y151">
        <f t="shared" si="21"/>
        <v>0.21</v>
      </c>
      <c r="Z151">
        <f t="shared" si="25"/>
        <v>7.3446493121931133E-2</v>
      </c>
      <c r="AA151" s="8">
        <f t="shared" si="24"/>
        <v>73.446493121931141</v>
      </c>
      <c r="AB151">
        <f t="shared" si="22"/>
        <v>73.446493121931141</v>
      </c>
      <c r="AC151">
        <f t="shared" si="23"/>
        <v>3.6723246560965572</v>
      </c>
    </row>
    <row r="152" spans="1:29">
      <c r="A152" s="6" t="s">
        <v>138</v>
      </c>
      <c r="B152" s="6" t="s">
        <v>198</v>
      </c>
      <c r="C152" s="59" t="s">
        <v>12</v>
      </c>
      <c r="D152" s="6">
        <v>6</v>
      </c>
      <c r="E152" s="11">
        <v>30</v>
      </c>
      <c r="G152" s="211" t="s">
        <v>525</v>
      </c>
      <c r="M152" s="211" t="s">
        <v>525</v>
      </c>
      <c r="T152" s="236" t="s">
        <v>525</v>
      </c>
      <c r="V152" s="214">
        <f>'Soil samples'!AK135</f>
        <v>39.387231717855215</v>
      </c>
      <c r="W152" s="6">
        <v>20</v>
      </c>
      <c r="X152">
        <f t="shared" si="26"/>
        <v>20</v>
      </c>
      <c r="Y152">
        <f t="shared" si="21"/>
        <v>0.2</v>
      </c>
      <c r="Z152">
        <f t="shared" si="25"/>
        <v>7.8774463435710429E-2</v>
      </c>
      <c r="AA152" s="8">
        <f t="shared" si="24"/>
        <v>78.774463435710416</v>
      </c>
      <c r="AB152">
        <f t="shared" si="22"/>
        <v>78.774463435710416</v>
      </c>
      <c r="AC152">
        <f t="shared" si="23"/>
        <v>3.9387231717855209</v>
      </c>
    </row>
    <row r="153" spans="1:29">
      <c r="A153" s="6" t="s">
        <v>139</v>
      </c>
      <c r="B153" s="6" t="s">
        <v>198</v>
      </c>
      <c r="C153" s="59" t="s">
        <v>13</v>
      </c>
      <c r="D153" s="6">
        <v>1</v>
      </c>
      <c r="E153" s="11">
        <v>5</v>
      </c>
      <c r="I153" s="211" t="s">
        <v>525</v>
      </c>
      <c r="P153" s="211" t="s">
        <v>525</v>
      </c>
      <c r="V153" s="214">
        <f>'Soil samples'!AK136</f>
        <v>6.7942157068062814</v>
      </c>
      <c r="W153" s="6" t="s">
        <v>469</v>
      </c>
      <c r="X153" s="6" t="s">
        <v>469</v>
      </c>
      <c r="Y153" s="6" t="s">
        <v>469</v>
      </c>
      <c r="Z153" s="6" t="s">
        <v>469</v>
      </c>
      <c r="AA153" s="6" t="s">
        <v>469</v>
      </c>
      <c r="AB153">
        <v>12.125080451890675</v>
      </c>
      <c r="AC153">
        <f t="shared" si="23"/>
        <v>0.60625402259453376</v>
      </c>
    </row>
    <row r="154" spans="1:29">
      <c r="A154" s="6" t="s">
        <v>140</v>
      </c>
      <c r="B154" s="6" t="s">
        <v>198</v>
      </c>
      <c r="C154" s="59" t="s">
        <v>13</v>
      </c>
      <c r="D154" s="6">
        <v>1</v>
      </c>
      <c r="E154" s="11">
        <v>10</v>
      </c>
      <c r="G154" s="211" t="s">
        <v>525</v>
      </c>
      <c r="L154" s="211" t="s">
        <v>525</v>
      </c>
      <c r="T154" s="236" t="s">
        <v>525</v>
      </c>
      <c r="V154" s="214">
        <f>'Soil samples'!AK137</f>
        <v>19.948433119405504</v>
      </c>
      <c r="W154" s="6">
        <v>5.8</v>
      </c>
      <c r="X154">
        <f>IF(R154&gt;0,W154/(R154/6*100)*100,W154)</f>
        <v>5.8</v>
      </c>
      <c r="Y154">
        <f t="shared" si="21"/>
        <v>5.7999999999999996E-2</v>
      </c>
      <c r="Z154">
        <f t="shared" si="25"/>
        <v>1.1570091209255191E-2</v>
      </c>
      <c r="AA154" s="8">
        <f t="shared" si="24"/>
        <v>11.570091209255191</v>
      </c>
      <c r="AB154">
        <f t="shared" si="22"/>
        <v>11.570091209255191</v>
      </c>
      <c r="AC154">
        <f t="shared" si="23"/>
        <v>0.57850456046275955</v>
      </c>
    </row>
    <row r="155" spans="1:29">
      <c r="A155" s="6" t="s">
        <v>141</v>
      </c>
      <c r="B155" s="6" t="s">
        <v>198</v>
      </c>
      <c r="C155" t="s">
        <v>13</v>
      </c>
      <c r="D155" s="8">
        <v>2</v>
      </c>
      <c r="E155" s="3">
        <v>5</v>
      </c>
      <c r="H155" s="211" t="s">
        <v>525</v>
      </c>
      <c r="L155" s="211" t="s">
        <v>525</v>
      </c>
      <c r="O155" s="214" t="s">
        <v>525</v>
      </c>
      <c r="R155">
        <v>1</v>
      </c>
      <c r="S155" s="3">
        <v>5</v>
      </c>
      <c r="T155" s="236" t="s">
        <v>525</v>
      </c>
      <c r="V155" s="214">
        <f>'Soil samples'!AK138</f>
        <v>9.0200028770355054</v>
      </c>
      <c r="W155" s="6">
        <v>2.2000000000000002</v>
      </c>
      <c r="X155">
        <f>IF(R155&gt;0,W155/(R155/6*100)*100,W155)</f>
        <v>13.200000000000003</v>
      </c>
      <c r="Y155">
        <f t="shared" si="21"/>
        <v>0.13200000000000003</v>
      </c>
      <c r="Z155">
        <f t="shared" si="25"/>
        <v>1.1906403797686871E-2</v>
      </c>
      <c r="AA155" s="8">
        <f t="shared" si="24"/>
        <v>11.90640379768687</v>
      </c>
      <c r="AB155">
        <f t="shared" si="22"/>
        <v>11.90640379768687</v>
      </c>
      <c r="AC155">
        <f t="shared" si="23"/>
        <v>0.59532018988434354</v>
      </c>
    </row>
    <row r="156" spans="1:29">
      <c r="A156" s="6" t="s">
        <v>142</v>
      </c>
      <c r="B156" s="6" t="s">
        <v>198</v>
      </c>
      <c r="C156" t="s">
        <v>13</v>
      </c>
      <c r="D156" s="8">
        <v>2</v>
      </c>
      <c r="E156" s="3">
        <v>10</v>
      </c>
      <c r="H156" s="211" t="s">
        <v>525</v>
      </c>
      <c r="L156" s="211" t="s">
        <v>525</v>
      </c>
      <c r="O156" s="214" t="s">
        <v>525</v>
      </c>
      <c r="R156">
        <v>2</v>
      </c>
      <c r="S156" s="3">
        <v>4</v>
      </c>
      <c r="T156" s="236" t="s">
        <v>525</v>
      </c>
      <c r="V156" s="214">
        <f>'Soil samples'!AK139</f>
        <v>11.975378594037263</v>
      </c>
      <c r="W156" s="6">
        <v>2</v>
      </c>
      <c r="X156">
        <f>IF(R156&gt;0,W156/(R156/6*100)*100,W156)</f>
        <v>6.0000000000000009</v>
      </c>
      <c r="Y156">
        <f t="shared" si="21"/>
        <v>6.0000000000000012E-2</v>
      </c>
      <c r="Z156">
        <f t="shared" si="25"/>
        <v>7.1852271564223592E-3</v>
      </c>
      <c r="AA156" s="8">
        <f t="shared" si="24"/>
        <v>7.1852271564223589</v>
      </c>
      <c r="AB156">
        <f t="shared" si="22"/>
        <v>7.1852271564223589</v>
      </c>
      <c r="AC156">
        <f t="shared" si="23"/>
        <v>0.35926135782111795</v>
      </c>
    </row>
    <row r="157" spans="1:29">
      <c r="A157" s="6" t="s">
        <v>143</v>
      </c>
      <c r="B157" s="6" t="s">
        <v>198</v>
      </c>
      <c r="C157" t="s">
        <v>13</v>
      </c>
      <c r="D157" s="8">
        <v>2</v>
      </c>
      <c r="E157" s="3">
        <v>20</v>
      </c>
      <c r="G157" s="211" t="s">
        <v>525</v>
      </c>
      <c r="M157" s="211" t="s">
        <v>525</v>
      </c>
      <c r="T157" s="236" t="s">
        <v>525</v>
      </c>
      <c r="V157" s="214">
        <f>'Soil samples'!AK140</f>
        <v>34.03497540311561</v>
      </c>
      <c r="W157" s="6">
        <v>4.4000000000000004</v>
      </c>
      <c r="X157">
        <f>IF(R157&gt;0,W157/(R157/6*100)*100,W157)</f>
        <v>4.4000000000000004</v>
      </c>
      <c r="Y157">
        <f t="shared" si="21"/>
        <v>4.4000000000000004E-2</v>
      </c>
      <c r="Z157">
        <f t="shared" si="25"/>
        <v>1.497538917737087E-2</v>
      </c>
      <c r="AA157" s="8">
        <f t="shared" si="24"/>
        <v>14.975389177370872</v>
      </c>
      <c r="AB157">
        <f t="shared" si="22"/>
        <v>14.975389177370872</v>
      </c>
      <c r="AC157">
        <f t="shared" si="23"/>
        <v>0.74876945886854362</v>
      </c>
    </row>
    <row r="158" spans="1:29">
      <c r="A158" s="6" t="s">
        <v>144</v>
      </c>
      <c r="B158" s="6" t="s">
        <v>198</v>
      </c>
      <c r="C158" t="s">
        <v>13</v>
      </c>
      <c r="D158" s="8">
        <v>3</v>
      </c>
      <c r="E158" s="3">
        <v>5</v>
      </c>
      <c r="G158" s="211" t="s">
        <v>525</v>
      </c>
      <c r="L158" s="211" t="s">
        <v>525</v>
      </c>
      <c r="R158">
        <v>2</v>
      </c>
      <c r="S158" s="3">
        <v>4</v>
      </c>
      <c r="T158" s="236" t="s">
        <v>525</v>
      </c>
      <c r="V158" s="214">
        <f>'Soil samples'!AK141</f>
        <v>10.327863638010356</v>
      </c>
      <c r="W158" s="6">
        <v>2.2999999999999998</v>
      </c>
      <c r="X158">
        <f>IF(R158&gt;0,W158/(R158/6*100)*100,W158)</f>
        <v>6.9</v>
      </c>
      <c r="Y158">
        <f t="shared" si="21"/>
        <v>6.9000000000000006E-2</v>
      </c>
      <c r="Z158">
        <f t="shared" si="25"/>
        <v>7.1262259102271462E-3</v>
      </c>
      <c r="AA158" s="8">
        <f t="shared" si="24"/>
        <v>7.1262259102271468</v>
      </c>
      <c r="AB158">
        <f t="shared" si="22"/>
        <v>7.1262259102271468</v>
      </c>
      <c r="AC158">
        <f t="shared" si="23"/>
        <v>0.35631129551135737</v>
      </c>
    </row>
    <row r="159" spans="1:29">
      <c r="A159" s="136" t="s">
        <v>145</v>
      </c>
      <c r="B159" s="6" t="s">
        <v>198</v>
      </c>
      <c r="C159" t="s">
        <v>13</v>
      </c>
      <c r="D159" s="8">
        <v>4</v>
      </c>
      <c r="E159" s="3">
        <v>5</v>
      </c>
      <c r="P159" s="211" t="s">
        <v>525</v>
      </c>
      <c r="V159" s="214">
        <f>'Soil samples'!AK142</f>
        <v>2.3010376398779142</v>
      </c>
      <c r="W159" s="6" t="s">
        <v>469</v>
      </c>
      <c r="X159" s="6" t="s">
        <v>469</v>
      </c>
      <c r="Y159" s="6" t="s">
        <v>469</v>
      </c>
      <c r="Z159" s="6" t="s">
        <v>469</v>
      </c>
      <c r="AA159" s="6" t="s">
        <v>469</v>
      </c>
      <c r="AB159">
        <v>12.125080451890675</v>
      </c>
      <c r="AC159">
        <f t="shared" si="23"/>
        <v>0.60625402259453376</v>
      </c>
    </row>
    <row r="160" spans="1:29">
      <c r="A160" s="6" t="s">
        <v>146</v>
      </c>
      <c r="B160" s="6" t="s">
        <v>198</v>
      </c>
      <c r="C160" t="s">
        <v>13</v>
      </c>
      <c r="D160" s="8">
        <v>4</v>
      </c>
      <c r="E160" s="3">
        <v>10</v>
      </c>
      <c r="G160" s="211" t="s">
        <v>525</v>
      </c>
      <c r="L160" s="211" t="s">
        <v>525</v>
      </c>
      <c r="T160" s="236" t="s">
        <v>525</v>
      </c>
      <c r="V160" s="214">
        <f>'Soil samples'!AK143</f>
        <v>21.694108013116661</v>
      </c>
      <c r="W160" s="6">
        <v>1.4</v>
      </c>
      <c r="X160">
        <f>IF(R160&gt;0,W160/(R160/6*100)*100,W160)</f>
        <v>1.4</v>
      </c>
      <c r="Y160">
        <f t="shared" si="21"/>
        <v>1.3999999999999999E-2</v>
      </c>
      <c r="Z160">
        <f t="shared" si="25"/>
        <v>3.0371751218363323E-3</v>
      </c>
      <c r="AA160" s="8">
        <f t="shared" si="24"/>
        <v>3.0371751218363325</v>
      </c>
      <c r="AB160">
        <f t="shared" si="22"/>
        <v>3.0371751218363325</v>
      </c>
      <c r="AC160">
        <f t="shared" si="23"/>
        <v>0.15185875609181665</v>
      </c>
    </row>
    <row r="161" spans="1:29">
      <c r="A161" s="136" t="s">
        <v>147</v>
      </c>
      <c r="B161" s="6" t="s">
        <v>198</v>
      </c>
      <c r="C161" t="s">
        <v>13</v>
      </c>
      <c r="D161" s="8">
        <v>5</v>
      </c>
      <c r="E161" s="3">
        <v>5</v>
      </c>
      <c r="H161" s="211" t="s">
        <v>525</v>
      </c>
      <c r="L161" s="211" t="s">
        <v>525</v>
      </c>
      <c r="O161" s="214" t="s">
        <v>525</v>
      </c>
      <c r="R161">
        <v>1</v>
      </c>
      <c r="S161" s="3">
        <v>5</v>
      </c>
      <c r="T161" s="236" t="s">
        <v>525</v>
      </c>
      <c r="V161" s="214">
        <f>'Soil samples'!AK144</f>
        <v>6.5691710786962121</v>
      </c>
      <c r="W161" s="6">
        <v>4.4000000000000004</v>
      </c>
      <c r="X161">
        <f>IF(R161&gt;0,W161/(R161/6*100)*100,W161)</f>
        <v>26.400000000000006</v>
      </c>
      <c r="Y161">
        <f t="shared" si="21"/>
        <v>0.26400000000000007</v>
      </c>
      <c r="Z161">
        <f t="shared" si="25"/>
        <v>1.7342611647758004E-2</v>
      </c>
      <c r="AA161" s="8">
        <f t="shared" si="24"/>
        <v>17.342611647758005</v>
      </c>
      <c r="AB161">
        <f t="shared" si="22"/>
        <v>17.342611647758005</v>
      </c>
      <c r="AC161">
        <f t="shared" si="23"/>
        <v>0.86713058238790031</v>
      </c>
    </row>
    <row r="162" spans="1:29">
      <c r="A162" s="136" t="s">
        <v>148</v>
      </c>
      <c r="B162" s="6" t="s">
        <v>198</v>
      </c>
      <c r="C162" t="s">
        <v>13</v>
      </c>
      <c r="D162" s="8">
        <v>5</v>
      </c>
      <c r="E162" s="3">
        <v>10</v>
      </c>
      <c r="H162" s="211" t="s">
        <v>525</v>
      </c>
      <c r="L162" s="211" t="s">
        <v>525</v>
      </c>
      <c r="O162" s="214" t="s">
        <v>525</v>
      </c>
      <c r="R162">
        <v>1</v>
      </c>
      <c r="S162" s="3">
        <v>5</v>
      </c>
      <c r="T162" s="236" t="s">
        <v>525</v>
      </c>
      <c r="V162" s="214">
        <f>'Soil samples'!AK145</f>
        <v>7.8297402711745132</v>
      </c>
      <c r="W162" s="6">
        <v>1.6</v>
      </c>
      <c r="X162">
        <f>IF(R162&gt;0,W162/(R162/6*100)*100,W162)</f>
        <v>9.6000000000000014</v>
      </c>
      <c r="Y162">
        <f t="shared" si="21"/>
        <v>9.6000000000000016E-2</v>
      </c>
      <c r="Z162">
        <f t="shared" si="25"/>
        <v>7.5165506603275334E-3</v>
      </c>
      <c r="AA162" s="8">
        <f t="shared" si="24"/>
        <v>7.5165506603275336</v>
      </c>
      <c r="AB162">
        <f t="shared" si="22"/>
        <v>7.5165506603275336</v>
      </c>
      <c r="AC162">
        <f t="shared" si="23"/>
        <v>0.37582753301637672</v>
      </c>
    </row>
    <row r="163" spans="1:29">
      <c r="A163" s="6" t="s">
        <v>149</v>
      </c>
      <c r="B163" s="6" t="s">
        <v>198</v>
      </c>
      <c r="C163" t="s">
        <v>13</v>
      </c>
      <c r="D163" s="8">
        <v>5</v>
      </c>
      <c r="E163" s="3">
        <v>20</v>
      </c>
      <c r="H163" s="211" t="s">
        <v>525</v>
      </c>
      <c r="L163" s="211" t="s">
        <v>525</v>
      </c>
      <c r="O163" s="214" t="s">
        <v>525</v>
      </c>
      <c r="R163">
        <v>1</v>
      </c>
      <c r="S163" s="3">
        <v>5</v>
      </c>
      <c r="T163" s="236" t="s">
        <v>525</v>
      </c>
      <c r="V163" s="214">
        <f>'Soil samples'!AK146</f>
        <v>8.8695699045901968</v>
      </c>
      <c r="W163" s="6">
        <v>1.2</v>
      </c>
      <c r="X163">
        <f>IF(R163&gt;0,W163/(R163/6*100)*100,W163)</f>
        <v>7.2000000000000011</v>
      </c>
      <c r="Y163">
        <f t="shared" si="21"/>
        <v>7.2000000000000008E-2</v>
      </c>
      <c r="Z163">
        <f t="shared" si="25"/>
        <v>6.3860903313049423E-3</v>
      </c>
      <c r="AA163" s="8">
        <f t="shared" si="24"/>
        <v>6.386090331304942</v>
      </c>
      <c r="AB163">
        <f t="shared" si="22"/>
        <v>6.386090331304942</v>
      </c>
      <c r="AC163">
        <f t="shared" si="23"/>
        <v>0.31930451656524711</v>
      </c>
    </row>
    <row r="164" spans="1:29">
      <c r="A164" s="6" t="s">
        <v>150</v>
      </c>
      <c r="B164" s="6" t="s">
        <v>198</v>
      </c>
      <c r="C164" t="s">
        <v>13</v>
      </c>
      <c r="D164" s="8">
        <v>5</v>
      </c>
      <c r="E164" s="3">
        <v>30</v>
      </c>
      <c r="G164" s="211" t="s">
        <v>525</v>
      </c>
      <c r="L164" s="211" t="s">
        <v>525</v>
      </c>
      <c r="T164" s="236" t="s">
        <v>525</v>
      </c>
      <c r="V164" s="214">
        <f>'Soil samples'!AK147</f>
        <v>23.142975789816521</v>
      </c>
      <c r="W164" s="6">
        <v>1.1000000000000001</v>
      </c>
      <c r="X164">
        <f>IF(R164&gt;0,W164/(R164/6*100)*100,W164)</f>
        <v>1.1000000000000001</v>
      </c>
      <c r="Y164">
        <f t="shared" si="21"/>
        <v>1.1000000000000001E-2</v>
      </c>
      <c r="Z164">
        <f t="shared" si="25"/>
        <v>2.5457273368798177E-3</v>
      </c>
      <c r="AA164" s="8">
        <f t="shared" si="24"/>
        <v>2.5457273368798177</v>
      </c>
      <c r="AB164">
        <f t="shared" si="22"/>
        <v>2.5457273368798177</v>
      </c>
      <c r="AC164">
        <f t="shared" si="23"/>
        <v>0.12728636684399089</v>
      </c>
    </row>
    <row r="165" spans="1:29">
      <c r="A165" s="6" t="s">
        <v>151</v>
      </c>
      <c r="B165" s="6" t="s">
        <v>198</v>
      </c>
      <c r="C165" t="s">
        <v>13</v>
      </c>
      <c r="D165" s="8">
        <v>6</v>
      </c>
      <c r="E165" s="3">
        <v>5</v>
      </c>
      <c r="I165" s="211" t="s">
        <v>525</v>
      </c>
      <c r="P165" s="211" t="s">
        <v>525</v>
      </c>
      <c r="V165" s="214">
        <f>'Soil samples'!AK148</f>
        <v>9.0808338334733776</v>
      </c>
      <c r="W165" s="6" t="s">
        <v>469</v>
      </c>
      <c r="X165" s="6" t="s">
        <v>469</v>
      </c>
      <c r="Y165" s="6" t="s">
        <v>469</v>
      </c>
      <c r="Z165" s="6" t="s">
        <v>469</v>
      </c>
      <c r="AA165" s="6" t="s">
        <v>469</v>
      </c>
      <c r="AB165">
        <v>12.125080451890675</v>
      </c>
      <c r="AC165">
        <f t="shared" si="23"/>
        <v>0.60625402259453376</v>
      </c>
    </row>
    <row r="166" spans="1:29">
      <c r="A166" s="6" t="s">
        <v>152</v>
      </c>
      <c r="B166" s="6" t="s">
        <v>198</v>
      </c>
      <c r="C166" t="s">
        <v>13</v>
      </c>
      <c r="D166" s="8">
        <v>6</v>
      </c>
      <c r="E166" s="3">
        <v>10</v>
      </c>
      <c r="G166" s="211" t="s">
        <v>525</v>
      </c>
      <c r="K166" s="3" t="s">
        <v>525</v>
      </c>
      <c r="L166" s="211" t="s">
        <v>525</v>
      </c>
      <c r="R166">
        <v>2</v>
      </c>
      <c r="S166" s="3">
        <v>4</v>
      </c>
      <c r="T166" s="236" t="s">
        <v>525</v>
      </c>
      <c r="V166" s="214">
        <f>'Soil samples'!AK149</f>
        <v>12.164613908872916</v>
      </c>
      <c r="W166" s="6">
        <v>3.6</v>
      </c>
      <c r="X166">
        <f t="shared" ref="X166:X171" si="27">IF(R166&gt;0,W166/(R166/6*100)*100,W166)</f>
        <v>10.8</v>
      </c>
      <c r="Y166">
        <f t="shared" si="21"/>
        <v>0.10800000000000001</v>
      </c>
      <c r="Z166">
        <f t="shared" si="25"/>
        <v>1.313778302158275E-2</v>
      </c>
      <c r="AA166" s="8">
        <f t="shared" si="24"/>
        <v>13.137783021582749</v>
      </c>
      <c r="AB166">
        <f t="shared" si="22"/>
        <v>13.137783021582749</v>
      </c>
      <c r="AC166">
        <f t="shared" si="23"/>
        <v>0.65688915107913748</v>
      </c>
    </row>
    <row r="167" spans="1:29">
      <c r="A167" s="7" t="s">
        <v>153</v>
      </c>
      <c r="B167" s="7" t="s">
        <v>198</v>
      </c>
      <c r="C167" s="4" t="s">
        <v>13</v>
      </c>
      <c r="D167" s="4">
        <v>6</v>
      </c>
      <c r="E167" s="5">
        <v>20</v>
      </c>
      <c r="G167" s="211" t="s">
        <v>525</v>
      </c>
      <c r="L167" s="211" t="s">
        <v>525</v>
      </c>
      <c r="R167">
        <v>3</v>
      </c>
      <c r="S167" s="3">
        <v>3</v>
      </c>
      <c r="T167" s="236" t="s">
        <v>525</v>
      </c>
      <c r="V167" s="214">
        <f>'Soil samples'!AK150</f>
        <v>12.999752295030072</v>
      </c>
      <c r="W167" s="6">
        <v>4.2</v>
      </c>
      <c r="X167">
        <f t="shared" si="27"/>
        <v>8.4</v>
      </c>
      <c r="Y167">
        <f t="shared" si="21"/>
        <v>8.4000000000000005E-2</v>
      </c>
      <c r="Z167">
        <f t="shared" si="25"/>
        <v>1.0919791927825263E-2</v>
      </c>
      <c r="AA167" s="8">
        <f t="shared" si="24"/>
        <v>10.919791927825264</v>
      </c>
      <c r="AB167">
        <f t="shared" si="22"/>
        <v>10.919791927825264</v>
      </c>
      <c r="AC167">
        <f t="shared" si="23"/>
        <v>0.54598959639126321</v>
      </c>
    </row>
    <row r="168" spans="1:29">
      <c r="A168" s="206" t="s">
        <v>154</v>
      </c>
      <c r="B168" s="6" t="s">
        <v>548</v>
      </c>
      <c r="C168" t="s">
        <v>12</v>
      </c>
      <c r="D168" s="8">
        <v>1</v>
      </c>
      <c r="E168" s="3">
        <v>5</v>
      </c>
      <c r="H168" s="211" t="s">
        <v>525</v>
      </c>
      <c r="L168" s="211" t="s">
        <v>525</v>
      </c>
      <c r="O168" s="214" t="s">
        <v>525</v>
      </c>
      <c r="R168">
        <v>4</v>
      </c>
      <c r="S168" s="3">
        <v>2</v>
      </c>
      <c r="T168" s="236" t="s">
        <v>525</v>
      </c>
      <c r="V168" s="214">
        <f>'Soil samples 2017'!AJ43</f>
        <v>6.9151820008035338</v>
      </c>
      <c r="W168" s="6">
        <v>26</v>
      </c>
      <c r="X168">
        <f t="shared" si="27"/>
        <v>39.000000000000007</v>
      </c>
      <c r="Y168">
        <f t="shared" si="21"/>
        <v>0.39000000000000007</v>
      </c>
      <c r="Z168">
        <f t="shared" si="25"/>
        <v>2.6969209803133786E-2</v>
      </c>
      <c r="AA168" s="8">
        <f t="shared" si="24"/>
        <v>26.969209803133786</v>
      </c>
      <c r="AB168">
        <f t="shared" si="22"/>
        <v>26.969209803133786</v>
      </c>
      <c r="AC168">
        <f t="shared" si="23"/>
        <v>1.3484604901566895</v>
      </c>
    </row>
    <row r="169" spans="1:29">
      <c r="A169" s="6" t="s">
        <v>155</v>
      </c>
      <c r="B169" s="6" t="s">
        <v>548</v>
      </c>
      <c r="C169" t="s">
        <v>12</v>
      </c>
      <c r="D169" s="8">
        <v>1</v>
      </c>
      <c r="E169" s="3">
        <v>10</v>
      </c>
      <c r="G169" s="211" t="s">
        <v>525</v>
      </c>
      <c r="M169" s="211" t="s">
        <v>525</v>
      </c>
      <c r="T169" s="236" t="s">
        <v>525</v>
      </c>
      <c r="V169" s="214">
        <f>'Soil samples'!AK152</f>
        <v>31.412662583209507</v>
      </c>
      <c r="W169" s="6">
        <v>21</v>
      </c>
      <c r="X169">
        <f t="shared" si="27"/>
        <v>21</v>
      </c>
      <c r="Y169">
        <f t="shared" si="21"/>
        <v>0.21</v>
      </c>
      <c r="Z169">
        <f t="shared" si="25"/>
        <v>6.5966591424739957E-2</v>
      </c>
      <c r="AA169" s="8">
        <f t="shared" si="24"/>
        <v>65.96659142473996</v>
      </c>
      <c r="AB169">
        <f t="shared" si="22"/>
        <v>65.96659142473996</v>
      </c>
      <c r="AC169">
        <f t="shared" si="23"/>
        <v>3.298329571236998</v>
      </c>
    </row>
    <row r="170" spans="1:29">
      <c r="A170" s="6" t="s">
        <v>156</v>
      </c>
      <c r="B170" s="6" t="s">
        <v>548</v>
      </c>
      <c r="C170" t="s">
        <v>12</v>
      </c>
      <c r="D170" s="8">
        <v>1</v>
      </c>
      <c r="E170" s="3">
        <v>20</v>
      </c>
      <c r="G170" s="211" t="s">
        <v>525</v>
      </c>
      <c r="M170" s="211" t="s">
        <v>525</v>
      </c>
      <c r="T170" s="236" t="s">
        <v>525</v>
      </c>
      <c r="V170" s="214">
        <f>'Soil samples'!AK153</f>
        <v>38.779355441964846</v>
      </c>
      <c r="W170" s="6">
        <v>19</v>
      </c>
      <c r="X170">
        <f t="shared" si="27"/>
        <v>19</v>
      </c>
      <c r="Y170">
        <f t="shared" si="21"/>
        <v>0.19</v>
      </c>
      <c r="Z170">
        <f t="shared" si="25"/>
        <v>7.3680775339733218E-2</v>
      </c>
      <c r="AA170" s="8">
        <f t="shared" si="24"/>
        <v>73.680775339733216</v>
      </c>
      <c r="AB170">
        <f t="shared" si="22"/>
        <v>73.680775339733216</v>
      </c>
      <c r="AC170">
        <f t="shared" si="23"/>
        <v>3.684038766986661</v>
      </c>
    </row>
    <row r="171" spans="1:29">
      <c r="A171" s="6" t="s">
        <v>157</v>
      </c>
      <c r="B171" s="6" t="s">
        <v>548</v>
      </c>
      <c r="C171" t="s">
        <v>12</v>
      </c>
      <c r="D171" s="8">
        <v>1</v>
      </c>
      <c r="E171" s="3">
        <v>30</v>
      </c>
      <c r="G171" s="211" t="s">
        <v>525</v>
      </c>
      <c r="M171" s="211" t="s">
        <v>525</v>
      </c>
      <c r="T171" s="236" t="s">
        <v>525</v>
      </c>
      <c r="V171" s="214">
        <f>'Soil samples'!AK154</f>
        <v>45.60152443723922</v>
      </c>
      <c r="W171" s="6">
        <v>32</v>
      </c>
      <c r="X171">
        <f t="shared" si="27"/>
        <v>32</v>
      </c>
      <c r="Y171">
        <f t="shared" si="21"/>
        <v>0.32</v>
      </c>
      <c r="Z171">
        <f t="shared" si="25"/>
        <v>0.1459248781991655</v>
      </c>
      <c r="AA171" s="8">
        <f t="shared" si="24"/>
        <v>145.92487819916548</v>
      </c>
      <c r="AB171">
        <f t="shared" si="22"/>
        <v>145.92487819916548</v>
      </c>
      <c r="AC171">
        <f t="shared" si="23"/>
        <v>7.2962439099582745</v>
      </c>
    </row>
    <row r="172" spans="1:29">
      <c r="A172" s="206" t="s">
        <v>158</v>
      </c>
      <c r="B172" s="6" t="s">
        <v>548</v>
      </c>
      <c r="C172" t="s">
        <v>12</v>
      </c>
      <c r="D172" s="8">
        <v>2</v>
      </c>
      <c r="E172" s="3">
        <v>5</v>
      </c>
      <c r="I172" s="211" t="s">
        <v>525</v>
      </c>
      <c r="P172" s="211" t="s">
        <v>525</v>
      </c>
      <c r="V172" s="214">
        <f>'Soil samples 2017'!AJ44</f>
        <v>0</v>
      </c>
      <c r="W172" s="6" t="s">
        <v>469</v>
      </c>
      <c r="X172" s="6" t="s">
        <v>469</v>
      </c>
      <c r="Y172" s="6" t="s">
        <v>469</v>
      </c>
      <c r="Z172" s="6" t="s">
        <v>469</v>
      </c>
      <c r="AA172" s="6" t="s">
        <v>469</v>
      </c>
      <c r="AB172">
        <f>AH18</f>
        <v>14.782676337444959</v>
      </c>
      <c r="AC172">
        <f t="shared" si="23"/>
        <v>0.739133816872248</v>
      </c>
    </row>
    <row r="173" spans="1:29">
      <c r="A173" s="6" t="s">
        <v>159</v>
      </c>
      <c r="B173" s="6" t="s">
        <v>548</v>
      </c>
      <c r="C173" t="s">
        <v>12</v>
      </c>
      <c r="D173" s="8">
        <v>2</v>
      </c>
      <c r="E173" s="3">
        <v>10</v>
      </c>
      <c r="G173" s="211" t="s">
        <v>525</v>
      </c>
      <c r="M173" s="211" t="s">
        <v>525</v>
      </c>
      <c r="T173" s="236" t="s">
        <v>525</v>
      </c>
      <c r="V173" s="214">
        <f>'Soil samples'!AK156</f>
        <v>36.698417512130561</v>
      </c>
      <c r="W173" s="6">
        <v>24</v>
      </c>
      <c r="X173">
        <f t="shared" ref="X173:X209" si="28">IF(R173&gt;0,W173/(R173/6*100)*100,W173)</f>
        <v>24</v>
      </c>
      <c r="Y173">
        <f t="shared" si="21"/>
        <v>0.24</v>
      </c>
      <c r="Z173">
        <f t="shared" si="25"/>
        <v>8.8076202029113343E-2</v>
      </c>
      <c r="AA173" s="8">
        <f t="shared" si="24"/>
        <v>88.076202029113333</v>
      </c>
      <c r="AB173">
        <f t="shared" si="22"/>
        <v>88.076202029113333</v>
      </c>
      <c r="AC173">
        <f t="shared" si="23"/>
        <v>4.403810101455667</v>
      </c>
    </row>
    <row r="174" spans="1:29">
      <c r="A174" s="6" t="s">
        <v>160</v>
      </c>
      <c r="B174" s="6" t="s">
        <v>548</v>
      </c>
      <c r="C174" t="s">
        <v>12</v>
      </c>
      <c r="D174" s="8">
        <v>2</v>
      </c>
      <c r="E174" s="3">
        <v>20</v>
      </c>
      <c r="G174" s="211" t="s">
        <v>525</v>
      </c>
      <c r="M174" s="211" t="s">
        <v>525</v>
      </c>
      <c r="T174" s="236" t="s">
        <v>525</v>
      </c>
      <c r="V174" s="214">
        <f>'Soil samples'!AK157</f>
        <v>37.988640509147054</v>
      </c>
      <c r="W174" s="6">
        <v>20</v>
      </c>
      <c r="X174">
        <f t="shared" si="28"/>
        <v>20</v>
      </c>
      <c r="Y174">
        <f t="shared" si="21"/>
        <v>0.2</v>
      </c>
      <c r="Z174">
        <f t="shared" si="25"/>
        <v>7.597728101829411E-2</v>
      </c>
      <c r="AA174" s="8">
        <f t="shared" si="24"/>
        <v>75.977281018294107</v>
      </c>
      <c r="AB174">
        <f t="shared" si="22"/>
        <v>75.977281018294107</v>
      </c>
      <c r="AC174">
        <f t="shared" si="23"/>
        <v>3.7988640509147054</v>
      </c>
    </row>
    <row r="175" spans="1:29">
      <c r="A175" s="6" t="s">
        <v>161</v>
      </c>
      <c r="B175" s="6" t="s">
        <v>548</v>
      </c>
      <c r="C175" t="s">
        <v>12</v>
      </c>
      <c r="D175" s="8">
        <v>2</v>
      </c>
      <c r="E175" s="3">
        <v>30</v>
      </c>
      <c r="G175" s="211" t="s">
        <v>525</v>
      </c>
      <c r="M175" s="211" t="s">
        <v>525</v>
      </c>
      <c r="T175" s="236" t="s">
        <v>525</v>
      </c>
      <c r="V175" s="214">
        <f>'Soil samples'!AK158</f>
        <v>42.510893889709365</v>
      </c>
      <c r="W175" s="6">
        <v>29</v>
      </c>
      <c r="X175">
        <f t="shared" si="28"/>
        <v>29</v>
      </c>
      <c r="Y175">
        <f t="shared" si="21"/>
        <v>0.28999999999999998</v>
      </c>
      <c r="Z175">
        <f t="shared" si="25"/>
        <v>0.12328159228015714</v>
      </c>
      <c r="AA175" s="8">
        <f t="shared" si="24"/>
        <v>123.28159228015714</v>
      </c>
      <c r="AB175">
        <f t="shared" si="22"/>
        <v>123.28159228015714</v>
      </c>
      <c r="AC175">
        <f t="shared" si="23"/>
        <v>6.1640796140078571</v>
      </c>
    </row>
    <row r="176" spans="1:29">
      <c r="A176" s="206" t="s">
        <v>162</v>
      </c>
      <c r="B176" s="6" t="s">
        <v>548</v>
      </c>
      <c r="C176" t="s">
        <v>12</v>
      </c>
      <c r="D176" s="8">
        <v>3</v>
      </c>
      <c r="E176" s="3">
        <v>5</v>
      </c>
      <c r="I176" s="211" t="s">
        <v>525</v>
      </c>
      <c r="K176" s="3" t="s">
        <v>525</v>
      </c>
      <c r="L176" s="211" t="s">
        <v>525</v>
      </c>
      <c r="O176" s="214" t="s">
        <v>525</v>
      </c>
      <c r="R176">
        <v>2</v>
      </c>
      <c r="S176" s="3">
        <v>4</v>
      </c>
      <c r="T176" s="236" t="s">
        <v>525</v>
      </c>
      <c r="V176" s="214">
        <f>'Soil samples 2017'!AJ45</f>
        <v>1.5425263157894737</v>
      </c>
      <c r="W176" s="6">
        <v>6.6</v>
      </c>
      <c r="X176">
        <f t="shared" si="28"/>
        <v>19.8</v>
      </c>
      <c r="Y176">
        <f t="shared" si="21"/>
        <v>0.19800000000000001</v>
      </c>
      <c r="Z176">
        <f t="shared" si="25"/>
        <v>3.0542021052631578E-3</v>
      </c>
      <c r="AA176" s="8">
        <f t="shared" si="24"/>
        <v>3.0542021052631574</v>
      </c>
      <c r="AB176">
        <f t="shared" si="22"/>
        <v>3.0542021052631574</v>
      </c>
      <c r="AC176">
        <f t="shared" si="23"/>
        <v>0.15271010526315787</v>
      </c>
    </row>
    <row r="177" spans="1:29">
      <c r="A177" s="206" t="s">
        <v>163</v>
      </c>
      <c r="B177" s="6" t="s">
        <v>548</v>
      </c>
      <c r="C177" t="s">
        <v>12</v>
      </c>
      <c r="D177" s="8">
        <v>3</v>
      </c>
      <c r="E177" s="3">
        <v>10</v>
      </c>
      <c r="I177" s="211" t="s">
        <v>525</v>
      </c>
      <c r="K177" s="3" t="s">
        <v>525</v>
      </c>
      <c r="L177" s="211" t="s">
        <v>525</v>
      </c>
      <c r="O177" s="214" t="s">
        <v>525</v>
      </c>
      <c r="R177">
        <v>1</v>
      </c>
      <c r="S177" s="3">
        <v>5</v>
      </c>
      <c r="T177" s="236" t="s">
        <v>525</v>
      </c>
      <c r="V177" s="214">
        <f>'Soil samples 2017'!AJ46</f>
        <v>0.6146131990649164</v>
      </c>
      <c r="W177" s="6">
        <v>5.2</v>
      </c>
      <c r="X177">
        <f t="shared" si="28"/>
        <v>31.200000000000006</v>
      </c>
      <c r="Y177">
        <f t="shared" si="21"/>
        <v>0.31200000000000006</v>
      </c>
      <c r="Z177">
        <f t="shared" si="25"/>
        <v>1.9175931810825394E-3</v>
      </c>
      <c r="AA177" s="8">
        <f t="shared" si="24"/>
        <v>1.9175931810825393</v>
      </c>
      <c r="AB177">
        <f t="shared" si="22"/>
        <v>1.9175931810825393</v>
      </c>
      <c r="AC177">
        <f t="shared" si="23"/>
        <v>9.5879659054126973E-2</v>
      </c>
    </row>
    <row r="178" spans="1:29">
      <c r="A178" s="6" t="s">
        <v>164</v>
      </c>
      <c r="B178" s="6" t="s">
        <v>548</v>
      </c>
      <c r="C178" t="s">
        <v>12</v>
      </c>
      <c r="D178" s="8">
        <v>3</v>
      </c>
      <c r="E178" s="3">
        <v>20</v>
      </c>
      <c r="G178" s="211" t="s">
        <v>525</v>
      </c>
      <c r="M178" s="211" t="s">
        <v>525</v>
      </c>
      <c r="T178" s="236" t="s">
        <v>525</v>
      </c>
      <c r="V178" s="214">
        <f>'Soil samples'!AK161</f>
        <v>38.42386165456594</v>
      </c>
      <c r="W178" s="6">
        <v>16</v>
      </c>
      <c r="X178">
        <f t="shared" si="28"/>
        <v>16</v>
      </c>
      <c r="Y178">
        <f t="shared" si="21"/>
        <v>0.16</v>
      </c>
      <c r="Z178">
        <f t="shared" si="25"/>
        <v>6.1478178647305502E-2</v>
      </c>
      <c r="AA178" s="8">
        <f t="shared" si="24"/>
        <v>61.478178647305505</v>
      </c>
      <c r="AB178">
        <f t="shared" si="22"/>
        <v>61.478178647305505</v>
      </c>
      <c r="AC178">
        <f t="shared" si="23"/>
        <v>3.0739089323652755</v>
      </c>
    </row>
    <row r="179" spans="1:29">
      <c r="A179" s="6" t="s">
        <v>165</v>
      </c>
      <c r="B179" s="6" t="s">
        <v>548</v>
      </c>
      <c r="C179" s="59" t="s">
        <v>12</v>
      </c>
      <c r="D179" s="6">
        <v>3</v>
      </c>
      <c r="E179" s="11">
        <v>30</v>
      </c>
      <c r="G179" s="211" t="s">
        <v>525</v>
      </c>
      <c r="M179" s="211" t="s">
        <v>525</v>
      </c>
      <c r="T179" s="236" t="s">
        <v>525</v>
      </c>
      <c r="V179" s="214">
        <f>'Soil samples'!AK162</f>
        <v>47.34671125185114</v>
      </c>
      <c r="W179" s="6">
        <v>15</v>
      </c>
      <c r="X179">
        <f t="shared" si="28"/>
        <v>15</v>
      </c>
      <c r="Y179">
        <f t="shared" si="21"/>
        <v>0.15</v>
      </c>
      <c r="Z179">
        <f t="shared" si="25"/>
        <v>7.1020066877776705E-2</v>
      </c>
      <c r="AA179" s="8">
        <f t="shared" si="24"/>
        <v>71.020066877776699</v>
      </c>
      <c r="AB179">
        <f t="shared" si="22"/>
        <v>71.020066877776699</v>
      </c>
      <c r="AC179">
        <f t="shared" si="23"/>
        <v>3.5510033438888353</v>
      </c>
    </row>
    <row r="180" spans="1:29">
      <c r="A180" s="6" t="s">
        <v>166</v>
      </c>
      <c r="B180" s="6" t="s">
        <v>548</v>
      </c>
      <c r="C180" s="59" t="s">
        <v>12</v>
      </c>
      <c r="D180" s="6">
        <v>4</v>
      </c>
      <c r="E180" s="11">
        <v>5</v>
      </c>
      <c r="H180" s="211" t="s">
        <v>525</v>
      </c>
      <c r="L180" s="211" t="s">
        <v>525</v>
      </c>
      <c r="O180" s="214" t="s">
        <v>525</v>
      </c>
      <c r="R180">
        <v>1</v>
      </c>
      <c r="S180" s="3">
        <v>5</v>
      </c>
      <c r="T180" s="236" t="s">
        <v>525</v>
      </c>
      <c r="V180" s="214">
        <f>'Soil samples'!AK163</f>
        <v>15.667986577181182</v>
      </c>
      <c r="W180" s="6">
        <v>4.0999999999999996</v>
      </c>
      <c r="X180">
        <f t="shared" si="28"/>
        <v>24.6</v>
      </c>
      <c r="Y180">
        <f t="shared" si="21"/>
        <v>0.24600000000000002</v>
      </c>
      <c r="Z180">
        <f t="shared" si="25"/>
        <v>3.8543246979865713E-2</v>
      </c>
      <c r="AA180" s="8">
        <f t="shared" si="24"/>
        <v>38.543246979865714</v>
      </c>
      <c r="AB180">
        <f t="shared" si="22"/>
        <v>38.543246979865714</v>
      </c>
      <c r="AC180">
        <f t="shared" si="23"/>
        <v>1.9271623489932859</v>
      </c>
    </row>
    <row r="181" spans="1:29">
      <c r="A181" s="6" t="s">
        <v>167</v>
      </c>
      <c r="B181" s="6" t="s">
        <v>548</v>
      </c>
      <c r="C181" s="59" t="s">
        <v>12</v>
      </c>
      <c r="D181" s="6">
        <v>4</v>
      </c>
      <c r="E181" s="11">
        <v>10</v>
      </c>
      <c r="G181" s="211" t="s">
        <v>525</v>
      </c>
      <c r="L181" s="211" t="s">
        <v>525</v>
      </c>
      <c r="T181" s="236" t="s">
        <v>525</v>
      </c>
      <c r="V181" s="214">
        <f>'Soil samples'!AK164</f>
        <v>23.321316249663692</v>
      </c>
      <c r="W181" s="6">
        <v>12</v>
      </c>
      <c r="X181">
        <f t="shared" si="28"/>
        <v>12</v>
      </c>
      <c r="Y181">
        <f t="shared" si="21"/>
        <v>0.12</v>
      </c>
      <c r="Z181">
        <f t="shared" si="25"/>
        <v>2.798557949959643E-2</v>
      </c>
      <c r="AA181" s="8">
        <f t="shared" si="24"/>
        <v>27.985579499596433</v>
      </c>
      <c r="AB181">
        <f t="shared" si="22"/>
        <v>27.985579499596433</v>
      </c>
      <c r="AC181">
        <f t="shared" si="23"/>
        <v>1.3992789749798218</v>
      </c>
    </row>
    <row r="182" spans="1:29">
      <c r="A182" s="6" t="s">
        <v>168</v>
      </c>
      <c r="B182" s="6" t="s">
        <v>548</v>
      </c>
      <c r="C182" t="s">
        <v>12</v>
      </c>
      <c r="D182" s="8">
        <v>4</v>
      </c>
      <c r="E182" s="3">
        <v>20</v>
      </c>
      <c r="G182" s="211" t="s">
        <v>525</v>
      </c>
      <c r="M182" s="211" t="s">
        <v>525</v>
      </c>
      <c r="T182" s="236" t="s">
        <v>525</v>
      </c>
      <c r="V182" s="214">
        <f>'Soil samples'!AK165</f>
        <v>32.809467496819977</v>
      </c>
      <c r="W182" s="6">
        <v>17</v>
      </c>
      <c r="X182">
        <f t="shared" si="28"/>
        <v>17</v>
      </c>
      <c r="Y182">
        <f t="shared" si="21"/>
        <v>0.17</v>
      </c>
      <c r="Z182">
        <f t="shared" si="25"/>
        <v>5.5776094744593961E-2</v>
      </c>
      <c r="AA182" s="8">
        <f t="shared" si="24"/>
        <v>55.776094744593962</v>
      </c>
      <c r="AB182">
        <f t="shared" si="22"/>
        <v>55.776094744593962</v>
      </c>
      <c r="AC182">
        <f t="shared" si="23"/>
        <v>2.7888047372296985</v>
      </c>
    </row>
    <row r="183" spans="1:29">
      <c r="A183" s="6" t="s">
        <v>169</v>
      </c>
      <c r="B183" s="6" t="s">
        <v>548</v>
      </c>
      <c r="C183" t="s">
        <v>12</v>
      </c>
      <c r="D183" s="8">
        <v>4</v>
      </c>
      <c r="E183" s="3">
        <v>30</v>
      </c>
      <c r="G183" s="211" t="s">
        <v>525</v>
      </c>
      <c r="M183" s="211" t="s">
        <v>525</v>
      </c>
      <c r="T183" s="236" t="s">
        <v>525</v>
      </c>
      <c r="V183" s="214">
        <f>'Soil samples'!AK166</f>
        <v>43.075465254798146</v>
      </c>
      <c r="W183" s="6">
        <v>23</v>
      </c>
      <c r="X183">
        <f t="shared" si="28"/>
        <v>23</v>
      </c>
      <c r="Y183">
        <f t="shared" si="21"/>
        <v>0.23</v>
      </c>
      <c r="Z183">
        <f t="shared" si="25"/>
        <v>9.9073570086035734E-2</v>
      </c>
      <c r="AA183" s="8">
        <f t="shared" si="24"/>
        <v>99.07357008603573</v>
      </c>
      <c r="AB183">
        <f t="shared" si="22"/>
        <v>99.07357008603573</v>
      </c>
      <c r="AC183">
        <f t="shared" si="23"/>
        <v>4.953678504301787</v>
      </c>
    </row>
    <row r="184" spans="1:29">
      <c r="A184" s="206" t="s">
        <v>170</v>
      </c>
      <c r="B184" s="6" t="s">
        <v>548</v>
      </c>
      <c r="C184" t="s">
        <v>12</v>
      </c>
      <c r="D184" s="8">
        <v>5</v>
      </c>
      <c r="E184" s="3">
        <v>5</v>
      </c>
      <c r="H184" s="211" t="s">
        <v>525</v>
      </c>
      <c r="K184" s="3" t="s">
        <v>525</v>
      </c>
      <c r="L184" s="211" t="s">
        <v>525</v>
      </c>
      <c r="O184" s="214" t="s">
        <v>525</v>
      </c>
      <c r="R184">
        <v>3</v>
      </c>
      <c r="S184" s="3">
        <v>3</v>
      </c>
      <c r="T184" s="236" t="s">
        <v>525</v>
      </c>
      <c r="V184" s="214">
        <f>'Soil samples 2017'!AJ47</f>
        <v>1.5573727422003283</v>
      </c>
      <c r="W184" s="6">
        <v>9.1</v>
      </c>
      <c r="X184">
        <f t="shared" si="28"/>
        <v>18.2</v>
      </c>
      <c r="Y184">
        <f t="shared" si="21"/>
        <v>0.182</v>
      </c>
      <c r="Z184">
        <f t="shared" si="25"/>
        <v>2.834418390804597E-3</v>
      </c>
      <c r="AA184" s="8">
        <f t="shared" si="24"/>
        <v>2.834418390804597</v>
      </c>
      <c r="AB184">
        <f t="shared" si="22"/>
        <v>2.834418390804597</v>
      </c>
      <c r="AC184">
        <f t="shared" si="23"/>
        <v>0.14172091954022986</v>
      </c>
    </row>
    <row r="185" spans="1:29">
      <c r="A185" s="6" t="s">
        <v>171</v>
      </c>
      <c r="B185" s="6" t="s">
        <v>548</v>
      </c>
      <c r="C185" t="s">
        <v>12</v>
      </c>
      <c r="D185" s="8">
        <v>5</v>
      </c>
      <c r="E185" s="3">
        <v>10</v>
      </c>
      <c r="G185" s="211" t="s">
        <v>525</v>
      </c>
      <c r="M185" s="211" t="s">
        <v>525</v>
      </c>
      <c r="T185" s="236" t="s">
        <v>525</v>
      </c>
      <c r="V185" s="214">
        <f>'Soil samples'!AK168</f>
        <v>41.911393523061818</v>
      </c>
      <c r="W185" s="6">
        <v>17</v>
      </c>
      <c r="X185">
        <f t="shared" si="28"/>
        <v>17</v>
      </c>
      <c r="Y185">
        <f t="shared" si="21"/>
        <v>0.17</v>
      </c>
      <c r="Z185">
        <f t="shared" si="25"/>
        <v>7.12493689892051E-2</v>
      </c>
      <c r="AA185" s="8">
        <f t="shared" si="24"/>
        <v>71.249368989205109</v>
      </c>
      <c r="AB185">
        <f t="shared" si="22"/>
        <v>71.249368989205109</v>
      </c>
      <c r="AC185">
        <f t="shared" si="23"/>
        <v>3.5624684494602556</v>
      </c>
    </row>
    <row r="186" spans="1:29">
      <c r="A186" s="6" t="s">
        <v>172</v>
      </c>
      <c r="B186" s="6" t="s">
        <v>548</v>
      </c>
      <c r="C186" t="s">
        <v>12</v>
      </c>
      <c r="D186" s="8">
        <v>5</v>
      </c>
      <c r="E186" s="3">
        <v>20</v>
      </c>
      <c r="G186" s="211" t="s">
        <v>525</v>
      </c>
      <c r="M186" s="211" t="s">
        <v>525</v>
      </c>
      <c r="T186" s="236" t="s">
        <v>525</v>
      </c>
      <c r="V186" s="214">
        <f>'Soil samples'!AK169</f>
        <v>36.148550724637687</v>
      </c>
      <c r="W186" s="6">
        <v>17</v>
      </c>
      <c r="X186">
        <f t="shared" si="28"/>
        <v>17</v>
      </c>
      <c r="Y186">
        <f t="shared" si="21"/>
        <v>0.17</v>
      </c>
      <c r="Z186">
        <f t="shared" si="25"/>
        <v>6.145253623188407E-2</v>
      </c>
      <c r="AA186" s="8">
        <f t="shared" si="24"/>
        <v>61.452536231884068</v>
      </c>
      <c r="AB186">
        <f t="shared" si="22"/>
        <v>61.452536231884068</v>
      </c>
      <c r="AC186">
        <f t="shared" si="23"/>
        <v>3.0726268115942035</v>
      </c>
    </row>
    <row r="187" spans="1:29">
      <c r="A187" s="6" t="s">
        <v>173</v>
      </c>
      <c r="B187" s="6" t="s">
        <v>548</v>
      </c>
      <c r="C187" t="s">
        <v>12</v>
      </c>
      <c r="D187" s="8">
        <v>5</v>
      </c>
      <c r="E187" s="3">
        <v>30</v>
      </c>
      <c r="G187" s="211" t="s">
        <v>525</v>
      </c>
      <c r="M187" s="211" t="s">
        <v>525</v>
      </c>
      <c r="T187" s="236" t="s">
        <v>525</v>
      </c>
      <c r="V187" s="214">
        <f>'Soil samples'!AK170</f>
        <v>38.500459815124643</v>
      </c>
      <c r="W187" s="6">
        <v>19</v>
      </c>
      <c r="X187">
        <f t="shared" si="28"/>
        <v>19</v>
      </c>
      <c r="Y187">
        <f t="shared" si="21"/>
        <v>0.19</v>
      </c>
      <c r="Z187">
        <f t="shared" si="25"/>
        <v>7.3150873648736819E-2</v>
      </c>
      <c r="AA187" s="8">
        <f t="shared" si="24"/>
        <v>73.15087364873682</v>
      </c>
      <c r="AB187">
        <f t="shared" si="22"/>
        <v>73.15087364873682</v>
      </c>
      <c r="AC187">
        <f t="shared" si="23"/>
        <v>3.6575436824368412</v>
      </c>
    </row>
    <row r="188" spans="1:29">
      <c r="A188" s="206" t="s">
        <v>174</v>
      </c>
      <c r="B188" s="6" t="s">
        <v>548</v>
      </c>
      <c r="C188" t="s">
        <v>12</v>
      </c>
      <c r="D188" s="8">
        <v>6</v>
      </c>
      <c r="E188" s="3">
        <v>5</v>
      </c>
      <c r="I188" s="211" t="s">
        <v>525</v>
      </c>
      <c r="L188" s="211" t="s">
        <v>525</v>
      </c>
      <c r="O188" s="214" t="s">
        <v>525</v>
      </c>
      <c r="R188">
        <v>1</v>
      </c>
      <c r="S188" s="3">
        <v>5</v>
      </c>
      <c r="T188" s="236" t="s">
        <v>525</v>
      </c>
      <c r="V188" s="214">
        <f>'Soil samples 2017'!AJ48</f>
        <v>1.1316686523232182</v>
      </c>
      <c r="W188" s="6">
        <v>3.7</v>
      </c>
      <c r="X188">
        <f t="shared" si="28"/>
        <v>22.200000000000003</v>
      </c>
      <c r="Y188">
        <f t="shared" si="21"/>
        <v>0.22200000000000003</v>
      </c>
      <c r="Z188">
        <f t="shared" si="25"/>
        <v>2.5123044081575446E-3</v>
      </c>
      <c r="AA188" s="8">
        <f t="shared" si="24"/>
        <v>2.5123044081575445</v>
      </c>
      <c r="AB188">
        <f t="shared" si="22"/>
        <v>2.5123044081575445</v>
      </c>
      <c r="AC188">
        <f t="shared" si="23"/>
        <v>0.12561522040787723</v>
      </c>
    </row>
    <row r="189" spans="1:29">
      <c r="A189" s="6" t="s">
        <v>175</v>
      </c>
      <c r="B189" s="6" t="s">
        <v>548</v>
      </c>
      <c r="C189" t="s">
        <v>12</v>
      </c>
      <c r="D189" s="8">
        <v>6</v>
      </c>
      <c r="E189" s="3">
        <v>10</v>
      </c>
      <c r="G189" s="211" t="s">
        <v>525</v>
      </c>
      <c r="L189" s="211" t="s">
        <v>525</v>
      </c>
      <c r="R189">
        <v>3</v>
      </c>
      <c r="S189" s="3">
        <v>3</v>
      </c>
      <c r="T189" s="236" t="s">
        <v>525</v>
      </c>
      <c r="V189" s="214">
        <f>'Soil samples'!AK172</f>
        <v>18.020627780765654</v>
      </c>
      <c r="W189" s="6">
        <v>6.2</v>
      </c>
      <c r="X189">
        <f t="shared" si="28"/>
        <v>12.4</v>
      </c>
      <c r="Y189">
        <f t="shared" si="21"/>
        <v>0.124</v>
      </c>
      <c r="Z189">
        <f t="shared" si="25"/>
        <v>2.2345578448149411E-2</v>
      </c>
      <c r="AA189" s="8">
        <f t="shared" si="24"/>
        <v>22.345578448149411</v>
      </c>
      <c r="AB189">
        <f t="shared" si="22"/>
        <v>22.345578448149411</v>
      </c>
      <c r="AC189">
        <f t="shared" si="23"/>
        <v>1.1172789224074706</v>
      </c>
    </row>
    <row r="190" spans="1:29">
      <c r="A190" s="6" t="s">
        <v>176</v>
      </c>
      <c r="B190" s="6" t="s">
        <v>548</v>
      </c>
      <c r="C190" t="s">
        <v>12</v>
      </c>
      <c r="D190" s="8">
        <v>6</v>
      </c>
      <c r="E190" s="3">
        <v>20</v>
      </c>
      <c r="G190" s="211" t="s">
        <v>525</v>
      </c>
      <c r="M190" s="211" t="s">
        <v>525</v>
      </c>
      <c r="T190" s="236" t="s">
        <v>525</v>
      </c>
      <c r="V190" s="214">
        <f>'Soil samples'!AK173</f>
        <v>35.770963896563501</v>
      </c>
      <c r="W190" s="6">
        <v>21</v>
      </c>
      <c r="X190">
        <f t="shared" si="28"/>
        <v>21</v>
      </c>
      <c r="Y190">
        <f t="shared" si="21"/>
        <v>0.21</v>
      </c>
      <c r="Z190">
        <f t="shared" si="25"/>
        <v>7.511902418278335E-2</v>
      </c>
      <c r="AA190" s="8">
        <f t="shared" si="24"/>
        <v>75.119024182783349</v>
      </c>
      <c r="AB190">
        <f t="shared" si="22"/>
        <v>75.119024182783349</v>
      </c>
      <c r="AC190">
        <f t="shared" si="23"/>
        <v>3.7559512091391678</v>
      </c>
    </row>
    <row r="191" spans="1:29">
      <c r="A191" s="6" t="s">
        <v>177</v>
      </c>
      <c r="B191" s="6" t="s">
        <v>548</v>
      </c>
      <c r="C191" t="s">
        <v>12</v>
      </c>
      <c r="D191" s="8">
        <v>6</v>
      </c>
      <c r="E191" s="3">
        <v>30</v>
      </c>
      <c r="G191" s="211" t="s">
        <v>525</v>
      </c>
      <c r="M191" s="211" t="s">
        <v>525</v>
      </c>
      <c r="T191" s="236" t="s">
        <v>525</v>
      </c>
      <c r="V191" s="214">
        <f>'Soil samples'!AK174</f>
        <v>39.421246663526468</v>
      </c>
      <c r="W191" s="6">
        <v>16</v>
      </c>
      <c r="X191">
        <f t="shared" si="28"/>
        <v>16</v>
      </c>
      <c r="Y191">
        <f t="shared" si="21"/>
        <v>0.16</v>
      </c>
      <c r="Z191">
        <f t="shared" si="25"/>
        <v>6.3073994661642346E-2</v>
      </c>
      <c r="AA191" s="8">
        <f t="shared" si="24"/>
        <v>63.073994661642345</v>
      </c>
      <c r="AB191">
        <f t="shared" si="22"/>
        <v>63.073994661642345</v>
      </c>
      <c r="AC191">
        <f t="shared" si="23"/>
        <v>3.1536997330821173</v>
      </c>
    </row>
    <row r="192" spans="1:29">
      <c r="A192" s="6" t="s">
        <v>178</v>
      </c>
      <c r="B192" s="6" t="s">
        <v>548</v>
      </c>
      <c r="C192" t="s">
        <v>13</v>
      </c>
      <c r="D192" s="8">
        <v>1</v>
      </c>
      <c r="E192" s="3">
        <v>5</v>
      </c>
      <c r="H192" s="211" t="s">
        <v>525</v>
      </c>
      <c r="L192" s="211" t="s">
        <v>525</v>
      </c>
      <c r="O192" s="214" t="s">
        <v>525</v>
      </c>
      <c r="R192">
        <v>1</v>
      </c>
      <c r="S192" s="3">
        <v>5</v>
      </c>
      <c r="T192" s="236" t="s">
        <v>525</v>
      </c>
      <c r="V192" s="214">
        <f>'Soil samples'!AK175</f>
        <v>9.4399796992481182</v>
      </c>
      <c r="W192" s="6">
        <v>2.4</v>
      </c>
      <c r="X192">
        <f t="shared" si="28"/>
        <v>14.400000000000002</v>
      </c>
      <c r="Y192">
        <f t="shared" si="21"/>
        <v>0.14400000000000002</v>
      </c>
      <c r="Z192">
        <f t="shared" si="25"/>
        <v>1.3593570766917291E-2</v>
      </c>
      <c r="AA192" s="8">
        <f t="shared" si="24"/>
        <v>13.593570766917292</v>
      </c>
      <c r="AB192">
        <f t="shared" si="22"/>
        <v>13.593570766917292</v>
      </c>
      <c r="AC192">
        <f t="shared" si="23"/>
        <v>0.67967853834586467</v>
      </c>
    </row>
    <row r="193" spans="1:29">
      <c r="A193" s="6" t="s">
        <v>179</v>
      </c>
      <c r="B193" s="6" t="s">
        <v>548</v>
      </c>
      <c r="C193" t="s">
        <v>13</v>
      </c>
      <c r="D193" s="8">
        <v>1</v>
      </c>
      <c r="E193" s="3">
        <v>10</v>
      </c>
      <c r="G193" s="211" t="s">
        <v>525</v>
      </c>
      <c r="M193" s="211" t="s">
        <v>525</v>
      </c>
      <c r="T193" s="236" t="s">
        <v>525</v>
      </c>
      <c r="V193" s="214">
        <f>'Soil samples'!AK176</f>
        <v>28.58953982616978</v>
      </c>
      <c r="W193" s="6">
        <v>2.7</v>
      </c>
      <c r="X193">
        <f t="shared" si="28"/>
        <v>2.7</v>
      </c>
      <c r="Y193">
        <f t="shared" si="21"/>
        <v>2.7000000000000003E-2</v>
      </c>
      <c r="Z193">
        <f t="shared" si="25"/>
        <v>7.7191757530658415E-3</v>
      </c>
      <c r="AA193" s="8">
        <f t="shared" si="24"/>
        <v>7.7191757530658416</v>
      </c>
      <c r="AB193">
        <f t="shared" si="22"/>
        <v>7.7191757530658416</v>
      </c>
      <c r="AC193">
        <f t="shared" si="23"/>
        <v>0.38595878765329211</v>
      </c>
    </row>
    <row r="194" spans="1:29">
      <c r="A194" s="6" t="s">
        <v>180</v>
      </c>
      <c r="B194" s="6" t="s">
        <v>548</v>
      </c>
      <c r="C194" t="s">
        <v>13</v>
      </c>
      <c r="D194" s="8">
        <v>1</v>
      </c>
      <c r="E194" s="3">
        <v>20</v>
      </c>
      <c r="G194" s="211" t="s">
        <v>525</v>
      </c>
      <c r="M194" s="211" t="s">
        <v>525</v>
      </c>
      <c r="T194" s="236" t="s">
        <v>525</v>
      </c>
      <c r="V194" s="214">
        <f>'Soil samples'!AK177</f>
        <v>32.208702134105515</v>
      </c>
      <c r="W194" s="6">
        <v>6.5</v>
      </c>
      <c r="X194">
        <f t="shared" si="28"/>
        <v>6.5</v>
      </c>
      <c r="Y194">
        <f t="shared" si="21"/>
        <v>6.5000000000000002E-2</v>
      </c>
      <c r="Z194">
        <f t="shared" si="25"/>
        <v>2.0935656387168586E-2</v>
      </c>
      <c r="AA194" s="8">
        <f t="shared" si="24"/>
        <v>20.935656387168585</v>
      </c>
      <c r="AB194">
        <f t="shared" si="22"/>
        <v>20.935656387168585</v>
      </c>
      <c r="AC194">
        <f t="shared" si="23"/>
        <v>1.0467828193584292</v>
      </c>
    </row>
    <row r="195" spans="1:29">
      <c r="A195" s="6" t="s">
        <v>181</v>
      </c>
      <c r="B195" s="6" t="s">
        <v>548</v>
      </c>
      <c r="C195" t="s">
        <v>13</v>
      </c>
      <c r="D195" s="8">
        <v>2</v>
      </c>
      <c r="E195" s="3">
        <v>5</v>
      </c>
      <c r="G195" s="211" t="s">
        <v>525</v>
      </c>
      <c r="M195" s="211" t="s">
        <v>525</v>
      </c>
      <c r="R195">
        <v>3</v>
      </c>
      <c r="S195" s="3">
        <v>3</v>
      </c>
      <c r="T195" s="236" t="s">
        <v>525</v>
      </c>
      <c r="V195" s="214">
        <f>'Soil samples'!AK178</f>
        <v>15.568754165071539</v>
      </c>
      <c r="W195" s="6">
        <v>2.6</v>
      </c>
      <c r="X195">
        <f t="shared" si="28"/>
        <v>5.2</v>
      </c>
      <c r="Y195">
        <f t="shared" si="21"/>
        <v>5.2000000000000005E-2</v>
      </c>
      <c r="Z195">
        <f t="shared" si="25"/>
        <v>8.0957521658372011E-3</v>
      </c>
      <c r="AA195" s="8">
        <f t="shared" si="24"/>
        <v>8.0957521658372009</v>
      </c>
      <c r="AB195">
        <f t="shared" si="22"/>
        <v>8.0957521658372009</v>
      </c>
      <c r="AC195">
        <f t="shared" si="23"/>
        <v>0.40478760829186006</v>
      </c>
    </row>
    <row r="196" spans="1:29">
      <c r="A196" s="6" t="s">
        <v>182</v>
      </c>
      <c r="B196" s="6" t="s">
        <v>548</v>
      </c>
      <c r="C196" t="s">
        <v>13</v>
      </c>
      <c r="D196" s="8">
        <v>2</v>
      </c>
      <c r="E196" s="3">
        <v>10</v>
      </c>
      <c r="G196" s="211" t="s">
        <v>525</v>
      </c>
      <c r="M196" s="211" t="s">
        <v>525</v>
      </c>
      <c r="R196">
        <v>4</v>
      </c>
      <c r="S196" s="3">
        <v>2</v>
      </c>
      <c r="T196" s="236" t="s">
        <v>525</v>
      </c>
      <c r="V196" s="214">
        <f>'Soil samples'!AK179</f>
        <v>20.150949587599552</v>
      </c>
      <c r="W196" s="6">
        <v>1.8</v>
      </c>
      <c r="X196">
        <f t="shared" si="28"/>
        <v>2.7</v>
      </c>
      <c r="Y196">
        <f t="shared" si="21"/>
        <v>2.7000000000000003E-2</v>
      </c>
      <c r="Z196">
        <f t="shared" si="25"/>
        <v>5.4407563886518795E-3</v>
      </c>
      <c r="AA196" s="8">
        <f t="shared" si="24"/>
        <v>5.440756388651879</v>
      </c>
      <c r="AB196">
        <f t="shared" si="22"/>
        <v>5.440756388651879</v>
      </c>
      <c r="AC196">
        <f t="shared" si="23"/>
        <v>0.27203781943259397</v>
      </c>
    </row>
    <row r="197" spans="1:29">
      <c r="A197" s="6" t="s">
        <v>183</v>
      </c>
      <c r="B197" s="6" t="s">
        <v>548</v>
      </c>
      <c r="C197" t="s">
        <v>13</v>
      </c>
      <c r="D197" s="8">
        <v>2</v>
      </c>
      <c r="E197" s="3">
        <v>20</v>
      </c>
      <c r="G197" s="211" t="s">
        <v>525</v>
      </c>
      <c r="M197" s="211" t="s">
        <v>525</v>
      </c>
      <c r="T197" s="236" t="s">
        <v>525</v>
      </c>
      <c r="V197" s="214">
        <f>'Soil samples'!AK180</f>
        <v>28.118572984749441</v>
      </c>
      <c r="W197" s="6">
        <v>2.7</v>
      </c>
      <c r="X197">
        <f t="shared" si="28"/>
        <v>2.7</v>
      </c>
      <c r="Y197">
        <f t="shared" ref="Y197:Y209" si="29">X197/100</f>
        <v>2.7000000000000003E-2</v>
      </c>
      <c r="Z197">
        <f t="shared" si="25"/>
        <v>7.5920147058823502E-3</v>
      </c>
      <c r="AA197" s="8">
        <f t="shared" si="24"/>
        <v>7.5920147058823506</v>
      </c>
      <c r="AB197">
        <f t="shared" ref="AB197:AB209" si="30">AA197</f>
        <v>7.5920147058823506</v>
      </c>
      <c r="AC197">
        <f t="shared" ref="AC197:AC209" si="31">AB197*0.05</f>
        <v>0.37960073529411753</v>
      </c>
    </row>
    <row r="198" spans="1:29">
      <c r="A198" s="6" t="s">
        <v>184</v>
      </c>
      <c r="B198" s="6" t="s">
        <v>548</v>
      </c>
      <c r="C198" t="s">
        <v>13</v>
      </c>
      <c r="D198" s="8">
        <v>3</v>
      </c>
      <c r="E198" s="3">
        <v>5</v>
      </c>
      <c r="G198" s="211" t="s">
        <v>525</v>
      </c>
      <c r="L198" s="211" t="s">
        <v>525</v>
      </c>
      <c r="R198">
        <v>4</v>
      </c>
      <c r="S198" s="3">
        <v>2</v>
      </c>
      <c r="T198" s="236" t="s">
        <v>525</v>
      </c>
      <c r="V198" s="214">
        <f>'Soil samples'!AK181</f>
        <v>16.689669703637136</v>
      </c>
      <c r="W198" s="6">
        <v>2.1</v>
      </c>
      <c r="X198">
        <f t="shared" si="28"/>
        <v>3.1500000000000008</v>
      </c>
      <c r="Y198">
        <f t="shared" si="29"/>
        <v>3.1500000000000007E-2</v>
      </c>
      <c r="Z198">
        <f t="shared" si="25"/>
        <v>5.2572459566457E-3</v>
      </c>
      <c r="AA198" s="8">
        <f t="shared" ref="AA198:AA209" si="32">Z198*1000000/1000</f>
        <v>5.2572459566456997</v>
      </c>
      <c r="AB198">
        <f t="shared" si="30"/>
        <v>5.2572459566456997</v>
      </c>
      <c r="AC198">
        <f t="shared" si="31"/>
        <v>0.26286229783228499</v>
      </c>
    </row>
    <row r="199" spans="1:29">
      <c r="A199" s="136" t="s">
        <v>185</v>
      </c>
      <c r="B199" s="6" t="s">
        <v>548</v>
      </c>
      <c r="C199" t="s">
        <v>13</v>
      </c>
      <c r="D199" s="8">
        <v>4</v>
      </c>
      <c r="E199" s="3">
        <v>5</v>
      </c>
      <c r="H199" s="211" t="s">
        <v>525</v>
      </c>
      <c r="L199" s="211" t="s">
        <v>525</v>
      </c>
      <c r="O199" s="214" t="s">
        <v>525</v>
      </c>
      <c r="R199">
        <v>1</v>
      </c>
      <c r="S199" s="3">
        <v>5</v>
      </c>
      <c r="T199" s="236" t="s">
        <v>525</v>
      </c>
      <c r="V199" s="214">
        <f>'Soil samples'!AK182</f>
        <v>6.3269825774523838</v>
      </c>
      <c r="W199" s="6">
        <v>1.6</v>
      </c>
      <c r="X199">
        <f t="shared" si="28"/>
        <v>9.6000000000000014</v>
      </c>
      <c r="Y199">
        <f t="shared" si="29"/>
        <v>9.6000000000000016E-2</v>
      </c>
      <c r="Z199">
        <f t="shared" si="25"/>
        <v>6.0739032743542896E-3</v>
      </c>
      <c r="AA199" s="8">
        <f t="shared" si="32"/>
        <v>6.0739032743542891</v>
      </c>
      <c r="AB199">
        <f t="shared" si="30"/>
        <v>6.0739032743542891</v>
      </c>
      <c r="AC199">
        <f t="shared" si="31"/>
        <v>0.30369516371771449</v>
      </c>
    </row>
    <row r="200" spans="1:29">
      <c r="A200" s="6" t="s">
        <v>186</v>
      </c>
      <c r="B200" s="6" t="s">
        <v>548</v>
      </c>
      <c r="C200" t="s">
        <v>13</v>
      </c>
      <c r="D200" s="8">
        <v>4</v>
      </c>
      <c r="E200" s="3">
        <v>10</v>
      </c>
      <c r="H200" s="211" t="s">
        <v>525</v>
      </c>
      <c r="L200" s="211" t="s">
        <v>525</v>
      </c>
      <c r="R200">
        <v>2</v>
      </c>
      <c r="S200" s="3">
        <v>4</v>
      </c>
      <c r="T200" s="236" t="s">
        <v>525</v>
      </c>
      <c r="V200" s="214">
        <f>'Soil samples'!AK183</f>
        <v>12.094073661292835</v>
      </c>
      <c r="W200" s="6">
        <v>1.4</v>
      </c>
      <c r="X200">
        <f t="shared" si="28"/>
        <v>4.2</v>
      </c>
      <c r="Y200">
        <f t="shared" si="29"/>
        <v>4.2000000000000003E-2</v>
      </c>
      <c r="Z200">
        <f t="shared" si="25"/>
        <v>5.0795109377429915E-3</v>
      </c>
      <c r="AA200" s="8">
        <f t="shared" si="32"/>
        <v>5.0795109377429917</v>
      </c>
      <c r="AB200">
        <f t="shared" si="30"/>
        <v>5.0795109377429917</v>
      </c>
      <c r="AC200">
        <f t="shared" si="31"/>
        <v>0.25397554688714957</v>
      </c>
    </row>
    <row r="201" spans="1:29">
      <c r="A201" s="6" t="s">
        <v>187</v>
      </c>
      <c r="B201" s="6" t="s">
        <v>548</v>
      </c>
      <c r="C201" t="s">
        <v>13</v>
      </c>
      <c r="D201" s="8">
        <v>4</v>
      </c>
      <c r="E201" s="3">
        <v>20</v>
      </c>
      <c r="G201" s="211" t="s">
        <v>525</v>
      </c>
      <c r="M201" s="211" t="s">
        <v>525</v>
      </c>
      <c r="R201">
        <v>4</v>
      </c>
      <c r="S201" s="3">
        <v>2</v>
      </c>
      <c r="T201" s="236" t="s">
        <v>525</v>
      </c>
      <c r="V201" s="214">
        <f>'Soil samples'!AK184</f>
        <v>26.048572985374257</v>
      </c>
      <c r="W201" s="6">
        <v>1</v>
      </c>
      <c r="X201">
        <f t="shared" si="28"/>
        <v>1.5000000000000002</v>
      </c>
      <c r="Y201">
        <f t="shared" si="29"/>
        <v>1.5000000000000003E-2</v>
      </c>
      <c r="Z201">
        <f t="shared" ref="Z201:Z209" si="33">Y201*V201/100</f>
        <v>3.9072859478061391E-3</v>
      </c>
      <c r="AA201" s="8">
        <f t="shared" si="32"/>
        <v>3.9072859478061392</v>
      </c>
      <c r="AB201">
        <f t="shared" si="30"/>
        <v>3.9072859478061392</v>
      </c>
      <c r="AC201">
        <f t="shared" si="31"/>
        <v>0.19536429739030697</v>
      </c>
    </row>
    <row r="202" spans="1:29">
      <c r="A202" s="6" t="s">
        <v>188</v>
      </c>
      <c r="B202" s="6" t="s">
        <v>548</v>
      </c>
      <c r="C202" t="s">
        <v>13</v>
      </c>
      <c r="D202" s="8">
        <v>5</v>
      </c>
      <c r="E202" s="3">
        <v>5</v>
      </c>
      <c r="G202" s="211" t="s">
        <v>525</v>
      </c>
      <c r="L202" s="211" t="s">
        <v>525</v>
      </c>
      <c r="R202">
        <v>2</v>
      </c>
      <c r="S202" s="3">
        <v>4</v>
      </c>
      <c r="T202" s="236" t="s">
        <v>525</v>
      </c>
      <c r="V202" s="214">
        <f>'Soil samples'!AK185</f>
        <v>9.9601442495126715</v>
      </c>
      <c r="W202" s="6">
        <v>1.2</v>
      </c>
      <c r="X202">
        <f t="shared" si="28"/>
        <v>3.6000000000000005</v>
      </c>
      <c r="Y202">
        <f t="shared" si="29"/>
        <v>3.6000000000000004E-2</v>
      </c>
      <c r="Z202">
        <f t="shared" si="33"/>
        <v>3.585651929824562E-3</v>
      </c>
      <c r="AA202" s="8">
        <f t="shared" si="32"/>
        <v>3.5856519298245622</v>
      </c>
      <c r="AB202">
        <f t="shared" si="30"/>
        <v>3.5856519298245622</v>
      </c>
      <c r="AC202">
        <f t="shared" si="31"/>
        <v>0.17928259649122813</v>
      </c>
    </row>
    <row r="203" spans="1:29">
      <c r="A203" s="6" t="s">
        <v>189</v>
      </c>
      <c r="B203" s="6" t="s">
        <v>548</v>
      </c>
      <c r="C203" t="s">
        <v>13</v>
      </c>
      <c r="D203" s="8">
        <v>5</v>
      </c>
      <c r="E203" s="3">
        <v>10</v>
      </c>
      <c r="G203" s="211" t="s">
        <v>525</v>
      </c>
      <c r="M203" s="211" t="s">
        <v>525</v>
      </c>
      <c r="R203">
        <v>3</v>
      </c>
      <c r="S203" s="3">
        <v>3</v>
      </c>
      <c r="T203" s="236" t="s">
        <v>525</v>
      </c>
      <c r="V203" s="214">
        <f>'Soil samples'!AK186</f>
        <v>18.245179149691843</v>
      </c>
      <c r="W203" s="6">
        <v>1.9</v>
      </c>
      <c r="X203">
        <f t="shared" si="28"/>
        <v>3.8</v>
      </c>
      <c r="Y203">
        <f t="shared" si="29"/>
        <v>3.7999999999999999E-2</v>
      </c>
      <c r="Z203">
        <f t="shared" si="33"/>
        <v>6.9331680768829011E-3</v>
      </c>
      <c r="AA203" s="8">
        <f t="shared" si="32"/>
        <v>6.9331680768829012</v>
      </c>
      <c r="AB203">
        <f t="shared" si="30"/>
        <v>6.9331680768829012</v>
      </c>
      <c r="AC203">
        <f t="shared" si="31"/>
        <v>0.34665840384414509</v>
      </c>
    </row>
    <row r="204" spans="1:29">
      <c r="A204" s="6" t="s">
        <v>190</v>
      </c>
      <c r="B204" s="6" t="s">
        <v>548</v>
      </c>
      <c r="C204" t="s">
        <v>13</v>
      </c>
      <c r="D204" s="8">
        <v>5</v>
      </c>
      <c r="E204" s="3">
        <v>20</v>
      </c>
      <c r="G204" s="211" t="s">
        <v>525</v>
      </c>
      <c r="M204" s="211" t="s">
        <v>525</v>
      </c>
      <c r="T204" s="236" t="s">
        <v>525</v>
      </c>
      <c r="V204" s="214">
        <f>'Soil samples'!AK187</f>
        <v>36.368417341734151</v>
      </c>
      <c r="W204" s="6">
        <v>1.5</v>
      </c>
      <c r="X204">
        <f t="shared" si="28"/>
        <v>1.5</v>
      </c>
      <c r="Y204">
        <f t="shared" si="29"/>
        <v>1.4999999999999999E-2</v>
      </c>
      <c r="Z204">
        <f t="shared" si="33"/>
        <v>5.4552626012601222E-3</v>
      </c>
      <c r="AA204" s="8">
        <f t="shared" si="32"/>
        <v>5.455262601260122</v>
      </c>
      <c r="AB204">
        <f t="shared" si="30"/>
        <v>5.455262601260122</v>
      </c>
      <c r="AC204">
        <f t="shared" si="31"/>
        <v>0.27276313006300612</v>
      </c>
    </row>
    <row r="205" spans="1:29">
      <c r="A205" s="6" t="s">
        <v>191</v>
      </c>
      <c r="B205" s="6" t="s">
        <v>548</v>
      </c>
      <c r="C205" t="s">
        <v>13</v>
      </c>
      <c r="D205" s="8">
        <v>5</v>
      </c>
      <c r="E205" s="3">
        <v>30</v>
      </c>
      <c r="G205" s="211" t="s">
        <v>525</v>
      </c>
      <c r="M205" s="211" t="s">
        <v>525</v>
      </c>
      <c r="T205" s="236" t="s">
        <v>525</v>
      </c>
      <c r="V205" s="214">
        <f>'Soil samples'!AK188</f>
        <v>35.137493824495756</v>
      </c>
      <c r="W205" s="6">
        <v>4.3</v>
      </c>
      <c r="X205">
        <f t="shared" si="28"/>
        <v>4.3</v>
      </c>
      <c r="Y205">
        <f t="shared" si="29"/>
        <v>4.2999999999999997E-2</v>
      </c>
      <c r="Z205">
        <f t="shared" si="33"/>
        <v>1.5109122344533175E-2</v>
      </c>
      <c r="AA205" s="8">
        <f t="shared" si="32"/>
        <v>15.109122344533176</v>
      </c>
      <c r="AB205">
        <f t="shared" si="30"/>
        <v>15.109122344533176</v>
      </c>
      <c r="AC205">
        <f t="shared" si="31"/>
        <v>0.75545611722665884</v>
      </c>
    </row>
    <row r="206" spans="1:29">
      <c r="A206" s="6" t="s">
        <v>192</v>
      </c>
      <c r="B206" s="6" t="s">
        <v>548</v>
      </c>
      <c r="C206" t="s">
        <v>13</v>
      </c>
      <c r="D206" s="8">
        <v>6</v>
      </c>
      <c r="E206" s="3">
        <v>5</v>
      </c>
      <c r="G206" s="211" t="s">
        <v>525</v>
      </c>
      <c r="L206" s="211" t="s">
        <v>525</v>
      </c>
      <c r="R206">
        <v>3</v>
      </c>
      <c r="S206" s="3">
        <v>3</v>
      </c>
      <c r="T206" s="236" t="s">
        <v>525</v>
      </c>
      <c r="V206" s="214">
        <f>'Soil samples'!AK189</f>
        <v>11.627692806345216</v>
      </c>
      <c r="W206" s="6">
        <v>3.6</v>
      </c>
      <c r="X206">
        <f t="shared" si="28"/>
        <v>7.2000000000000011</v>
      </c>
      <c r="Y206">
        <f t="shared" si="29"/>
        <v>7.2000000000000008E-2</v>
      </c>
      <c r="Z206">
        <f t="shared" si="33"/>
        <v>8.3719388205685565E-3</v>
      </c>
      <c r="AA206" s="8">
        <f t="shared" si="32"/>
        <v>8.3719388205685572</v>
      </c>
      <c r="AB206">
        <f t="shared" si="30"/>
        <v>8.3719388205685572</v>
      </c>
      <c r="AC206">
        <f t="shared" si="31"/>
        <v>0.41859694102842787</v>
      </c>
    </row>
    <row r="207" spans="1:29">
      <c r="A207" s="6" t="s">
        <v>193</v>
      </c>
      <c r="B207" s="6" t="s">
        <v>548</v>
      </c>
      <c r="C207" t="s">
        <v>13</v>
      </c>
      <c r="D207" s="8">
        <v>6</v>
      </c>
      <c r="E207" s="3">
        <v>10</v>
      </c>
      <c r="G207" s="211" t="s">
        <v>525</v>
      </c>
      <c r="M207" s="211" t="s">
        <v>525</v>
      </c>
      <c r="R207">
        <v>4</v>
      </c>
      <c r="S207" s="3">
        <v>2</v>
      </c>
      <c r="T207" s="236" t="s">
        <v>525</v>
      </c>
      <c r="V207" s="214">
        <f>'Soil samples'!AK190</f>
        <v>21.274047271082352</v>
      </c>
      <c r="W207" s="6">
        <v>2.2000000000000002</v>
      </c>
      <c r="X207">
        <f t="shared" si="28"/>
        <v>3.3000000000000007</v>
      </c>
      <c r="Y207">
        <f t="shared" si="29"/>
        <v>3.3000000000000008E-2</v>
      </c>
      <c r="Z207">
        <f t="shared" si="33"/>
        <v>7.0204355994571777E-3</v>
      </c>
      <c r="AA207" s="8">
        <f t="shared" si="32"/>
        <v>7.0204355994571781</v>
      </c>
      <c r="AB207">
        <f t="shared" si="30"/>
        <v>7.0204355994571781</v>
      </c>
      <c r="AC207">
        <f t="shared" si="31"/>
        <v>0.35102177997285894</v>
      </c>
    </row>
    <row r="208" spans="1:29">
      <c r="A208" s="6" t="s">
        <v>194</v>
      </c>
      <c r="B208" s="6" t="s">
        <v>548</v>
      </c>
      <c r="C208" t="s">
        <v>13</v>
      </c>
      <c r="D208" s="8">
        <v>6</v>
      </c>
      <c r="E208" s="3">
        <v>20</v>
      </c>
      <c r="G208" s="211" t="s">
        <v>525</v>
      </c>
      <c r="M208" s="211" t="s">
        <v>525</v>
      </c>
      <c r="T208" s="236" t="s">
        <v>525</v>
      </c>
      <c r="V208" s="214">
        <f>'Soil samples'!AK191</f>
        <v>28.399549529975811</v>
      </c>
      <c r="W208" s="6">
        <v>2.7</v>
      </c>
      <c r="X208">
        <f t="shared" si="28"/>
        <v>2.7</v>
      </c>
      <c r="Y208">
        <f t="shared" si="29"/>
        <v>2.7000000000000003E-2</v>
      </c>
      <c r="Z208">
        <f t="shared" si="33"/>
        <v>7.6678783730934697E-3</v>
      </c>
      <c r="AA208" s="8">
        <f t="shared" si="32"/>
        <v>7.667878373093469</v>
      </c>
      <c r="AB208">
        <f t="shared" si="30"/>
        <v>7.667878373093469</v>
      </c>
      <c r="AC208">
        <f t="shared" si="31"/>
        <v>0.38339391865467348</v>
      </c>
    </row>
    <row r="209" spans="1:29" s="4" customFormat="1">
      <c r="A209" s="7" t="s">
        <v>195</v>
      </c>
      <c r="B209" s="7" t="s">
        <v>548</v>
      </c>
      <c r="C209" s="4" t="s">
        <v>13</v>
      </c>
      <c r="D209" s="4">
        <v>6</v>
      </c>
      <c r="E209" s="5">
        <v>30</v>
      </c>
      <c r="G209" s="218" t="s">
        <v>525</v>
      </c>
      <c r="H209" s="218"/>
      <c r="I209" s="218"/>
      <c r="K209" s="5"/>
      <c r="L209" s="218"/>
      <c r="M209" s="218" t="s">
        <v>525</v>
      </c>
      <c r="N209" s="218"/>
      <c r="O209" s="214"/>
      <c r="P209" s="218"/>
      <c r="Q209" s="251"/>
      <c r="S209" s="5"/>
      <c r="T209" s="238" t="s">
        <v>525</v>
      </c>
      <c r="U209" s="238"/>
      <c r="V209" s="214">
        <f>'Soil samples'!AK192</f>
        <v>65.512055075128245</v>
      </c>
      <c r="W209" s="4">
        <v>0.7</v>
      </c>
      <c r="X209">
        <f t="shared" si="28"/>
        <v>0.7</v>
      </c>
      <c r="Y209">
        <f t="shared" si="29"/>
        <v>6.9999999999999993E-3</v>
      </c>
      <c r="Z209">
        <f t="shared" si="33"/>
        <v>4.5858438552589765E-3</v>
      </c>
      <c r="AA209" s="8">
        <f t="shared" si="32"/>
        <v>4.5858438552589771</v>
      </c>
      <c r="AB209">
        <f t="shared" si="30"/>
        <v>4.5858438552589771</v>
      </c>
      <c r="AC209">
        <f t="shared" si="31"/>
        <v>0.22929219276294888</v>
      </c>
    </row>
    <row r="210" spans="1:29">
      <c r="G210" s="211">
        <v>174</v>
      </c>
      <c r="H210" s="211">
        <v>22</v>
      </c>
      <c r="I210" s="211">
        <v>11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104"/>
  <sheetViews>
    <sheetView topLeftCell="G1" workbookViewId="0">
      <selection activeCell="U38" sqref="U38"/>
    </sheetView>
  </sheetViews>
  <sheetFormatPr baseColWidth="10" defaultColWidth="11" defaultRowHeight="16"/>
  <cols>
    <col min="2" max="2" width="11" style="24"/>
    <col min="3" max="3" width="11.83203125" style="50" bestFit="1" customWidth="1"/>
    <col min="4" max="4" width="27" customWidth="1"/>
    <col min="11" max="11" width="11" style="104"/>
    <col min="12" max="12" width="11" style="3"/>
    <col min="13" max="13" width="15.5" customWidth="1"/>
    <col min="14" max="14" width="11.83203125" style="8" customWidth="1"/>
    <col min="17" max="17" width="11" style="8"/>
  </cols>
  <sheetData>
    <row r="1" spans="1:20">
      <c r="N1"/>
      <c r="O1" s="3"/>
      <c r="P1" s="1" t="s">
        <v>772</v>
      </c>
    </row>
    <row r="2" spans="1:20">
      <c r="A2" s="1" t="s">
        <v>10</v>
      </c>
      <c r="B2" s="118" t="s">
        <v>497</v>
      </c>
      <c r="C2" s="49" t="s">
        <v>524</v>
      </c>
      <c r="D2" s="1" t="s">
        <v>375</v>
      </c>
      <c r="E2" s="18" t="s">
        <v>725</v>
      </c>
      <c r="F2" s="1" t="s">
        <v>726</v>
      </c>
      <c r="G2" s="1" t="s">
        <v>727</v>
      </c>
      <c r="H2" s="47" t="s">
        <v>728</v>
      </c>
      <c r="I2" s="1" t="s">
        <v>729</v>
      </c>
      <c r="J2" s="1" t="s">
        <v>730</v>
      </c>
      <c r="K2" s="106" t="s">
        <v>731</v>
      </c>
      <c r="L2" s="2" t="s">
        <v>375</v>
      </c>
      <c r="M2" s="61" t="s">
        <v>767</v>
      </c>
      <c r="N2" s="61" t="s">
        <v>768</v>
      </c>
      <c r="O2" s="108" t="s">
        <v>769</v>
      </c>
      <c r="P2" s="18" t="s">
        <v>770</v>
      </c>
      <c r="Q2" s="18" t="s">
        <v>771</v>
      </c>
      <c r="R2" s="61" t="s">
        <v>767</v>
      </c>
      <c r="S2" s="61" t="s">
        <v>768</v>
      </c>
      <c r="T2" s="108" t="s">
        <v>769</v>
      </c>
    </row>
    <row r="3" spans="1:20">
      <c r="A3" t="s">
        <v>482</v>
      </c>
      <c r="B3" s="24">
        <v>42746</v>
      </c>
      <c r="C3" s="50" t="s">
        <v>525</v>
      </c>
      <c r="D3" t="s">
        <v>498</v>
      </c>
      <c r="N3"/>
      <c r="O3" s="3"/>
    </row>
    <row r="4" spans="1:20">
      <c r="A4" t="s">
        <v>483</v>
      </c>
      <c r="B4" s="24">
        <v>42746</v>
      </c>
      <c r="C4" s="50" t="s">
        <v>525</v>
      </c>
      <c r="D4" t="s">
        <v>498</v>
      </c>
      <c r="N4"/>
      <c r="O4" s="3"/>
    </row>
    <row r="5" spans="1:20">
      <c r="A5" t="s">
        <v>484</v>
      </c>
      <c r="B5" s="24">
        <v>42746</v>
      </c>
      <c r="C5" s="50" t="s">
        <v>525</v>
      </c>
      <c r="D5" t="s">
        <v>498</v>
      </c>
      <c r="N5"/>
      <c r="O5" s="3"/>
    </row>
    <row r="6" spans="1:20">
      <c r="A6" t="s">
        <v>485</v>
      </c>
      <c r="B6" s="24">
        <v>42753</v>
      </c>
      <c r="C6" s="50">
        <v>2</v>
      </c>
      <c r="E6">
        <v>9</v>
      </c>
      <c r="F6">
        <v>10</v>
      </c>
      <c r="H6" s="44">
        <v>5</v>
      </c>
      <c r="I6" s="104">
        <v>0.5075379919883003</v>
      </c>
      <c r="J6" s="31">
        <v>0.36599999999999999</v>
      </c>
      <c r="K6" s="104">
        <f t="shared" ref="K6" si="0">(5/H6)*I6</f>
        <v>0.5075379919883003</v>
      </c>
      <c r="M6">
        <f t="shared" ref="M6:M39" si="1">K6/1000*50</f>
        <v>2.5376899599415012E-2</v>
      </c>
      <c r="N6">
        <f t="shared" ref="N6:N39" si="2">M6/5*100</f>
        <v>0.5075379919883003</v>
      </c>
      <c r="O6" s="3">
        <f t="shared" ref="O6:O39" si="3">(N6/5*1)*1000</f>
        <v>101.50759839766006</v>
      </c>
      <c r="P6" s="104">
        <v>0.14327271571183312</v>
      </c>
      <c r="Q6" s="8">
        <f t="shared" ref="Q6:Q39" si="4">K6-P6</f>
        <v>0.36426527627646721</v>
      </c>
      <c r="R6">
        <f t="shared" ref="R6:R39" si="5">Q6/1000*50</f>
        <v>1.821326381382336E-2</v>
      </c>
      <c r="S6">
        <f t="shared" ref="S6:S39" si="6">R6/5*100</f>
        <v>0.36426527627646721</v>
      </c>
      <c r="T6">
        <f t="shared" ref="T6:T39" si="7">(S6/5*1)*1000</f>
        <v>72.853055255293441</v>
      </c>
    </row>
    <row r="7" spans="1:20">
      <c r="A7" t="s">
        <v>486</v>
      </c>
      <c r="B7" s="24">
        <v>42753</v>
      </c>
      <c r="C7" s="50">
        <v>2</v>
      </c>
      <c r="E7">
        <v>7</v>
      </c>
      <c r="F7">
        <v>6</v>
      </c>
      <c r="H7" s="44">
        <v>5</v>
      </c>
      <c r="I7" s="104">
        <v>0.55458224500983522</v>
      </c>
      <c r="J7" s="31">
        <v>0.39800000000000002</v>
      </c>
      <c r="K7" s="104">
        <f t="shared" ref="K7:K8" si="8">(5/H7)*I7</f>
        <v>0.55458224500983522</v>
      </c>
      <c r="M7">
        <f t="shared" si="1"/>
        <v>2.7729112250491759E-2</v>
      </c>
      <c r="N7">
        <f t="shared" si="2"/>
        <v>0.55458224500983511</v>
      </c>
      <c r="O7" s="3">
        <f t="shared" si="3"/>
        <v>110.91644900196702</v>
      </c>
      <c r="P7" s="104">
        <v>0.14327271571183312</v>
      </c>
      <c r="Q7" s="8">
        <f t="shared" si="4"/>
        <v>0.41130952929800213</v>
      </c>
      <c r="R7">
        <f t="shared" si="5"/>
        <v>2.0565476464900107E-2</v>
      </c>
      <c r="S7">
        <f t="shared" si="6"/>
        <v>0.41130952929800213</v>
      </c>
      <c r="T7">
        <f t="shared" si="7"/>
        <v>82.261905859600432</v>
      </c>
    </row>
    <row r="8" spans="1:20">
      <c r="A8" t="s">
        <v>487</v>
      </c>
      <c r="B8" s="24">
        <v>42753</v>
      </c>
      <c r="C8" s="50">
        <v>2</v>
      </c>
      <c r="E8">
        <v>7</v>
      </c>
      <c r="F8">
        <v>10</v>
      </c>
      <c r="H8" s="44">
        <v>5</v>
      </c>
      <c r="I8" s="104">
        <v>0.52099416336138793</v>
      </c>
      <c r="J8" s="31">
        <v>0.374</v>
      </c>
      <c r="K8" s="104">
        <f t="shared" si="8"/>
        <v>0.52099416336138793</v>
      </c>
      <c r="M8">
        <f t="shared" si="1"/>
        <v>2.6049708168069393E-2</v>
      </c>
      <c r="N8">
        <f t="shared" si="2"/>
        <v>0.52099416336138782</v>
      </c>
      <c r="O8" s="3">
        <f t="shared" si="3"/>
        <v>104.19883267227756</v>
      </c>
      <c r="P8" s="104">
        <v>0.14327271571183312</v>
      </c>
      <c r="Q8" s="8">
        <f t="shared" si="4"/>
        <v>0.37772144764955484</v>
      </c>
      <c r="R8">
        <f t="shared" si="5"/>
        <v>1.8886072382477741E-2</v>
      </c>
      <c r="S8">
        <f t="shared" si="6"/>
        <v>0.37772144764955479</v>
      </c>
      <c r="T8">
        <f t="shared" si="7"/>
        <v>75.544289529910969</v>
      </c>
    </row>
    <row r="9" spans="1:20">
      <c r="A9" t="s">
        <v>488</v>
      </c>
      <c r="B9" s="24">
        <v>42760</v>
      </c>
      <c r="C9" s="50">
        <v>2</v>
      </c>
      <c r="D9" t="s">
        <v>499</v>
      </c>
      <c r="E9">
        <v>12</v>
      </c>
      <c r="F9">
        <v>1</v>
      </c>
      <c r="H9" s="44">
        <v>5</v>
      </c>
      <c r="I9" s="104">
        <v>0.50063902842245811</v>
      </c>
      <c r="J9" s="31">
        <v>0.36099999999999999</v>
      </c>
      <c r="K9" s="104">
        <f t="shared" ref="K9" si="9">(5/H9)*I9</f>
        <v>0.50063902842245811</v>
      </c>
      <c r="M9">
        <f t="shared" si="1"/>
        <v>2.5031951421122904E-2</v>
      </c>
      <c r="N9">
        <f t="shared" si="2"/>
        <v>0.50063902842245811</v>
      </c>
      <c r="O9" s="3">
        <f t="shared" si="3"/>
        <v>100.12780568449162</v>
      </c>
      <c r="P9" s="104">
        <v>0.24951675462580272</v>
      </c>
      <c r="Q9" s="8">
        <f t="shared" si="4"/>
        <v>0.25112227379665542</v>
      </c>
      <c r="R9">
        <f t="shared" si="5"/>
        <v>1.2556113689832771E-2</v>
      </c>
      <c r="S9">
        <f t="shared" si="6"/>
        <v>0.25112227379665542</v>
      </c>
      <c r="T9">
        <f t="shared" si="7"/>
        <v>50.224454759331088</v>
      </c>
    </row>
    <row r="10" spans="1:20">
      <c r="A10" t="s">
        <v>489</v>
      </c>
      <c r="B10" s="24">
        <v>42760</v>
      </c>
      <c r="C10" s="50">
        <v>2</v>
      </c>
      <c r="D10" t="s">
        <v>499</v>
      </c>
      <c r="E10">
        <v>7</v>
      </c>
      <c r="F10">
        <v>9</v>
      </c>
      <c r="H10" s="44">
        <v>5</v>
      </c>
      <c r="I10" s="104">
        <v>0.5069991293412015</v>
      </c>
      <c r="J10" s="31">
        <v>0.36399999999999999</v>
      </c>
      <c r="K10" s="104">
        <f t="shared" ref="K10:K11" si="10">(5/H10)*I10</f>
        <v>0.5069991293412015</v>
      </c>
      <c r="M10">
        <f t="shared" si="1"/>
        <v>2.5349956467060078E-2</v>
      </c>
      <c r="N10">
        <f t="shared" si="2"/>
        <v>0.5069991293412015</v>
      </c>
      <c r="O10" s="3">
        <f t="shared" si="3"/>
        <v>101.3998258682403</v>
      </c>
      <c r="P10" s="104">
        <v>0.24951675462580272</v>
      </c>
      <c r="Q10" s="8">
        <f t="shared" si="4"/>
        <v>0.25748237471539881</v>
      </c>
      <c r="R10">
        <f t="shared" si="5"/>
        <v>1.287411873576994E-2</v>
      </c>
      <c r="S10">
        <f t="shared" si="6"/>
        <v>0.25748237471539881</v>
      </c>
      <c r="T10">
        <f t="shared" si="7"/>
        <v>51.496474943079761</v>
      </c>
    </row>
    <row r="11" spans="1:20">
      <c r="A11" t="s">
        <v>490</v>
      </c>
      <c r="B11" s="24">
        <v>42760</v>
      </c>
      <c r="C11" s="50">
        <v>2</v>
      </c>
      <c r="D11" t="s">
        <v>499</v>
      </c>
      <c r="E11">
        <v>10</v>
      </c>
      <c r="F11">
        <v>6</v>
      </c>
      <c r="H11" s="44">
        <v>5</v>
      </c>
      <c r="I11" s="104">
        <v>0.40957270935334134</v>
      </c>
      <c r="J11" s="31">
        <v>0.29499999999999998</v>
      </c>
      <c r="K11" s="104">
        <f t="shared" si="10"/>
        <v>0.40957270935334134</v>
      </c>
      <c r="M11">
        <f t="shared" si="1"/>
        <v>2.0478635467667067E-2</v>
      </c>
      <c r="N11">
        <f t="shared" si="2"/>
        <v>0.40957270935334134</v>
      </c>
      <c r="O11" s="3">
        <f t="shared" si="3"/>
        <v>81.914541870668273</v>
      </c>
      <c r="P11" s="104">
        <v>0.24951675462580272</v>
      </c>
      <c r="Q11" s="8">
        <f t="shared" si="4"/>
        <v>0.16005595472753861</v>
      </c>
      <c r="R11">
        <f t="shared" si="5"/>
        <v>8.0027977363769306E-3</v>
      </c>
      <c r="S11">
        <f t="shared" si="6"/>
        <v>0.16005595472753861</v>
      </c>
      <c r="T11">
        <f t="shared" si="7"/>
        <v>32.011190945507721</v>
      </c>
    </row>
    <row r="12" spans="1:20">
      <c r="A12" t="s">
        <v>491</v>
      </c>
      <c r="B12" s="24">
        <v>42765</v>
      </c>
      <c r="C12" s="50">
        <v>1</v>
      </c>
      <c r="E12">
        <v>10</v>
      </c>
      <c r="F12">
        <v>14</v>
      </c>
      <c r="H12" s="44">
        <v>5</v>
      </c>
      <c r="I12" s="104">
        <v>0.47994213772493155</v>
      </c>
      <c r="J12" s="31">
        <v>0.34599999999999997</v>
      </c>
      <c r="K12" s="104">
        <f t="shared" ref="K12:K14" si="11">(5/H12)*I12</f>
        <v>0.47994213772493155</v>
      </c>
      <c r="M12">
        <f t="shared" si="1"/>
        <v>2.3997106886246577E-2</v>
      </c>
      <c r="N12">
        <f t="shared" si="2"/>
        <v>0.47994213772493149</v>
      </c>
      <c r="O12" s="3">
        <f t="shared" si="3"/>
        <v>95.988427544986294</v>
      </c>
      <c r="P12" s="104">
        <v>0.14465250842500155</v>
      </c>
      <c r="Q12" s="8">
        <f t="shared" si="4"/>
        <v>0.33528962929993</v>
      </c>
      <c r="R12">
        <f t="shared" si="5"/>
        <v>1.6764481464996501E-2</v>
      </c>
      <c r="S12">
        <f t="shared" si="6"/>
        <v>0.33528962929993006</v>
      </c>
      <c r="T12">
        <f t="shared" si="7"/>
        <v>67.057925859986014</v>
      </c>
    </row>
    <row r="13" spans="1:20">
      <c r="A13" t="s">
        <v>492</v>
      </c>
      <c r="B13" s="24">
        <v>42765</v>
      </c>
      <c r="C13" s="50">
        <v>1</v>
      </c>
      <c r="E13">
        <v>12</v>
      </c>
      <c r="F13">
        <v>5</v>
      </c>
      <c r="H13" s="44">
        <v>5</v>
      </c>
      <c r="I13" s="104">
        <v>0.59722451834424872</v>
      </c>
      <c r="J13" s="31">
        <v>0.43099999999999999</v>
      </c>
      <c r="K13" s="104">
        <f t="shared" si="11"/>
        <v>0.59722451834424872</v>
      </c>
      <c r="M13">
        <f t="shared" si="1"/>
        <v>2.9861225917212436E-2</v>
      </c>
      <c r="N13">
        <f t="shared" si="2"/>
        <v>0.59722451834424872</v>
      </c>
      <c r="O13" s="3">
        <f t="shared" si="3"/>
        <v>119.44490366884975</v>
      </c>
      <c r="P13" s="104">
        <v>0.14465250842500155</v>
      </c>
      <c r="Q13" s="8">
        <f t="shared" si="4"/>
        <v>0.45257200991924718</v>
      </c>
      <c r="R13">
        <f t="shared" si="5"/>
        <v>2.2628600495962357E-2</v>
      </c>
      <c r="S13">
        <f t="shared" si="6"/>
        <v>0.45257200991924718</v>
      </c>
      <c r="T13">
        <f t="shared" si="7"/>
        <v>90.514401983849439</v>
      </c>
    </row>
    <row r="14" spans="1:20">
      <c r="A14" t="s">
        <v>493</v>
      </c>
      <c r="B14" s="24">
        <v>42765</v>
      </c>
      <c r="C14" s="50">
        <v>1</v>
      </c>
      <c r="E14">
        <v>12</v>
      </c>
      <c r="F14">
        <v>13</v>
      </c>
      <c r="H14" s="44">
        <v>5</v>
      </c>
      <c r="I14" s="104">
        <v>0.53927322439117442</v>
      </c>
      <c r="J14" s="31">
        <v>0.38900000000000001</v>
      </c>
      <c r="K14" s="104">
        <f t="shared" si="11"/>
        <v>0.53927322439117442</v>
      </c>
      <c r="M14">
        <f t="shared" si="1"/>
        <v>2.6963661219558722E-2</v>
      </c>
      <c r="N14">
        <f t="shared" si="2"/>
        <v>0.53927322439117442</v>
      </c>
      <c r="O14" s="3">
        <f t="shared" si="3"/>
        <v>107.85464487823489</v>
      </c>
      <c r="P14" s="104">
        <v>0.14465250842500155</v>
      </c>
      <c r="Q14" s="8">
        <f t="shared" si="4"/>
        <v>0.39462071596617287</v>
      </c>
      <c r="R14">
        <f t="shared" si="5"/>
        <v>1.9731035798308646E-2</v>
      </c>
      <c r="S14">
        <f t="shared" si="6"/>
        <v>0.39462071596617293</v>
      </c>
      <c r="T14">
        <f t="shared" si="7"/>
        <v>78.924143193234585</v>
      </c>
    </row>
    <row r="15" spans="1:20">
      <c r="A15" t="s">
        <v>494</v>
      </c>
      <c r="B15" s="24">
        <v>42767</v>
      </c>
      <c r="C15" s="50">
        <v>1</v>
      </c>
      <c r="E15">
        <v>10</v>
      </c>
      <c r="F15">
        <v>13</v>
      </c>
      <c r="H15" s="44">
        <v>5</v>
      </c>
      <c r="I15" s="104">
        <v>0.4123322947796782</v>
      </c>
      <c r="J15" s="31">
        <v>0.29699999999999999</v>
      </c>
      <c r="K15" s="104">
        <f t="shared" ref="K15:K17" si="12">(5/H15)*I15</f>
        <v>0.4123322947796782</v>
      </c>
      <c r="M15">
        <f t="shared" si="1"/>
        <v>2.0616614738983911E-2</v>
      </c>
      <c r="N15">
        <f t="shared" si="2"/>
        <v>0.41233229477967825</v>
      </c>
      <c r="O15" s="3">
        <f t="shared" si="3"/>
        <v>82.46645895593565</v>
      </c>
      <c r="P15" s="104">
        <v>0.17086856997520183</v>
      </c>
      <c r="Q15" s="8">
        <f t="shared" si="4"/>
        <v>0.24146372480447637</v>
      </c>
      <c r="R15">
        <f t="shared" si="5"/>
        <v>1.2073186240223818E-2</v>
      </c>
      <c r="S15">
        <f t="shared" si="6"/>
        <v>0.24146372480447634</v>
      </c>
      <c r="T15">
        <f t="shared" si="7"/>
        <v>48.292744960895263</v>
      </c>
    </row>
    <row r="16" spans="1:20">
      <c r="A16" t="s">
        <v>495</v>
      </c>
      <c r="B16" s="24">
        <v>42767</v>
      </c>
      <c r="C16" s="50">
        <v>1</v>
      </c>
      <c r="E16">
        <v>11</v>
      </c>
      <c r="F16">
        <v>1</v>
      </c>
      <c r="H16" s="44">
        <v>5</v>
      </c>
      <c r="I16" s="104">
        <v>0.44268773446938381</v>
      </c>
      <c r="J16" s="31">
        <v>0.31900000000000001</v>
      </c>
      <c r="K16" s="104">
        <f t="shared" si="12"/>
        <v>0.44268773446938381</v>
      </c>
      <c r="M16">
        <f t="shared" si="1"/>
        <v>2.213438672346919E-2</v>
      </c>
      <c r="N16">
        <f t="shared" si="2"/>
        <v>0.44268773446938375</v>
      </c>
      <c r="O16" s="3">
        <f t="shared" si="3"/>
        <v>88.537546893876751</v>
      </c>
      <c r="P16" s="104">
        <v>0.17086856997520183</v>
      </c>
      <c r="Q16" s="8">
        <f t="shared" si="4"/>
        <v>0.27181916449418198</v>
      </c>
      <c r="R16">
        <f t="shared" si="5"/>
        <v>1.3590958224709099E-2</v>
      </c>
      <c r="S16">
        <f t="shared" si="6"/>
        <v>0.27181916449418198</v>
      </c>
      <c r="T16">
        <f t="shared" si="7"/>
        <v>54.363832898836392</v>
      </c>
    </row>
    <row r="17" spans="1:20">
      <c r="A17" t="s">
        <v>496</v>
      </c>
      <c r="B17" s="24">
        <v>42767</v>
      </c>
      <c r="C17" s="50">
        <v>2</v>
      </c>
      <c r="D17" t="s">
        <v>522</v>
      </c>
      <c r="E17">
        <v>11</v>
      </c>
      <c r="F17">
        <v>8</v>
      </c>
      <c r="G17" t="s">
        <v>786</v>
      </c>
      <c r="H17" s="44">
        <v>5</v>
      </c>
      <c r="I17" s="104">
        <v>0.5654892859413746</v>
      </c>
      <c r="J17" s="31">
        <v>0.40799999999999997</v>
      </c>
      <c r="K17" s="104">
        <f t="shared" si="12"/>
        <v>0.5654892859413746</v>
      </c>
      <c r="M17">
        <f t="shared" si="1"/>
        <v>2.827446429706873E-2</v>
      </c>
      <c r="N17">
        <f t="shared" si="2"/>
        <v>0.5654892859413746</v>
      </c>
      <c r="O17" s="3">
        <f t="shared" si="3"/>
        <v>113.09785718827492</v>
      </c>
      <c r="P17" s="104">
        <v>0.17086856997520183</v>
      </c>
      <c r="Q17" s="8">
        <f t="shared" si="4"/>
        <v>0.39462071596617276</v>
      </c>
      <c r="R17">
        <f t="shared" si="5"/>
        <v>1.9731035798308639E-2</v>
      </c>
      <c r="S17">
        <f t="shared" si="6"/>
        <v>0.39462071596617276</v>
      </c>
      <c r="T17">
        <f t="shared" si="7"/>
        <v>78.924143193234556</v>
      </c>
    </row>
    <row r="18" spans="1:20">
      <c r="A18" t="s">
        <v>520</v>
      </c>
      <c r="B18" s="24">
        <v>42768</v>
      </c>
      <c r="C18" s="50">
        <v>1</v>
      </c>
      <c r="E18">
        <v>10</v>
      </c>
      <c r="F18">
        <v>1</v>
      </c>
      <c r="H18" s="44">
        <v>5</v>
      </c>
      <c r="I18" s="104">
        <v>0.49787944299612125</v>
      </c>
      <c r="J18" s="31">
        <v>0.35899999999999999</v>
      </c>
      <c r="K18" s="104">
        <f t="shared" ref="K18" si="13">(5/H18)*I18</f>
        <v>0.49787944299612125</v>
      </c>
      <c r="M18">
        <f t="shared" si="1"/>
        <v>2.4893972149806064E-2</v>
      </c>
      <c r="N18">
        <f t="shared" si="2"/>
        <v>0.49787944299612125</v>
      </c>
      <c r="O18" s="3">
        <f t="shared" si="3"/>
        <v>99.575888599224257</v>
      </c>
      <c r="P18" s="104">
        <v>0.19432504609906529</v>
      </c>
      <c r="Q18" s="8">
        <f t="shared" si="4"/>
        <v>0.30355439689705599</v>
      </c>
      <c r="R18">
        <f t="shared" si="5"/>
        <v>1.51777198448528E-2</v>
      </c>
      <c r="S18">
        <f t="shared" si="6"/>
        <v>0.30355439689705599</v>
      </c>
      <c r="T18">
        <f t="shared" si="7"/>
        <v>60.710879379411196</v>
      </c>
    </row>
    <row r="19" spans="1:20">
      <c r="A19" t="s">
        <v>521</v>
      </c>
      <c r="B19" s="24">
        <v>42768</v>
      </c>
      <c r="C19" s="50">
        <v>2</v>
      </c>
      <c r="D19" t="s">
        <v>575</v>
      </c>
      <c r="E19">
        <v>2</v>
      </c>
      <c r="F19">
        <v>17</v>
      </c>
      <c r="G19" t="s">
        <v>732</v>
      </c>
      <c r="H19" s="44">
        <v>5</v>
      </c>
      <c r="I19" s="104">
        <v>0.52467858415104107</v>
      </c>
      <c r="J19" s="31">
        <v>0.373</v>
      </c>
      <c r="K19" s="104">
        <f t="shared" ref="K19" si="14">(5/H19)*I19</f>
        <v>0.52467858415104107</v>
      </c>
      <c r="M19">
        <f t="shared" si="1"/>
        <v>2.6233929207552055E-2</v>
      </c>
      <c r="N19">
        <f t="shared" si="2"/>
        <v>0.52467858415104107</v>
      </c>
      <c r="O19" s="3">
        <f t="shared" si="3"/>
        <v>104.93571683020822</v>
      </c>
      <c r="P19" s="104">
        <v>0.19432504609906529</v>
      </c>
      <c r="Q19" s="8">
        <f t="shared" si="4"/>
        <v>0.33035353805197576</v>
      </c>
      <c r="R19">
        <f t="shared" si="5"/>
        <v>1.6517676902598789E-2</v>
      </c>
      <c r="S19">
        <f t="shared" si="6"/>
        <v>0.33035353805197576</v>
      </c>
      <c r="T19">
        <f t="shared" si="7"/>
        <v>66.070707610395161</v>
      </c>
    </row>
    <row r="20" spans="1:20">
      <c r="A20" t="s">
        <v>570</v>
      </c>
      <c r="B20" s="24">
        <v>42776</v>
      </c>
      <c r="C20" s="50">
        <v>1</v>
      </c>
      <c r="D20" t="s">
        <v>573</v>
      </c>
      <c r="E20">
        <v>6</v>
      </c>
      <c r="F20">
        <v>9</v>
      </c>
      <c r="H20" s="44">
        <v>5</v>
      </c>
      <c r="I20" s="104">
        <v>0.50839863274322017</v>
      </c>
      <c r="J20" s="31">
        <v>0.36499999999999999</v>
      </c>
      <c r="K20" s="104">
        <f t="shared" ref="K20" si="15">(5/H20)*I20</f>
        <v>0.50839863274322017</v>
      </c>
      <c r="M20">
        <f t="shared" si="1"/>
        <v>2.5419931637161011E-2</v>
      </c>
      <c r="N20">
        <f t="shared" si="2"/>
        <v>0.50839863274322028</v>
      </c>
      <c r="O20" s="3">
        <f t="shared" si="3"/>
        <v>101.67972654864406</v>
      </c>
      <c r="P20" s="104">
        <v>0.20470639450517558</v>
      </c>
      <c r="Q20" s="8">
        <f t="shared" si="4"/>
        <v>0.30369223823804459</v>
      </c>
      <c r="R20">
        <f t="shared" si="5"/>
        <v>1.5184611911902228E-2</v>
      </c>
      <c r="S20">
        <f t="shared" si="6"/>
        <v>0.30369223823804453</v>
      </c>
      <c r="T20">
        <f t="shared" si="7"/>
        <v>60.738447647608908</v>
      </c>
    </row>
    <row r="21" spans="1:20">
      <c r="A21" t="s">
        <v>571</v>
      </c>
      <c r="B21" s="24">
        <v>42776</v>
      </c>
      <c r="C21" s="50">
        <v>1</v>
      </c>
      <c r="D21" t="s">
        <v>574</v>
      </c>
      <c r="E21">
        <v>3</v>
      </c>
      <c r="F21">
        <v>4</v>
      </c>
      <c r="G21" t="s">
        <v>733</v>
      </c>
      <c r="H21" s="44">
        <v>5</v>
      </c>
      <c r="I21" s="104">
        <v>0.48251400628258689</v>
      </c>
      <c r="J21" s="31">
        <v>0.34300000000000003</v>
      </c>
      <c r="K21" s="104">
        <f t="shared" ref="K21:K22" si="16">(5/H21)*I21</f>
        <v>0.48251400628258689</v>
      </c>
      <c r="M21">
        <f t="shared" si="1"/>
        <v>2.4125700314129344E-2</v>
      </c>
      <c r="N21">
        <f t="shared" si="2"/>
        <v>0.48251400628258689</v>
      </c>
      <c r="O21" s="3">
        <f t="shared" si="3"/>
        <v>96.502801256517373</v>
      </c>
      <c r="P21" s="104">
        <v>0.20470639450517558</v>
      </c>
      <c r="Q21" s="8">
        <f t="shared" si="4"/>
        <v>0.27780761177741131</v>
      </c>
      <c r="R21">
        <f t="shared" si="5"/>
        <v>1.3890380588870566E-2</v>
      </c>
      <c r="S21">
        <f t="shared" si="6"/>
        <v>0.27780761177741131</v>
      </c>
      <c r="T21">
        <f t="shared" si="7"/>
        <v>55.561522355482261</v>
      </c>
    </row>
    <row r="22" spans="1:20">
      <c r="A22" t="s">
        <v>572</v>
      </c>
      <c r="B22" s="24">
        <v>42776</v>
      </c>
      <c r="C22" s="50">
        <v>1</v>
      </c>
      <c r="D22" t="s">
        <v>574</v>
      </c>
      <c r="E22">
        <v>5</v>
      </c>
      <c r="F22">
        <v>2</v>
      </c>
      <c r="G22" t="s">
        <v>733</v>
      </c>
      <c r="H22" s="44">
        <v>5</v>
      </c>
      <c r="I22" s="104">
        <v>0.42722743542613906</v>
      </c>
      <c r="J22" s="31">
        <v>0.307</v>
      </c>
      <c r="K22" s="104">
        <f t="shared" si="16"/>
        <v>0.42722743542613906</v>
      </c>
      <c r="M22">
        <f t="shared" si="1"/>
        <v>2.1361371771306953E-2</v>
      </c>
      <c r="N22">
        <f t="shared" si="2"/>
        <v>0.42722743542613906</v>
      </c>
      <c r="O22" s="3">
        <f t="shared" si="3"/>
        <v>85.445487085227811</v>
      </c>
      <c r="P22" s="104">
        <v>0.20470639450517558</v>
      </c>
      <c r="Q22" s="8">
        <f t="shared" si="4"/>
        <v>0.22252104092096348</v>
      </c>
      <c r="R22">
        <f t="shared" si="5"/>
        <v>1.1126052046048173E-2</v>
      </c>
      <c r="S22">
        <f t="shared" si="6"/>
        <v>0.22252104092096345</v>
      </c>
      <c r="T22">
        <f t="shared" si="7"/>
        <v>44.504208184192692</v>
      </c>
    </row>
    <row r="23" spans="1:20">
      <c r="A23" t="s">
        <v>660</v>
      </c>
      <c r="B23" s="24">
        <v>42787</v>
      </c>
      <c r="C23" s="50">
        <v>1</v>
      </c>
      <c r="D23" t="s">
        <v>574</v>
      </c>
      <c r="E23">
        <v>9</v>
      </c>
      <c r="F23">
        <v>6</v>
      </c>
      <c r="H23" s="44">
        <v>5</v>
      </c>
      <c r="I23" s="104">
        <v>0.40129395307433069</v>
      </c>
      <c r="J23" s="31">
        <v>0.28899999999999998</v>
      </c>
      <c r="K23" s="104">
        <f t="shared" ref="K23:K25" si="17">(5/H23)*I23</f>
        <v>0.40129395307433069</v>
      </c>
      <c r="M23">
        <f t="shared" si="1"/>
        <v>2.0064697653716535E-2</v>
      </c>
      <c r="N23">
        <f t="shared" si="2"/>
        <v>0.40129395307433069</v>
      </c>
      <c r="O23" s="3">
        <f t="shared" si="3"/>
        <v>80.258790614866143</v>
      </c>
      <c r="P23" s="104">
        <v>0.24813696191263426</v>
      </c>
      <c r="Q23" s="8">
        <f t="shared" si="4"/>
        <v>0.15315699116169643</v>
      </c>
      <c r="R23">
        <f t="shared" si="5"/>
        <v>7.657849558084821E-3</v>
      </c>
      <c r="S23">
        <f t="shared" si="6"/>
        <v>0.15315699116169643</v>
      </c>
      <c r="T23">
        <f t="shared" si="7"/>
        <v>30.631398232339283</v>
      </c>
    </row>
    <row r="24" spans="1:20">
      <c r="A24" t="s">
        <v>661</v>
      </c>
      <c r="B24" s="24">
        <v>42787</v>
      </c>
      <c r="C24" s="50">
        <v>1</v>
      </c>
      <c r="D24" t="s">
        <v>574</v>
      </c>
      <c r="E24">
        <v>12</v>
      </c>
      <c r="F24">
        <v>12</v>
      </c>
      <c r="H24" s="44">
        <v>5</v>
      </c>
      <c r="I24" s="104">
        <v>0.4316493927640363</v>
      </c>
      <c r="J24" s="31">
        <v>0.311</v>
      </c>
      <c r="K24" s="104">
        <f t="shared" si="17"/>
        <v>0.4316493927640363</v>
      </c>
      <c r="M24">
        <f t="shared" si="1"/>
        <v>2.1582469638201814E-2</v>
      </c>
      <c r="N24">
        <f t="shared" si="2"/>
        <v>0.4316493927640363</v>
      </c>
      <c r="O24" s="3">
        <f t="shared" si="3"/>
        <v>86.329878552807259</v>
      </c>
      <c r="P24" s="104">
        <v>0.24813696191263426</v>
      </c>
      <c r="Q24" s="8">
        <f t="shared" si="4"/>
        <v>0.18351243085140204</v>
      </c>
      <c r="R24">
        <f t="shared" si="5"/>
        <v>9.1756215425701018E-3</v>
      </c>
      <c r="S24">
        <f t="shared" si="6"/>
        <v>0.18351243085140204</v>
      </c>
      <c r="T24">
        <f t="shared" si="7"/>
        <v>36.702486170280409</v>
      </c>
    </row>
    <row r="25" spans="1:20">
      <c r="A25" t="s">
        <v>662</v>
      </c>
      <c r="B25" s="24">
        <v>42787</v>
      </c>
      <c r="C25" s="50">
        <v>2</v>
      </c>
      <c r="D25" t="s">
        <v>676</v>
      </c>
      <c r="E25">
        <v>4</v>
      </c>
      <c r="F25">
        <v>20</v>
      </c>
      <c r="G25" t="s">
        <v>787</v>
      </c>
      <c r="H25" s="44">
        <v>5</v>
      </c>
      <c r="I25" s="104">
        <v>0.43842346264228821</v>
      </c>
      <c r="J25" s="31">
        <v>0.315</v>
      </c>
      <c r="K25" s="104">
        <f t="shared" si="17"/>
        <v>0.43842346264228821</v>
      </c>
      <c r="M25">
        <f t="shared" si="1"/>
        <v>2.1921173132114412E-2</v>
      </c>
      <c r="N25">
        <f t="shared" si="2"/>
        <v>0.43842346264228821</v>
      </c>
      <c r="O25" s="3">
        <f t="shared" si="3"/>
        <v>87.684692528457646</v>
      </c>
      <c r="P25" s="104">
        <v>0.24813696191263426</v>
      </c>
      <c r="Q25" s="8">
        <f t="shared" si="4"/>
        <v>0.19028650072965395</v>
      </c>
      <c r="R25">
        <f t="shared" si="5"/>
        <v>9.5143250364826959E-3</v>
      </c>
      <c r="S25">
        <f t="shared" si="6"/>
        <v>0.19028650072965392</v>
      </c>
      <c r="T25">
        <f t="shared" si="7"/>
        <v>38.057300145930782</v>
      </c>
    </row>
    <row r="26" spans="1:20">
      <c r="A26" t="s">
        <v>677</v>
      </c>
      <c r="B26" s="24">
        <v>42794</v>
      </c>
      <c r="C26" s="50">
        <v>1</v>
      </c>
      <c r="D26" t="s">
        <v>574</v>
      </c>
      <c r="E26">
        <v>1</v>
      </c>
      <c r="F26">
        <v>15</v>
      </c>
      <c r="H26" s="44">
        <v>5</v>
      </c>
      <c r="I26" s="104">
        <v>0.48954143592732918</v>
      </c>
      <c r="J26" s="31">
        <v>0.34799999999999998</v>
      </c>
      <c r="K26" s="104">
        <f t="shared" ref="K26:K27" si="18">(5/H26)*I26</f>
        <v>0.48954143592732918</v>
      </c>
      <c r="M26">
        <f t="shared" si="1"/>
        <v>2.4477071796366458E-2</v>
      </c>
      <c r="N26">
        <f t="shared" si="2"/>
        <v>0.48954143592732913</v>
      </c>
      <c r="O26" s="3">
        <f t="shared" si="3"/>
        <v>97.908287185465824</v>
      </c>
      <c r="P26" s="104">
        <v>0.21730192512334334</v>
      </c>
      <c r="Q26" s="8">
        <f t="shared" si="4"/>
        <v>0.27223951080398584</v>
      </c>
      <c r="R26">
        <f t="shared" si="5"/>
        <v>1.3611975540199292E-2</v>
      </c>
      <c r="S26">
        <f t="shared" si="6"/>
        <v>0.27223951080398584</v>
      </c>
      <c r="T26">
        <f t="shared" si="7"/>
        <v>54.447902160797163</v>
      </c>
    </row>
    <row r="27" spans="1:20">
      <c r="A27" t="s">
        <v>678</v>
      </c>
      <c r="B27" s="24">
        <v>42794</v>
      </c>
      <c r="C27" s="50">
        <v>1</v>
      </c>
      <c r="D27" t="s">
        <v>574</v>
      </c>
      <c r="E27">
        <v>4</v>
      </c>
      <c r="F27">
        <v>17</v>
      </c>
      <c r="H27" s="44">
        <v>5</v>
      </c>
      <c r="I27" s="104">
        <v>0.63715294572893488</v>
      </c>
      <c r="J27" s="31">
        <v>0.45700000000000002</v>
      </c>
      <c r="K27" s="104">
        <f t="shared" si="18"/>
        <v>0.63715294572893488</v>
      </c>
      <c r="M27">
        <f t="shared" si="1"/>
        <v>3.1857647286446744E-2</v>
      </c>
      <c r="N27">
        <f t="shared" si="2"/>
        <v>0.63715294572893488</v>
      </c>
      <c r="O27" s="3">
        <f t="shared" si="3"/>
        <v>127.43058914578698</v>
      </c>
      <c r="P27" s="104">
        <v>0.21730192512334334</v>
      </c>
      <c r="Q27" s="8">
        <f t="shared" si="4"/>
        <v>0.41985102060559154</v>
      </c>
      <c r="R27">
        <f t="shared" si="5"/>
        <v>2.0992551030279579E-2</v>
      </c>
      <c r="S27">
        <f t="shared" si="6"/>
        <v>0.4198510206055916</v>
      </c>
      <c r="T27">
        <f t="shared" si="7"/>
        <v>83.970204121118314</v>
      </c>
    </row>
    <row r="28" spans="1:20">
      <c r="A28" t="s">
        <v>679</v>
      </c>
      <c r="B28" s="24">
        <v>42794</v>
      </c>
      <c r="C28" s="50">
        <v>2</v>
      </c>
      <c r="D28" t="s">
        <v>686</v>
      </c>
      <c r="E28">
        <v>5</v>
      </c>
      <c r="F28">
        <v>15</v>
      </c>
      <c r="H28" s="44">
        <v>5</v>
      </c>
      <c r="I28" s="104">
        <v>0.5293911837734997</v>
      </c>
      <c r="J28" s="31">
        <v>0.38</v>
      </c>
      <c r="K28" s="104">
        <f t="shared" ref="K28" si="19">(5/H28)*I28</f>
        <v>0.5293911837734997</v>
      </c>
      <c r="M28">
        <f t="shared" si="1"/>
        <v>2.6469559188674986E-2</v>
      </c>
      <c r="N28">
        <f t="shared" si="2"/>
        <v>0.5293911837734997</v>
      </c>
      <c r="O28" s="3">
        <f t="shared" si="3"/>
        <v>105.87823675469994</v>
      </c>
      <c r="P28" s="104">
        <v>0.21730192512334334</v>
      </c>
      <c r="Q28" s="8">
        <f t="shared" si="4"/>
        <v>0.31208925865015635</v>
      </c>
      <c r="R28">
        <f t="shared" si="5"/>
        <v>1.5604462932507817E-2</v>
      </c>
      <c r="S28">
        <f t="shared" si="6"/>
        <v>0.31208925865015635</v>
      </c>
      <c r="T28">
        <f t="shared" si="7"/>
        <v>62.417851730031266</v>
      </c>
    </row>
    <row r="29" spans="1:20">
      <c r="A29" t="s">
        <v>683</v>
      </c>
      <c r="B29" s="24">
        <v>42795</v>
      </c>
      <c r="C29" s="50">
        <v>1</v>
      </c>
      <c r="D29" t="s">
        <v>574</v>
      </c>
      <c r="E29">
        <v>6</v>
      </c>
      <c r="F29">
        <v>12</v>
      </c>
      <c r="H29" s="44">
        <v>5</v>
      </c>
      <c r="I29" s="104">
        <v>0.57837380284415207</v>
      </c>
      <c r="J29" s="31">
        <v>0.41499999999999998</v>
      </c>
      <c r="K29" s="104">
        <f t="shared" ref="K29:K30" si="20">(5/H29)*I29</f>
        <v>0.57837380284415207</v>
      </c>
      <c r="M29">
        <f t="shared" si="1"/>
        <v>2.89186901422076E-2</v>
      </c>
      <c r="N29">
        <f t="shared" si="2"/>
        <v>0.57837380284415196</v>
      </c>
      <c r="O29" s="3">
        <f t="shared" si="3"/>
        <v>115.67476056883039</v>
      </c>
      <c r="P29" s="104">
        <v>0.25368901357582796</v>
      </c>
      <c r="Q29" s="8">
        <f t="shared" si="4"/>
        <v>0.32468478926832411</v>
      </c>
      <c r="R29">
        <f t="shared" si="5"/>
        <v>1.6234239463416206E-2</v>
      </c>
      <c r="S29">
        <f t="shared" si="6"/>
        <v>0.32468478926832411</v>
      </c>
      <c r="T29">
        <f t="shared" si="7"/>
        <v>64.936957853664822</v>
      </c>
    </row>
    <row r="30" spans="1:20">
      <c r="A30" t="s">
        <v>682</v>
      </c>
      <c r="B30" s="24">
        <v>42795</v>
      </c>
      <c r="C30" s="50">
        <v>1</v>
      </c>
      <c r="D30" t="s">
        <v>574</v>
      </c>
      <c r="E30">
        <v>4</v>
      </c>
      <c r="F30">
        <v>19</v>
      </c>
      <c r="H30" s="44">
        <v>5</v>
      </c>
      <c r="I30" s="104">
        <v>0.54618522459772334</v>
      </c>
      <c r="J30" s="31">
        <v>0.39200000000000002</v>
      </c>
      <c r="K30" s="104">
        <f t="shared" si="20"/>
        <v>0.54618522459772334</v>
      </c>
      <c r="M30">
        <f t="shared" si="1"/>
        <v>2.7309261229886167E-2</v>
      </c>
      <c r="N30">
        <f t="shared" si="2"/>
        <v>0.54618522459772334</v>
      </c>
      <c r="O30" s="3">
        <f t="shared" si="3"/>
        <v>109.23704491954467</v>
      </c>
      <c r="P30" s="104">
        <v>0.25368901357582796</v>
      </c>
      <c r="Q30" s="8">
        <f t="shared" si="4"/>
        <v>0.29249621102189538</v>
      </c>
      <c r="R30">
        <f t="shared" si="5"/>
        <v>1.4624810551094769E-2</v>
      </c>
      <c r="S30">
        <f t="shared" si="6"/>
        <v>0.29249621102189538</v>
      </c>
      <c r="T30">
        <f t="shared" si="7"/>
        <v>58.499242204379073</v>
      </c>
    </row>
    <row r="31" spans="1:20">
      <c r="A31" t="s">
        <v>681</v>
      </c>
      <c r="B31" s="24">
        <v>42795</v>
      </c>
      <c r="C31" s="50">
        <v>1</v>
      </c>
      <c r="D31" t="s">
        <v>574</v>
      </c>
      <c r="E31">
        <v>3</v>
      </c>
      <c r="F31">
        <v>7</v>
      </c>
      <c r="H31" s="44">
        <v>5</v>
      </c>
      <c r="I31" s="104">
        <v>0.51484018264840181</v>
      </c>
      <c r="J31" s="31">
        <v>0.36599999999999999</v>
      </c>
      <c r="K31" s="104">
        <f t="shared" ref="K31" si="21">(5/H31)*I31</f>
        <v>0.51484018264840181</v>
      </c>
      <c r="M31">
        <f t="shared" si="1"/>
        <v>2.5742009132420092E-2</v>
      </c>
      <c r="N31">
        <f t="shared" si="2"/>
        <v>0.51484018264840192</v>
      </c>
      <c r="O31" s="3">
        <f t="shared" si="3"/>
        <v>102.96803652968038</v>
      </c>
      <c r="P31" s="104">
        <v>0.25368901357582796</v>
      </c>
      <c r="Q31" s="8">
        <f t="shared" si="4"/>
        <v>0.26115116907257385</v>
      </c>
      <c r="R31">
        <f t="shared" si="5"/>
        <v>1.3057558453628692E-2</v>
      </c>
      <c r="S31">
        <f t="shared" si="6"/>
        <v>0.26115116907257385</v>
      </c>
      <c r="T31">
        <f t="shared" si="7"/>
        <v>52.230233814514769</v>
      </c>
    </row>
    <row r="32" spans="1:20">
      <c r="A32" t="s">
        <v>693</v>
      </c>
      <c r="B32" s="24">
        <v>42798</v>
      </c>
      <c r="C32" s="50">
        <v>1</v>
      </c>
      <c r="D32" t="s">
        <v>574</v>
      </c>
      <c r="E32">
        <v>2</v>
      </c>
      <c r="F32">
        <v>14</v>
      </c>
      <c r="H32" s="44">
        <v>5</v>
      </c>
      <c r="I32" s="104">
        <v>0.43332199876939015</v>
      </c>
      <c r="J32" s="31">
        <v>0.308</v>
      </c>
      <c r="K32" s="104">
        <f t="shared" ref="K32" si="22">(5/H32)*I32</f>
        <v>0.43332199876939015</v>
      </c>
      <c r="M32">
        <f t="shared" si="1"/>
        <v>2.1666099938469508E-2</v>
      </c>
      <c r="N32">
        <f t="shared" si="2"/>
        <v>0.43332199876939015</v>
      </c>
      <c r="O32" s="3">
        <f t="shared" si="3"/>
        <v>86.66439975387803</v>
      </c>
      <c r="P32" s="104">
        <v>0.15992228564057914</v>
      </c>
      <c r="Q32" s="8">
        <f t="shared" si="4"/>
        <v>0.27339971312881101</v>
      </c>
      <c r="R32">
        <f t="shared" si="5"/>
        <v>1.366998565644055E-2</v>
      </c>
      <c r="S32">
        <f t="shared" si="6"/>
        <v>0.27339971312881101</v>
      </c>
      <c r="T32">
        <f t="shared" si="7"/>
        <v>54.679942625762202</v>
      </c>
    </row>
    <row r="33" spans="1:20">
      <c r="A33" t="s">
        <v>694</v>
      </c>
      <c r="B33" s="24">
        <v>42798</v>
      </c>
      <c r="C33" s="50">
        <v>1</v>
      </c>
      <c r="D33" t="s">
        <v>574</v>
      </c>
      <c r="E33">
        <v>1</v>
      </c>
      <c r="F33">
        <v>14</v>
      </c>
      <c r="H33" s="44">
        <v>5</v>
      </c>
      <c r="I33" s="104">
        <v>0.47829754849574146</v>
      </c>
      <c r="J33" s="31">
        <v>0.34</v>
      </c>
      <c r="K33" s="104">
        <f t="shared" ref="K33:K34" si="23">(5/H33)*I33</f>
        <v>0.47829754849574146</v>
      </c>
      <c r="M33">
        <f t="shared" si="1"/>
        <v>2.3914877424787075E-2</v>
      </c>
      <c r="N33">
        <f t="shared" si="2"/>
        <v>0.47829754849574146</v>
      </c>
      <c r="O33" s="3">
        <f t="shared" si="3"/>
        <v>95.659509699148302</v>
      </c>
      <c r="P33" s="104">
        <v>0.15992228564057914</v>
      </c>
      <c r="Q33" s="8">
        <f t="shared" si="4"/>
        <v>0.31837526285516232</v>
      </c>
      <c r="R33">
        <f t="shared" si="5"/>
        <v>1.5918763142758117E-2</v>
      </c>
      <c r="S33">
        <f t="shared" si="6"/>
        <v>0.31837526285516232</v>
      </c>
      <c r="T33">
        <f t="shared" si="7"/>
        <v>63.675052571032467</v>
      </c>
    </row>
    <row r="34" spans="1:20">
      <c r="A34" t="s">
        <v>695</v>
      </c>
      <c r="B34" s="24">
        <v>42798</v>
      </c>
      <c r="C34" s="50">
        <v>1</v>
      </c>
      <c r="D34" t="s">
        <v>574</v>
      </c>
      <c r="E34">
        <v>4</v>
      </c>
      <c r="F34">
        <v>7</v>
      </c>
      <c r="H34" s="44">
        <v>5</v>
      </c>
      <c r="I34" s="104">
        <v>0.52379317016542515</v>
      </c>
      <c r="J34" s="31">
        <v>0.376</v>
      </c>
      <c r="K34" s="104">
        <f t="shared" si="23"/>
        <v>0.52379317016542515</v>
      </c>
      <c r="M34">
        <f t="shared" si="1"/>
        <v>2.6189658508271259E-2</v>
      </c>
      <c r="N34">
        <f t="shared" si="2"/>
        <v>0.52379317016542515</v>
      </c>
      <c r="O34" s="3">
        <f t="shared" si="3"/>
        <v>104.75863403308503</v>
      </c>
      <c r="P34" s="104">
        <v>0.15992228564057914</v>
      </c>
      <c r="Q34" s="8">
        <f t="shared" si="4"/>
        <v>0.36387088452484601</v>
      </c>
      <c r="R34">
        <f t="shared" si="5"/>
        <v>1.8193544226242302E-2</v>
      </c>
      <c r="S34">
        <f t="shared" si="6"/>
        <v>0.36387088452484601</v>
      </c>
      <c r="T34">
        <f t="shared" si="7"/>
        <v>72.77417690496921</v>
      </c>
    </row>
    <row r="35" spans="1:20">
      <c r="A35" t="s">
        <v>705</v>
      </c>
      <c r="B35" s="24">
        <v>42818</v>
      </c>
      <c r="C35" s="50">
        <v>1</v>
      </c>
      <c r="D35" t="s">
        <v>574</v>
      </c>
      <c r="E35">
        <v>3</v>
      </c>
      <c r="F35">
        <v>2</v>
      </c>
      <c r="H35" s="44">
        <v>5</v>
      </c>
      <c r="I35" s="104">
        <v>0.36304770232196637</v>
      </c>
      <c r="J35" s="31">
        <v>0.25800000000000001</v>
      </c>
      <c r="K35" s="104">
        <f t="shared" ref="K35" si="24">(5/H35)*I35</f>
        <v>0.36304770232196637</v>
      </c>
      <c r="M35">
        <f t="shared" si="1"/>
        <v>1.8152385116098319E-2</v>
      </c>
      <c r="N35">
        <f t="shared" si="2"/>
        <v>0.36304770232196637</v>
      </c>
      <c r="O35" s="3">
        <f t="shared" si="3"/>
        <v>72.609540464393277</v>
      </c>
      <c r="P35" s="104">
        <v>0.15503578483759187</v>
      </c>
      <c r="Q35" s="8">
        <f t="shared" si="4"/>
        <v>0.2080119174843745</v>
      </c>
      <c r="R35">
        <f t="shared" si="5"/>
        <v>1.0400595874218726E-2</v>
      </c>
      <c r="S35">
        <f t="shared" si="6"/>
        <v>0.2080119174843745</v>
      </c>
      <c r="T35">
        <f t="shared" si="7"/>
        <v>41.6023834968749</v>
      </c>
    </row>
    <row r="36" spans="1:20">
      <c r="A36" t="s">
        <v>706</v>
      </c>
      <c r="B36" s="24">
        <v>42818</v>
      </c>
      <c r="C36" s="50">
        <v>1</v>
      </c>
      <c r="D36" t="s">
        <v>574</v>
      </c>
      <c r="E36">
        <v>2</v>
      </c>
      <c r="F36">
        <v>8</v>
      </c>
      <c r="H36" s="44">
        <v>5</v>
      </c>
      <c r="I36" s="104">
        <v>0.3742915897535542</v>
      </c>
      <c r="J36" s="31">
        <v>0.26600000000000001</v>
      </c>
      <c r="K36" s="104">
        <f t="shared" ref="K36:K38" si="25">(5/H36)*I36</f>
        <v>0.3742915897535542</v>
      </c>
      <c r="M36">
        <f t="shared" si="1"/>
        <v>1.8714579487677709E-2</v>
      </c>
      <c r="N36">
        <f t="shared" si="2"/>
        <v>0.3742915897535542</v>
      </c>
      <c r="O36" s="3">
        <f t="shared" si="3"/>
        <v>74.858317950710841</v>
      </c>
      <c r="P36" s="104">
        <v>0.15503578483759187</v>
      </c>
      <c r="Q36" s="8">
        <f t="shared" si="4"/>
        <v>0.21925580491596233</v>
      </c>
      <c r="R36">
        <f t="shared" si="5"/>
        <v>1.0962790245798116E-2</v>
      </c>
      <c r="S36">
        <f t="shared" si="6"/>
        <v>0.21925580491596233</v>
      </c>
      <c r="T36">
        <f t="shared" si="7"/>
        <v>43.851160983192464</v>
      </c>
    </row>
    <row r="37" spans="1:20">
      <c r="A37" t="s">
        <v>716</v>
      </c>
      <c r="B37" s="24">
        <v>42823</v>
      </c>
      <c r="C37" s="50">
        <v>1</v>
      </c>
      <c r="D37" t="s">
        <v>574</v>
      </c>
      <c r="E37">
        <v>5</v>
      </c>
      <c r="F37">
        <v>3</v>
      </c>
      <c r="H37" s="44">
        <v>5</v>
      </c>
      <c r="I37" s="104">
        <v>0.47061204088871694</v>
      </c>
      <c r="J37" s="31">
        <v>0.33800000000000002</v>
      </c>
      <c r="K37" s="104">
        <f t="shared" si="25"/>
        <v>0.47061204088871694</v>
      </c>
      <c r="M37">
        <f t="shared" si="1"/>
        <v>2.3530602044435845E-2</v>
      </c>
      <c r="N37">
        <f t="shared" si="2"/>
        <v>0.47061204088871694</v>
      </c>
      <c r="O37" s="3">
        <f t="shared" si="3"/>
        <v>94.122408177743395</v>
      </c>
      <c r="P37" s="104">
        <v>0.25089000677179063</v>
      </c>
      <c r="Q37" s="8">
        <f t="shared" si="4"/>
        <v>0.21972203411692631</v>
      </c>
      <c r="R37">
        <f t="shared" si="5"/>
        <v>1.0986101705846315E-2</v>
      </c>
      <c r="S37">
        <f t="shared" si="6"/>
        <v>0.21972203411692631</v>
      </c>
      <c r="T37">
        <f t="shared" si="7"/>
        <v>43.944406823385258</v>
      </c>
    </row>
    <row r="38" spans="1:20">
      <c r="A38" t="s">
        <v>717</v>
      </c>
      <c r="B38" s="24">
        <v>42823</v>
      </c>
      <c r="C38" s="50">
        <v>1</v>
      </c>
      <c r="D38" t="s">
        <v>719</v>
      </c>
      <c r="E38">
        <v>5</v>
      </c>
      <c r="F38">
        <v>7</v>
      </c>
      <c r="G38" t="s">
        <v>760</v>
      </c>
      <c r="H38" s="44">
        <v>5</v>
      </c>
      <c r="I38" s="104">
        <v>0.51679565315533194</v>
      </c>
      <c r="J38" s="31">
        <v>0.371</v>
      </c>
      <c r="K38" s="104">
        <f t="shared" si="25"/>
        <v>0.51679565315533194</v>
      </c>
      <c r="M38">
        <f t="shared" si="1"/>
        <v>2.5839782657766597E-2</v>
      </c>
      <c r="N38">
        <f t="shared" si="2"/>
        <v>0.51679565315533194</v>
      </c>
      <c r="O38" s="3">
        <f t="shared" si="3"/>
        <v>103.35913063106639</v>
      </c>
      <c r="P38" s="104">
        <v>0.25089000677179063</v>
      </c>
      <c r="Q38" s="8">
        <f t="shared" si="4"/>
        <v>0.26590564638354131</v>
      </c>
      <c r="R38">
        <f t="shared" si="5"/>
        <v>1.3295282319177065E-2</v>
      </c>
      <c r="S38">
        <f t="shared" si="6"/>
        <v>0.26590564638354131</v>
      </c>
      <c r="T38">
        <f t="shared" si="7"/>
        <v>53.181129276708262</v>
      </c>
    </row>
    <row r="39" spans="1:20" s="4" customFormat="1">
      <c r="A39" s="4" t="s">
        <v>718</v>
      </c>
      <c r="B39" s="48">
        <v>42823</v>
      </c>
      <c r="C39" s="129">
        <v>1</v>
      </c>
      <c r="D39" s="4" t="s">
        <v>720</v>
      </c>
      <c r="E39" s="4">
        <v>3</v>
      </c>
      <c r="F39" s="4">
        <v>18</v>
      </c>
      <c r="G39" s="4" t="s">
        <v>720</v>
      </c>
      <c r="H39" s="37">
        <v>5</v>
      </c>
      <c r="I39" s="102">
        <v>0.49516337964312307</v>
      </c>
      <c r="J39" s="32">
        <v>0.35199999999999998</v>
      </c>
      <c r="K39" s="102">
        <f t="shared" ref="K39:K45" si="26">(5/H39)*I39</f>
        <v>0.49516337964312307</v>
      </c>
      <c r="M39" s="4">
        <f t="shared" si="1"/>
        <v>2.4758168982156156E-2</v>
      </c>
      <c r="N39" s="4">
        <f t="shared" si="2"/>
        <v>0.49516337964312312</v>
      </c>
      <c r="O39" s="4">
        <f t="shared" si="3"/>
        <v>99.032675928624627</v>
      </c>
      <c r="P39" s="102">
        <v>0.25089000677179063</v>
      </c>
      <c r="Q39" s="4">
        <f t="shared" si="4"/>
        <v>0.24427337287133244</v>
      </c>
      <c r="R39" s="4">
        <f t="shared" si="5"/>
        <v>1.2213668643566621E-2</v>
      </c>
      <c r="S39" s="4">
        <f t="shared" si="6"/>
        <v>0.24427337287133238</v>
      </c>
      <c r="T39" s="4">
        <f t="shared" si="7"/>
        <v>48.854674574266475</v>
      </c>
    </row>
    <row r="40" spans="1:20" s="8" customFormat="1">
      <c r="A40" s="6" t="s">
        <v>1114</v>
      </c>
      <c r="B40" s="24">
        <v>42998</v>
      </c>
      <c r="C40" s="207"/>
      <c r="E40">
        <v>14</v>
      </c>
      <c r="F40">
        <v>12</v>
      </c>
      <c r="G40"/>
      <c r="H40">
        <v>5</v>
      </c>
      <c r="I40" s="104">
        <v>0.29549907754946242</v>
      </c>
      <c r="J40" s="31">
        <v>0.216</v>
      </c>
      <c r="K40">
        <f t="shared" si="26"/>
        <v>0.29549907754946242</v>
      </c>
      <c r="P40" s="55"/>
    </row>
    <row r="41" spans="1:20" s="8" customFormat="1">
      <c r="A41" s="6" t="s">
        <v>1114</v>
      </c>
      <c r="B41" s="24">
        <v>42998</v>
      </c>
      <c r="C41" s="207"/>
      <c r="E41">
        <v>14</v>
      </c>
      <c r="F41">
        <v>13</v>
      </c>
      <c r="G41"/>
      <c r="H41">
        <v>5</v>
      </c>
      <c r="I41" s="104">
        <v>0.31206501685857879</v>
      </c>
      <c r="J41" s="31">
        <v>0.22800000000000001</v>
      </c>
      <c r="K41">
        <f t="shared" si="26"/>
        <v>0.31206501685857879</v>
      </c>
      <c r="P41" s="55"/>
    </row>
    <row r="42" spans="1:20" s="8" customFormat="1">
      <c r="A42" s="6" t="s">
        <v>1114</v>
      </c>
      <c r="B42" s="24">
        <v>42998</v>
      </c>
      <c r="C42" s="207"/>
      <c r="E42">
        <v>14</v>
      </c>
      <c r="F42">
        <v>14</v>
      </c>
      <c r="G42"/>
      <c r="H42">
        <v>5</v>
      </c>
      <c r="I42" s="104">
        <v>0.30378204720402063</v>
      </c>
      <c r="J42" s="31">
        <v>0.222</v>
      </c>
      <c r="K42">
        <f t="shared" si="26"/>
        <v>0.30378204720402063</v>
      </c>
      <c r="P42" s="55"/>
    </row>
    <row r="43" spans="1:20" s="8" customFormat="1">
      <c r="A43" s="6" t="s">
        <v>1114</v>
      </c>
      <c r="B43" s="26">
        <v>43017</v>
      </c>
      <c r="C43" s="207"/>
      <c r="E43">
        <v>15</v>
      </c>
      <c r="F43">
        <v>40</v>
      </c>
      <c r="G43"/>
      <c r="H43">
        <v>5</v>
      </c>
      <c r="I43" s="104">
        <v>0.34657739041923791</v>
      </c>
      <c r="J43" s="31">
        <v>0.253</v>
      </c>
      <c r="K43">
        <f t="shared" si="26"/>
        <v>0.34657739041923791</v>
      </c>
      <c r="P43" s="55"/>
    </row>
    <row r="44" spans="1:20" s="8" customFormat="1">
      <c r="A44" s="6" t="s">
        <v>1114</v>
      </c>
      <c r="B44" s="26">
        <v>43017</v>
      </c>
      <c r="C44" s="207"/>
      <c r="E44">
        <v>16</v>
      </c>
      <c r="F44">
        <v>45</v>
      </c>
      <c r="G44"/>
      <c r="H44">
        <v>5</v>
      </c>
      <c r="I44" s="104">
        <v>0.34933838030409065</v>
      </c>
      <c r="J44" s="31">
        <v>0.255</v>
      </c>
      <c r="K44">
        <f t="shared" si="26"/>
        <v>0.34933838030409065</v>
      </c>
      <c r="L44" s="3"/>
      <c r="P44" s="55"/>
    </row>
    <row r="45" spans="1:20" s="4" customFormat="1">
      <c r="A45" s="7" t="s">
        <v>1114</v>
      </c>
      <c r="B45" s="48">
        <v>43017</v>
      </c>
      <c r="C45" s="129"/>
      <c r="E45" s="4">
        <v>16</v>
      </c>
      <c r="F45" s="4">
        <v>46</v>
      </c>
      <c r="H45" s="4">
        <v>5</v>
      </c>
      <c r="I45" s="102">
        <v>0.39213372351930781</v>
      </c>
      <c r="J45" s="32">
        <v>0.28599999999999998</v>
      </c>
      <c r="K45" s="4">
        <f t="shared" si="26"/>
        <v>0.39213372351930781</v>
      </c>
      <c r="L45" s="5"/>
      <c r="P45" s="102"/>
    </row>
    <row r="48" spans="1:20">
      <c r="A48" t="s">
        <v>500</v>
      </c>
      <c r="B48" s="24">
        <v>42753</v>
      </c>
      <c r="C48" s="50">
        <v>1</v>
      </c>
      <c r="D48" t="s">
        <v>501</v>
      </c>
      <c r="E48">
        <v>9</v>
      </c>
      <c r="F48">
        <v>1</v>
      </c>
      <c r="H48" s="44">
        <v>5</v>
      </c>
      <c r="I48" s="104">
        <v>0.14327271571183312</v>
      </c>
      <c r="J48" s="31">
        <v>0.10199999999999999</v>
      </c>
      <c r="K48" s="104">
        <f t="shared" ref="K48:K49" si="27">(5/H48)*I48</f>
        <v>0.14327271571183312</v>
      </c>
    </row>
    <row r="49" spans="1:12">
      <c r="A49" t="s">
        <v>500</v>
      </c>
      <c r="B49" s="24">
        <v>42760</v>
      </c>
      <c r="C49" s="50">
        <v>2</v>
      </c>
      <c r="E49">
        <v>12</v>
      </c>
      <c r="F49">
        <v>2</v>
      </c>
      <c r="H49" s="44">
        <v>5</v>
      </c>
      <c r="I49" s="104">
        <v>0.24951675462580272</v>
      </c>
      <c r="J49" s="31">
        <v>0.17899999999999999</v>
      </c>
      <c r="K49" s="104">
        <f t="shared" si="27"/>
        <v>0.24951675462580272</v>
      </c>
    </row>
    <row r="50" spans="1:12">
      <c r="A50" t="s">
        <v>500</v>
      </c>
      <c r="B50" s="24">
        <v>42765</v>
      </c>
      <c r="C50" s="50">
        <v>1</v>
      </c>
      <c r="E50">
        <v>9</v>
      </c>
      <c r="F50">
        <v>9</v>
      </c>
      <c r="G50" t="s">
        <v>785</v>
      </c>
      <c r="H50" s="44">
        <v>5</v>
      </c>
      <c r="I50" s="104">
        <v>0.14465250842500155</v>
      </c>
      <c r="J50" s="31">
        <v>0.10299999999999999</v>
      </c>
      <c r="K50" s="104">
        <f t="shared" ref="K50:K52" si="28">(5/H50)*I50</f>
        <v>0.14465250842500155</v>
      </c>
    </row>
    <row r="51" spans="1:12">
      <c r="A51" t="s">
        <v>500</v>
      </c>
      <c r="B51" s="24">
        <v>42767</v>
      </c>
      <c r="C51" s="50">
        <v>1</v>
      </c>
      <c r="E51">
        <v>11</v>
      </c>
      <c r="F51">
        <v>19</v>
      </c>
      <c r="H51" s="44">
        <v>5</v>
      </c>
      <c r="I51" s="104">
        <v>0.17086856997520183</v>
      </c>
      <c r="J51" s="31">
        <v>0.122</v>
      </c>
      <c r="K51" s="104">
        <f t="shared" si="28"/>
        <v>0.17086856997520183</v>
      </c>
    </row>
    <row r="52" spans="1:12">
      <c r="A52" t="s">
        <v>523</v>
      </c>
      <c r="B52" s="24">
        <v>42768</v>
      </c>
      <c r="C52" s="50">
        <v>1</v>
      </c>
      <c r="E52">
        <v>13</v>
      </c>
      <c r="F52">
        <v>2</v>
      </c>
      <c r="H52" s="44">
        <v>5</v>
      </c>
      <c r="I52" s="104">
        <v>0.19432504609906529</v>
      </c>
      <c r="J52" s="31">
        <v>0.13900000000000001</v>
      </c>
      <c r="K52" s="104">
        <f t="shared" si="28"/>
        <v>0.19432504609906529</v>
      </c>
    </row>
    <row r="53" spans="1:12">
      <c r="A53" t="s">
        <v>500</v>
      </c>
      <c r="B53" s="24">
        <v>42776</v>
      </c>
      <c r="C53" s="50">
        <v>1</v>
      </c>
      <c r="E53">
        <v>6</v>
      </c>
      <c r="F53">
        <v>10</v>
      </c>
      <c r="H53" s="44">
        <v>5</v>
      </c>
      <c r="I53" s="104">
        <v>0.20470639450517558</v>
      </c>
      <c r="J53" s="31">
        <v>0.14799999999999999</v>
      </c>
      <c r="K53" s="104">
        <f>(5/H53)*I53</f>
        <v>0.20470639450517558</v>
      </c>
    </row>
    <row r="54" spans="1:12">
      <c r="A54" t="s">
        <v>500</v>
      </c>
      <c r="B54" s="24">
        <v>42787</v>
      </c>
      <c r="C54" s="50">
        <v>1</v>
      </c>
      <c r="E54">
        <v>10</v>
      </c>
      <c r="F54">
        <v>12</v>
      </c>
      <c r="H54" s="44">
        <v>5</v>
      </c>
      <c r="I54" s="104">
        <v>0.24813696191263426</v>
      </c>
      <c r="J54" s="31">
        <v>0.17799999999999999</v>
      </c>
      <c r="K54" s="104">
        <f t="shared" ref="K54" si="29">(5/H54)*I54</f>
        <v>0.24813696191263426</v>
      </c>
    </row>
    <row r="55" spans="1:12">
      <c r="A55" t="s">
        <v>500</v>
      </c>
      <c r="B55" s="24">
        <v>42794</v>
      </c>
      <c r="C55" s="50">
        <v>1</v>
      </c>
      <c r="E55">
        <v>5</v>
      </c>
      <c r="F55">
        <v>6</v>
      </c>
      <c r="H55" s="44">
        <v>5</v>
      </c>
      <c r="I55" s="104">
        <v>0.21730192512334334</v>
      </c>
      <c r="J55" s="31">
        <v>0.157</v>
      </c>
      <c r="K55" s="104">
        <f>(5/H55)*I55</f>
        <v>0.21730192512334334</v>
      </c>
    </row>
    <row r="56" spans="1:12">
      <c r="A56" t="s">
        <v>500</v>
      </c>
      <c r="B56" s="24">
        <v>42795</v>
      </c>
      <c r="C56" s="50">
        <v>1</v>
      </c>
      <c r="E56">
        <v>5</v>
      </c>
      <c r="F56">
        <v>10</v>
      </c>
      <c r="H56" s="44">
        <v>5</v>
      </c>
      <c r="I56" s="104">
        <v>0.25368901357582796</v>
      </c>
      <c r="J56" s="31">
        <v>0.183</v>
      </c>
      <c r="K56" s="104">
        <f>(5/H56)*I56</f>
        <v>0.25368901357582796</v>
      </c>
    </row>
    <row r="57" spans="1:12">
      <c r="A57" t="s">
        <v>500</v>
      </c>
      <c r="B57" s="24">
        <v>42798</v>
      </c>
      <c r="C57" s="50">
        <v>1</v>
      </c>
      <c r="E57">
        <v>5</v>
      </c>
      <c r="F57">
        <v>12</v>
      </c>
      <c r="H57" s="44">
        <v>5</v>
      </c>
      <c r="I57" s="104">
        <v>0.15992228564057914</v>
      </c>
      <c r="J57" s="31">
        <v>0.11600000000000001</v>
      </c>
      <c r="K57" s="104">
        <f t="shared" ref="K57" si="30">(5/H57)*I57</f>
        <v>0.15992228564057914</v>
      </c>
    </row>
    <row r="58" spans="1:12">
      <c r="A58" t="s">
        <v>500</v>
      </c>
      <c r="B58" s="24">
        <v>42818</v>
      </c>
      <c r="C58" s="50">
        <v>1</v>
      </c>
      <c r="E58">
        <v>2</v>
      </c>
      <c r="F58">
        <v>12</v>
      </c>
      <c r="H58" s="44">
        <v>5</v>
      </c>
      <c r="I58" s="104">
        <v>0.15503578483759187</v>
      </c>
      <c r="J58" s="31">
        <v>0.11</v>
      </c>
      <c r="K58" s="104">
        <f>(5/H58)*I58</f>
        <v>0.15503578483759187</v>
      </c>
    </row>
    <row r="59" spans="1:12" s="4" customFormat="1">
      <c r="A59" s="4" t="s">
        <v>500</v>
      </c>
      <c r="B59" s="48">
        <v>42823</v>
      </c>
      <c r="C59" s="129">
        <v>1</v>
      </c>
      <c r="E59" s="4">
        <v>4</v>
      </c>
      <c r="F59" s="4">
        <v>6</v>
      </c>
      <c r="H59" s="37">
        <v>5</v>
      </c>
      <c r="I59" s="102">
        <v>0.25089000677179063</v>
      </c>
      <c r="J59" s="32">
        <v>0.18099999999999999</v>
      </c>
      <c r="K59" s="102">
        <f t="shared" ref="K59:K66" si="31">(5/H59)*I59</f>
        <v>0.25089000677179063</v>
      </c>
      <c r="L59" s="5"/>
    </row>
    <row r="60" spans="1:12">
      <c r="A60" t="s">
        <v>1112</v>
      </c>
      <c r="B60" s="24">
        <v>42998</v>
      </c>
      <c r="C60" s="50">
        <v>1</v>
      </c>
      <c r="E60">
        <v>14</v>
      </c>
      <c r="F60">
        <v>9</v>
      </c>
      <c r="H60">
        <v>5</v>
      </c>
      <c r="I60" s="104">
        <v>0.12983968445829897</v>
      </c>
      <c r="J60" s="31">
        <v>9.6000000000000002E-2</v>
      </c>
      <c r="K60" s="104">
        <f t="shared" si="31"/>
        <v>0.12983968445829897</v>
      </c>
    </row>
    <row r="61" spans="1:12">
      <c r="A61" t="s">
        <v>1112</v>
      </c>
      <c r="B61" s="24">
        <v>42998</v>
      </c>
      <c r="C61" s="50">
        <v>1</v>
      </c>
      <c r="E61">
        <v>14</v>
      </c>
      <c r="F61">
        <v>10</v>
      </c>
      <c r="H61">
        <v>5</v>
      </c>
      <c r="I61" s="104">
        <v>9.5327310897639878E-2</v>
      </c>
      <c r="J61" s="31">
        <v>7.0999999999999994E-2</v>
      </c>
      <c r="K61" s="104">
        <f t="shared" si="31"/>
        <v>9.5327310897639878E-2</v>
      </c>
    </row>
    <row r="62" spans="1:12">
      <c r="A62" t="s">
        <v>1112</v>
      </c>
      <c r="B62" s="24">
        <v>42998</v>
      </c>
      <c r="C62" s="50">
        <v>1</v>
      </c>
      <c r="E62">
        <v>14</v>
      </c>
      <c r="F62">
        <v>11</v>
      </c>
      <c r="H62">
        <v>5</v>
      </c>
      <c r="I62" s="104">
        <v>9.5327310897639878E-2</v>
      </c>
      <c r="J62" s="31">
        <v>7.0999999999999994E-2</v>
      </c>
      <c r="K62" s="104">
        <f t="shared" si="31"/>
        <v>9.5327310897639878E-2</v>
      </c>
    </row>
    <row r="63" spans="1:12">
      <c r="A63" t="s">
        <v>1112</v>
      </c>
      <c r="B63" s="24">
        <v>42998</v>
      </c>
      <c r="C63" s="50">
        <v>1</v>
      </c>
      <c r="E63">
        <v>15</v>
      </c>
      <c r="F63">
        <v>38</v>
      </c>
      <c r="G63" t="s">
        <v>1113</v>
      </c>
      <c r="H63">
        <v>5</v>
      </c>
      <c r="I63" s="104">
        <v>0.11741522997646167</v>
      </c>
      <c r="J63" s="31">
        <v>8.6999999999999994E-2</v>
      </c>
      <c r="K63" s="104">
        <f t="shared" si="31"/>
        <v>0.11741522997646167</v>
      </c>
    </row>
    <row r="64" spans="1:12">
      <c r="A64" t="s">
        <v>1112</v>
      </c>
      <c r="B64" s="24">
        <v>43017</v>
      </c>
      <c r="C64" s="50">
        <v>1</v>
      </c>
      <c r="E64">
        <v>15</v>
      </c>
      <c r="F64">
        <v>39</v>
      </c>
      <c r="H64">
        <v>5</v>
      </c>
      <c r="I64" s="104">
        <v>6.4956422164259897E-2</v>
      </c>
      <c r="J64" s="31">
        <v>4.9000000000000002E-2</v>
      </c>
      <c r="K64" s="104">
        <f t="shared" si="31"/>
        <v>6.4956422164259897E-2</v>
      </c>
    </row>
    <row r="65" spans="1:12">
      <c r="A65" t="s">
        <v>1112</v>
      </c>
      <c r="B65" s="24">
        <v>43017</v>
      </c>
      <c r="C65" s="50">
        <v>1</v>
      </c>
      <c r="E65">
        <v>16</v>
      </c>
      <c r="F65">
        <v>43</v>
      </c>
      <c r="H65">
        <v>5</v>
      </c>
      <c r="I65" s="104">
        <v>8.8424836185508074E-2</v>
      </c>
      <c r="J65" s="31">
        <v>6.6000000000000003E-2</v>
      </c>
      <c r="K65" s="104">
        <f t="shared" si="31"/>
        <v>8.8424836185508074E-2</v>
      </c>
    </row>
    <row r="66" spans="1:12" s="4" customFormat="1">
      <c r="A66" s="4" t="s">
        <v>1112</v>
      </c>
      <c r="B66" s="48">
        <v>43017</v>
      </c>
      <c r="C66" s="129">
        <v>1</v>
      </c>
      <c r="E66" s="4">
        <v>16</v>
      </c>
      <c r="F66" s="4">
        <v>44</v>
      </c>
      <c r="H66" s="4">
        <v>5</v>
      </c>
      <c r="I66" s="102">
        <v>6.9097906991538977E-2</v>
      </c>
      <c r="J66" s="32">
        <v>5.1999999999999998E-2</v>
      </c>
      <c r="K66" s="102">
        <f t="shared" si="31"/>
        <v>6.9097906991538977E-2</v>
      </c>
      <c r="L66" s="5"/>
    </row>
    <row r="68" spans="1:12">
      <c r="A68" t="s">
        <v>819</v>
      </c>
      <c r="K68" s="104">
        <f>AVERAGE(K48:K59)</f>
        <v>0.19935983060032067</v>
      </c>
    </row>
    <row r="69" spans="1:12">
      <c r="A69" t="s">
        <v>816</v>
      </c>
      <c r="K69" s="104">
        <f>STDEV(K48:K59)</f>
        <v>4.4053837698461454E-2</v>
      </c>
    </row>
    <row r="70" spans="1:12">
      <c r="A70" t="s">
        <v>817</v>
      </c>
      <c r="K70" s="104">
        <f>6*K69</f>
        <v>0.26432302619076875</v>
      </c>
    </row>
    <row r="71" spans="1:12">
      <c r="A71" t="s">
        <v>818</v>
      </c>
      <c r="K71" s="104">
        <f>3*K69</f>
        <v>0.13216151309538438</v>
      </c>
    </row>
    <row r="72" spans="1:12" s="4" customFormat="1">
      <c r="A72" s="4" t="s">
        <v>820</v>
      </c>
      <c r="B72" s="48"/>
      <c r="C72" s="129"/>
      <c r="K72" s="102">
        <f>K70-K68</f>
        <v>6.4963195590448081E-2</v>
      </c>
      <c r="L72" s="5"/>
    </row>
    <row r="74" spans="1:12">
      <c r="A74" s="1" t="s">
        <v>854</v>
      </c>
      <c r="B74"/>
    </row>
    <row r="75" spans="1:12">
      <c r="A75" t="s">
        <v>853</v>
      </c>
      <c r="B75">
        <v>100</v>
      </c>
    </row>
    <row r="76" spans="1:12" s="4" customFormat="1">
      <c r="A76" s="4" t="s">
        <v>813</v>
      </c>
      <c r="B76" s="4">
        <v>5</v>
      </c>
      <c r="C76" s="129"/>
      <c r="K76" s="102"/>
      <c r="L76" s="5"/>
    </row>
    <row r="77" spans="1:12">
      <c r="B77" s="8"/>
    </row>
    <row r="80" spans="1:12">
      <c r="A80" s="1" t="s">
        <v>839</v>
      </c>
    </row>
    <row r="81" spans="1:6">
      <c r="A81" s="119" t="s">
        <v>823</v>
      </c>
      <c r="B81" s="119" t="s">
        <v>824</v>
      </c>
      <c r="C81" s="119" t="s">
        <v>825</v>
      </c>
      <c r="D81" s="119" t="s">
        <v>826</v>
      </c>
      <c r="E81" s="119" t="s">
        <v>840</v>
      </c>
      <c r="F81" s="119" t="s">
        <v>841</v>
      </c>
    </row>
    <row r="82" spans="1:6">
      <c r="A82" s="44">
        <v>0</v>
      </c>
      <c r="B82" s="31">
        <v>0</v>
      </c>
      <c r="C82" s="24">
        <v>42850</v>
      </c>
      <c r="D82" s="122" t="s">
        <v>827</v>
      </c>
      <c r="E82">
        <v>1.4047000000000001</v>
      </c>
      <c r="F82">
        <v>5.9999999999999995E-4</v>
      </c>
    </row>
    <row r="83" spans="1:6">
      <c r="A83" s="44">
        <v>0.05</v>
      </c>
      <c r="B83" s="31">
        <v>0.04</v>
      </c>
      <c r="C83" s="24">
        <v>42850</v>
      </c>
      <c r="D83" s="122" t="s">
        <v>828</v>
      </c>
    </row>
    <row r="84" spans="1:6">
      <c r="A84" s="44">
        <v>0.1</v>
      </c>
      <c r="B84" s="31">
        <v>7.3999999999999996E-2</v>
      </c>
      <c r="C84" s="24">
        <v>42850</v>
      </c>
      <c r="D84" s="122" t="s">
        <v>829</v>
      </c>
    </row>
    <row r="85" spans="1:6">
      <c r="A85" s="44">
        <v>0.25</v>
      </c>
      <c r="B85" s="31">
        <v>0.16500000000000001</v>
      </c>
      <c r="C85" s="24">
        <v>42850</v>
      </c>
      <c r="D85" s="122" t="s">
        <v>830</v>
      </c>
    </row>
    <row r="86" spans="1:6">
      <c r="A86" s="44">
        <v>0.5</v>
      </c>
      <c r="B86" s="31">
        <v>0.35899999999999999</v>
      </c>
      <c r="C86" s="24">
        <v>42850</v>
      </c>
      <c r="D86" s="122" t="s">
        <v>831</v>
      </c>
    </row>
    <row r="87" spans="1:6">
      <c r="A87" s="44">
        <v>1</v>
      </c>
      <c r="B87" s="31">
        <v>0.71199999999999997</v>
      </c>
      <c r="C87" s="24">
        <v>42850</v>
      </c>
      <c r="D87" s="122" t="s">
        <v>832</v>
      </c>
    </row>
    <row r="88" spans="1:6">
      <c r="A88" s="44"/>
      <c r="C88" s="24"/>
      <c r="D88" s="122"/>
    </row>
    <row r="89" spans="1:6">
      <c r="A89" s="44"/>
      <c r="C89" s="24"/>
      <c r="D89" s="122"/>
    </row>
    <row r="90" spans="1:6">
      <c r="A90" s="120" t="s">
        <v>823</v>
      </c>
      <c r="B90" s="119" t="s">
        <v>824</v>
      </c>
      <c r="C90" s="121" t="s">
        <v>825</v>
      </c>
      <c r="D90" s="123" t="s">
        <v>826</v>
      </c>
    </row>
    <row r="91" spans="1:6">
      <c r="A91" s="44">
        <v>0</v>
      </c>
      <c r="B91" s="31">
        <v>0</v>
      </c>
      <c r="C91" s="24">
        <v>42851</v>
      </c>
      <c r="D91" s="122" t="s">
        <v>833</v>
      </c>
      <c r="E91">
        <v>1.3993</v>
      </c>
      <c r="F91">
        <v>2.3999999999999998E-3</v>
      </c>
    </row>
    <row r="92" spans="1:6">
      <c r="A92" s="44">
        <v>0.05</v>
      </c>
      <c r="B92" s="31">
        <v>3.6999999999999998E-2</v>
      </c>
      <c r="C92" s="24">
        <v>42851</v>
      </c>
      <c r="D92" s="122" t="s">
        <v>834</v>
      </c>
    </row>
    <row r="93" spans="1:6">
      <c r="A93" s="44">
        <v>0.1</v>
      </c>
      <c r="B93" s="31">
        <v>7.6999999999999999E-2</v>
      </c>
      <c r="C93" s="24">
        <v>42851</v>
      </c>
      <c r="D93" s="122" t="s">
        <v>835</v>
      </c>
    </row>
    <row r="94" spans="1:6">
      <c r="A94" s="44">
        <v>0.25</v>
      </c>
      <c r="B94" s="31">
        <v>0.17599999999999999</v>
      </c>
      <c r="C94" s="24">
        <v>42851</v>
      </c>
      <c r="D94" s="122" t="s">
        <v>836</v>
      </c>
    </row>
    <row r="95" spans="1:6">
      <c r="A95" s="44">
        <v>0.5</v>
      </c>
      <c r="B95" s="31">
        <v>0.36299999999999999</v>
      </c>
      <c r="C95" s="24">
        <v>42851</v>
      </c>
      <c r="D95" s="122" t="s">
        <v>837</v>
      </c>
    </row>
    <row r="96" spans="1:6">
      <c r="A96" s="44">
        <v>1</v>
      </c>
      <c r="B96" s="31">
        <v>0.71499999999999997</v>
      </c>
      <c r="C96" s="24">
        <v>42851</v>
      </c>
      <c r="D96" s="124" t="s">
        <v>838</v>
      </c>
    </row>
    <row r="97" spans="1:6">
      <c r="A97" s="44"/>
      <c r="C97" s="24"/>
    </row>
    <row r="98" spans="1:6">
      <c r="A98" s="47" t="s">
        <v>823</v>
      </c>
      <c r="B98" s="118" t="s">
        <v>824</v>
      </c>
      <c r="C98" s="118" t="s">
        <v>825</v>
      </c>
      <c r="D98" s="1" t="s">
        <v>826</v>
      </c>
    </row>
    <row r="99" spans="1:6">
      <c r="A99" s="44">
        <v>0</v>
      </c>
      <c r="B99" s="31">
        <v>0</v>
      </c>
      <c r="C99" s="24">
        <v>42858</v>
      </c>
      <c r="D99" s="122">
        <v>0.46416666666666667</v>
      </c>
      <c r="E99">
        <v>1.3787</v>
      </c>
      <c r="F99">
        <v>2.8E-3</v>
      </c>
    </row>
    <row r="100" spans="1:6">
      <c r="A100" s="44">
        <v>0.05</v>
      </c>
      <c r="B100" s="31">
        <v>3.7999999999999999E-2</v>
      </c>
      <c r="C100" s="24">
        <v>42858</v>
      </c>
      <c r="D100" s="122">
        <v>0.46428240740740739</v>
      </c>
    </row>
    <row r="101" spans="1:6">
      <c r="A101" s="44">
        <v>0.1</v>
      </c>
      <c r="B101" s="31">
        <v>7.3999999999999996E-2</v>
      </c>
      <c r="C101" s="24">
        <v>42858</v>
      </c>
      <c r="D101" s="122">
        <v>0.46439814814814812</v>
      </c>
    </row>
    <row r="102" spans="1:6">
      <c r="A102" s="44">
        <v>0.25</v>
      </c>
      <c r="B102" s="31">
        <v>0.16400000000000001</v>
      </c>
      <c r="C102" s="24">
        <v>42858</v>
      </c>
      <c r="D102" s="122">
        <v>0.46451388888888889</v>
      </c>
    </row>
    <row r="103" spans="1:6">
      <c r="A103" s="44">
        <v>0.5</v>
      </c>
      <c r="B103" s="31">
        <v>0.36699999999999999</v>
      </c>
      <c r="C103" s="24">
        <v>42858</v>
      </c>
      <c r="D103" s="122">
        <v>0.46461805555555552</v>
      </c>
    </row>
    <row r="104" spans="1:6">
      <c r="A104" s="44">
        <v>1</v>
      </c>
      <c r="B104" s="31">
        <v>0.72299999999999998</v>
      </c>
      <c r="C104" s="24">
        <v>42858</v>
      </c>
      <c r="D104" s="122">
        <v>0.4647337962962963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98"/>
  <sheetViews>
    <sheetView workbookViewId="0">
      <pane xSplit="5" topLeftCell="J1" activePane="topRight" state="frozen"/>
      <selection pane="topRight" activeCell="P27" sqref="P27"/>
    </sheetView>
  </sheetViews>
  <sheetFormatPr baseColWidth="10" defaultColWidth="11" defaultRowHeight="16"/>
  <cols>
    <col min="3" max="3" width="9.83203125" customWidth="1"/>
    <col min="4" max="4" width="12.5" customWidth="1"/>
    <col min="5" max="5" width="12.5" style="3" bestFit="1" customWidth="1"/>
    <col min="6" max="6" width="14.1640625" bestFit="1" customWidth="1"/>
    <col min="7" max="7" width="15.1640625" bestFit="1" customWidth="1"/>
    <col min="8" max="8" width="6.83203125" bestFit="1" customWidth="1"/>
    <col min="9" max="9" width="9.33203125" bestFit="1" customWidth="1"/>
    <col min="10" max="10" width="19.1640625" bestFit="1" customWidth="1"/>
    <col min="11" max="11" width="11.6640625" bestFit="1" customWidth="1"/>
    <col min="12" max="12" width="18.1640625" bestFit="1" customWidth="1"/>
    <col min="18" max="18" width="12.6640625" bestFit="1" customWidth="1"/>
    <col min="19" max="19" width="13" bestFit="1" customWidth="1"/>
    <col min="20" max="22" width="13" customWidth="1"/>
    <col min="25" max="25" width="13.1640625" bestFit="1" customWidth="1"/>
    <col min="26" max="26" width="13" bestFit="1" customWidth="1"/>
  </cols>
  <sheetData>
    <row r="1" spans="1:36">
      <c r="A1" s="1" t="s">
        <v>10</v>
      </c>
      <c r="B1" s="1" t="s">
        <v>8</v>
      </c>
      <c r="C1" s="1" t="s">
        <v>11</v>
      </c>
      <c r="D1" s="1" t="s">
        <v>212</v>
      </c>
      <c r="E1" s="2" t="s">
        <v>211</v>
      </c>
      <c r="F1" s="1" t="s">
        <v>373</v>
      </c>
      <c r="G1" s="1" t="s">
        <v>402</v>
      </c>
      <c r="H1" s="1" t="s">
        <v>408</v>
      </c>
      <c r="I1" s="1" t="s">
        <v>409</v>
      </c>
      <c r="J1" s="1" t="s">
        <v>422</v>
      </c>
      <c r="K1" s="1" t="s">
        <v>42</v>
      </c>
      <c r="L1" s="1" t="s">
        <v>374</v>
      </c>
      <c r="M1" s="1" t="s">
        <v>889</v>
      </c>
      <c r="N1" s="1" t="s">
        <v>889</v>
      </c>
      <c r="O1" s="1" t="s">
        <v>890</v>
      </c>
      <c r="P1" s="1" t="s">
        <v>891</v>
      </c>
      <c r="Q1" s="1" t="s">
        <v>892</v>
      </c>
      <c r="R1" s="152" t="s">
        <v>893</v>
      </c>
      <c r="S1" s="152" t="s">
        <v>894</v>
      </c>
      <c r="T1" s="152"/>
      <c r="U1" s="152" t="s">
        <v>971</v>
      </c>
      <c r="V1" s="152" t="s">
        <v>972</v>
      </c>
      <c r="W1" s="1" t="s">
        <v>410</v>
      </c>
      <c r="X1" s="1" t="s">
        <v>414</v>
      </c>
      <c r="Y1" s="1" t="s">
        <v>397</v>
      </c>
      <c r="Z1" s="1" t="s">
        <v>404</v>
      </c>
      <c r="AA1" s="1" t="s">
        <v>274</v>
      </c>
    </row>
    <row r="2" spans="1:36">
      <c r="A2" t="s">
        <v>199</v>
      </c>
      <c r="B2" t="s">
        <v>9</v>
      </c>
      <c r="C2" t="s">
        <v>12</v>
      </c>
      <c r="D2">
        <v>1</v>
      </c>
      <c r="E2" s="3" t="s">
        <v>307</v>
      </c>
      <c r="F2">
        <v>15</v>
      </c>
      <c r="G2">
        <v>7.1890000000000001</v>
      </c>
      <c r="H2">
        <v>5.7930000000000001</v>
      </c>
      <c r="I2">
        <v>6.6740000000000004</v>
      </c>
      <c r="J2">
        <f t="shared" ref="J2:J65" si="0">I2-H2</f>
        <v>0.88100000000000023</v>
      </c>
      <c r="K2">
        <f t="shared" ref="K2:K11" si="1">G2-$L$88</f>
        <v>0.85416666666666696</v>
      </c>
      <c r="L2">
        <f>J2/F2</f>
        <v>5.8733333333333346E-2</v>
      </c>
      <c r="M2" s="153" t="s">
        <v>199</v>
      </c>
      <c r="N2" s="153" t="s">
        <v>917</v>
      </c>
      <c r="O2" s="59"/>
      <c r="P2" s="154">
        <v>1.2722589717839634</v>
      </c>
      <c r="Q2" s="154">
        <v>44.004925987319652</v>
      </c>
      <c r="R2" s="155">
        <v>10.371636363636373</v>
      </c>
      <c r="S2" s="156">
        <v>-28.138727272727269</v>
      </c>
      <c r="T2" s="59"/>
      <c r="U2" s="156">
        <f>Q2/P2</f>
        <v>34.588025679721383</v>
      </c>
      <c r="V2" s="156">
        <f>AVERAGE(U2:U12)</f>
        <v>26.077398038678812</v>
      </c>
      <c r="W2" t="s">
        <v>407</v>
      </c>
      <c r="X2">
        <v>2016</v>
      </c>
      <c r="Y2" t="s">
        <v>405</v>
      </c>
    </row>
    <row r="3" spans="1:36">
      <c r="A3" t="s">
        <v>200</v>
      </c>
      <c r="B3" t="s">
        <v>9</v>
      </c>
      <c r="C3" t="s">
        <v>12</v>
      </c>
      <c r="D3">
        <v>1</v>
      </c>
      <c r="E3" s="3" t="s">
        <v>309</v>
      </c>
      <c r="F3">
        <v>4</v>
      </c>
      <c r="G3">
        <v>7.5410000000000004</v>
      </c>
      <c r="H3">
        <v>5.9409999999999998</v>
      </c>
      <c r="I3">
        <v>7.0750000000000002</v>
      </c>
      <c r="J3">
        <f t="shared" si="0"/>
        <v>1.1340000000000003</v>
      </c>
      <c r="K3">
        <f t="shared" si="1"/>
        <v>1.2061666666666673</v>
      </c>
      <c r="L3">
        <f t="shared" ref="L3:L66" si="2">J3/F3</f>
        <v>0.28350000000000009</v>
      </c>
      <c r="M3" s="153" t="s">
        <v>200</v>
      </c>
      <c r="N3" s="153" t="s">
        <v>918</v>
      </c>
      <c r="O3" s="59"/>
      <c r="P3" s="154">
        <v>1.7346178380529931</v>
      </c>
      <c r="Q3" s="154">
        <v>33.911943322441893</v>
      </c>
      <c r="R3" s="155">
        <v>12.573636363636371</v>
      </c>
      <c r="S3" s="156">
        <v>-27.826727272727268</v>
      </c>
      <c r="T3" s="59"/>
      <c r="U3" s="156">
        <f t="shared" ref="U3:U66" si="3">Q3/P3</f>
        <v>19.550094884592021</v>
      </c>
      <c r="V3" s="156"/>
      <c r="X3">
        <v>2016</v>
      </c>
    </row>
    <row r="4" spans="1:36">
      <c r="A4" t="s">
        <v>201</v>
      </c>
      <c r="B4" t="s">
        <v>9</v>
      </c>
      <c r="C4" t="s">
        <v>12</v>
      </c>
      <c r="D4">
        <v>2</v>
      </c>
      <c r="E4" s="3" t="s">
        <v>307</v>
      </c>
      <c r="F4">
        <v>15</v>
      </c>
      <c r="G4">
        <v>7.3310000000000004</v>
      </c>
      <c r="H4">
        <v>5.7919999999999998</v>
      </c>
      <c r="I4">
        <v>6.7309999999999999</v>
      </c>
      <c r="J4">
        <f t="shared" si="0"/>
        <v>0.93900000000000006</v>
      </c>
      <c r="K4">
        <f t="shared" si="1"/>
        <v>0.99616666666666731</v>
      </c>
      <c r="L4">
        <f t="shared" si="2"/>
        <v>6.2600000000000003E-2</v>
      </c>
      <c r="M4" s="153" t="s">
        <v>201</v>
      </c>
      <c r="N4" s="153" t="s">
        <v>919</v>
      </c>
      <c r="O4" s="59"/>
      <c r="P4" s="154">
        <v>1.1635164715750297</v>
      </c>
      <c r="Q4" s="154">
        <v>43.785439290058612</v>
      </c>
      <c r="R4" s="155">
        <v>10.169636363636368</v>
      </c>
      <c r="S4" s="156">
        <v>-27.471727272727268</v>
      </c>
      <c r="T4" s="59"/>
      <c r="U4" s="156">
        <f t="shared" si="3"/>
        <v>37.631989198044707</v>
      </c>
      <c r="V4" s="156"/>
      <c r="W4" t="s">
        <v>407</v>
      </c>
      <c r="X4">
        <v>2016</v>
      </c>
      <c r="Y4" t="s">
        <v>405</v>
      </c>
    </row>
    <row r="5" spans="1:36">
      <c r="A5" t="s">
        <v>202</v>
      </c>
      <c r="B5" t="s">
        <v>9</v>
      </c>
      <c r="C5" t="s">
        <v>12</v>
      </c>
      <c r="D5">
        <v>2</v>
      </c>
      <c r="E5" s="3" t="s">
        <v>309</v>
      </c>
      <c r="F5">
        <v>4</v>
      </c>
      <c r="G5">
        <v>7.9530000000000003</v>
      </c>
      <c r="H5">
        <v>5.9770000000000003</v>
      </c>
      <c r="I5">
        <v>7.47</v>
      </c>
      <c r="J5">
        <f t="shared" si="0"/>
        <v>1.4929999999999994</v>
      </c>
      <c r="K5">
        <f t="shared" si="1"/>
        <v>1.6181666666666672</v>
      </c>
      <c r="L5">
        <f t="shared" si="2"/>
        <v>0.37324999999999986</v>
      </c>
      <c r="M5" s="153" t="s">
        <v>202</v>
      </c>
      <c r="N5" s="153" t="s">
        <v>920</v>
      </c>
      <c r="O5" s="59"/>
      <c r="P5" s="154">
        <v>1.7132112746264156</v>
      </c>
      <c r="Q5" s="154">
        <v>36.129148765471577</v>
      </c>
      <c r="R5" s="155">
        <v>11.931636363636368</v>
      </c>
      <c r="S5" s="156">
        <v>-27.337727272727271</v>
      </c>
      <c r="T5" s="59"/>
      <c r="U5" s="156">
        <f t="shared" si="3"/>
        <v>21.088554167582121</v>
      </c>
      <c r="V5" s="156"/>
      <c r="X5">
        <v>2016</v>
      </c>
      <c r="AE5" t="s">
        <v>8</v>
      </c>
      <c r="AF5" t="s">
        <v>424</v>
      </c>
      <c r="AG5" t="s">
        <v>423</v>
      </c>
      <c r="AH5" t="s">
        <v>427</v>
      </c>
      <c r="AI5" t="s">
        <v>424</v>
      </c>
      <c r="AJ5" t="s">
        <v>426</v>
      </c>
    </row>
    <row r="6" spans="1:36">
      <c r="A6" t="s">
        <v>203</v>
      </c>
      <c r="B6" t="s">
        <v>9</v>
      </c>
      <c r="C6" t="s">
        <v>12</v>
      </c>
      <c r="D6">
        <v>2</v>
      </c>
      <c r="E6" s="3" t="s">
        <v>310</v>
      </c>
      <c r="F6">
        <f>64*4</f>
        <v>256</v>
      </c>
      <c r="H6">
        <v>5.9729999999999999</v>
      </c>
      <c r="I6">
        <v>6.2930000000000001</v>
      </c>
      <c r="J6">
        <f>I6-H6</f>
        <v>0.32000000000000028</v>
      </c>
      <c r="L6">
        <f t="shared" si="2"/>
        <v>1.2500000000000011E-3</v>
      </c>
      <c r="M6" s="153" t="s">
        <v>203</v>
      </c>
      <c r="N6" s="153" t="s">
        <v>921</v>
      </c>
      <c r="O6" s="59"/>
      <c r="P6" s="154">
        <v>1.7581588641246524</v>
      </c>
      <c r="Q6" s="154">
        <v>45.050310063049366</v>
      </c>
      <c r="R6" s="155">
        <v>9.6916363636363734</v>
      </c>
      <c r="S6" s="156">
        <v>-27.288727272727268</v>
      </c>
      <c r="T6" s="59"/>
      <c r="U6" s="156">
        <f t="shared" si="3"/>
        <v>25.62357189802578</v>
      </c>
      <c r="V6" s="156"/>
      <c r="X6">
        <v>2016</v>
      </c>
      <c r="Y6" t="s">
        <v>405</v>
      </c>
      <c r="AA6" t="s">
        <v>406</v>
      </c>
      <c r="AB6" t="s">
        <v>413</v>
      </c>
      <c r="AE6" t="s">
        <v>203</v>
      </c>
      <c r="AF6">
        <v>64</v>
      </c>
      <c r="AG6">
        <v>6.1609999999999996</v>
      </c>
      <c r="AH6">
        <v>6.2270000000000003</v>
      </c>
      <c r="AI6">
        <f>AH6-AG6</f>
        <v>6.6000000000000725E-2</v>
      </c>
      <c r="AJ6">
        <f>AI6/AF6</f>
        <v>1.0312500000000113E-3</v>
      </c>
    </row>
    <row r="7" spans="1:36">
      <c r="A7" t="s">
        <v>204</v>
      </c>
      <c r="B7" t="s">
        <v>9</v>
      </c>
      <c r="C7" t="s">
        <v>12</v>
      </c>
      <c r="D7">
        <v>3</v>
      </c>
      <c r="E7" s="3" t="s">
        <v>307</v>
      </c>
      <c r="F7">
        <v>15</v>
      </c>
      <c r="G7">
        <v>7.3550000000000004</v>
      </c>
      <c r="H7">
        <v>5.7939999999999996</v>
      </c>
      <c r="I7">
        <v>6.8550000000000004</v>
      </c>
      <c r="J7">
        <f t="shared" si="0"/>
        <v>1.0610000000000008</v>
      </c>
      <c r="K7">
        <f t="shared" si="1"/>
        <v>1.0201666666666673</v>
      </c>
      <c r="L7">
        <f t="shared" si="2"/>
        <v>7.0733333333333384E-2</v>
      </c>
      <c r="M7" s="153" t="s">
        <v>204</v>
      </c>
      <c r="N7" s="153" t="s">
        <v>922</v>
      </c>
      <c r="O7" s="59"/>
      <c r="P7" s="154">
        <v>1.467640861217578</v>
      </c>
      <c r="Q7" s="154">
        <v>45.86697671802775</v>
      </c>
      <c r="R7" s="155">
        <v>11.515636363636371</v>
      </c>
      <c r="S7" s="156">
        <v>-27.338727272727269</v>
      </c>
      <c r="T7" s="59"/>
      <c r="U7" s="156">
        <f t="shared" si="3"/>
        <v>31.252180237047764</v>
      </c>
      <c r="V7" s="156"/>
      <c r="W7" t="s">
        <v>407</v>
      </c>
      <c r="X7">
        <v>2016</v>
      </c>
      <c r="Y7" t="s">
        <v>405</v>
      </c>
    </row>
    <row r="8" spans="1:36">
      <c r="A8" t="s">
        <v>296</v>
      </c>
      <c r="B8" t="s">
        <v>9</v>
      </c>
      <c r="C8" t="s">
        <v>12</v>
      </c>
      <c r="D8">
        <v>3</v>
      </c>
      <c r="E8" s="3" t="s">
        <v>309</v>
      </c>
      <c r="F8">
        <v>4</v>
      </c>
      <c r="G8">
        <v>8.1489999999999991</v>
      </c>
      <c r="H8">
        <v>5.968</v>
      </c>
      <c r="I8">
        <v>7.782</v>
      </c>
      <c r="J8">
        <f t="shared" si="0"/>
        <v>1.8140000000000001</v>
      </c>
      <c r="K8">
        <f t="shared" si="1"/>
        <v>1.814166666666666</v>
      </c>
      <c r="L8">
        <f t="shared" si="2"/>
        <v>0.45350000000000001</v>
      </c>
      <c r="M8" s="153" t="s">
        <v>296</v>
      </c>
      <c r="N8" s="153" t="s">
        <v>923</v>
      </c>
      <c r="O8" s="59"/>
      <c r="P8" s="154">
        <v>1.8777219375207026</v>
      </c>
      <c r="Q8" s="154">
        <v>35.966257967306504</v>
      </c>
      <c r="R8" s="155">
        <v>11.826636363636371</v>
      </c>
      <c r="S8" s="156">
        <v>-28.537727272727267</v>
      </c>
      <c r="T8" s="59"/>
      <c r="U8" s="156">
        <f t="shared" si="3"/>
        <v>19.154198099637401</v>
      </c>
      <c r="V8" s="156"/>
      <c r="X8">
        <v>2016</v>
      </c>
    </row>
    <row r="9" spans="1:36">
      <c r="A9" t="s">
        <v>297</v>
      </c>
      <c r="B9" t="s">
        <v>9</v>
      </c>
      <c r="C9" t="s">
        <v>12</v>
      </c>
      <c r="D9">
        <v>4</v>
      </c>
      <c r="E9" s="3" t="s">
        <v>306</v>
      </c>
      <c r="F9">
        <v>15</v>
      </c>
      <c r="G9">
        <v>10.135</v>
      </c>
      <c r="H9">
        <v>5.9329999999999998</v>
      </c>
      <c r="I9">
        <v>9.7050000000000001</v>
      </c>
      <c r="J9">
        <f t="shared" si="0"/>
        <v>3.7720000000000002</v>
      </c>
      <c r="K9">
        <f t="shared" si="1"/>
        <v>3.8001666666666667</v>
      </c>
      <c r="L9">
        <f t="shared" si="2"/>
        <v>0.25146666666666667</v>
      </c>
      <c r="M9" s="153" t="s">
        <v>297</v>
      </c>
      <c r="N9" s="153" t="s">
        <v>924</v>
      </c>
      <c r="O9" s="59"/>
      <c r="P9" s="154">
        <v>1.7569245673320619</v>
      </c>
      <c r="Q9" s="154">
        <v>46.802059760568291</v>
      </c>
      <c r="R9" s="155">
        <v>12.178636363636368</v>
      </c>
      <c r="S9" s="156">
        <v>-24.55472727272727</v>
      </c>
      <c r="T9" s="59"/>
      <c r="U9" s="156">
        <f t="shared" si="3"/>
        <v>26.638627878963806</v>
      </c>
      <c r="V9" s="156"/>
      <c r="W9" t="s">
        <v>407</v>
      </c>
      <c r="X9">
        <v>2016</v>
      </c>
    </row>
    <row r="10" spans="1:36">
      <c r="A10" t="s">
        <v>298</v>
      </c>
      <c r="B10" t="s">
        <v>9</v>
      </c>
      <c r="C10" t="s">
        <v>12</v>
      </c>
      <c r="D10">
        <v>4</v>
      </c>
      <c r="E10" s="3" t="s">
        <v>309</v>
      </c>
      <c r="F10">
        <v>4</v>
      </c>
      <c r="G10">
        <v>9.1869999999999994</v>
      </c>
      <c r="H10">
        <v>5.9390000000000001</v>
      </c>
      <c r="I10">
        <v>8.7710000000000008</v>
      </c>
      <c r="J10">
        <f t="shared" si="0"/>
        <v>2.8320000000000007</v>
      </c>
      <c r="K10">
        <f t="shared" si="1"/>
        <v>2.8521666666666663</v>
      </c>
      <c r="L10">
        <f t="shared" si="2"/>
        <v>0.70800000000000018</v>
      </c>
      <c r="M10" s="153" t="s">
        <v>298</v>
      </c>
      <c r="N10" s="153" t="s">
        <v>925</v>
      </c>
      <c r="O10" s="59"/>
      <c r="P10" s="154">
        <v>1.6505089794079515</v>
      </c>
      <c r="Q10" s="154">
        <v>34.573341171391263</v>
      </c>
      <c r="R10" s="155">
        <v>12.772636363636369</v>
      </c>
      <c r="S10" s="156">
        <v>-27.192727272727268</v>
      </c>
      <c r="T10" s="59"/>
      <c r="U10" s="156">
        <f t="shared" si="3"/>
        <v>20.947078508953613</v>
      </c>
      <c r="V10" s="156"/>
      <c r="X10">
        <v>2016</v>
      </c>
    </row>
    <row r="11" spans="1:36">
      <c r="A11" t="s">
        <v>299</v>
      </c>
      <c r="B11" t="s">
        <v>9</v>
      </c>
      <c r="C11" t="s">
        <v>12</v>
      </c>
      <c r="D11">
        <v>5</v>
      </c>
      <c r="E11" s="3" t="s">
        <v>306</v>
      </c>
      <c r="F11">
        <v>15</v>
      </c>
      <c r="G11">
        <v>13.31</v>
      </c>
      <c r="H11">
        <v>5.9290000000000003</v>
      </c>
      <c r="I11">
        <v>12.912000000000001</v>
      </c>
      <c r="J11">
        <f t="shared" si="0"/>
        <v>6.9830000000000005</v>
      </c>
      <c r="K11">
        <f t="shared" si="1"/>
        <v>6.9751666666666674</v>
      </c>
      <c r="L11">
        <f t="shared" si="2"/>
        <v>0.46553333333333335</v>
      </c>
      <c r="M11" s="153" t="s">
        <v>299</v>
      </c>
      <c r="N11" s="153" t="s">
        <v>926</v>
      </c>
      <c r="O11" s="59"/>
      <c r="P11" s="154">
        <v>2.0448714797719409</v>
      </c>
      <c r="Q11" s="154">
        <v>45.699320457714457</v>
      </c>
      <c r="R11" s="155">
        <v>12.640636363636371</v>
      </c>
      <c r="S11" s="156">
        <v>-23.933727272727271</v>
      </c>
      <c r="T11" s="59"/>
      <c r="U11" s="156">
        <f t="shared" si="3"/>
        <v>22.348260470047329</v>
      </c>
      <c r="V11" s="156"/>
      <c r="X11" t="s">
        <v>417</v>
      </c>
    </row>
    <row r="12" spans="1:36">
      <c r="A12" t="s">
        <v>300</v>
      </c>
      <c r="B12" t="s">
        <v>9</v>
      </c>
      <c r="C12" t="s">
        <v>12</v>
      </c>
      <c r="D12">
        <v>6</v>
      </c>
      <c r="E12" s="3" t="s">
        <v>307</v>
      </c>
      <c r="F12">
        <v>15</v>
      </c>
      <c r="G12">
        <v>7.7110000000000003</v>
      </c>
      <c r="H12">
        <v>5.7930000000000001</v>
      </c>
      <c r="I12">
        <v>7.1369999999999996</v>
      </c>
      <c r="J12">
        <f>I12-H12</f>
        <v>1.3439999999999994</v>
      </c>
      <c r="K12">
        <f>G12-6.359</f>
        <v>1.3520000000000003</v>
      </c>
      <c r="L12">
        <f t="shared" si="2"/>
        <v>8.9599999999999957E-2</v>
      </c>
      <c r="M12" s="153" t="s">
        <v>300</v>
      </c>
      <c r="N12" s="153" t="s">
        <v>927</v>
      </c>
      <c r="O12" s="59"/>
      <c r="P12" s="154">
        <v>1.655996089937023</v>
      </c>
      <c r="Q12" s="154">
        <v>46.415578904758291</v>
      </c>
      <c r="R12" s="155">
        <v>10.305636363636371</v>
      </c>
      <c r="S12" s="156">
        <v>-27.408727272727269</v>
      </c>
      <c r="T12" s="59"/>
      <c r="U12" s="156">
        <f t="shared" si="3"/>
        <v>28.02879740285103</v>
      </c>
      <c r="V12" s="156"/>
      <c r="W12" t="s">
        <v>407</v>
      </c>
      <c r="X12">
        <v>2016</v>
      </c>
      <c r="Y12" t="s">
        <v>405</v>
      </c>
    </row>
    <row r="13" spans="1:36">
      <c r="A13" t="s">
        <v>205</v>
      </c>
      <c r="B13" t="s">
        <v>9</v>
      </c>
      <c r="C13" t="s">
        <v>13</v>
      </c>
      <c r="D13">
        <v>1</v>
      </c>
      <c r="E13" s="3" t="s">
        <v>306</v>
      </c>
      <c r="F13">
        <v>15</v>
      </c>
      <c r="G13">
        <v>11.33</v>
      </c>
      <c r="H13">
        <v>5.931</v>
      </c>
      <c r="I13">
        <v>10.882</v>
      </c>
      <c r="J13">
        <f t="shared" si="0"/>
        <v>4.9509999999999996</v>
      </c>
      <c r="K13">
        <f t="shared" ref="K13:K57" si="4">G13-$L$88</f>
        <v>4.995166666666667</v>
      </c>
      <c r="L13">
        <f t="shared" si="2"/>
        <v>0.33006666666666662</v>
      </c>
      <c r="M13" s="153" t="s">
        <v>205</v>
      </c>
      <c r="N13" s="153" t="s">
        <v>949</v>
      </c>
      <c r="O13" s="59"/>
      <c r="P13" s="154">
        <v>1.1927404025348771</v>
      </c>
      <c r="Q13" s="154">
        <v>48.441362338201252</v>
      </c>
      <c r="R13" s="155">
        <v>5.4956363636363719</v>
      </c>
      <c r="S13" s="156">
        <v>-26.021727272727269</v>
      </c>
      <c r="T13" s="59"/>
      <c r="U13" s="156">
        <f t="shared" si="3"/>
        <v>40.613499999875096</v>
      </c>
      <c r="V13" s="156">
        <f>AVERAGE(U13:U23)</f>
        <v>29.272305476827508</v>
      </c>
      <c r="X13">
        <v>2016</v>
      </c>
    </row>
    <row r="14" spans="1:36">
      <c r="A14" t="s">
        <v>206</v>
      </c>
      <c r="B14" t="s">
        <v>9</v>
      </c>
      <c r="C14" t="s">
        <v>13</v>
      </c>
      <c r="D14">
        <v>2</v>
      </c>
      <c r="E14" s="3" t="s">
        <v>307</v>
      </c>
      <c r="F14">
        <v>15</v>
      </c>
      <c r="G14">
        <v>6.851</v>
      </c>
      <c r="H14">
        <v>5.7889999999999997</v>
      </c>
      <c r="I14">
        <v>6.3049999999999997</v>
      </c>
      <c r="J14">
        <f t="shared" si="0"/>
        <v>0.51600000000000001</v>
      </c>
      <c r="K14">
        <f t="shared" si="4"/>
        <v>0.51616666666666688</v>
      </c>
      <c r="L14">
        <f t="shared" si="2"/>
        <v>3.44E-2</v>
      </c>
      <c r="M14" s="153" t="s">
        <v>206</v>
      </c>
      <c r="N14" s="153" t="s">
        <v>950</v>
      </c>
      <c r="O14" s="59"/>
      <c r="P14" s="154">
        <v>1.3404614995241242</v>
      </c>
      <c r="Q14" s="154">
        <v>45.503366694423526</v>
      </c>
      <c r="R14" s="155">
        <v>6.1346363636363712</v>
      </c>
      <c r="S14" s="156">
        <v>-29.477727272727272</v>
      </c>
      <c r="T14" s="59"/>
      <c r="U14" s="156">
        <f t="shared" si="3"/>
        <v>33.946045231867998</v>
      </c>
      <c r="V14" s="156"/>
      <c r="W14" t="s">
        <v>407</v>
      </c>
      <c r="X14">
        <v>2016</v>
      </c>
      <c r="Y14" t="s">
        <v>405</v>
      </c>
    </row>
    <row r="15" spans="1:36">
      <c r="A15" t="s">
        <v>207</v>
      </c>
      <c r="B15" t="s">
        <v>9</v>
      </c>
      <c r="C15" t="s">
        <v>13</v>
      </c>
      <c r="D15">
        <v>2</v>
      </c>
      <c r="E15" s="3" t="s">
        <v>308</v>
      </c>
      <c r="F15">
        <v>20</v>
      </c>
      <c r="G15">
        <v>7.1159999999999997</v>
      </c>
      <c r="H15">
        <v>5.7919999999999998</v>
      </c>
      <c r="I15">
        <v>6.5359999999999996</v>
      </c>
      <c r="J15">
        <f t="shared" si="0"/>
        <v>0.74399999999999977</v>
      </c>
      <c r="K15">
        <f t="shared" si="4"/>
        <v>0.78116666666666656</v>
      </c>
      <c r="L15">
        <f t="shared" si="2"/>
        <v>3.719999999999999E-2</v>
      </c>
      <c r="M15" s="153" t="s">
        <v>207</v>
      </c>
      <c r="N15" s="153" t="s">
        <v>951</v>
      </c>
      <c r="O15" s="59"/>
      <c r="P15" s="154">
        <v>2.6840261958072156</v>
      </c>
      <c r="Q15" s="154">
        <v>52.700915693671405</v>
      </c>
      <c r="R15" s="155">
        <v>2.9326363636363695</v>
      </c>
      <c r="S15" s="156">
        <v>-27.608727272727268</v>
      </c>
      <c r="T15" s="59"/>
      <c r="U15" s="156">
        <f t="shared" si="3"/>
        <v>19.635022853352485</v>
      </c>
      <c r="V15" s="156"/>
      <c r="W15" t="s">
        <v>407</v>
      </c>
      <c r="X15">
        <v>2016</v>
      </c>
      <c r="Y15" t="s">
        <v>405</v>
      </c>
    </row>
    <row r="16" spans="1:36">
      <c r="A16" t="s">
        <v>208</v>
      </c>
      <c r="B16" t="s">
        <v>9</v>
      </c>
      <c r="C16" t="s">
        <v>13</v>
      </c>
      <c r="D16">
        <v>3</v>
      </c>
      <c r="E16" s="3" t="s">
        <v>307</v>
      </c>
      <c r="F16">
        <v>15</v>
      </c>
      <c r="G16">
        <v>7.2839999999999998</v>
      </c>
      <c r="H16">
        <v>5.7930000000000001</v>
      </c>
      <c r="I16">
        <v>6.6920000000000002</v>
      </c>
      <c r="J16">
        <f t="shared" si="0"/>
        <v>0.89900000000000002</v>
      </c>
      <c r="K16">
        <f t="shared" si="4"/>
        <v>0.94916666666666671</v>
      </c>
      <c r="L16">
        <f t="shared" si="2"/>
        <v>5.9933333333333332E-2</v>
      </c>
      <c r="M16" s="153" t="s">
        <v>208</v>
      </c>
      <c r="N16" s="153" t="s">
        <v>952</v>
      </c>
      <c r="O16" s="59"/>
      <c r="P16" s="154">
        <v>1.3371599015674298</v>
      </c>
      <c r="Q16" s="154">
        <v>48.662310784770966</v>
      </c>
      <c r="R16" s="155">
        <v>8.2226363636363722</v>
      </c>
      <c r="S16" s="156">
        <v>-27.504727272727269</v>
      </c>
      <c r="T16" s="59"/>
      <c r="U16" s="156">
        <f t="shared" si="3"/>
        <v>36.392289903196023</v>
      </c>
      <c r="V16" s="156"/>
      <c r="W16" t="s">
        <v>407</v>
      </c>
      <c r="X16">
        <v>2016</v>
      </c>
      <c r="Y16" t="s">
        <v>405</v>
      </c>
    </row>
    <row r="17" spans="1:37">
      <c r="A17" t="s">
        <v>209</v>
      </c>
      <c r="B17" t="s">
        <v>9</v>
      </c>
      <c r="C17" t="s">
        <v>13</v>
      </c>
      <c r="D17">
        <v>3</v>
      </c>
      <c r="E17" s="3" t="s">
        <v>309</v>
      </c>
      <c r="F17">
        <v>4</v>
      </c>
      <c r="G17">
        <v>6.891</v>
      </c>
      <c r="H17">
        <v>5.9480000000000004</v>
      </c>
      <c r="I17">
        <v>6.5010000000000003</v>
      </c>
      <c r="J17">
        <f t="shared" si="0"/>
        <v>0.55299999999999994</v>
      </c>
      <c r="K17">
        <f t="shared" si="4"/>
        <v>0.55616666666666692</v>
      </c>
      <c r="L17">
        <f t="shared" si="2"/>
        <v>0.13824999999999998</v>
      </c>
      <c r="M17" s="153" t="s">
        <v>209</v>
      </c>
      <c r="N17" s="153" t="s">
        <v>953</v>
      </c>
      <c r="O17" s="59"/>
      <c r="P17" s="154">
        <v>1.9066750950822344</v>
      </c>
      <c r="Q17" s="154">
        <v>39.311055148800037</v>
      </c>
      <c r="R17" s="155">
        <v>10.303636363636368</v>
      </c>
      <c r="S17" s="156">
        <v>-28.81372727272727</v>
      </c>
      <c r="T17" s="59"/>
      <c r="U17" s="156">
        <f t="shared" si="3"/>
        <v>20.617595126821836</v>
      </c>
      <c r="V17" s="156"/>
      <c r="X17">
        <v>2016</v>
      </c>
    </row>
    <row r="18" spans="1:37">
      <c r="A18" t="s">
        <v>210</v>
      </c>
      <c r="B18" t="s">
        <v>9</v>
      </c>
      <c r="C18" t="s">
        <v>13</v>
      </c>
      <c r="D18">
        <v>4</v>
      </c>
      <c r="E18" s="3" t="s">
        <v>309</v>
      </c>
      <c r="F18">
        <v>4</v>
      </c>
      <c r="G18">
        <v>7.7359999999999998</v>
      </c>
      <c r="H18">
        <v>6.008</v>
      </c>
      <c r="I18">
        <v>7.3949999999999996</v>
      </c>
      <c r="J18">
        <f t="shared" si="0"/>
        <v>1.3869999999999996</v>
      </c>
      <c r="K18">
        <f t="shared" si="4"/>
        <v>1.4011666666666667</v>
      </c>
      <c r="L18">
        <f t="shared" si="2"/>
        <v>0.34674999999999989</v>
      </c>
      <c r="M18" s="153" t="s">
        <v>210</v>
      </c>
      <c r="N18" s="153" t="s">
        <v>954</v>
      </c>
      <c r="O18" s="59"/>
      <c r="P18" s="154">
        <v>1.8263866711746168</v>
      </c>
      <c r="Q18" s="154">
        <v>37.525992652188819</v>
      </c>
      <c r="R18" s="155">
        <v>9.29063636363637</v>
      </c>
      <c r="S18" s="156">
        <v>-27.514727272727271</v>
      </c>
      <c r="T18" s="59"/>
      <c r="U18" s="156">
        <f t="shared" si="3"/>
        <v>20.546576058866254</v>
      </c>
      <c r="V18" s="156"/>
      <c r="X18">
        <v>2016</v>
      </c>
      <c r="AE18" t="s">
        <v>425</v>
      </c>
      <c r="AF18" t="s">
        <v>424</v>
      </c>
      <c r="AG18" t="s">
        <v>423</v>
      </c>
      <c r="AH18" t="s">
        <v>427</v>
      </c>
      <c r="AI18" t="s">
        <v>424</v>
      </c>
      <c r="AJ18" t="s">
        <v>426</v>
      </c>
    </row>
    <row r="19" spans="1:37">
      <c r="A19" t="s">
        <v>301</v>
      </c>
      <c r="B19" t="s">
        <v>9</v>
      </c>
      <c r="C19" t="s">
        <v>13</v>
      </c>
      <c r="D19">
        <v>4</v>
      </c>
      <c r="E19" s="3" t="s">
        <v>310</v>
      </c>
      <c r="F19">
        <f>48*4</f>
        <v>192</v>
      </c>
      <c r="H19">
        <v>6.2450000000000001</v>
      </c>
      <c r="I19">
        <v>6.4790000000000001</v>
      </c>
      <c r="J19">
        <f t="shared" si="0"/>
        <v>0.23399999999999999</v>
      </c>
      <c r="L19">
        <f t="shared" si="2"/>
        <v>1.21875E-3</v>
      </c>
      <c r="M19" s="153" t="s">
        <v>301</v>
      </c>
      <c r="N19" s="153" t="s">
        <v>955</v>
      </c>
      <c r="O19" s="59"/>
      <c r="P19" s="154">
        <v>2.3761584130440059</v>
      </c>
      <c r="Q19" s="154">
        <v>48.036675107496876</v>
      </c>
      <c r="R19" s="155">
        <v>12.149636363636372</v>
      </c>
      <c r="S19" s="156">
        <v>-28.387727272727268</v>
      </c>
      <c r="T19" s="59"/>
      <c r="U19" s="156">
        <f t="shared" si="3"/>
        <v>20.216108001805708</v>
      </c>
      <c r="V19" s="156"/>
      <c r="W19" t="s">
        <v>407</v>
      </c>
      <c r="X19">
        <v>2016</v>
      </c>
      <c r="Y19" t="s">
        <v>405</v>
      </c>
      <c r="AA19" t="s">
        <v>412</v>
      </c>
      <c r="AE19" t="s">
        <v>301</v>
      </c>
      <c r="AF19">
        <v>48</v>
      </c>
      <c r="AG19">
        <v>5.9390000000000001</v>
      </c>
      <c r="AH19">
        <v>5.99</v>
      </c>
      <c r="AI19">
        <f>AH19-AG19</f>
        <v>5.1000000000000156E-2</v>
      </c>
      <c r="AJ19">
        <f>AI19/AF19</f>
        <v>1.0625000000000033E-3</v>
      </c>
    </row>
    <row r="20" spans="1:37">
      <c r="A20" t="s">
        <v>302</v>
      </c>
      <c r="B20" t="s">
        <v>9</v>
      </c>
      <c r="C20" t="s">
        <v>13</v>
      </c>
      <c r="D20">
        <v>5</v>
      </c>
      <c r="E20" s="3" t="s">
        <v>308</v>
      </c>
      <c r="F20">
        <v>20</v>
      </c>
      <c r="G20">
        <v>7.181</v>
      </c>
      <c r="H20">
        <v>5.7919999999999998</v>
      </c>
      <c r="I20">
        <v>6.5880000000000001</v>
      </c>
      <c r="J20">
        <f t="shared" si="0"/>
        <v>0.79600000000000026</v>
      </c>
      <c r="K20">
        <f t="shared" si="4"/>
        <v>0.84616666666666696</v>
      </c>
      <c r="L20">
        <f t="shared" si="2"/>
        <v>3.9800000000000016E-2</v>
      </c>
      <c r="M20" s="153" t="s">
        <v>302</v>
      </c>
      <c r="N20" s="153" t="s">
        <v>956</v>
      </c>
      <c r="O20" s="59"/>
      <c r="P20" s="154">
        <v>2.6700728202902839</v>
      </c>
      <c r="Q20" s="154">
        <v>52.641322830678263</v>
      </c>
      <c r="R20" s="155">
        <v>3.0496363636363704</v>
      </c>
      <c r="S20" s="156">
        <v>-28.864727272727272</v>
      </c>
      <c r="T20" s="59"/>
      <c r="U20" s="156">
        <f t="shared" si="3"/>
        <v>19.715313541506791</v>
      </c>
      <c r="V20" s="156"/>
      <c r="W20" t="s">
        <v>407</v>
      </c>
      <c r="X20">
        <v>2016</v>
      </c>
      <c r="Y20" t="s">
        <v>405</v>
      </c>
      <c r="AE20" t="s">
        <v>301</v>
      </c>
      <c r="AF20">
        <v>60</v>
      </c>
      <c r="AG20">
        <v>5.9390000000000001</v>
      </c>
      <c r="AH20">
        <v>6.0250000000000004</v>
      </c>
      <c r="AI20">
        <f>AH20-AG20</f>
        <v>8.6000000000000298E-2</v>
      </c>
      <c r="AJ20">
        <f>AI20/AF20</f>
        <v>1.4333333333333383E-3</v>
      </c>
      <c r="AK20" t="s">
        <v>428</v>
      </c>
    </row>
    <row r="21" spans="1:37">
      <c r="A21" t="s">
        <v>303</v>
      </c>
      <c r="B21" t="s">
        <v>9</v>
      </c>
      <c r="C21" t="s">
        <v>13</v>
      </c>
      <c r="D21">
        <v>5</v>
      </c>
      <c r="E21" s="3" t="s">
        <v>309</v>
      </c>
      <c r="F21">
        <v>4</v>
      </c>
      <c r="G21">
        <v>7.0250000000000004</v>
      </c>
      <c r="H21">
        <v>5.9379999999999997</v>
      </c>
      <c r="I21">
        <v>6.5609999999999999</v>
      </c>
      <c r="J21">
        <f t="shared" si="0"/>
        <v>0.62300000000000022</v>
      </c>
      <c r="K21">
        <f t="shared" si="4"/>
        <v>0.69016666666666726</v>
      </c>
      <c r="L21">
        <f t="shared" si="2"/>
        <v>0.15575000000000006</v>
      </c>
      <c r="M21" s="153" t="s">
        <v>303</v>
      </c>
      <c r="N21" s="153" t="s">
        <v>957</v>
      </c>
      <c r="O21" s="59"/>
      <c r="P21" s="154">
        <v>1.2982439453410159</v>
      </c>
      <c r="Q21" s="154">
        <v>33.615445648578671</v>
      </c>
      <c r="R21" s="155">
        <v>6.9336363636363707</v>
      </c>
      <c r="S21" s="156">
        <v>-30.693727272727273</v>
      </c>
      <c r="T21" s="59"/>
      <c r="U21" s="156">
        <f t="shared" si="3"/>
        <v>25.89301168645061</v>
      </c>
      <c r="V21" s="156"/>
      <c r="W21" t="s">
        <v>407</v>
      </c>
      <c r="X21">
        <v>2016</v>
      </c>
      <c r="AF21">
        <f>AF20-AF19</f>
        <v>12</v>
      </c>
      <c r="AH21">
        <f t="shared" ref="AH21" si="5">AH20-AH19</f>
        <v>3.5000000000000142E-2</v>
      </c>
      <c r="AJ21">
        <f>AH21/AF21</f>
        <v>2.9166666666666785E-3</v>
      </c>
      <c r="AK21" t="s">
        <v>429</v>
      </c>
    </row>
    <row r="22" spans="1:37">
      <c r="A22" t="s">
        <v>304</v>
      </c>
      <c r="B22" t="s">
        <v>9</v>
      </c>
      <c r="C22" t="s">
        <v>13</v>
      </c>
      <c r="D22">
        <v>5</v>
      </c>
      <c r="E22" s="3" t="s">
        <v>311</v>
      </c>
      <c r="F22">
        <v>15</v>
      </c>
      <c r="G22">
        <v>6.7859999999999996</v>
      </c>
      <c r="H22">
        <v>5.79</v>
      </c>
      <c r="I22">
        <v>6.1970000000000001</v>
      </c>
      <c r="J22">
        <f t="shared" si="0"/>
        <v>0.40700000000000003</v>
      </c>
      <c r="K22">
        <f t="shared" si="4"/>
        <v>0.45116666666666649</v>
      </c>
      <c r="L22">
        <f t="shared" si="2"/>
        <v>2.7133333333333336E-2</v>
      </c>
      <c r="M22" s="153" t="s">
        <v>304</v>
      </c>
      <c r="N22" s="153" t="s">
        <v>958</v>
      </c>
      <c r="O22" s="59"/>
      <c r="P22" s="154">
        <v>1.0094619072159492</v>
      </c>
      <c r="Q22" s="154">
        <v>46.033507599922828</v>
      </c>
      <c r="R22" s="155">
        <v>3.5466363636363702</v>
      </c>
      <c r="S22" s="156">
        <v>-30.195727272727268</v>
      </c>
      <c r="T22" s="59"/>
      <c r="U22" s="156">
        <f t="shared" si="3"/>
        <v>45.602025466103207</v>
      </c>
      <c r="V22" s="156"/>
      <c r="X22">
        <v>2016</v>
      </c>
      <c r="Y22" t="s">
        <v>405</v>
      </c>
      <c r="AA22" t="s">
        <v>411</v>
      </c>
    </row>
    <row r="23" spans="1:37" s="4" customFormat="1">
      <c r="A23" s="4" t="s">
        <v>305</v>
      </c>
      <c r="B23" s="4" t="s">
        <v>9</v>
      </c>
      <c r="C23" s="4" t="s">
        <v>13</v>
      </c>
      <c r="D23" s="4">
        <v>6</v>
      </c>
      <c r="E23" s="5" t="s">
        <v>306</v>
      </c>
      <c r="F23" s="4">
        <v>15</v>
      </c>
      <c r="G23" s="4">
        <v>11.398999999999999</v>
      </c>
      <c r="H23" s="4">
        <v>5.931</v>
      </c>
      <c r="I23" s="4">
        <v>11.022</v>
      </c>
      <c r="J23" s="4">
        <f t="shared" si="0"/>
        <v>5.0910000000000002</v>
      </c>
      <c r="K23" s="4">
        <f t="shared" si="4"/>
        <v>5.064166666666666</v>
      </c>
      <c r="L23" s="4">
        <f t="shared" si="2"/>
        <v>0.33940000000000003</v>
      </c>
      <c r="M23" s="191" t="s">
        <v>305</v>
      </c>
      <c r="N23" s="191" t="s">
        <v>959</v>
      </c>
      <c r="O23" s="7"/>
      <c r="P23" s="192">
        <v>1.2667204052030094</v>
      </c>
      <c r="Q23" s="192">
        <v>49.171391024303674</v>
      </c>
      <c r="R23" s="193">
        <v>4.7646363636363702</v>
      </c>
      <c r="S23" s="194">
        <v>-26.26972727272727</v>
      </c>
      <c r="T23" s="7"/>
      <c r="U23" s="194">
        <f t="shared" si="3"/>
        <v>38.817872375256542</v>
      </c>
      <c r="V23" s="194"/>
      <c r="X23" s="4">
        <v>2016</v>
      </c>
    </row>
    <row r="24" spans="1:37">
      <c r="A24" t="s">
        <v>312</v>
      </c>
      <c r="B24" t="s">
        <v>196</v>
      </c>
      <c r="C24" t="s">
        <v>12</v>
      </c>
      <c r="D24">
        <v>1</v>
      </c>
      <c r="E24" s="11" t="s">
        <v>306</v>
      </c>
      <c r="F24" s="6">
        <v>16</v>
      </c>
      <c r="G24" s="6">
        <v>12.581</v>
      </c>
      <c r="H24" s="6">
        <v>5.9329999999999998</v>
      </c>
      <c r="I24" s="6">
        <v>12.121</v>
      </c>
      <c r="J24">
        <f t="shared" si="0"/>
        <v>6.1880000000000006</v>
      </c>
      <c r="K24">
        <f t="shared" si="4"/>
        <v>6.2461666666666664</v>
      </c>
      <c r="L24">
        <f t="shared" si="2"/>
        <v>0.38675000000000004</v>
      </c>
      <c r="M24" s="153" t="s">
        <v>312</v>
      </c>
      <c r="N24" s="153" t="s">
        <v>940</v>
      </c>
      <c r="O24" s="59"/>
      <c r="P24" s="154">
        <v>1.98768140151608</v>
      </c>
      <c r="Q24" s="154">
        <v>49.226372460748621</v>
      </c>
      <c r="R24" s="155">
        <v>13.280636363636372</v>
      </c>
      <c r="S24" s="156">
        <v>-24.895727272727271</v>
      </c>
      <c r="T24" s="59"/>
      <c r="U24" s="156">
        <f t="shared" si="3"/>
        <v>24.765725746189403</v>
      </c>
      <c r="V24" s="156">
        <f>AVERAGE(U24:U32)</f>
        <v>24.744130962810878</v>
      </c>
      <c r="W24" s="6" t="s">
        <v>407</v>
      </c>
      <c r="X24" s="6">
        <v>2016</v>
      </c>
    </row>
    <row r="25" spans="1:37">
      <c r="A25" t="s">
        <v>320</v>
      </c>
      <c r="B25" t="s">
        <v>196</v>
      </c>
      <c r="C25" t="s">
        <v>12</v>
      </c>
      <c r="D25">
        <v>2</v>
      </c>
      <c r="E25" s="11" t="s">
        <v>306</v>
      </c>
      <c r="F25" s="6">
        <v>15</v>
      </c>
      <c r="G25" s="6">
        <v>13.601000000000001</v>
      </c>
      <c r="H25" s="6">
        <v>5.944</v>
      </c>
      <c r="I25" s="6">
        <v>13.105</v>
      </c>
      <c r="J25">
        <f t="shared" si="0"/>
        <v>7.1610000000000005</v>
      </c>
      <c r="K25">
        <f t="shared" si="4"/>
        <v>7.2661666666666678</v>
      </c>
      <c r="L25">
        <f t="shared" si="2"/>
        <v>0.47740000000000005</v>
      </c>
      <c r="M25" s="153" t="s">
        <v>320</v>
      </c>
      <c r="N25" s="153" t="s">
        <v>941</v>
      </c>
      <c r="O25" s="59"/>
      <c r="P25" s="154">
        <v>1.7342337860579888</v>
      </c>
      <c r="Q25" s="154">
        <v>48.211943437128397</v>
      </c>
      <c r="R25" s="155">
        <v>13.774636363636372</v>
      </c>
      <c r="S25" s="156">
        <v>-26.991727272727271</v>
      </c>
      <c r="T25" s="59"/>
      <c r="U25" s="156">
        <f t="shared" si="3"/>
        <v>27.800140802652024</v>
      </c>
      <c r="V25" s="156"/>
      <c r="W25" s="6" t="s">
        <v>407</v>
      </c>
      <c r="X25" s="6">
        <v>2016</v>
      </c>
      <c r="AA25" t="s">
        <v>419</v>
      </c>
    </row>
    <row r="26" spans="1:37">
      <c r="A26" t="s">
        <v>321</v>
      </c>
      <c r="B26" t="s">
        <v>196</v>
      </c>
      <c r="C26" t="s">
        <v>12</v>
      </c>
      <c r="D26">
        <v>2</v>
      </c>
      <c r="E26" s="11" t="s">
        <v>309</v>
      </c>
      <c r="F26">
        <v>4</v>
      </c>
      <c r="G26">
        <v>6.9589999999999996</v>
      </c>
      <c r="H26">
        <v>5.9379999999999997</v>
      </c>
      <c r="I26">
        <v>6.5330000000000004</v>
      </c>
      <c r="J26">
        <f t="shared" si="0"/>
        <v>0.59500000000000064</v>
      </c>
      <c r="K26">
        <f t="shared" si="4"/>
        <v>0.62416666666666654</v>
      </c>
      <c r="L26">
        <f t="shared" si="2"/>
        <v>0.14875000000000016</v>
      </c>
      <c r="M26" s="153" t="s">
        <v>321</v>
      </c>
      <c r="N26" s="153" t="s">
        <v>942</v>
      </c>
      <c r="O26" s="59"/>
      <c r="P26" s="154">
        <v>3.2165936429005733</v>
      </c>
      <c r="Q26" s="154">
        <v>38.865337404782522</v>
      </c>
      <c r="R26" s="155">
        <v>12.956636363636374</v>
      </c>
      <c r="S26" s="156">
        <v>-29.330727272727266</v>
      </c>
      <c r="T26" s="59"/>
      <c r="U26" s="156">
        <f t="shared" si="3"/>
        <v>12.082762611485977</v>
      </c>
      <c r="V26" s="156"/>
      <c r="X26" s="6">
        <v>2016</v>
      </c>
    </row>
    <row r="27" spans="1:37">
      <c r="A27" t="s">
        <v>322</v>
      </c>
      <c r="B27" t="s">
        <v>196</v>
      </c>
      <c r="C27" t="s">
        <v>12</v>
      </c>
      <c r="D27">
        <v>3</v>
      </c>
      <c r="E27" s="11" t="s">
        <v>307</v>
      </c>
      <c r="F27">
        <v>15</v>
      </c>
      <c r="G27">
        <v>7.4669999999999996</v>
      </c>
      <c r="H27">
        <v>5.7919999999999998</v>
      </c>
      <c r="I27">
        <v>6.8179999999999996</v>
      </c>
      <c r="J27">
        <f t="shared" si="0"/>
        <v>1.0259999999999998</v>
      </c>
      <c r="K27">
        <f t="shared" si="4"/>
        <v>1.1321666666666665</v>
      </c>
      <c r="L27">
        <f t="shared" si="2"/>
        <v>6.8399999999999989E-2</v>
      </c>
      <c r="M27" s="153" t="s">
        <v>322</v>
      </c>
      <c r="N27" s="153" t="s">
        <v>943</v>
      </c>
      <c r="O27" s="59"/>
      <c r="P27" s="154">
        <v>1.8133626442871069</v>
      </c>
      <c r="Q27" s="154">
        <v>49.003695946796341</v>
      </c>
      <c r="R27" s="155">
        <v>11.986636363636368</v>
      </c>
      <c r="S27" s="156">
        <v>-26.95572727272727</v>
      </c>
      <c r="T27" s="59"/>
      <c r="U27" s="156">
        <f t="shared" si="3"/>
        <v>27.023660215555683</v>
      </c>
      <c r="V27" s="156"/>
      <c r="X27">
        <v>2016</v>
      </c>
      <c r="Y27" t="s">
        <v>405</v>
      </c>
    </row>
    <row r="28" spans="1:37">
      <c r="A28" t="s">
        <v>323</v>
      </c>
      <c r="B28" t="s">
        <v>196</v>
      </c>
      <c r="C28" t="s">
        <v>12</v>
      </c>
      <c r="D28">
        <v>4</v>
      </c>
      <c r="E28" s="11" t="s">
        <v>307</v>
      </c>
      <c r="F28">
        <v>15</v>
      </c>
      <c r="G28">
        <v>7.3559999999999999</v>
      </c>
      <c r="H28">
        <v>5.7939999999999996</v>
      </c>
      <c r="I28">
        <v>6.89</v>
      </c>
      <c r="J28">
        <f>I28-H28</f>
        <v>1.0960000000000001</v>
      </c>
      <c r="K28">
        <f t="shared" si="4"/>
        <v>1.0211666666666668</v>
      </c>
      <c r="L28">
        <f t="shared" si="2"/>
        <v>7.3066666666666669E-2</v>
      </c>
      <c r="M28" s="153" t="s">
        <v>323</v>
      </c>
      <c r="N28" s="153" t="s">
        <v>944</v>
      </c>
      <c r="O28" s="59"/>
      <c r="P28" s="154">
        <v>1.9114408180734701</v>
      </c>
      <c r="Q28" s="154">
        <v>48.348171661589504</v>
      </c>
      <c r="R28" s="155">
        <v>12.314636363636371</v>
      </c>
      <c r="S28" s="156">
        <v>-26.767727272727271</v>
      </c>
      <c r="T28" s="59"/>
      <c r="U28" s="156">
        <f t="shared" si="3"/>
        <v>25.294098150692072</v>
      </c>
      <c r="V28" s="156"/>
      <c r="X28">
        <v>2016</v>
      </c>
      <c r="Y28" t="s">
        <v>405</v>
      </c>
    </row>
    <row r="29" spans="1:37">
      <c r="A29" t="s">
        <v>324</v>
      </c>
      <c r="B29" t="s">
        <v>196</v>
      </c>
      <c r="C29" t="s">
        <v>12</v>
      </c>
      <c r="D29">
        <v>4</v>
      </c>
      <c r="E29" s="11" t="s">
        <v>308</v>
      </c>
      <c r="F29">
        <v>20</v>
      </c>
      <c r="G29">
        <v>7.2519999999999998</v>
      </c>
      <c r="H29">
        <v>5.7990000000000004</v>
      </c>
      <c r="I29">
        <v>6.7720000000000002</v>
      </c>
      <c r="J29">
        <f t="shared" si="0"/>
        <v>0.97299999999999986</v>
      </c>
      <c r="K29">
        <f t="shared" si="4"/>
        <v>0.91716666666666669</v>
      </c>
      <c r="L29">
        <f t="shared" si="2"/>
        <v>4.8649999999999992E-2</v>
      </c>
      <c r="M29" s="153" t="s">
        <v>324</v>
      </c>
      <c r="N29" s="153" t="s">
        <v>945</v>
      </c>
      <c r="O29" s="59"/>
      <c r="P29" s="154">
        <v>2.1860274686386192</v>
      </c>
      <c r="Q29" s="154">
        <v>50.726389397251879</v>
      </c>
      <c r="R29" s="155">
        <v>9.7726363636363693</v>
      </c>
      <c r="S29" s="156">
        <v>-29.247727272727268</v>
      </c>
      <c r="T29" s="59"/>
      <c r="U29" s="156">
        <f t="shared" si="3"/>
        <v>23.204827077878615</v>
      </c>
      <c r="V29" s="156"/>
      <c r="W29" t="s">
        <v>407</v>
      </c>
      <c r="X29">
        <v>2016</v>
      </c>
      <c r="Y29" t="s">
        <v>405</v>
      </c>
    </row>
    <row r="30" spans="1:37">
      <c r="A30" t="s">
        <v>325</v>
      </c>
      <c r="B30" t="s">
        <v>196</v>
      </c>
      <c r="C30" t="s">
        <v>12</v>
      </c>
      <c r="D30">
        <v>5</v>
      </c>
      <c r="E30" s="11" t="s">
        <v>307</v>
      </c>
      <c r="F30">
        <v>15</v>
      </c>
      <c r="G30">
        <v>7.6740000000000004</v>
      </c>
      <c r="H30">
        <v>5.7930000000000001</v>
      </c>
      <c r="I30">
        <v>7.0529999999999999</v>
      </c>
      <c r="J30">
        <f>I30-H30</f>
        <v>1.2599999999999998</v>
      </c>
      <c r="K30">
        <f t="shared" si="4"/>
        <v>1.3391666666666673</v>
      </c>
      <c r="L30">
        <f t="shared" si="2"/>
        <v>8.3999999999999991E-2</v>
      </c>
      <c r="M30" s="153" t="s">
        <v>325</v>
      </c>
      <c r="N30" s="153" t="s">
        <v>946</v>
      </c>
      <c r="O30" s="59"/>
      <c r="P30" s="154">
        <v>1.3877248325889777</v>
      </c>
      <c r="Q30" s="154">
        <v>49.222945847372898</v>
      </c>
      <c r="R30" s="155">
        <v>11.745636363636368</v>
      </c>
      <c r="S30" s="156">
        <v>-25.825727272727271</v>
      </c>
      <c r="T30" s="59"/>
      <c r="U30" s="156">
        <f t="shared" si="3"/>
        <v>35.470249354507274</v>
      </c>
      <c r="V30" s="156"/>
      <c r="X30">
        <v>2016</v>
      </c>
      <c r="Y30" t="s">
        <v>405</v>
      </c>
    </row>
    <row r="31" spans="1:37">
      <c r="A31" t="s">
        <v>326</v>
      </c>
      <c r="B31" t="s">
        <v>196</v>
      </c>
      <c r="C31" t="s">
        <v>12</v>
      </c>
      <c r="D31">
        <v>5</v>
      </c>
      <c r="E31" s="11" t="s">
        <v>308</v>
      </c>
      <c r="F31">
        <v>20</v>
      </c>
      <c r="G31">
        <v>7.3550000000000004</v>
      </c>
      <c r="H31">
        <v>5.7960000000000003</v>
      </c>
      <c r="I31">
        <v>6.7080000000000002</v>
      </c>
      <c r="J31">
        <f t="shared" si="0"/>
        <v>0.91199999999999992</v>
      </c>
      <c r="K31">
        <f t="shared" si="4"/>
        <v>1.0201666666666673</v>
      </c>
      <c r="L31">
        <f t="shared" si="2"/>
        <v>4.5599999999999995E-2</v>
      </c>
      <c r="M31" s="153" t="s">
        <v>326</v>
      </c>
      <c r="N31" s="153" t="s">
        <v>947</v>
      </c>
      <c r="O31" s="59"/>
      <c r="P31" s="154">
        <v>2.5790701495101538</v>
      </c>
      <c r="Q31" s="154">
        <v>50.141095187268711</v>
      </c>
      <c r="R31" s="155">
        <v>8.0336363636363721</v>
      </c>
      <c r="S31" s="156">
        <v>-28.869727272727268</v>
      </c>
      <c r="T31" s="59"/>
      <c r="U31" s="156">
        <f t="shared" si="3"/>
        <v>19.441539888626945</v>
      </c>
      <c r="V31" s="156"/>
      <c r="W31" t="s">
        <v>407</v>
      </c>
      <c r="X31">
        <v>2016</v>
      </c>
      <c r="Y31" t="s">
        <v>405</v>
      </c>
    </row>
    <row r="32" spans="1:37">
      <c r="A32" t="s">
        <v>327</v>
      </c>
      <c r="B32" t="s">
        <v>196</v>
      </c>
      <c r="C32" t="s">
        <v>12</v>
      </c>
      <c r="D32">
        <v>6</v>
      </c>
      <c r="E32" s="11" t="s">
        <v>306</v>
      </c>
      <c r="F32" s="6">
        <v>15</v>
      </c>
      <c r="G32">
        <v>12.547000000000001</v>
      </c>
      <c r="H32">
        <v>5.952</v>
      </c>
      <c r="I32">
        <v>12.077999999999999</v>
      </c>
      <c r="J32">
        <f t="shared" si="0"/>
        <v>6.1259999999999994</v>
      </c>
      <c r="K32">
        <f t="shared" si="4"/>
        <v>6.2121666666666675</v>
      </c>
      <c r="L32">
        <f t="shared" si="2"/>
        <v>0.40839999999999999</v>
      </c>
      <c r="M32" s="153" t="s">
        <v>327</v>
      </c>
      <c r="N32" s="153" t="s">
        <v>948</v>
      </c>
      <c r="O32" s="59"/>
      <c r="P32" s="154">
        <v>1.8045754018537117</v>
      </c>
      <c r="Q32" s="154">
        <v>49.831860618527543</v>
      </c>
      <c r="R32" s="155">
        <v>13.011636363636374</v>
      </c>
      <c r="S32" s="156">
        <v>-24.297727272727268</v>
      </c>
      <c r="T32" s="59"/>
      <c r="U32" s="156">
        <f t="shared" si="3"/>
        <v>27.61417481770993</v>
      </c>
      <c r="V32" s="156"/>
      <c r="W32" t="s">
        <v>407</v>
      </c>
      <c r="X32">
        <v>2016</v>
      </c>
    </row>
    <row r="33" spans="1:27">
      <c r="A33" t="s">
        <v>313</v>
      </c>
      <c r="B33" t="s">
        <v>196</v>
      </c>
      <c r="C33" t="s">
        <v>13</v>
      </c>
      <c r="D33">
        <v>1</v>
      </c>
      <c r="E33" s="3" t="s">
        <v>308</v>
      </c>
      <c r="F33">
        <v>52</v>
      </c>
      <c r="G33">
        <v>7.3730000000000002</v>
      </c>
      <c r="H33">
        <v>5.7880000000000003</v>
      </c>
      <c r="I33">
        <v>6.8410000000000002</v>
      </c>
      <c r="J33">
        <f t="shared" si="0"/>
        <v>1.0529999999999999</v>
      </c>
      <c r="K33">
        <f t="shared" si="4"/>
        <v>1.0381666666666671</v>
      </c>
      <c r="L33">
        <f t="shared" si="2"/>
        <v>2.0249999999999997E-2</v>
      </c>
      <c r="M33" s="153" t="s">
        <v>313</v>
      </c>
      <c r="N33" s="153" t="s">
        <v>910</v>
      </c>
      <c r="O33" s="59"/>
      <c r="P33" s="154">
        <v>1.821045848435433</v>
      </c>
      <c r="Q33" s="154">
        <v>47.278790920142569</v>
      </c>
      <c r="R33" s="155">
        <v>1.405636363636372</v>
      </c>
      <c r="S33" s="156">
        <v>-29.565727272727273</v>
      </c>
      <c r="T33" s="59"/>
      <c r="U33" s="156">
        <f t="shared" si="3"/>
        <v>25.962438540887117</v>
      </c>
      <c r="V33" s="156">
        <f>AVERAGE(U33:U39)</f>
        <v>24.583864835699362</v>
      </c>
      <c r="W33" t="s">
        <v>407</v>
      </c>
      <c r="X33">
        <v>2016</v>
      </c>
      <c r="Y33" t="s">
        <v>405</v>
      </c>
    </row>
    <row r="34" spans="1:27">
      <c r="A34" t="s">
        <v>328</v>
      </c>
      <c r="B34" t="s">
        <v>196</v>
      </c>
      <c r="C34" t="s">
        <v>13</v>
      </c>
      <c r="D34">
        <v>2</v>
      </c>
      <c r="E34" s="3" t="s">
        <v>308</v>
      </c>
      <c r="F34">
        <v>20</v>
      </c>
      <c r="G34">
        <v>6.984</v>
      </c>
      <c r="H34">
        <v>5.7969999999999997</v>
      </c>
      <c r="I34">
        <v>6.2779999999999996</v>
      </c>
      <c r="J34">
        <f t="shared" si="0"/>
        <v>0.48099999999999987</v>
      </c>
      <c r="K34">
        <f t="shared" si="4"/>
        <v>0.64916666666666689</v>
      </c>
      <c r="L34">
        <f t="shared" si="2"/>
        <v>2.4049999999999995E-2</v>
      </c>
      <c r="M34" s="153" t="s">
        <v>328</v>
      </c>
      <c r="N34" s="153" t="s">
        <v>911</v>
      </c>
      <c r="O34" s="59"/>
      <c r="P34" s="154">
        <v>1.9312052306888303</v>
      </c>
      <c r="Q34" s="154">
        <v>47.044613671602093</v>
      </c>
      <c r="R34" s="155">
        <v>2.1856363636363696</v>
      </c>
      <c r="S34" s="156">
        <v>-28.236727272727268</v>
      </c>
      <c r="T34" s="59"/>
      <c r="U34" s="156">
        <f t="shared" si="3"/>
        <v>24.360235216855759</v>
      </c>
      <c r="V34" s="156"/>
      <c r="W34" t="s">
        <v>407</v>
      </c>
      <c r="X34">
        <v>2016</v>
      </c>
      <c r="Y34" t="s">
        <v>405</v>
      </c>
    </row>
    <row r="35" spans="1:27">
      <c r="A35" t="s">
        <v>329</v>
      </c>
      <c r="B35" t="s">
        <v>196</v>
      </c>
      <c r="C35" t="s">
        <v>13</v>
      </c>
      <c r="D35">
        <v>3</v>
      </c>
      <c r="E35" s="3" t="s">
        <v>308</v>
      </c>
      <c r="F35" s="6">
        <v>20</v>
      </c>
      <c r="G35">
        <v>6.9029999999999996</v>
      </c>
      <c r="H35">
        <v>5.7930000000000001</v>
      </c>
      <c r="I35">
        <v>6.4729999999999999</v>
      </c>
      <c r="J35">
        <f t="shared" si="0"/>
        <v>0.67999999999999972</v>
      </c>
      <c r="K35">
        <f t="shared" si="4"/>
        <v>0.56816666666666649</v>
      </c>
      <c r="L35">
        <f t="shared" si="2"/>
        <v>3.3999999999999989E-2</v>
      </c>
      <c r="M35" s="153" t="s">
        <v>329</v>
      </c>
      <c r="N35" s="153" t="s">
        <v>912</v>
      </c>
      <c r="O35" s="59"/>
      <c r="P35" s="154">
        <v>1.875324553637836</v>
      </c>
      <c r="Q35" s="154">
        <v>47.226647151013523</v>
      </c>
      <c r="R35" s="155">
        <v>1.13363636363637</v>
      </c>
      <c r="S35" s="156">
        <v>-28.916727272727272</v>
      </c>
      <c r="T35" s="59"/>
      <c r="U35" s="156">
        <f t="shared" si="3"/>
        <v>25.183186056728808</v>
      </c>
      <c r="V35" s="156"/>
      <c r="W35" t="s">
        <v>407</v>
      </c>
      <c r="X35">
        <v>2016</v>
      </c>
      <c r="Y35" t="s">
        <v>405</v>
      </c>
    </row>
    <row r="36" spans="1:27">
      <c r="A36" t="s">
        <v>330</v>
      </c>
      <c r="B36" t="s">
        <v>196</v>
      </c>
      <c r="C36" t="s">
        <v>13</v>
      </c>
      <c r="D36">
        <v>4</v>
      </c>
      <c r="E36" s="3" t="s">
        <v>308</v>
      </c>
      <c r="F36">
        <v>56</v>
      </c>
      <c r="G36">
        <v>7.6820000000000004</v>
      </c>
      <c r="H36">
        <v>5.7910000000000004</v>
      </c>
      <c r="I36">
        <v>7.1180000000000003</v>
      </c>
      <c r="J36">
        <f t="shared" si="0"/>
        <v>1.327</v>
      </c>
      <c r="K36">
        <f t="shared" si="4"/>
        <v>1.3471666666666673</v>
      </c>
      <c r="L36">
        <f t="shared" si="2"/>
        <v>2.369642857142857E-2</v>
      </c>
      <c r="M36" s="153" t="s">
        <v>330</v>
      </c>
      <c r="N36" s="153" t="s">
        <v>913</v>
      </c>
      <c r="O36" s="59"/>
      <c r="P36" s="154">
        <v>1.8976937789540416</v>
      </c>
      <c r="Q36" s="154">
        <v>47.09018310147551</v>
      </c>
      <c r="R36" s="155">
        <v>1.5826363636363716</v>
      </c>
      <c r="S36" s="156">
        <v>-28.074727272727269</v>
      </c>
      <c r="T36" s="59"/>
      <c r="U36" s="156">
        <f t="shared" si="3"/>
        <v>24.814426660254096</v>
      </c>
      <c r="V36" s="156"/>
      <c r="W36" t="s">
        <v>407</v>
      </c>
      <c r="X36">
        <v>2016</v>
      </c>
      <c r="Y36" t="s">
        <v>405</v>
      </c>
    </row>
    <row r="37" spans="1:27">
      <c r="A37" t="s">
        <v>331</v>
      </c>
      <c r="B37" t="s">
        <v>196</v>
      </c>
      <c r="C37" t="s">
        <v>13</v>
      </c>
      <c r="D37">
        <v>4</v>
      </c>
      <c r="E37" s="3" t="s">
        <v>309</v>
      </c>
      <c r="F37">
        <v>4</v>
      </c>
      <c r="G37">
        <v>8.5850000000000009</v>
      </c>
      <c r="H37">
        <v>5.9349999999999996</v>
      </c>
      <c r="I37">
        <v>8.1120000000000001</v>
      </c>
      <c r="J37">
        <f t="shared" si="0"/>
        <v>2.1770000000000005</v>
      </c>
      <c r="K37">
        <f t="shared" si="4"/>
        <v>2.2501666666666678</v>
      </c>
      <c r="L37">
        <f t="shared" si="2"/>
        <v>0.54425000000000012</v>
      </c>
      <c r="M37" s="153" t="s">
        <v>331</v>
      </c>
      <c r="N37" s="153" t="s">
        <v>914</v>
      </c>
      <c r="O37" s="59"/>
      <c r="P37" s="154">
        <v>1.7172489095169039</v>
      </c>
      <c r="Q37" s="154">
        <v>32.981850445679058</v>
      </c>
      <c r="R37" s="155">
        <v>3.5826363636363716</v>
      </c>
      <c r="S37" s="156">
        <v>-28.384727272727268</v>
      </c>
      <c r="T37" s="59"/>
      <c r="U37" s="156">
        <f t="shared" si="3"/>
        <v>19.206214231900432</v>
      </c>
      <c r="V37" s="156"/>
      <c r="X37">
        <v>2016</v>
      </c>
    </row>
    <row r="38" spans="1:27">
      <c r="A38" t="s">
        <v>332</v>
      </c>
      <c r="B38" t="s">
        <v>196</v>
      </c>
      <c r="C38" t="s">
        <v>13</v>
      </c>
      <c r="D38">
        <v>5</v>
      </c>
      <c r="E38" s="3" t="s">
        <v>308</v>
      </c>
      <c r="F38">
        <v>20</v>
      </c>
      <c r="G38">
        <v>6.899</v>
      </c>
      <c r="H38">
        <v>5.7930000000000001</v>
      </c>
      <c r="I38">
        <v>6.3289999999999997</v>
      </c>
      <c r="J38">
        <f t="shared" si="0"/>
        <v>0.53599999999999959</v>
      </c>
      <c r="K38">
        <f t="shared" si="4"/>
        <v>0.56416666666666693</v>
      </c>
      <c r="L38">
        <f t="shared" si="2"/>
        <v>2.679999999999998E-2</v>
      </c>
      <c r="M38" s="153" t="s">
        <v>332</v>
      </c>
      <c r="N38" s="153" t="s">
        <v>915</v>
      </c>
      <c r="O38" s="59"/>
      <c r="P38" s="154">
        <v>1.8423422288408333</v>
      </c>
      <c r="Q38" s="154">
        <v>47.192424943156375</v>
      </c>
      <c r="R38" s="155">
        <v>0.91763636363637247</v>
      </c>
      <c r="S38" s="156">
        <v>-28.206727272727271</v>
      </c>
      <c r="T38" s="59"/>
      <c r="U38" s="156">
        <f t="shared" si="3"/>
        <v>25.615449835750088</v>
      </c>
      <c r="V38" s="156"/>
      <c r="W38" t="s">
        <v>407</v>
      </c>
      <c r="X38">
        <v>2016</v>
      </c>
      <c r="Y38" t="s">
        <v>405</v>
      </c>
    </row>
    <row r="39" spans="1:27" s="4" customFormat="1">
      <c r="A39" s="4" t="s">
        <v>333</v>
      </c>
      <c r="B39" s="4" t="s">
        <v>196</v>
      </c>
      <c r="C39" s="4" t="s">
        <v>13</v>
      </c>
      <c r="D39" s="4">
        <v>6</v>
      </c>
      <c r="E39" s="5" t="s">
        <v>308</v>
      </c>
      <c r="F39" s="4">
        <v>20</v>
      </c>
      <c r="G39" s="4">
        <v>6.9139999999999997</v>
      </c>
      <c r="H39" s="4">
        <v>5.7910000000000004</v>
      </c>
      <c r="I39" s="4">
        <v>6.3730000000000002</v>
      </c>
      <c r="J39" s="4">
        <f t="shared" si="0"/>
        <v>0.58199999999999985</v>
      </c>
      <c r="K39" s="4">
        <f t="shared" si="4"/>
        <v>0.57916666666666661</v>
      </c>
      <c r="L39" s="4">
        <f t="shared" si="2"/>
        <v>2.9099999999999994E-2</v>
      </c>
      <c r="M39" s="191" t="s">
        <v>333</v>
      </c>
      <c r="N39" s="191" t="s">
        <v>916</v>
      </c>
      <c r="O39" s="7"/>
      <c r="P39" s="192">
        <v>1.7886934234672507</v>
      </c>
      <c r="Q39" s="192">
        <v>48.196529080805348</v>
      </c>
      <c r="R39" s="193">
        <v>-1.496363636363629</v>
      </c>
      <c r="S39" s="194">
        <v>-28.75572727272727</v>
      </c>
      <c r="T39" s="7"/>
      <c r="U39" s="194">
        <f t="shared" si="3"/>
        <v>26.945103307519251</v>
      </c>
      <c r="V39" s="194"/>
      <c r="W39" s="4" t="s">
        <v>407</v>
      </c>
      <c r="X39" s="4">
        <v>2016</v>
      </c>
      <c r="Y39" s="4" t="s">
        <v>405</v>
      </c>
    </row>
    <row r="40" spans="1:27">
      <c r="A40" t="s">
        <v>314</v>
      </c>
      <c r="B40" s="9" t="s">
        <v>197</v>
      </c>
      <c r="C40" t="s">
        <v>12</v>
      </c>
      <c r="D40" s="6">
        <v>1</v>
      </c>
      <c r="E40" s="11" t="s">
        <v>306</v>
      </c>
      <c r="F40" s="6">
        <v>15</v>
      </c>
      <c r="G40" s="6">
        <v>12.647</v>
      </c>
      <c r="H40" s="6">
        <v>5.9580000000000002</v>
      </c>
      <c r="I40" s="6">
        <v>12.176</v>
      </c>
      <c r="J40">
        <f t="shared" si="0"/>
        <v>6.218</v>
      </c>
      <c r="K40">
        <f t="shared" si="4"/>
        <v>6.3121666666666671</v>
      </c>
      <c r="L40">
        <f t="shared" si="2"/>
        <v>0.41453333333333331</v>
      </c>
      <c r="M40" s="153" t="s">
        <v>314</v>
      </c>
      <c r="N40" s="153" t="s">
        <v>928</v>
      </c>
      <c r="O40" s="59"/>
      <c r="P40" s="154">
        <v>1.8950364488953253</v>
      </c>
      <c r="Q40" s="154">
        <v>46.987491086641967</v>
      </c>
      <c r="R40" s="155">
        <v>19.210636363636372</v>
      </c>
      <c r="S40" s="156">
        <v>-27.189727272727268</v>
      </c>
      <c r="T40" s="59"/>
      <c r="U40" s="156">
        <f t="shared" si="3"/>
        <v>24.795032894503116</v>
      </c>
      <c r="V40" s="156">
        <f>AVERAGE(U40:U51)</f>
        <v>20.887368405887766</v>
      </c>
      <c r="X40" s="6">
        <v>2016</v>
      </c>
      <c r="AA40" t="s">
        <v>420</v>
      </c>
    </row>
    <row r="41" spans="1:27">
      <c r="A41" t="s">
        <v>334</v>
      </c>
      <c r="B41" s="9" t="s">
        <v>197</v>
      </c>
      <c r="C41" t="s">
        <v>12</v>
      </c>
      <c r="D41" s="6">
        <v>2</v>
      </c>
      <c r="E41" s="11" t="s">
        <v>306</v>
      </c>
      <c r="F41" s="6">
        <v>15</v>
      </c>
      <c r="G41" s="6">
        <v>10.166</v>
      </c>
      <c r="H41" s="6">
        <v>5.9640000000000004</v>
      </c>
      <c r="I41" s="6">
        <v>9.7550000000000008</v>
      </c>
      <c r="J41">
        <f t="shared" si="0"/>
        <v>3.7910000000000004</v>
      </c>
      <c r="K41">
        <f t="shared" si="4"/>
        <v>3.8311666666666673</v>
      </c>
      <c r="L41">
        <f t="shared" si="2"/>
        <v>0.25273333333333337</v>
      </c>
      <c r="M41" s="153" t="s">
        <v>334</v>
      </c>
      <c r="N41" s="153" t="s">
        <v>929</v>
      </c>
      <c r="O41" s="59"/>
      <c r="P41" s="154">
        <v>2.1585731207595615</v>
      </c>
      <c r="Q41" s="154">
        <v>48.078365055236233</v>
      </c>
      <c r="R41" s="155">
        <v>13.34863636363637</v>
      </c>
      <c r="S41" s="156">
        <v>-25.858727272727268</v>
      </c>
      <c r="T41" s="59"/>
      <c r="U41" s="156">
        <f t="shared" si="3"/>
        <v>22.273215853961137</v>
      </c>
      <c r="V41" s="156"/>
      <c r="W41" t="s">
        <v>407</v>
      </c>
      <c r="X41" s="6">
        <v>2016</v>
      </c>
    </row>
    <row r="42" spans="1:27">
      <c r="A42" t="s">
        <v>335</v>
      </c>
      <c r="B42" s="9" t="s">
        <v>197</v>
      </c>
      <c r="C42" t="s">
        <v>12</v>
      </c>
      <c r="D42" s="6">
        <v>3</v>
      </c>
      <c r="E42" s="11" t="s">
        <v>306</v>
      </c>
      <c r="F42" s="6">
        <v>15</v>
      </c>
      <c r="G42" s="6">
        <v>12.565</v>
      </c>
      <c r="H42" s="6">
        <v>5.9530000000000003</v>
      </c>
      <c r="I42" s="6">
        <v>12.125</v>
      </c>
      <c r="J42">
        <f t="shared" si="0"/>
        <v>6.1719999999999997</v>
      </c>
      <c r="K42">
        <f t="shared" si="4"/>
        <v>6.2301666666666664</v>
      </c>
      <c r="L42">
        <f t="shared" si="2"/>
        <v>0.41146666666666665</v>
      </c>
      <c r="M42" s="153" t="s">
        <v>335</v>
      </c>
      <c r="N42" s="153" t="s">
        <v>930</v>
      </c>
      <c r="O42" s="153"/>
      <c r="P42" s="154">
        <v>2.2519995964274107</v>
      </c>
      <c r="Q42" s="154">
        <v>47.048769509441335</v>
      </c>
      <c r="R42" s="155">
        <v>11.79963636363637</v>
      </c>
      <c r="S42" s="156">
        <v>-26.68572727272727</v>
      </c>
      <c r="T42" s="59"/>
      <c r="U42" s="156">
        <f t="shared" si="3"/>
        <v>20.89199730944884</v>
      </c>
      <c r="V42" s="156"/>
      <c r="X42" s="6">
        <v>2016</v>
      </c>
    </row>
    <row r="43" spans="1:27">
      <c r="A43" t="s">
        <v>336</v>
      </c>
      <c r="B43" s="9" t="s">
        <v>197</v>
      </c>
      <c r="C43" t="s">
        <v>12</v>
      </c>
      <c r="D43" s="6">
        <v>3</v>
      </c>
      <c r="E43" s="11" t="s">
        <v>309</v>
      </c>
      <c r="F43">
        <v>4</v>
      </c>
      <c r="G43">
        <v>8.7669999999999995</v>
      </c>
      <c r="H43">
        <v>5.9320000000000004</v>
      </c>
      <c r="I43">
        <v>8.3469999999999995</v>
      </c>
      <c r="J43">
        <f t="shared" si="0"/>
        <v>2.4149999999999991</v>
      </c>
      <c r="K43">
        <f t="shared" si="4"/>
        <v>2.4321666666666664</v>
      </c>
      <c r="L43">
        <f t="shared" si="2"/>
        <v>0.60374999999999979</v>
      </c>
      <c r="M43" s="153" t="s">
        <v>336</v>
      </c>
      <c r="N43" s="153" t="s">
        <v>931</v>
      </c>
      <c r="O43" s="153"/>
      <c r="P43" s="154">
        <v>2.1977841503848699</v>
      </c>
      <c r="Q43" s="154">
        <v>35.48400699195598</v>
      </c>
      <c r="R43" s="155">
        <v>11.021636363636372</v>
      </c>
      <c r="S43" s="156">
        <v>-29.945727272727268</v>
      </c>
      <c r="T43" s="59"/>
      <c r="U43" s="156">
        <f t="shared" si="3"/>
        <v>16.145355760137829</v>
      </c>
      <c r="V43" s="156"/>
      <c r="X43" s="6">
        <v>2016</v>
      </c>
      <c r="AA43" t="s">
        <v>419</v>
      </c>
    </row>
    <row r="44" spans="1:27">
      <c r="A44" t="s">
        <v>337</v>
      </c>
      <c r="B44" s="9" t="s">
        <v>197</v>
      </c>
      <c r="C44" t="s">
        <v>12</v>
      </c>
      <c r="D44" s="6">
        <v>3</v>
      </c>
      <c r="E44" s="11" t="s">
        <v>308</v>
      </c>
      <c r="F44">
        <v>43</v>
      </c>
      <c r="G44">
        <v>7.4210000000000003</v>
      </c>
      <c r="H44">
        <v>5.7930000000000001</v>
      </c>
      <c r="I44">
        <v>6.8810000000000002</v>
      </c>
      <c r="J44">
        <f t="shared" si="0"/>
        <v>1.0880000000000001</v>
      </c>
      <c r="K44">
        <f t="shared" si="4"/>
        <v>1.0861666666666672</v>
      </c>
      <c r="L44">
        <f t="shared" si="2"/>
        <v>2.5302325581395349E-2</v>
      </c>
      <c r="M44" s="153" t="s">
        <v>337</v>
      </c>
      <c r="N44" s="153" t="s">
        <v>932</v>
      </c>
      <c r="O44" s="153"/>
      <c r="P44" s="154">
        <v>2.7413581806045566</v>
      </c>
      <c r="Q44" s="154">
        <v>52.121682438920033</v>
      </c>
      <c r="R44" s="155">
        <v>15.211636363636369</v>
      </c>
      <c r="S44" s="156">
        <v>-27.117727272727269</v>
      </c>
      <c r="T44" s="59"/>
      <c r="U44" s="156">
        <f t="shared" si="3"/>
        <v>19.013087311131866</v>
      </c>
      <c r="V44" s="156"/>
      <c r="W44" t="s">
        <v>407</v>
      </c>
      <c r="X44">
        <v>2016</v>
      </c>
      <c r="Y44" t="s">
        <v>405</v>
      </c>
    </row>
    <row r="45" spans="1:27">
      <c r="A45" t="s">
        <v>338</v>
      </c>
      <c r="B45" s="9" t="s">
        <v>197</v>
      </c>
      <c r="C45" t="s">
        <v>12</v>
      </c>
      <c r="D45" s="6">
        <v>4</v>
      </c>
      <c r="E45" s="11" t="s">
        <v>306</v>
      </c>
      <c r="F45" s="6">
        <v>15</v>
      </c>
      <c r="G45">
        <v>12.407</v>
      </c>
      <c r="H45">
        <v>5.9370000000000003</v>
      </c>
      <c r="I45">
        <v>11.891</v>
      </c>
      <c r="J45">
        <f t="shared" si="0"/>
        <v>5.9539999999999997</v>
      </c>
      <c r="K45">
        <f t="shared" si="4"/>
        <v>6.0721666666666669</v>
      </c>
      <c r="L45">
        <f t="shared" si="2"/>
        <v>0.3969333333333333</v>
      </c>
      <c r="M45" s="153" t="s">
        <v>338</v>
      </c>
      <c r="N45" s="153" t="s">
        <v>933</v>
      </c>
      <c r="O45" s="153"/>
      <c r="P45" s="154">
        <v>1.5662727576931768</v>
      </c>
      <c r="Q45" s="154">
        <v>46.769561003742496</v>
      </c>
      <c r="R45" s="155">
        <v>14.291636363636368</v>
      </c>
      <c r="S45" s="156">
        <v>-27.28172727272727</v>
      </c>
      <c r="T45" s="59"/>
      <c r="U45" s="156">
        <f t="shared" si="3"/>
        <v>29.860419121778765</v>
      </c>
      <c r="V45" s="156"/>
      <c r="W45" t="s">
        <v>407</v>
      </c>
      <c r="X45">
        <v>2016</v>
      </c>
      <c r="AA45" t="s">
        <v>420</v>
      </c>
    </row>
    <row r="46" spans="1:27">
      <c r="A46" t="s">
        <v>339</v>
      </c>
      <c r="B46" s="9" t="s">
        <v>197</v>
      </c>
      <c r="C46" t="s">
        <v>12</v>
      </c>
      <c r="D46" s="6">
        <v>4</v>
      </c>
      <c r="E46" s="11" t="s">
        <v>309</v>
      </c>
      <c r="F46">
        <v>4</v>
      </c>
      <c r="G46">
        <v>8.8620000000000001</v>
      </c>
      <c r="H46">
        <v>5.931</v>
      </c>
      <c r="I46">
        <v>8.4979999999999993</v>
      </c>
      <c r="J46">
        <f t="shared" si="0"/>
        <v>2.5669999999999993</v>
      </c>
      <c r="K46">
        <f t="shared" si="4"/>
        <v>2.527166666666667</v>
      </c>
      <c r="L46">
        <f t="shared" si="2"/>
        <v>0.64174999999999982</v>
      </c>
      <c r="M46" s="153" t="s">
        <v>339</v>
      </c>
      <c r="N46" s="153" t="s">
        <v>934</v>
      </c>
      <c r="O46" s="59"/>
      <c r="P46" s="154">
        <v>1.998667436405124</v>
      </c>
      <c r="Q46" s="154">
        <v>37.972350360327404</v>
      </c>
      <c r="R46" s="155">
        <v>13.852636363636368</v>
      </c>
      <c r="S46" s="156">
        <v>-28.455727272727266</v>
      </c>
      <c r="T46" s="59"/>
      <c r="U46" s="156">
        <f t="shared" si="3"/>
        <v>18.99883375726872</v>
      </c>
      <c r="V46" s="156"/>
      <c r="X46">
        <v>2016</v>
      </c>
    </row>
    <row r="47" spans="1:27">
      <c r="A47" t="s">
        <v>340</v>
      </c>
      <c r="B47" s="9" t="s">
        <v>197</v>
      </c>
      <c r="C47" t="s">
        <v>12</v>
      </c>
      <c r="D47" s="6">
        <v>4</v>
      </c>
      <c r="E47" s="11" t="s">
        <v>308</v>
      </c>
      <c r="F47">
        <v>50</v>
      </c>
      <c r="G47">
        <v>8.7989999999999995</v>
      </c>
      <c r="H47">
        <v>5.798</v>
      </c>
      <c r="I47">
        <v>8.2279999999999998</v>
      </c>
      <c r="J47">
        <f t="shared" si="0"/>
        <v>2.4299999999999997</v>
      </c>
      <c r="K47">
        <f t="shared" si="4"/>
        <v>2.4641666666666664</v>
      </c>
      <c r="L47">
        <f t="shared" si="2"/>
        <v>4.8599999999999997E-2</v>
      </c>
      <c r="M47" s="153" t="s">
        <v>340</v>
      </c>
      <c r="N47" s="153" t="s">
        <v>935</v>
      </c>
      <c r="O47" s="59"/>
      <c r="P47" s="154">
        <v>2.6373141295459535</v>
      </c>
      <c r="Q47" s="154">
        <v>51.062936416554237</v>
      </c>
      <c r="R47" s="155">
        <v>14.270636363636374</v>
      </c>
      <c r="S47" s="156">
        <v>-27.770727272727271</v>
      </c>
      <c r="T47" s="59"/>
      <c r="U47" s="156">
        <f t="shared" si="3"/>
        <v>19.361719502615852</v>
      </c>
      <c r="V47" s="156"/>
      <c r="W47" t="s">
        <v>407</v>
      </c>
      <c r="X47">
        <v>2016</v>
      </c>
      <c r="Y47" t="s">
        <v>405</v>
      </c>
      <c r="AA47" t="s">
        <v>416</v>
      </c>
    </row>
    <row r="48" spans="1:27">
      <c r="A48" t="s">
        <v>341</v>
      </c>
      <c r="B48" s="9" t="s">
        <v>197</v>
      </c>
      <c r="C48" t="s">
        <v>12</v>
      </c>
      <c r="D48" s="6">
        <v>5</v>
      </c>
      <c r="E48" s="11" t="s">
        <v>306</v>
      </c>
      <c r="F48" s="6">
        <v>15</v>
      </c>
      <c r="G48">
        <v>11.824999999999999</v>
      </c>
      <c r="H48">
        <v>5.9459999999999997</v>
      </c>
      <c r="I48">
        <v>11.366</v>
      </c>
      <c r="J48">
        <f t="shared" si="0"/>
        <v>5.42</v>
      </c>
      <c r="K48">
        <f t="shared" si="4"/>
        <v>5.4901666666666662</v>
      </c>
      <c r="L48">
        <f t="shared" si="2"/>
        <v>0.36133333333333334</v>
      </c>
      <c r="M48" s="153" t="s">
        <v>341</v>
      </c>
      <c r="N48" s="153" t="s">
        <v>936</v>
      </c>
      <c r="O48" s="59"/>
      <c r="P48" s="154">
        <v>1.8324187134394703</v>
      </c>
      <c r="Q48" s="154">
        <v>47.313112862748042</v>
      </c>
      <c r="R48" s="155">
        <v>14.84863636363637</v>
      </c>
      <c r="S48" s="156">
        <v>-27.812727272727269</v>
      </c>
      <c r="T48" s="59"/>
      <c r="U48" s="156">
        <f t="shared" si="3"/>
        <v>25.820033661379064</v>
      </c>
      <c r="V48" s="156"/>
      <c r="W48" t="s">
        <v>407</v>
      </c>
      <c r="X48">
        <v>2016</v>
      </c>
      <c r="AA48" t="s">
        <v>419</v>
      </c>
    </row>
    <row r="49" spans="1:27">
      <c r="A49" t="s">
        <v>342</v>
      </c>
      <c r="B49" s="9" t="s">
        <v>197</v>
      </c>
      <c r="C49" t="s">
        <v>12</v>
      </c>
      <c r="D49" s="6">
        <v>5</v>
      </c>
      <c r="E49" s="11" t="s">
        <v>309</v>
      </c>
      <c r="F49" s="6">
        <v>4</v>
      </c>
      <c r="G49">
        <v>8.4949999999999992</v>
      </c>
      <c r="H49">
        <v>5.931</v>
      </c>
      <c r="I49">
        <v>8.0449999999999999</v>
      </c>
      <c r="J49">
        <f t="shared" si="0"/>
        <v>2.1139999999999999</v>
      </c>
      <c r="K49">
        <f t="shared" si="4"/>
        <v>2.1601666666666661</v>
      </c>
      <c r="L49">
        <f t="shared" si="2"/>
        <v>0.52849999999999997</v>
      </c>
      <c r="M49" s="153" t="s">
        <v>342</v>
      </c>
      <c r="N49" s="153" t="s">
        <v>937</v>
      </c>
      <c r="O49" s="59"/>
      <c r="P49" s="154">
        <v>2.5015265871680823</v>
      </c>
      <c r="Q49" s="154">
        <v>40.096544399963349</v>
      </c>
      <c r="R49" s="155">
        <v>13.28163636363637</v>
      </c>
      <c r="S49" s="156">
        <v>-27.706727272727271</v>
      </c>
      <c r="T49" s="59"/>
      <c r="U49" s="156">
        <f t="shared" si="3"/>
        <v>16.028829997507913</v>
      </c>
      <c r="V49" s="156"/>
      <c r="W49" t="s">
        <v>407</v>
      </c>
      <c r="X49">
        <v>2016</v>
      </c>
      <c r="AA49" t="s">
        <v>419</v>
      </c>
    </row>
    <row r="50" spans="1:27">
      <c r="A50" t="s">
        <v>343</v>
      </c>
      <c r="B50" s="9" t="s">
        <v>197</v>
      </c>
      <c r="C50" t="s">
        <v>12</v>
      </c>
      <c r="D50" s="6">
        <v>6</v>
      </c>
      <c r="E50" s="11" t="s">
        <v>306</v>
      </c>
      <c r="F50">
        <v>15</v>
      </c>
      <c r="G50">
        <v>11.77</v>
      </c>
      <c r="H50">
        <v>5.9329999999999998</v>
      </c>
      <c r="I50">
        <v>11.401</v>
      </c>
      <c r="J50">
        <f t="shared" si="0"/>
        <v>5.468</v>
      </c>
      <c r="K50">
        <f t="shared" si="4"/>
        <v>5.4351666666666665</v>
      </c>
      <c r="L50">
        <f t="shared" si="2"/>
        <v>0.36453333333333332</v>
      </c>
      <c r="M50" s="153" t="s">
        <v>343</v>
      </c>
      <c r="N50" s="153" t="s">
        <v>938</v>
      </c>
      <c r="O50" s="59"/>
      <c r="P50" s="154">
        <v>2.2215335394684366</v>
      </c>
      <c r="Q50" s="154">
        <v>47.705377611257369</v>
      </c>
      <c r="R50" s="155">
        <v>15.871636363636373</v>
      </c>
      <c r="S50" s="156">
        <v>-25.733727272727268</v>
      </c>
      <c r="T50" s="59"/>
      <c r="U50" s="156">
        <f t="shared" si="3"/>
        <v>21.474074896331388</v>
      </c>
      <c r="V50" s="156"/>
      <c r="X50">
        <v>2016</v>
      </c>
    </row>
    <row r="51" spans="1:27">
      <c r="A51" t="s">
        <v>344</v>
      </c>
      <c r="B51" s="9" t="s">
        <v>197</v>
      </c>
      <c r="C51" t="s">
        <v>12</v>
      </c>
      <c r="D51" s="6">
        <v>6</v>
      </c>
      <c r="E51" s="11" t="s">
        <v>309</v>
      </c>
      <c r="F51">
        <v>4</v>
      </c>
      <c r="G51">
        <v>8.7829999999999995</v>
      </c>
      <c r="H51">
        <v>5.9390000000000001</v>
      </c>
      <c r="I51">
        <v>8.4290000000000003</v>
      </c>
      <c r="J51">
        <f t="shared" si="0"/>
        <v>2.4900000000000002</v>
      </c>
      <c r="K51">
        <f t="shared" si="4"/>
        <v>2.4481666666666664</v>
      </c>
      <c r="L51">
        <f t="shared" si="2"/>
        <v>0.62250000000000005</v>
      </c>
      <c r="M51" s="153" t="s">
        <v>344</v>
      </c>
      <c r="N51" s="153" t="s">
        <v>939</v>
      </c>
      <c r="O51" s="59"/>
      <c r="P51" s="154">
        <v>2.2749668416995523</v>
      </c>
      <c r="Q51" s="154">
        <v>36.367212267790201</v>
      </c>
      <c r="R51" s="155">
        <v>16.466636363636372</v>
      </c>
      <c r="S51" s="156">
        <v>-27.04572727272727</v>
      </c>
      <c r="T51" s="59"/>
      <c r="U51" s="156">
        <f t="shared" si="3"/>
        <v>15.985820804588721</v>
      </c>
      <c r="V51" s="156"/>
      <c r="X51">
        <v>2016</v>
      </c>
      <c r="AA51" t="s">
        <v>419</v>
      </c>
    </row>
    <row r="52" spans="1:27">
      <c r="A52" t="s">
        <v>315</v>
      </c>
      <c r="B52" s="9" t="s">
        <v>197</v>
      </c>
      <c r="C52" t="s">
        <v>13</v>
      </c>
      <c r="D52" s="6">
        <v>1</v>
      </c>
      <c r="E52" s="11" t="s">
        <v>308</v>
      </c>
      <c r="F52">
        <v>20</v>
      </c>
      <c r="G52">
        <v>7.2610000000000001</v>
      </c>
      <c r="H52">
        <v>5.7939999999999996</v>
      </c>
      <c r="I52">
        <v>6.6589999999999998</v>
      </c>
      <c r="J52">
        <f t="shared" si="0"/>
        <v>0.86500000000000021</v>
      </c>
      <c r="K52">
        <f t="shared" si="4"/>
        <v>0.92616666666666703</v>
      </c>
      <c r="L52">
        <f t="shared" si="2"/>
        <v>4.3250000000000011E-2</v>
      </c>
      <c r="M52" s="153" t="s">
        <v>315</v>
      </c>
      <c r="N52" s="153" t="s">
        <v>895</v>
      </c>
      <c r="O52" s="153" t="s">
        <v>995</v>
      </c>
      <c r="P52" s="154">
        <v>2.0508920328386124</v>
      </c>
      <c r="Q52" s="154">
        <v>49.255366279436075</v>
      </c>
      <c r="R52" s="155">
        <v>9.6006363636363723</v>
      </c>
      <c r="S52" s="156">
        <v>-28.788727272727272</v>
      </c>
      <c r="T52" s="59"/>
      <c r="U52" s="156">
        <f t="shared" si="3"/>
        <v>24.016557425142647</v>
      </c>
      <c r="V52" s="156">
        <f>AVERAGE((U52:U56))</f>
        <v>24.791371485835885</v>
      </c>
      <c r="W52" t="s">
        <v>407</v>
      </c>
      <c r="X52">
        <v>2016</v>
      </c>
      <c r="Y52" t="s">
        <v>405</v>
      </c>
    </row>
    <row r="53" spans="1:27">
      <c r="A53" t="s">
        <v>345</v>
      </c>
      <c r="B53" s="9" t="s">
        <v>197</v>
      </c>
      <c r="C53" t="s">
        <v>13</v>
      </c>
      <c r="D53" s="6">
        <v>2</v>
      </c>
      <c r="E53" s="11" t="s">
        <v>308</v>
      </c>
      <c r="F53">
        <v>20</v>
      </c>
      <c r="G53">
        <v>6.8979999999999997</v>
      </c>
      <c r="H53">
        <v>5.7939999999999996</v>
      </c>
      <c r="I53">
        <v>6.3579999999999997</v>
      </c>
      <c r="J53">
        <f t="shared" si="0"/>
        <v>0.56400000000000006</v>
      </c>
      <c r="K53">
        <f t="shared" si="4"/>
        <v>0.56316666666666659</v>
      </c>
      <c r="L53">
        <f t="shared" si="2"/>
        <v>2.8200000000000003E-2</v>
      </c>
      <c r="M53" s="153" t="s">
        <v>345</v>
      </c>
      <c r="N53" s="153" t="s">
        <v>896</v>
      </c>
      <c r="O53" s="157" t="s">
        <v>1042</v>
      </c>
      <c r="P53" s="154">
        <v>1.8988878704765153</v>
      </c>
      <c r="Q53" s="154">
        <v>48.979451721998487</v>
      </c>
      <c r="R53" s="155">
        <v>3.9416363636363698</v>
      </c>
      <c r="S53" s="156">
        <v>-26.927727272727271</v>
      </c>
      <c r="T53" s="59"/>
      <c r="U53" s="156">
        <f t="shared" si="3"/>
        <v>25.793756694916045</v>
      </c>
      <c r="V53" s="156"/>
      <c r="W53" t="s">
        <v>407</v>
      </c>
      <c r="X53" t="s">
        <v>399</v>
      </c>
      <c r="Y53" t="s">
        <v>405</v>
      </c>
    </row>
    <row r="54" spans="1:27">
      <c r="A54" t="s">
        <v>346</v>
      </c>
      <c r="B54" s="9" t="s">
        <v>197</v>
      </c>
      <c r="C54" t="s">
        <v>13</v>
      </c>
      <c r="D54" s="6">
        <v>3</v>
      </c>
      <c r="E54" s="11" t="s">
        <v>308</v>
      </c>
      <c r="F54">
        <v>20</v>
      </c>
      <c r="G54">
        <v>7.0629999999999997</v>
      </c>
      <c r="H54">
        <v>5.8010000000000002</v>
      </c>
      <c r="I54">
        <v>6.5309999999999997</v>
      </c>
      <c r="J54">
        <f t="shared" si="0"/>
        <v>0.72999999999999954</v>
      </c>
      <c r="K54">
        <f t="shared" si="4"/>
        <v>0.72816666666666663</v>
      </c>
      <c r="L54">
        <f t="shared" si="2"/>
        <v>3.6499999999999977E-2</v>
      </c>
      <c r="M54" s="153" t="s">
        <v>346</v>
      </c>
      <c r="N54" s="153" t="s">
        <v>897</v>
      </c>
      <c r="O54" s="153" t="s">
        <v>998</v>
      </c>
      <c r="P54" s="154">
        <v>2.0360790748319335</v>
      </c>
      <c r="Q54" s="154">
        <v>49.546259956356678</v>
      </c>
      <c r="R54" s="155">
        <v>10.519636363636369</v>
      </c>
      <c r="S54" s="156">
        <v>-26.329727272727268</v>
      </c>
      <c r="T54" s="59"/>
      <c r="U54" s="156">
        <f t="shared" si="3"/>
        <v>24.334153112617415</v>
      </c>
      <c r="V54" s="156"/>
      <c r="W54" t="s">
        <v>407</v>
      </c>
      <c r="X54" t="s">
        <v>399</v>
      </c>
      <c r="Y54" t="s">
        <v>405</v>
      </c>
    </row>
    <row r="55" spans="1:27">
      <c r="A55" t="s">
        <v>347</v>
      </c>
      <c r="B55" s="9" t="s">
        <v>197</v>
      </c>
      <c r="C55" t="s">
        <v>13</v>
      </c>
      <c r="D55" s="6">
        <v>5</v>
      </c>
      <c r="E55" s="11" t="s">
        <v>308</v>
      </c>
      <c r="F55">
        <v>20</v>
      </c>
      <c r="G55">
        <v>6.86</v>
      </c>
      <c r="H55">
        <v>5.7960000000000003</v>
      </c>
      <c r="I55">
        <v>6.327</v>
      </c>
      <c r="J55">
        <f t="shared" si="0"/>
        <v>0.53099999999999969</v>
      </c>
      <c r="K55">
        <f t="shared" si="4"/>
        <v>0.52516666666666723</v>
      </c>
      <c r="L55">
        <f t="shared" si="2"/>
        <v>2.6549999999999983E-2</v>
      </c>
      <c r="M55" s="153" t="s">
        <v>347</v>
      </c>
      <c r="N55" s="153" t="s">
        <v>898</v>
      </c>
      <c r="O55" s="153" t="s">
        <v>1043</v>
      </c>
      <c r="P55" s="182">
        <v>1.8424694950995739</v>
      </c>
      <c r="Q55" s="182">
        <v>48.707612157480064</v>
      </c>
      <c r="R55" s="155">
        <v>3.0146363636363702</v>
      </c>
      <c r="S55" s="156">
        <v>-27.62472727272727</v>
      </c>
      <c r="T55" s="110" t="s">
        <v>1044</v>
      </c>
      <c r="U55" s="156">
        <f t="shared" si="3"/>
        <v>26.436048079508488</v>
      </c>
      <c r="V55" s="156"/>
      <c r="W55" t="s">
        <v>407</v>
      </c>
      <c r="X55" t="s">
        <v>399</v>
      </c>
      <c r="Y55" t="s">
        <v>405</v>
      </c>
    </row>
    <row r="56" spans="1:27" s="4" customFormat="1">
      <c r="A56" s="4" t="s">
        <v>348</v>
      </c>
      <c r="B56" s="10" t="s">
        <v>197</v>
      </c>
      <c r="C56" s="4" t="s">
        <v>13</v>
      </c>
      <c r="D56" s="7">
        <v>6</v>
      </c>
      <c r="E56" s="12" t="s">
        <v>308</v>
      </c>
      <c r="F56" s="4">
        <v>30</v>
      </c>
      <c r="G56" s="4">
        <v>6.8170000000000002</v>
      </c>
      <c r="H56" s="4">
        <v>5.7960000000000003</v>
      </c>
      <c r="I56" s="4">
        <v>6.3019999999999996</v>
      </c>
      <c r="J56" s="4">
        <f t="shared" si="0"/>
        <v>0.50599999999999934</v>
      </c>
      <c r="K56" s="4">
        <f t="shared" si="4"/>
        <v>0.48216666666666708</v>
      </c>
      <c r="L56" s="4">
        <f t="shared" si="2"/>
        <v>1.6866666666666644E-2</v>
      </c>
      <c r="M56" s="191" t="s">
        <v>348</v>
      </c>
      <c r="N56" s="191" t="s">
        <v>899</v>
      </c>
      <c r="O56" s="191" t="s">
        <v>1045</v>
      </c>
      <c r="P56" s="192">
        <v>2.062626682986755</v>
      </c>
      <c r="Q56" s="192">
        <v>48.216667001140628</v>
      </c>
      <c r="R56" s="193">
        <v>2.378636363636371</v>
      </c>
      <c r="S56" s="194">
        <v>-26.918727272727271</v>
      </c>
      <c r="T56" s="7"/>
      <c r="U56" s="194">
        <f t="shared" si="3"/>
        <v>23.376342116994831</v>
      </c>
      <c r="V56" s="194"/>
      <c r="W56" s="4" t="s">
        <v>407</v>
      </c>
      <c r="X56" s="4" t="s">
        <v>399</v>
      </c>
      <c r="Y56" s="4" t="s">
        <v>405</v>
      </c>
    </row>
    <row r="57" spans="1:27">
      <c r="A57" t="s">
        <v>316</v>
      </c>
      <c r="B57" s="9" t="s">
        <v>198</v>
      </c>
      <c r="C57" t="s">
        <v>12</v>
      </c>
      <c r="D57" s="6">
        <v>1</v>
      </c>
      <c r="E57" s="11" t="s">
        <v>307</v>
      </c>
      <c r="F57">
        <v>15</v>
      </c>
      <c r="G57">
        <v>7.3920000000000003</v>
      </c>
      <c r="H57">
        <v>5.7889999999999997</v>
      </c>
      <c r="I57">
        <v>6.84</v>
      </c>
      <c r="J57">
        <f t="shared" si="0"/>
        <v>1.0510000000000002</v>
      </c>
      <c r="K57">
        <f t="shared" si="4"/>
        <v>1.0571666666666673</v>
      </c>
      <c r="L57">
        <f t="shared" si="2"/>
        <v>7.006666666666668E-2</v>
      </c>
      <c r="M57" s="153" t="s">
        <v>316</v>
      </c>
      <c r="N57" s="153" t="s">
        <v>960</v>
      </c>
      <c r="O57" s="59"/>
      <c r="P57" s="154">
        <v>1.775198281630443</v>
      </c>
      <c r="Q57" s="154">
        <v>49.26398313488518</v>
      </c>
      <c r="R57" s="155">
        <v>12.47663636363637</v>
      </c>
      <c r="S57" s="156">
        <v>-27.844727272727269</v>
      </c>
      <c r="T57" s="59"/>
      <c r="U57" s="156">
        <f t="shared" si="3"/>
        <v>27.751256659418541</v>
      </c>
      <c r="V57" s="156">
        <f>AVERAGE(U57:U63,U70:U73)</f>
        <v>23.793882717891151</v>
      </c>
      <c r="X57" s="6" t="s">
        <v>398</v>
      </c>
      <c r="Y57" t="s">
        <v>405</v>
      </c>
    </row>
    <row r="58" spans="1:27">
      <c r="A58" t="s">
        <v>349</v>
      </c>
      <c r="B58" s="9" t="s">
        <v>198</v>
      </c>
      <c r="C58" t="s">
        <v>12</v>
      </c>
      <c r="D58" s="6">
        <v>1</v>
      </c>
      <c r="E58" s="11" t="s">
        <v>309</v>
      </c>
      <c r="F58">
        <v>4</v>
      </c>
      <c r="G58">
        <v>6.9409999999999998</v>
      </c>
      <c r="H58">
        <v>5.9320000000000004</v>
      </c>
      <c r="I58">
        <v>6.5309999999999997</v>
      </c>
      <c r="J58">
        <f t="shared" si="0"/>
        <v>0.59899999999999931</v>
      </c>
      <c r="K58">
        <f t="shared" ref="K58:K83" si="6">G58-$L$88</f>
        <v>0.60616666666666674</v>
      </c>
      <c r="L58">
        <f t="shared" si="2"/>
        <v>0.14974999999999983</v>
      </c>
      <c r="M58" s="153" t="s">
        <v>349</v>
      </c>
      <c r="N58" s="153" t="s">
        <v>961</v>
      </c>
      <c r="O58" s="59"/>
      <c r="P58" s="154">
        <v>2.1441227856158953</v>
      </c>
      <c r="Q58" s="154">
        <v>38.164789355744929</v>
      </c>
      <c r="R58" s="155">
        <v>12.126636363636369</v>
      </c>
      <c r="S58" s="156">
        <v>-27.527727272727269</v>
      </c>
      <c r="T58" s="59"/>
      <c r="U58" s="156">
        <f t="shared" si="3"/>
        <v>17.799721924405631</v>
      </c>
      <c r="V58" s="156"/>
      <c r="W58" t="s">
        <v>407</v>
      </c>
      <c r="X58" s="6" t="s">
        <v>398</v>
      </c>
    </row>
    <row r="59" spans="1:27">
      <c r="A59" t="s">
        <v>350</v>
      </c>
      <c r="B59" s="9" t="s">
        <v>198</v>
      </c>
      <c r="C59" t="s">
        <v>12</v>
      </c>
      <c r="D59" s="6">
        <v>2</v>
      </c>
      <c r="E59" s="11" t="s">
        <v>306</v>
      </c>
      <c r="F59">
        <v>15</v>
      </c>
      <c r="G59">
        <v>12.04</v>
      </c>
      <c r="H59">
        <v>5.9390000000000001</v>
      </c>
      <c r="I59">
        <v>11.669</v>
      </c>
      <c r="J59">
        <f t="shared" si="0"/>
        <v>5.73</v>
      </c>
      <c r="K59">
        <f t="shared" si="6"/>
        <v>5.7051666666666661</v>
      </c>
      <c r="L59">
        <f t="shared" si="2"/>
        <v>0.38200000000000001</v>
      </c>
      <c r="M59" s="153" t="s">
        <v>350</v>
      </c>
      <c r="N59" s="153" t="s">
        <v>962</v>
      </c>
      <c r="O59" s="59"/>
      <c r="P59" s="154">
        <v>1.3292244828831885</v>
      </c>
      <c r="Q59" s="154">
        <v>48.814463105094397</v>
      </c>
      <c r="R59" s="155">
        <v>11.212636363636374</v>
      </c>
      <c r="S59" s="156">
        <v>-25.107727272727271</v>
      </c>
      <c r="T59" s="59"/>
      <c r="U59" s="156">
        <f t="shared" si="3"/>
        <v>36.724017450545396</v>
      </c>
      <c r="V59" s="156"/>
      <c r="X59" t="s">
        <v>398</v>
      </c>
      <c r="AA59" t="s">
        <v>421</v>
      </c>
    </row>
    <row r="60" spans="1:27">
      <c r="A60" t="s">
        <v>351</v>
      </c>
      <c r="B60" s="9" t="s">
        <v>198</v>
      </c>
      <c r="C60" t="s">
        <v>12</v>
      </c>
      <c r="D60" s="6">
        <v>2</v>
      </c>
      <c r="E60" s="11" t="s">
        <v>307</v>
      </c>
      <c r="F60">
        <v>15</v>
      </c>
      <c r="G60">
        <v>7.8579999999999997</v>
      </c>
      <c r="H60">
        <v>5.7930000000000001</v>
      </c>
      <c r="I60">
        <v>7.306</v>
      </c>
      <c r="J60">
        <f t="shared" si="0"/>
        <v>1.5129999999999999</v>
      </c>
      <c r="K60">
        <f t="shared" si="6"/>
        <v>1.5231666666666666</v>
      </c>
      <c r="L60">
        <f t="shared" si="2"/>
        <v>0.10086666666666666</v>
      </c>
      <c r="M60" s="153" t="s">
        <v>351</v>
      </c>
      <c r="N60" s="153" t="s">
        <v>963</v>
      </c>
      <c r="O60" s="59"/>
      <c r="P60" s="154">
        <v>1.8486384786401817</v>
      </c>
      <c r="Q60" s="154">
        <v>49.493070441132701</v>
      </c>
      <c r="R60" s="155">
        <v>11.016636363636369</v>
      </c>
      <c r="S60" s="156">
        <v>-28.064727272727268</v>
      </c>
      <c r="T60" s="59"/>
      <c r="U60" s="156">
        <f t="shared" si="3"/>
        <v>26.772714629167911</v>
      </c>
      <c r="V60" s="156"/>
      <c r="X60">
        <v>2016</v>
      </c>
      <c r="Y60" t="s">
        <v>405</v>
      </c>
    </row>
    <row r="61" spans="1:27">
      <c r="A61" t="s">
        <v>352</v>
      </c>
      <c r="B61" s="9" t="s">
        <v>198</v>
      </c>
      <c r="C61" t="s">
        <v>12</v>
      </c>
      <c r="D61" s="6">
        <v>2</v>
      </c>
      <c r="E61" s="11" t="s">
        <v>309</v>
      </c>
      <c r="F61">
        <v>4</v>
      </c>
      <c r="G61">
        <v>7.1219999999999999</v>
      </c>
      <c r="H61">
        <v>5.9329999999999998</v>
      </c>
      <c r="I61">
        <v>6.7190000000000003</v>
      </c>
      <c r="J61">
        <f t="shared" si="0"/>
        <v>0.78600000000000048</v>
      </c>
      <c r="K61">
        <f t="shared" si="6"/>
        <v>0.78716666666666679</v>
      </c>
      <c r="L61">
        <f t="shared" si="2"/>
        <v>0.19650000000000012</v>
      </c>
      <c r="M61" s="153" t="s">
        <v>352</v>
      </c>
      <c r="N61" s="153" t="s">
        <v>964</v>
      </c>
      <c r="O61" s="59"/>
      <c r="P61" s="154">
        <v>2.2539519364684688</v>
      </c>
      <c r="Q61" s="154">
        <v>38.955637421106609</v>
      </c>
      <c r="R61" s="155">
        <v>11.426636363636373</v>
      </c>
      <c r="S61" s="156">
        <v>-27.35172727272727</v>
      </c>
      <c r="T61" s="59"/>
      <c r="U61" s="156">
        <f t="shared" si="3"/>
        <v>17.283260033549332</v>
      </c>
      <c r="V61" s="156"/>
      <c r="X61" t="s">
        <v>398</v>
      </c>
    </row>
    <row r="62" spans="1:27">
      <c r="A62" t="s">
        <v>353</v>
      </c>
      <c r="B62" s="9" t="s">
        <v>198</v>
      </c>
      <c r="C62" t="s">
        <v>12</v>
      </c>
      <c r="D62" s="6">
        <v>3</v>
      </c>
      <c r="E62" s="11" t="s">
        <v>306</v>
      </c>
      <c r="F62" s="6">
        <v>15</v>
      </c>
      <c r="G62">
        <v>12.374000000000001</v>
      </c>
      <c r="H62">
        <v>5.9379999999999997</v>
      </c>
      <c r="I62">
        <v>11.919</v>
      </c>
      <c r="J62">
        <f t="shared" si="0"/>
        <v>5.9810000000000008</v>
      </c>
      <c r="K62">
        <f t="shared" si="6"/>
        <v>6.0391666666666675</v>
      </c>
      <c r="L62">
        <f t="shared" si="2"/>
        <v>0.39873333333333338</v>
      </c>
      <c r="M62" s="153" t="s">
        <v>353</v>
      </c>
      <c r="N62" s="153" t="s">
        <v>965</v>
      </c>
      <c r="O62" s="59"/>
      <c r="P62" s="154">
        <v>1.9384907513741247</v>
      </c>
      <c r="Q62" s="154">
        <v>50.476946981190196</v>
      </c>
      <c r="R62" s="155">
        <v>9.3536363636363724</v>
      </c>
      <c r="S62" s="156">
        <v>-26.86572727272727</v>
      </c>
      <c r="T62" s="59"/>
      <c r="U62" s="156">
        <f t="shared" si="3"/>
        <v>26.039302454968613</v>
      </c>
      <c r="V62" s="156"/>
      <c r="W62" t="s">
        <v>407</v>
      </c>
      <c r="X62" t="s">
        <v>398</v>
      </c>
      <c r="AA62" t="s">
        <v>419</v>
      </c>
    </row>
    <row r="63" spans="1:27">
      <c r="A63" t="s">
        <v>354</v>
      </c>
      <c r="B63" s="9" t="s">
        <v>198</v>
      </c>
      <c r="C63" t="s">
        <v>12</v>
      </c>
      <c r="D63" s="6">
        <v>3</v>
      </c>
      <c r="E63" s="11" t="s">
        <v>307</v>
      </c>
      <c r="F63">
        <v>15</v>
      </c>
      <c r="G63">
        <v>8.0839999999999996</v>
      </c>
      <c r="H63">
        <v>5.7969999999999997</v>
      </c>
      <c r="I63">
        <v>7.532</v>
      </c>
      <c r="J63">
        <f t="shared" si="0"/>
        <v>1.7350000000000003</v>
      </c>
      <c r="K63">
        <f t="shared" si="6"/>
        <v>1.7491666666666665</v>
      </c>
      <c r="L63">
        <f t="shared" si="2"/>
        <v>0.11566666666666668</v>
      </c>
      <c r="M63" s="153" t="s">
        <v>354</v>
      </c>
      <c r="N63" s="153" t="s">
        <v>966</v>
      </c>
      <c r="O63" s="59"/>
      <c r="P63" s="154">
        <v>1.6027670755203098</v>
      </c>
      <c r="Q63" s="154">
        <v>49.266585998368924</v>
      </c>
      <c r="R63" s="155">
        <v>10.163636363636368</v>
      </c>
      <c r="S63" s="156">
        <v>-25.974727272727268</v>
      </c>
      <c r="T63" s="59"/>
      <c r="U63" s="156">
        <f t="shared" si="3"/>
        <v>30.738456479944475</v>
      </c>
      <c r="V63" s="156"/>
      <c r="X63">
        <v>2016</v>
      </c>
      <c r="Y63" t="s">
        <v>405</v>
      </c>
    </row>
    <row r="64" spans="1:27">
      <c r="A64" t="s">
        <v>355</v>
      </c>
      <c r="B64" s="9" t="s">
        <v>198</v>
      </c>
      <c r="C64" t="s">
        <v>12</v>
      </c>
      <c r="D64" s="6">
        <v>3</v>
      </c>
      <c r="E64" s="11" t="s">
        <v>308</v>
      </c>
      <c r="F64">
        <v>20</v>
      </c>
      <c r="G64">
        <v>7.5940000000000003</v>
      </c>
      <c r="H64">
        <v>5.7939999999999996</v>
      </c>
      <c r="I64">
        <v>7.0250000000000004</v>
      </c>
      <c r="J64">
        <f t="shared" si="0"/>
        <v>1.2310000000000008</v>
      </c>
      <c r="K64">
        <f t="shared" si="6"/>
        <v>1.2591666666666672</v>
      </c>
      <c r="L64">
        <f t="shared" si="2"/>
        <v>6.1550000000000035E-2</v>
      </c>
      <c r="M64" s="183" t="s">
        <v>1046</v>
      </c>
      <c r="N64" s="184"/>
      <c r="O64" s="185"/>
      <c r="P64" s="182">
        <v>2.8107536980594889</v>
      </c>
      <c r="Q64" s="182">
        <v>51.071046690692476</v>
      </c>
      <c r="R64" s="186">
        <v>14.002888888888886</v>
      </c>
      <c r="S64" s="187">
        <v>-24.596444444444444</v>
      </c>
      <c r="T64" s="188" t="s">
        <v>1047</v>
      </c>
      <c r="U64" s="156">
        <f t="shared" si="3"/>
        <v>18.169876188707434</v>
      </c>
      <c r="V64" s="156"/>
      <c r="W64" t="s">
        <v>407</v>
      </c>
      <c r="X64" t="s">
        <v>398</v>
      </c>
      <c r="Y64" t="s">
        <v>405</v>
      </c>
    </row>
    <row r="65" spans="1:27">
      <c r="A65" t="s">
        <v>356</v>
      </c>
      <c r="B65" s="9" t="s">
        <v>198</v>
      </c>
      <c r="C65" t="s">
        <v>12</v>
      </c>
      <c r="D65" s="6">
        <v>4</v>
      </c>
      <c r="E65" s="11" t="s">
        <v>306</v>
      </c>
      <c r="F65">
        <v>15</v>
      </c>
      <c r="G65">
        <v>12.148</v>
      </c>
      <c r="H65">
        <v>5.9379999999999997</v>
      </c>
      <c r="I65">
        <v>11.757</v>
      </c>
      <c r="J65">
        <f t="shared" si="0"/>
        <v>5.819</v>
      </c>
      <c r="K65">
        <f t="shared" si="6"/>
        <v>5.8131666666666666</v>
      </c>
      <c r="L65">
        <f t="shared" si="2"/>
        <v>0.38793333333333335</v>
      </c>
      <c r="M65" s="183" t="s">
        <v>1048</v>
      </c>
      <c r="N65" s="184"/>
      <c r="O65" s="185"/>
      <c r="P65" s="182">
        <v>1.47618468913319</v>
      </c>
      <c r="Q65" s="182">
        <v>47.067097231562109</v>
      </c>
      <c r="R65" s="186">
        <v>15.694888888888887</v>
      </c>
      <c r="S65" s="187">
        <v>-25.169444444444444</v>
      </c>
      <c r="T65" s="188" t="s">
        <v>1047</v>
      </c>
      <c r="U65" s="156">
        <f t="shared" si="3"/>
        <v>31.884287635580158</v>
      </c>
      <c r="V65" s="156"/>
      <c r="X65" t="s">
        <v>418</v>
      </c>
      <c r="AA65" t="s">
        <v>419</v>
      </c>
    </row>
    <row r="66" spans="1:27">
      <c r="A66" t="s">
        <v>357</v>
      </c>
      <c r="B66" s="9" t="s">
        <v>198</v>
      </c>
      <c r="C66" t="s">
        <v>12</v>
      </c>
      <c r="D66" s="6">
        <v>4</v>
      </c>
      <c r="E66" s="11" t="s">
        <v>307</v>
      </c>
      <c r="F66">
        <v>15</v>
      </c>
      <c r="G66">
        <v>7.6289999999999996</v>
      </c>
      <c r="H66">
        <v>5.7960000000000003</v>
      </c>
      <c r="I66">
        <v>7.13</v>
      </c>
      <c r="J66">
        <f t="shared" ref="J66:J83" si="7">I66-H66</f>
        <v>1.3339999999999996</v>
      </c>
      <c r="K66">
        <f t="shared" si="6"/>
        <v>1.2941666666666665</v>
      </c>
      <c r="L66">
        <f t="shared" si="2"/>
        <v>8.8933333333333309E-2</v>
      </c>
      <c r="M66" s="183" t="s">
        <v>1049</v>
      </c>
      <c r="N66" s="184"/>
      <c r="O66" s="185"/>
      <c r="P66" s="182">
        <v>1.8354733916406796</v>
      </c>
      <c r="Q66" s="182">
        <v>48.551133593988844</v>
      </c>
      <c r="R66" s="186">
        <v>16.34588888888889</v>
      </c>
      <c r="S66" s="187">
        <v>-25.549444444444443</v>
      </c>
      <c r="T66" s="188" t="s">
        <v>1047</v>
      </c>
      <c r="U66" s="156">
        <f t="shared" si="3"/>
        <v>26.45155948057101</v>
      </c>
      <c r="V66" s="156"/>
      <c r="W66" t="s">
        <v>407</v>
      </c>
      <c r="X66">
        <v>2016</v>
      </c>
      <c r="Y66" t="s">
        <v>405</v>
      </c>
    </row>
    <row r="67" spans="1:27">
      <c r="A67" t="s">
        <v>358</v>
      </c>
      <c r="B67" s="9" t="s">
        <v>198</v>
      </c>
      <c r="C67" t="s">
        <v>12</v>
      </c>
      <c r="D67" s="6">
        <v>4</v>
      </c>
      <c r="E67" s="11" t="s">
        <v>309</v>
      </c>
      <c r="F67">
        <v>4</v>
      </c>
      <c r="G67">
        <v>8.109</v>
      </c>
      <c r="H67">
        <v>5.9279999999999999</v>
      </c>
      <c r="I67">
        <v>7.702</v>
      </c>
      <c r="J67">
        <f t="shared" si="7"/>
        <v>1.774</v>
      </c>
      <c r="K67">
        <f t="shared" si="6"/>
        <v>1.7741666666666669</v>
      </c>
      <c r="L67">
        <f t="shared" ref="L67:L83" si="8">J67/F67</f>
        <v>0.44350000000000001</v>
      </c>
      <c r="M67" s="183" t="s">
        <v>1050</v>
      </c>
      <c r="N67" s="184"/>
      <c r="O67" s="185"/>
      <c r="P67" s="182">
        <v>2.0419417410395275</v>
      </c>
      <c r="Q67" s="182">
        <v>34.97151067563172</v>
      </c>
      <c r="R67" s="186">
        <v>15.298888888888893</v>
      </c>
      <c r="S67" s="187">
        <v>-26.321444444444442</v>
      </c>
      <c r="T67" s="188" t="s">
        <v>1047</v>
      </c>
      <c r="U67" s="156">
        <f t="shared" ref="U67:U83" si="9">Q67/P67</f>
        <v>17.126595716598729</v>
      </c>
      <c r="V67" s="156"/>
      <c r="X67" t="s">
        <v>398</v>
      </c>
    </row>
    <row r="68" spans="1:27">
      <c r="A68" t="s">
        <v>359</v>
      </c>
      <c r="B68" s="9" t="s">
        <v>198</v>
      </c>
      <c r="C68" t="s">
        <v>12</v>
      </c>
      <c r="D68" s="6">
        <v>5</v>
      </c>
      <c r="E68" s="11" t="s">
        <v>306</v>
      </c>
      <c r="F68">
        <v>15</v>
      </c>
      <c r="G68">
        <v>10.904</v>
      </c>
      <c r="H68">
        <v>5.9359999999999999</v>
      </c>
      <c r="I68">
        <v>10.581</v>
      </c>
      <c r="J68">
        <f t="shared" si="7"/>
        <v>4.6449999999999996</v>
      </c>
      <c r="K68">
        <f t="shared" si="6"/>
        <v>4.5691666666666668</v>
      </c>
      <c r="L68">
        <f t="shared" si="8"/>
        <v>0.30966666666666665</v>
      </c>
      <c r="M68" s="183" t="s">
        <v>1051</v>
      </c>
      <c r="N68" s="184"/>
      <c r="O68" s="185"/>
      <c r="P68" s="182">
        <v>1.7873970224438991</v>
      </c>
      <c r="Q68" s="182">
        <v>49.034335767431678</v>
      </c>
      <c r="R68" s="186">
        <v>14.273888888888887</v>
      </c>
      <c r="S68" s="187">
        <v>-24.873444444444445</v>
      </c>
      <c r="T68" s="188" t="s">
        <v>1047</v>
      </c>
      <c r="U68" s="156">
        <f t="shared" si="9"/>
        <v>27.433376665463655</v>
      </c>
      <c r="V68" s="156"/>
      <c r="X68">
        <v>2016</v>
      </c>
      <c r="AA68" t="s">
        <v>419</v>
      </c>
    </row>
    <row r="69" spans="1:27">
      <c r="A69" t="s">
        <v>360</v>
      </c>
      <c r="B69" s="9" t="s">
        <v>198</v>
      </c>
      <c r="C69" t="s">
        <v>12</v>
      </c>
      <c r="D69" s="6">
        <v>5</v>
      </c>
      <c r="E69" s="11" t="s">
        <v>307</v>
      </c>
      <c r="F69">
        <v>15</v>
      </c>
      <c r="G69">
        <v>8.0030000000000001</v>
      </c>
      <c r="H69">
        <v>5.7960000000000003</v>
      </c>
      <c r="I69">
        <v>7.4640000000000004</v>
      </c>
      <c r="J69">
        <f t="shared" si="7"/>
        <v>1.6680000000000001</v>
      </c>
      <c r="K69">
        <f t="shared" si="6"/>
        <v>1.668166666666667</v>
      </c>
      <c r="L69">
        <f t="shared" si="8"/>
        <v>0.11120000000000001</v>
      </c>
      <c r="M69" s="183" t="s">
        <v>1052</v>
      </c>
      <c r="N69" s="184"/>
      <c r="O69" s="185"/>
      <c r="P69" s="182">
        <v>1.9193479090264782</v>
      </c>
      <c r="Q69" s="182">
        <v>48.169290804181053</v>
      </c>
      <c r="R69" s="186">
        <v>13.175888888888888</v>
      </c>
      <c r="S69" s="187">
        <v>-25.625444444444444</v>
      </c>
      <c r="T69" s="188" t="s">
        <v>1047</v>
      </c>
      <c r="U69" s="156">
        <f t="shared" si="9"/>
        <v>25.096695902627278</v>
      </c>
      <c r="V69" s="156"/>
      <c r="W69" t="s">
        <v>407</v>
      </c>
      <c r="X69">
        <v>2016</v>
      </c>
      <c r="Y69" t="s">
        <v>405</v>
      </c>
    </row>
    <row r="70" spans="1:27">
      <c r="A70" t="s">
        <v>361</v>
      </c>
      <c r="B70" s="9" t="s">
        <v>198</v>
      </c>
      <c r="C70" t="s">
        <v>12</v>
      </c>
      <c r="D70" s="6">
        <v>5</v>
      </c>
      <c r="E70" s="11" t="s">
        <v>309</v>
      </c>
      <c r="F70">
        <v>4</v>
      </c>
      <c r="G70">
        <v>7.5869999999999997</v>
      </c>
      <c r="H70">
        <v>5.9340000000000002</v>
      </c>
      <c r="I70">
        <v>7.1260000000000003</v>
      </c>
      <c r="J70">
        <f t="shared" si="7"/>
        <v>1.1920000000000002</v>
      </c>
      <c r="K70">
        <f t="shared" si="6"/>
        <v>1.2521666666666667</v>
      </c>
      <c r="L70">
        <f t="shared" si="8"/>
        <v>0.29800000000000004</v>
      </c>
      <c r="M70" s="153" t="s">
        <v>361</v>
      </c>
      <c r="N70" s="153" t="s">
        <v>967</v>
      </c>
      <c r="O70" s="59"/>
      <c r="P70" s="154">
        <v>2.6364826882084138</v>
      </c>
      <c r="Q70" s="154">
        <v>37.040215939584179</v>
      </c>
      <c r="R70" s="155">
        <v>14.945636363636371</v>
      </c>
      <c r="S70" s="156">
        <v>-27.643727272727268</v>
      </c>
      <c r="T70" s="59"/>
      <c r="U70" s="156">
        <f t="shared" si="9"/>
        <v>14.049102656825848</v>
      </c>
      <c r="V70" s="156"/>
      <c r="X70">
        <v>2016</v>
      </c>
    </row>
    <row r="71" spans="1:27">
      <c r="A71" t="s">
        <v>362</v>
      </c>
      <c r="B71" s="9" t="s">
        <v>198</v>
      </c>
      <c r="C71" t="s">
        <v>12</v>
      </c>
      <c r="D71" s="6">
        <v>6</v>
      </c>
      <c r="E71" s="11" t="s">
        <v>307</v>
      </c>
      <c r="F71">
        <v>15</v>
      </c>
      <c r="G71">
        <v>7.6159999999999997</v>
      </c>
      <c r="H71">
        <v>5.7969999999999997</v>
      </c>
      <c r="I71">
        <v>7.1180000000000003</v>
      </c>
      <c r="J71">
        <f t="shared" si="7"/>
        <v>1.3210000000000006</v>
      </c>
      <c r="K71">
        <f t="shared" si="6"/>
        <v>1.2811666666666666</v>
      </c>
      <c r="L71">
        <f t="shared" si="8"/>
        <v>8.806666666666671E-2</v>
      </c>
      <c r="M71" s="153" t="s">
        <v>362</v>
      </c>
      <c r="N71" s="153" t="s">
        <v>968</v>
      </c>
      <c r="O71" s="59"/>
      <c r="P71" s="154">
        <v>1.8181850112610074</v>
      </c>
      <c r="Q71" s="154">
        <v>49.10833782544114</v>
      </c>
      <c r="R71" s="155">
        <v>9.6426363636363739</v>
      </c>
      <c r="S71" s="156">
        <v>-26.690727272727269</v>
      </c>
      <c r="T71" s="59"/>
      <c r="U71" s="156">
        <f t="shared" si="9"/>
        <v>27.009538370015441</v>
      </c>
      <c r="V71" s="156"/>
      <c r="X71">
        <v>2016</v>
      </c>
      <c r="Y71" t="s">
        <v>405</v>
      </c>
    </row>
    <row r="72" spans="1:27">
      <c r="A72" t="s">
        <v>363</v>
      </c>
      <c r="B72" s="9" t="s">
        <v>198</v>
      </c>
      <c r="C72" t="s">
        <v>12</v>
      </c>
      <c r="D72" s="6">
        <v>6</v>
      </c>
      <c r="E72" s="11" t="s">
        <v>308</v>
      </c>
      <c r="F72">
        <v>20</v>
      </c>
      <c r="G72">
        <v>6.9720000000000004</v>
      </c>
      <c r="H72">
        <v>5.7960000000000003</v>
      </c>
      <c r="I72">
        <v>6.3890000000000002</v>
      </c>
      <c r="J72">
        <f t="shared" si="7"/>
        <v>0.59299999999999997</v>
      </c>
      <c r="K72">
        <f t="shared" si="6"/>
        <v>0.63716666666666733</v>
      </c>
      <c r="L72">
        <f t="shared" si="8"/>
        <v>2.9649999999999999E-2</v>
      </c>
      <c r="M72" s="153" t="s">
        <v>363</v>
      </c>
      <c r="N72" s="153" t="s">
        <v>969</v>
      </c>
      <c r="O72" s="59"/>
      <c r="P72" s="154">
        <v>2.7520279935784546</v>
      </c>
      <c r="Q72" s="154">
        <v>53.989447316227668</v>
      </c>
      <c r="R72" s="155">
        <v>8.6416363636363691</v>
      </c>
      <c r="S72" s="156">
        <v>-28.222727272727269</v>
      </c>
      <c r="T72" s="59"/>
      <c r="U72" s="156">
        <f t="shared" si="9"/>
        <v>19.618058915899809</v>
      </c>
      <c r="V72" s="156"/>
      <c r="W72" t="s">
        <v>407</v>
      </c>
      <c r="X72">
        <v>2016</v>
      </c>
      <c r="Y72" t="s">
        <v>405</v>
      </c>
    </row>
    <row r="73" spans="1:27">
      <c r="A73" t="s">
        <v>364</v>
      </c>
      <c r="B73" s="9" t="s">
        <v>198</v>
      </c>
      <c r="C73" t="s">
        <v>12</v>
      </c>
      <c r="D73" s="6">
        <v>6</v>
      </c>
      <c r="E73" s="11" t="s">
        <v>309</v>
      </c>
      <c r="F73">
        <v>4</v>
      </c>
      <c r="G73">
        <v>8.6560000000000006</v>
      </c>
      <c r="H73">
        <v>5.931</v>
      </c>
      <c r="I73">
        <v>8.1940000000000008</v>
      </c>
      <c r="J73">
        <f t="shared" si="7"/>
        <v>2.2630000000000008</v>
      </c>
      <c r="K73">
        <f t="shared" si="6"/>
        <v>2.3211666666666675</v>
      </c>
      <c r="L73">
        <f t="shared" si="8"/>
        <v>0.5657500000000002</v>
      </c>
      <c r="M73" s="153" t="s">
        <v>364</v>
      </c>
      <c r="N73" s="153" t="s">
        <v>970</v>
      </c>
      <c r="O73" s="59"/>
      <c r="P73" s="154">
        <v>2.0140567585354834</v>
      </c>
      <c r="Q73" s="154">
        <v>36.146841229979209</v>
      </c>
      <c r="R73" s="155">
        <v>7.0026363636363733</v>
      </c>
      <c r="S73" s="156">
        <v>-26.74372727272727</v>
      </c>
      <c r="T73" s="59"/>
      <c r="U73" s="156">
        <f t="shared" si="9"/>
        <v>17.94728032206168</v>
      </c>
      <c r="V73" s="156"/>
      <c r="X73">
        <v>2016</v>
      </c>
    </row>
    <row r="74" spans="1:27">
      <c r="A74" t="s">
        <v>317</v>
      </c>
      <c r="B74" s="9" t="s">
        <v>198</v>
      </c>
      <c r="C74" t="s">
        <v>13</v>
      </c>
      <c r="D74" s="6">
        <v>3</v>
      </c>
      <c r="E74" s="11" t="s">
        <v>308</v>
      </c>
      <c r="F74">
        <v>20</v>
      </c>
      <c r="G74">
        <v>6.6980000000000004</v>
      </c>
      <c r="H74">
        <v>5.7939999999999996</v>
      </c>
      <c r="I74">
        <v>6.1820000000000004</v>
      </c>
      <c r="J74">
        <f t="shared" si="7"/>
        <v>0.38800000000000079</v>
      </c>
      <c r="K74">
        <f t="shared" si="6"/>
        <v>0.3631666666666673</v>
      </c>
      <c r="L74">
        <f t="shared" si="8"/>
        <v>1.9400000000000039E-2</v>
      </c>
      <c r="M74" s="153" t="s">
        <v>317</v>
      </c>
      <c r="N74" s="153" t="s">
        <v>903</v>
      </c>
      <c r="O74" s="59"/>
      <c r="P74" s="154">
        <v>2.5576538170641903</v>
      </c>
      <c r="Q74" s="154">
        <v>49.384132158099149</v>
      </c>
      <c r="R74" s="155">
        <v>-0.56836363636362819</v>
      </c>
      <c r="S74" s="156">
        <v>-26.242727272727269</v>
      </c>
      <c r="T74" s="59"/>
      <c r="U74" s="156">
        <f t="shared" si="9"/>
        <v>19.308372317088971</v>
      </c>
      <c r="V74" s="156">
        <f>AVERAGE(U74:U76)</f>
        <v>23.636886522252656</v>
      </c>
      <c r="W74" t="s">
        <v>407</v>
      </c>
      <c r="X74">
        <v>2016</v>
      </c>
      <c r="Y74" t="s">
        <v>405</v>
      </c>
    </row>
    <row r="75" spans="1:27">
      <c r="A75" t="s">
        <v>365</v>
      </c>
      <c r="B75" s="9" t="s">
        <v>198</v>
      </c>
      <c r="C75" t="s">
        <v>13</v>
      </c>
      <c r="D75" s="6">
        <v>5</v>
      </c>
      <c r="E75" s="3" t="s">
        <v>308</v>
      </c>
      <c r="F75">
        <v>20</v>
      </c>
      <c r="G75">
        <v>6.7649999999999997</v>
      </c>
      <c r="H75">
        <v>5.7910000000000004</v>
      </c>
      <c r="I75">
        <v>6.1760000000000002</v>
      </c>
      <c r="J75">
        <f t="shared" si="7"/>
        <v>0.38499999999999979</v>
      </c>
      <c r="K75">
        <f t="shared" si="6"/>
        <v>0.43016666666666659</v>
      </c>
      <c r="L75">
        <f t="shared" si="8"/>
        <v>1.9249999999999989E-2</v>
      </c>
      <c r="M75" s="153" t="s">
        <v>365</v>
      </c>
      <c r="N75" s="153" t="s">
        <v>904</v>
      </c>
      <c r="O75" s="59"/>
      <c r="P75" s="154">
        <v>2.0105192488908696</v>
      </c>
      <c r="Q75" s="154">
        <v>50.795982512409743</v>
      </c>
      <c r="R75" s="155">
        <v>0.60063636363637229</v>
      </c>
      <c r="S75" s="156">
        <v>-25.597727272727269</v>
      </c>
      <c r="T75" s="59"/>
      <c r="U75" s="156">
        <f t="shared" si="9"/>
        <v>25.265106285568784</v>
      </c>
      <c r="V75" s="156"/>
      <c r="W75" t="s">
        <v>407</v>
      </c>
      <c r="X75">
        <v>2016</v>
      </c>
      <c r="Y75" t="s">
        <v>405</v>
      </c>
    </row>
    <row r="76" spans="1:27" s="4" customFormat="1">
      <c r="A76" s="4" t="s">
        <v>366</v>
      </c>
      <c r="B76" s="10" t="s">
        <v>198</v>
      </c>
      <c r="C76" s="4" t="s">
        <v>13</v>
      </c>
      <c r="D76" s="7">
        <v>6</v>
      </c>
      <c r="E76" s="5" t="s">
        <v>308</v>
      </c>
      <c r="F76" s="4">
        <v>20</v>
      </c>
      <c r="G76" s="4">
        <v>6.6529999999999996</v>
      </c>
      <c r="H76" s="4">
        <v>5.7919999999999998</v>
      </c>
      <c r="I76" s="4">
        <v>6.0519999999999996</v>
      </c>
      <c r="J76" s="4">
        <f t="shared" si="7"/>
        <v>0.25999999999999979</v>
      </c>
      <c r="K76" s="4">
        <f t="shared" si="6"/>
        <v>0.31816666666666649</v>
      </c>
      <c r="L76" s="4">
        <f t="shared" si="8"/>
        <v>1.2999999999999989E-2</v>
      </c>
      <c r="M76" s="191" t="s">
        <v>366</v>
      </c>
      <c r="N76" s="191" t="s">
        <v>905</v>
      </c>
      <c r="O76" s="7"/>
      <c r="P76" s="192">
        <v>1.8696543493554909</v>
      </c>
      <c r="Q76" s="192">
        <v>49.241424939292614</v>
      </c>
      <c r="R76" s="193">
        <v>3.5516363636363693</v>
      </c>
      <c r="S76" s="194">
        <v>-27.197727272727271</v>
      </c>
      <c r="T76" s="7"/>
      <c r="U76" s="194">
        <f t="shared" si="9"/>
        <v>26.337180964100217</v>
      </c>
      <c r="V76" s="194"/>
      <c r="W76" s="4" t="s">
        <v>407</v>
      </c>
      <c r="X76" s="4">
        <v>2016</v>
      </c>
      <c r="Y76" s="4" t="s">
        <v>405</v>
      </c>
    </row>
    <row r="77" spans="1:27">
      <c r="A77" t="s">
        <v>318</v>
      </c>
      <c r="B77" s="9" t="s">
        <v>548</v>
      </c>
      <c r="C77" t="s">
        <v>12</v>
      </c>
      <c r="D77" s="6">
        <v>1</v>
      </c>
      <c r="E77" s="11" t="s">
        <v>306</v>
      </c>
      <c r="F77" s="6">
        <v>15</v>
      </c>
      <c r="G77" s="6">
        <v>10.882</v>
      </c>
      <c r="H77" s="6">
        <v>5.9340000000000002</v>
      </c>
      <c r="I77" s="6">
        <v>10.446</v>
      </c>
      <c r="J77">
        <f t="shared" si="7"/>
        <v>4.5119999999999996</v>
      </c>
      <c r="K77">
        <f>G77-$L$88</f>
        <v>4.5471666666666666</v>
      </c>
      <c r="L77">
        <f t="shared" si="8"/>
        <v>0.30079999999999996</v>
      </c>
      <c r="M77" s="153" t="s">
        <v>318</v>
      </c>
      <c r="N77" s="153" t="s">
        <v>906</v>
      </c>
      <c r="O77" s="59"/>
      <c r="P77" s="154">
        <v>2.2374187596379227</v>
      </c>
      <c r="Q77" s="154">
        <v>45.011503955535083</v>
      </c>
      <c r="R77" s="155">
        <v>18.849636363636368</v>
      </c>
      <c r="S77" s="156">
        <v>-26.46472727272727</v>
      </c>
      <c r="T77" s="59"/>
      <c r="U77" s="156">
        <f t="shared" si="9"/>
        <v>20.117603717070473</v>
      </c>
      <c r="V77" s="156">
        <f>AVERAGE(U77:U80)</f>
        <v>19.379863642511669</v>
      </c>
      <c r="W77" s="6" t="s">
        <v>407</v>
      </c>
      <c r="X77" t="s">
        <v>395</v>
      </c>
      <c r="AA77" t="s">
        <v>419</v>
      </c>
    </row>
    <row r="78" spans="1:27">
      <c r="A78" t="s">
        <v>368</v>
      </c>
      <c r="B78" s="9" t="s">
        <v>548</v>
      </c>
      <c r="C78" t="s">
        <v>12</v>
      </c>
      <c r="D78" s="6">
        <v>4</v>
      </c>
      <c r="E78" s="11" t="s">
        <v>306</v>
      </c>
      <c r="F78" s="6">
        <v>15</v>
      </c>
      <c r="G78" s="6">
        <v>10.701000000000001</v>
      </c>
      <c r="H78" s="6">
        <v>5.9349999999999996</v>
      </c>
      <c r="I78" s="6">
        <v>10.276</v>
      </c>
      <c r="J78">
        <f t="shared" si="7"/>
        <v>4.3410000000000002</v>
      </c>
      <c r="K78">
        <f t="shared" si="6"/>
        <v>4.3661666666666674</v>
      </c>
      <c r="L78">
        <f t="shared" si="8"/>
        <v>0.28939999999999999</v>
      </c>
      <c r="M78" s="153" t="s">
        <v>368</v>
      </c>
      <c r="N78" s="153" t="s">
        <v>907</v>
      </c>
      <c r="O78" s="59"/>
      <c r="P78" s="154">
        <v>1.9538303349591064</v>
      </c>
      <c r="Q78" s="154">
        <v>43.853443886353503</v>
      </c>
      <c r="R78" s="155">
        <v>18.529636363636374</v>
      </c>
      <c r="S78" s="156">
        <v>-26.840727272727271</v>
      </c>
      <c r="T78" s="59"/>
      <c r="U78" s="156">
        <f t="shared" si="9"/>
        <v>22.444857724696629</v>
      </c>
      <c r="V78" s="156"/>
      <c r="W78" s="6" t="s">
        <v>407</v>
      </c>
      <c r="X78" t="s">
        <v>395</v>
      </c>
      <c r="AA78" t="s">
        <v>419</v>
      </c>
    </row>
    <row r="79" spans="1:27">
      <c r="A79" t="s">
        <v>369</v>
      </c>
      <c r="B79" s="9" t="s">
        <v>548</v>
      </c>
      <c r="C79" t="s">
        <v>12</v>
      </c>
      <c r="D79" s="6">
        <v>6</v>
      </c>
      <c r="E79" s="11" t="s">
        <v>306</v>
      </c>
      <c r="F79" s="6">
        <v>15</v>
      </c>
      <c r="G79" s="6">
        <v>10.635</v>
      </c>
      <c r="H79" s="6">
        <v>5.9320000000000004</v>
      </c>
      <c r="I79" s="6">
        <v>10.202</v>
      </c>
      <c r="J79">
        <f t="shared" si="7"/>
        <v>4.2699999999999996</v>
      </c>
      <c r="K79">
        <f t="shared" si="6"/>
        <v>4.3001666666666667</v>
      </c>
      <c r="L79">
        <f t="shared" si="8"/>
        <v>0.28466666666666662</v>
      </c>
      <c r="M79" s="153" t="s">
        <v>369</v>
      </c>
      <c r="N79" s="153" t="s">
        <v>908</v>
      </c>
      <c r="O79" s="59"/>
      <c r="P79" s="154">
        <v>2.6849672360273589</v>
      </c>
      <c r="Q79" s="154">
        <v>46.03286987170771</v>
      </c>
      <c r="R79" s="155">
        <v>19.730636363636368</v>
      </c>
      <c r="S79" s="156">
        <v>-26.888727272727269</v>
      </c>
      <c r="T79" s="59"/>
      <c r="U79" s="156">
        <f t="shared" si="9"/>
        <v>17.144667262240905</v>
      </c>
      <c r="V79" s="156"/>
      <c r="W79" t="s">
        <v>407</v>
      </c>
      <c r="X79" t="s">
        <v>395</v>
      </c>
    </row>
    <row r="80" spans="1:27">
      <c r="A80" t="s">
        <v>370</v>
      </c>
      <c r="B80" s="9" t="s">
        <v>548</v>
      </c>
      <c r="C80" t="s">
        <v>12</v>
      </c>
      <c r="D80" t="s">
        <v>367</v>
      </c>
      <c r="E80" s="11" t="s">
        <v>308</v>
      </c>
      <c r="F80">
        <v>20</v>
      </c>
      <c r="G80">
        <v>6.5940000000000003</v>
      </c>
      <c r="H80">
        <v>5.7919999999999998</v>
      </c>
      <c r="I80">
        <v>6.05</v>
      </c>
      <c r="J80">
        <f t="shared" si="7"/>
        <v>0.25800000000000001</v>
      </c>
      <c r="K80">
        <f t="shared" si="6"/>
        <v>0.25916666666666721</v>
      </c>
      <c r="L80">
        <f t="shared" si="8"/>
        <v>1.29E-2</v>
      </c>
      <c r="M80" s="153" t="s">
        <v>370</v>
      </c>
      <c r="N80" s="153" t="s">
        <v>909</v>
      </c>
      <c r="O80" s="59"/>
      <c r="P80" s="154">
        <v>2.672826253440495</v>
      </c>
      <c r="Q80" s="154">
        <v>47.609252209585364</v>
      </c>
      <c r="R80" s="155">
        <v>17.719636363636372</v>
      </c>
      <c r="S80" s="156">
        <v>-27.60972727272727</v>
      </c>
      <c r="T80" s="59"/>
      <c r="U80" s="156">
        <f t="shared" si="9"/>
        <v>17.812325866038673</v>
      </c>
      <c r="V80" s="156"/>
      <c r="W80" t="s">
        <v>407</v>
      </c>
      <c r="X80">
        <v>2016</v>
      </c>
      <c r="Y80" t="s">
        <v>405</v>
      </c>
      <c r="AA80" t="s">
        <v>415</v>
      </c>
    </row>
    <row r="81" spans="1:25">
      <c r="A81" t="s">
        <v>319</v>
      </c>
      <c r="B81" s="9" t="s">
        <v>548</v>
      </c>
      <c r="C81" t="s">
        <v>13</v>
      </c>
      <c r="D81">
        <v>1</v>
      </c>
      <c r="E81" s="11" t="s">
        <v>308</v>
      </c>
      <c r="F81">
        <v>21</v>
      </c>
      <c r="G81">
        <v>6.6612</v>
      </c>
      <c r="H81">
        <v>5.7949999999999999</v>
      </c>
      <c r="I81">
        <v>6.0890000000000004</v>
      </c>
      <c r="J81">
        <f t="shared" si="7"/>
        <v>0.29400000000000048</v>
      </c>
      <c r="K81">
        <f t="shared" si="6"/>
        <v>0.32636666666666692</v>
      </c>
      <c r="L81">
        <f t="shared" si="8"/>
        <v>1.4000000000000023E-2</v>
      </c>
      <c r="M81" s="153" t="s">
        <v>319</v>
      </c>
      <c r="N81" s="153" t="s">
        <v>900</v>
      </c>
      <c r="O81" s="59"/>
      <c r="P81" s="154">
        <v>2.0330102372827139</v>
      </c>
      <c r="Q81" s="154">
        <v>46.458267158713866</v>
      </c>
      <c r="R81" s="155">
        <v>3.8496363636363711</v>
      </c>
      <c r="S81" s="156">
        <v>-26.645727272727271</v>
      </c>
      <c r="T81" s="59"/>
      <c r="U81" s="156">
        <f t="shared" si="9"/>
        <v>22.851959280248966</v>
      </c>
      <c r="V81" s="156">
        <f>AVERAGE(U81:U83)</f>
        <v>24.982197451410389</v>
      </c>
      <c r="W81" t="s">
        <v>407</v>
      </c>
      <c r="X81" t="s">
        <v>395</v>
      </c>
      <c r="Y81" t="s">
        <v>405</v>
      </c>
    </row>
    <row r="82" spans="1:25">
      <c r="A82" t="s">
        <v>371</v>
      </c>
      <c r="B82" s="9" t="s">
        <v>548</v>
      </c>
      <c r="C82" t="s">
        <v>13</v>
      </c>
      <c r="D82">
        <v>2</v>
      </c>
      <c r="E82" s="11" t="s">
        <v>308</v>
      </c>
      <c r="F82">
        <v>20</v>
      </c>
      <c r="G82">
        <v>6.5839999999999996</v>
      </c>
      <c r="H82">
        <v>5.7949999999999999</v>
      </c>
      <c r="I82">
        <v>6.0170000000000003</v>
      </c>
      <c r="J82">
        <f t="shared" si="7"/>
        <v>0.22200000000000042</v>
      </c>
      <c r="K82">
        <f t="shared" si="6"/>
        <v>0.24916666666666654</v>
      </c>
      <c r="L82">
        <f t="shared" si="8"/>
        <v>1.1100000000000021E-2</v>
      </c>
      <c r="M82" s="153" t="s">
        <v>371</v>
      </c>
      <c r="N82" s="153" t="s">
        <v>901</v>
      </c>
      <c r="O82" s="59"/>
      <c r="P82" s="154">
        <v>2.1981674488798135</v>
      </c>
      <c r="Q82" s="154">
        <v>47.853812332584617</v>
      </c>
      <c r="R82" s="155">
        <v>0.32663636363637139</v>
      </c>
      <c r="S82" s="156">
        <v>-27.511727272727271</v>
      </c>
      <c r="T82" s="59"/>
      <c r="U82" s="156">
        <f t="shared" si="9"/>
        <v>21.769866693718409</v>
      </c>
      <c r="V82" s="156"/>
      <c r="W82" t="s">
        <v>407</v>
      </c>
      <c r="X82" t="s">
        <v>395</v>
      </c>
      <c r="Y82" t="s">
        <v>405</v>
      </c>
    </row>
    <row r="83" spans="1:25">
      <c r="A83" t="s">
        <v>372</v>
      </c>
      <c r="B83" s="9" t="s">
        <v>548</v>
      </c>
      <c r="C83" t="s">
        <v>13</v>
      </c>
      <c r="D83">
        <v>6</v>
      </c>
      <c r="E83" s="11" t="s">
        <v>308</v>
      </c>
      <c r="F83">
        <v>19</v>
      </c>
      <c r="G83">
        <v>6.6449999999999996</v>
      </c>
      <c r="H83">
        <v>5.7880000000000003</v>
      </c>
      <c r="I83">
        <v>6.1020000000000003</v>
      </c>
      <c r="J83">
        <f t="shared" si="7"/>
        <v>0.31400000000000006</v>
      </c>
      <c r="K83">
        <f t="shared" si="6"/>
        <v>0.31016666666666648</v>
      </c>
      <c r="L83">
        <f t="shared" si="8"/>
        <v>1.6526315789473688E-2</v>
      </c>
      <c r="M83" s="153" t="s">
        <v>372</v>
      </c>
      <c r="N83" s="153" t="s">
        <v>902</v>
      </c>
      <c r="O83" s="59"/>
      <c r="P83" s="182">
        <v>1.5885108958766325</v>
      </c>
      <c r="Q83" s="182">
        <v>48.171221809962432</v>
      </c>
      <c r="R83" s="155">
        <v>-9.336363636363032E-2</v>
      </c>
      <c r="S83" s="156">
        <v>-27.379727272727269</v>
      </c>
      <c r="T83" s="110" t="s">
        <v>1044</v>
      </c>
      <c r="U83" s="156">
        <f t="shared" si="9"/>
        <v>30.324766380263799</v>
      </c>
      <c r="V83" s="156"/>
      <c r="W83" t="s">
        <v>407</v>
      </c>
      <c r="X83" t="s">
        <v>395</v>
      </c>
      <c r="Y83" t="s">
        <v>405</v>
      </c>
    </row>
    <row r="88" spans="1:25">
      <c r="E88" s="3" t="s">
        <v>403</v>
      </c>
      <c r="F88">
        <v>6</v>
      </c>
      <c r="K88">
        <v>38.009</v>
      </c>
      <c r="L88">
        <f>K88/F88</f>
        <v>6.3348333333333331</v>
      </c>
      <c r="Y88" t="s">
        <v>405</v>
      </c>
    </row>
    <row r="92" spans="1:25">
      <c r="B92" s="1" t="s">
        <v>974</v>
      </c>
      <c r="C92" s="1"/>
      <c r="D92" s="1" t="s">
        <v>308</v>
      </c>
      <c r="E92" s="2"/>
      <c r="F92" s="1" t="s">
        <v>307</v>
      </c>
      <c r="G92" s="1"/>
      <c r="H92" s="1" t="s">
        <v>309</v>
      </c>
      <c r="I92" s="1"/>
      <c r="J92" s="1" t="s">
        <v>306</v>
      </c>
      <c r="K92" s="1"/>
      <c r="L92" s="1" t="s">
        <v>985</v>
      </c>
    </row>
    <row r="93" spans="1:25">
      <c r="B93" t="s">
        <v>13</v>
      </c>
      <c r="C93" t="s">
        <v>973</v>
      </c>
      <c r="D93" t="s">
        <v>975</v>
      </c>
      <c r="E93" s="3" t="s">
        <v>976</v>
      </c>
      <c r="F93" s="6" t="s">
        <v>977</v>
      </c>
      <c r="G93" s="6" t="s">
        <v>978</v>
      </c>
      <c r="H93" s="6" t="s">
        <v>979</v>
      </c>
      <c r="I93" s="6" t="s">
        <v>980</v>
      </c>
      <c r="J93" s="6" t="s">
        <v>981</v>
      </c>
      <c r="K93" s="6" t="s">
        <v>982</v>
      </c>
      <c r="L93" s="6" t="s">
        <v>983</v>
      </c>
      <c r="M93" s="6" t="s">
        <v>984</v>
      </c>
    </row>
    <row r="94" spans="1:25">
      <c r="A94" s="1" t="s">
        <v>9</v>
      </c>
      <c r="B94">
        <v>29.272305476827508</v>
      </c>
      <c r="C94">
        <v>26.077398038678812</v>
      </c>
      <c r="D94" s="158">
        <f>AVERAGE(U15,U20)</f>
        <v>19.675168197429638</v>
      </c>
      <c r="E94" s="3" t="s">
        <v>469</v>
      </c>
      <c r="F94" s="158">
        <f>AVERAGE(U14,U16)</f>
        <v>35.169167567532014</v>
      </c>
      <c r="G94" s="158">
        <f>AVERAGE(U2,U4,U7,U12)</f>
        <v>32.875248129416221</v>
      </c>
      <c r="H94" s="158">
        <f>AVERAGE(U17:U18,U21)</f>
        <v>22.352394290712898</v>
      </c>
      <c r="I94" s="158">
        <f>AVERAGE(U3,U5,U8,U10)</f>
        <v>20.184981415191288</v>
      </c>
      <c r="J94" s="158">
        <f>AVERAGE(U13,U23)</f>
        <v>39.715686187565822</v>
      </c>
      <c r="K94" s="158">
        <f>AVERAGE(U9,U11)</f>
        <v>24.493444174505569</v>
      </c>
      <c r="L94" s="158">
        <f>AVERAGE(R13:R23)</f>
        <v>6.6203636363636429</v>
      </c>
      <c r="M94" s="158">
        <f>AVERAGE(R2:R12)</f>
        <v>11.452545454545461</v>
      </c>
    </row>
    <row r="95" spans="1:25">
      <c r="A95" s="1" t="s">
        <v>196</v>
      </c>
      <c r="B95">
        <v>24.583864835699362</v>
      </c>
      <c r="C95">
        <v>24.744130962810878</v>
      </c>
      <c r="D95" s="158">
        <f>AVERAGE(U33:U36,U38:U39)</f>
        <v>25.48013993633252</v>
      </c>
      <c r="E95" s="159">
        <f>AVERAGE(U29,U31)</f>
        <v>21.32318348325278</v>
      </c>
      <c r="G95" s="158">
        <f>AVERAGE(U27,U28,U30)</f>
        <v>29.262669240251679</v>
      </c>
      <c r="H95" s="158">
        <f>AVERAGE(U37)</f>
        <v>19.206214231900432</v>
      </c>
      <c r="I95" s="158">
        <f>AVERAGE(U26)</f>
        <v>12.082762611485977</v>
      </c>
      <c r="K95" s="158">
        <f>AVERAGE(U24:U25,U32)</f>
        <v>26.726680455517123</v>
      </c>
      <c r="L95" s="158">
        <f>AVERAGE(R33:R39)</f>
        <v>1.3302077922077997</v>
      </c>
      <c r="M95" s="158">
        <f>AVERAGE(R24:R32)</f>
        <v>11.875191919191925</v>
      </c>
    </row>
    <row r="96" spans="1:25">
      <c r="A96" s="1" t="s">
        <v>197</v>
      </c>
      <c r="B96">
        <v>24.791371485835885</v>
      </c>
      <c r="C96">
        <v>20.887368405887766</v>
      </c>
      <c r="D96" s="158">
        <f>AVERAGE(U52:U56)</f>
        <v>24.791371485835885</v>
      </c>
      <c r="E96" s="159">
        <f>AVERAGE(U44,U47)</f>
        <v>19.187403406873859</v>
      </c>
      <c r="I96" s="158">
        <f>AVERAGE(U43,U46,U49,U51)</f>
        <v>16.789710079875796</v>
      </c>
      <c r="K96" s="158">
        <f>AVERAGE(U40:U42,U45,U48,U50)</f>
        <v>24.185795622900386</v>
      </c>
      <c r="L96" s="158">
        <f>AVERAGE(R52:R56)</f>
        <v>5.8910363636363705</v>
      </c>
      <c r="M96" s="158">
        <f>AVERAGE(R40:R51)</f>
        <v>14.45630303030304</v>
      </c>
    </row>
    <row r="97" spans="1:13">
      <c r="A97" s="1" t="s">
        <v>198</v>
      </c>
      <c r="B97">
        <v>23.636886522252656</v>
      </c>
      <c r="C97">
        <v>23.793882717891151</v>
      </c>
      <c r="D97" s="158">
        <f>AVERAGE(U74:U76)</f>
        <v>23.636886522252656</v>
      </c>
      <c r="E97" s="159">
        <f>AVERAGE(U72)</f>
        <v>19.618058915899809</v>
      </c>
      <c r="G97" s="158">
        <f>AVERAGE(U57,U60,U63,U71)</f>
        <v>28.06799153463659</v>
      </c>
      <c r="I97" s="158">
        <f>AVERAGE(U58,U61,U70,U73)</f>
        <v>16.769841234210624</v>
      </c>
      <c r="K97" s="158">
        <f>AVERAGE(U59,U62)</f>
        <v>31.381659952757005</v>
      </c>
      <c r="L97" s="158">
        <f>AVERAGE(R74:R76)</f>
        <v>1.194636363636371</v>
      </c>
      <c r="M97" s="158">
        <f>AVERAGE(R57:R73)</f>
        <v>12.164784313725495</v>
      </c>
    </row>
    <row r="98" spans="1:13">
      <c r="A98" s="1" t="s">
        <v>548</v>
      </c>
      <c r="B98">
        <v>24.982197451410389</v>
      </c>
      <c r="C98">
        <v>19.379863642511669</v>
      </c>
      <c r="D98" s="158">
        <f>AVERAGE(U81:U83)</f>
        <v>24.982197451410389</v>
      </c>
      <c r="E98" s="159">
        <f>AVERAGE(U80)</f>
        <v>17.812325866038673</v>
      </c>
      <c r="K98" s="158">
        <f>AVERAGE(U77:U79)</f>
        <v>19.902376234669333</v>
      </c>
      <c r="L98" s="158">
        <f>AVERAGE(R81:R83)</f>
        <v>1.360969696969704</v>
      </c>
      <c r="M98" s="158">
        <f>AVERAGE(R77:R80)</f>
        <v>18.70738636363637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B63"/>
  <sheetViews>
    <sheetView tabSelected="1" workbookViewId="0">
      <pane xSplit="1" ySplit="3" topLeftCell="N4" activePane="bottomRight" state="frozen"/>
      <selection pane="topRight" activeCell="B1" sqref="B1"/>
      <selection pane="bottomLeft" activeCell="A2" sqref="A2"/>
      <selection pane="bottomRight" activeCell="U2" sqref="U2"/>
    </sheetView>
  </sheetViews>
  <sheetFormatPr baseColWidth="10" defaultColWidth="11" defaultRowHeight="16"/>
  <cols>
    <col min="1" max="1" width="11" style="15"/>
    <col min="4" max="4" width="11.6640625" style="3" bestFit="1" customWidth="1"/>
    <col min="5" max="5" width="11" style="44"/>
    <col min="6" max="6" width="11" style="42"/>
    <col min="8" max="8" width="24.83203125" bestFit="1" customWidth="1"/>
    <col min="9" max="9" width="18.5" bestFit="1" customWidth="1"/>
    <col min="10" max="10" width="11" customWidth="1"/>
    <col min="11" max="11" width="24.1640625" bestFit="1" customWidth="1"/>
    <col min="12" max="12" width="11" customWidth="1"/>
    <col min="14" max="15" width="11" style="3"/>
    <col min="16" max="16" width="11" style="65"/>
    <col min="17" max="17" width="12.33203125" customWidth="1"/>
    <col min="18" max="18" width="11" style="24"/>
    <col min="19" max="19" width="11" style="3"/>
    <col min="21" max="21" width="11" style="3"/>
  </cols>
  <sheetData>
    <row r="1" spans="1:28" s="59" customFormat="1">
      <c r="D1" s="11"/>
      <c r="E1" s="63"/>
      <c r="F1" s="62"/>
      <c r="N1" s="11"/>
      <c r="O1" s="11"/>
      <c r="P1" s="64"/>
      <c r="R1" s="67"/>
      <c r="S1" s="11"/>
      <c r="U1" s="11"/>
    </row>
    <row r="2" spans="1:28" s="59" customFormat="1">
      <c r="D2" s="11"/>
      <c r="E2" s="63" t="s">
        <v>562</v>
      </c>
      <c r="F2" s="62">
        <v>15.240416666666667</v>
      </c>
      <c r="N2" s="11"/>
      <c r="O2" s="11"/>
      <c r="P2" s="64"/>
      <c r="R2" s="67"/>
      <c r="S2" s="11"/>
      <c r="U2" s="11"/>
      <c r="V2" s="134" t="s">
        <v>1213</v>
      </c>
    </row>
    <row r="3" spans="1:28" s="71" customFormat="1">
      <c r="A3" s="70" t="s">
        <v>10</v>
      </c>
      <c r="B3" s="71" t="s">
        <v>8</v>
      </c>
      <c r="C3" s="71" t="s">
        <v>11</v>
      </c>
      <c r="D3" s="72" t="s">
        <v>212</v>
      </c>
      <c r="E3" s="73" t="s">
        <v>549</v>
      </c>
      <c r="F3" s="74" t="s">
        <v>550</v>
      </c>
      <c r="G3" s="71" t="s">
        <v>387</v>
      </c>
      <c r="H3" s="71" t="s">
        <v>430</v>
      </c>
      <c r="I3" s="71" t="s">
        <v>388</v>
      </c>
      <c r="J3" s="71" t="s">
        <v>391</v>
      </c>
      <c r="K3" s="71" t="s">
        <v>392</v>
      </c>
      <c r="L3" s="71" t="s">
        <v>393</v>
      </c>
      <c r="M3" s="71" t="s">
        <v>389</v>
      </c>
      <c r="N3" s="72" t="s">
        <v>390</v>
      </c>
      <c r="O3" s="72" t="s">
        <v>567</v>
      </c>
      <c r="P3" s="75" t="s">
        <v>375</v>
      </c>
      <c r="Q3" s="71" t="s">
        <v>565</v>
      </c>
      <c r="R3" s="76" t="s">
        <v>397</v>
      </c>
      <c r="S3" s="72" t="s">
        <v>396</v>
      </c>
      <c r="T3" s="189" t="s">
        <v>566</v>
      </c>
      <c r="U3" s="72" t="s">
        <v>1215</v>
      </c>
      <c r="V3" s="255" t="s">
        <v>1207</v>
      </c>
      <c r="W3" s="255" t="s">
        <v>1208</v>
      </c>
      <c r="X3" s="255" t="s">
        <v>1209</v>
      </c>
      <c r="Y3" s="255" t="s">
        <v>1210</v>
      </c>
      <c r="Z3" s="255" t="s">
        <v>1211</v>
      </c>
      <c r="AA3" s="255" t="s">
        <v>1212</v>
      </c>
    </row>
    <row r="4" spans="1:28">
      <c r="A4" s="15" t="s">
        <v>213</v>
      </c>
      <c r="B4" t="s">
        <v>9</v>
      </c>
      <c r="C4" t="s">
        <v>12</v>
      </c>
      <c r="D4" s="3">
        <v>1</v>
      </c>
      <c r="G4">
        <v>4.2859999999999996</v>
      </c>
      <c r="L4">
        <v>3.2160000000000002</v>
      </c>
      <c r="O4" s="3">
        <f>SUM(G4:L4)+N4</f>
        <v>7.5019999999999998</v>
      </c>
      <c r="T4" s="77">
        <v>0.62</v>
      </c>
      <c r="U4" s="3">
        <f>O4*25/1000</f>
        <v>0.18754999999999999</v>
      </c>
      <c r="V4" s="258">
        <v>-2.9468700000000001</v>
      </c>
      <c r="W4" s="258">
        <v>0.76131400000000005</v>
      </c>
      <c r="X4" s="258">
        <v>-0.21412999999999999</v>
      </c>
      <c r="Y4" s="258">
        <v>-1.7789699999999999</v>
      </c>
      <c r="Z4" s="258">
        <v>1.6743300000000001</v>
      </c>
      <c r="AA4" s="258">
        <v>0.202621</v>
      </c>
      <c r="AB4" s="257"/>
    </row>
    <row r="5" spans="1:28">
      <c r="A5" s="15" t="s">
        <v>214</v>
      </c>
      <c r="B5" t="s">
        <v>9</v>
      </c>
      <c r="C5" t="s">
        <v>12</v>
      </c>
      <c r="D5" s="3">
        <v>2</v>
      </c>
      <c r="G5">
        <v>10.097</v>
      </c>
      <c r="L5">
        <v>5.5890000000000004</v>
      </c>
      <c r="N5" s="3">
        <v>0.14899999999999999</v>
      </c>
      <c r="O5" s="3">
        <f t="shared" ref="O5:O7" si="0">SUM(G5:L5)+N5</f>
        <v>15.834999999999999</v>
      </c>
      <c r="T5" s="38">
        <v>0.6</v>
      </c>
      <c r="U5" s="3">
        <f t="shared" ref="U5:U63" si="1">O5*25/1000</f>
        <v>0.39587499999999998</v>
      </c>
      <c r="V5" s="258">
        <v>-3.61775</v>
      </c>
      <c r="W5" s="258">
        <v>-9.6350000000000005E-2</v>
      </c>
      <c r="X5" s="258">
        <v>-0.45704</v>
      </c>
      <c r="Y5" s="258">
        <v>-2.4753099999999999</v>
      </c>
      <c r="Z5" s="258">
        <v>1.17089</v>
      </c>
      <c r="AA5" s="258">
        <v>-0.29748999999999998</v>
      </c>
      <c r="AB5" s="257"/>
    </row>
    <row r="6" spans="1:28">
      <c r="A6" s="15" t="s">
        <v>215</v>
      </c>
      <c r="B6" t="s">
        <v>9</v>
      </c>
      <c r="C6" t="s">
        <v>12</v>
      </c>
      <c r="D6" s="3">
        <v>3</v>
      </c>
      <c r="E6" s="44">
        <v>29.91</v>
      </c>
      <c r="F6" s="42">
        <f t="shared" ref="F6:F63" si="2">IF(E6&gt;0,E6-F$2,)</f>
        <v>14.669583333333334</v>
      </c>
      <c r="G6">
        <v>9.5730000000000004</v>
      </c>
      <c r="L6">
        <v>0.44600000000000001</v>
      </c>
      <c r="N6" s="3">
        <v>2.7E-2</v>
      </c>
      <c r="O6" s="3">
        <f t="shared" si="0"/>
        <v>10.045999999999999</v>
      </c>
      <c r="T6" s="38">
        <v>0.61</v>
      </c>
      <c r="U6" s="3">
        <f t="shared" si="1"/>
        <v>0.25114999999999998</v>
      </c>
      <c r="V6" s="258">
        <v>-2.2179899999999999</v>
      </c>
      <c r="W6" s="258">
        <v>0.45960099999999998</v>
      </c>
      <c r="X6" s="258">
        <v>0.30950299999999997</v>
      </c>
      <c r="Y6" s="258">
        <v>0.43001299999999998</v>
      </c>
      <c r="Z6" s="258">
        <v>9.5950999999999995E-2</v>
      </c>
      <c r="AA6" s="258">
        <v>-0.97423999999999999</v>
      </c>
      <c r="AB6" s="257"/>
    </row>
    <row r="7" spans="1:28">
      <c r="A7" s="15" t="s">
        <v>216</v>
      </c>
      <c r="B7" t="s">
        <v>9</v>
      </c>
      <c r="C7" t="s">
        <v>12</v>
      </c>
      <c r="D7" s="3">
        <v>4</v>
      </c>
      <c r="E7" s="44">
        <v>26.84</v>
      </c>
      <c r="F7" s="42">
        <f t="shared" si="2"/>
        <v>11.599583333333333</v>
      </c>
      <c r="G7">
        <v>3.8069999999999999</v>
      </c>
      <c r="L7">
        <v>4.0350000000000001</v>
      </c>
      <c r="O7" s="3">
        <f t="shared" si="0"/>
        <v>7.8420000000000005</v>
      </c>
      <c r="T7" s="38">
        <v>0.68</v>
      </c>
      <c r="U7" s="3">
        <f t="shared" si="1"/>
        <v>0.19605</v>
      </c>
      <c r="V7" s="258">
        <v>-1.67824</v>
      </c>
      <c r="W7" s="258">
        <v>0.515127</v>
      </c>
      <c r="X7" s="258">
        <v>0.17335900000000001</v>
      </c>
      <c r="Y7" s="258">
        <v>-0.14507999999999999</v>
      </c>
      <c r="Z7" s="258">
        <v>0.41557699999999997</v>
      </c>
      <c r="AA7" s="258">
        <v>5.1938999999999999E-2</v>
      </c>
      <c r="AB7" s="257"/>
    </row>
    <row r="8" spans="1:28">
      <c r="A8" s="15" t="s">
        <v>217</v>
      </c>
      <c r="B8" t="s">
        <v>9</v>
      </c>
      <c r="C8" t="s">
        <v>12</v>
      </c>
      <c r="D8" s="3">
        <v>5</v>
      </c>
      <c r="E8" s="44">
        <v>27.03</v>
      </c>
      <c r="F8" s="42">
        <f t="shared" si="2"/>
        <v>11.789583333333335</v>
      </c>
      <c r="G8">
        <v>10.244999999999999</v>
      </c>
      <c r="O8" s="3">
        <f>SUM(G8:L8)+N8</f>
        <v>10.244999999999999</v>
      </c>
      <c r="T8" s="38">
        <v>0.72</v>
      </c>
      <c r="U8" s="3">
        <f t="shared" si="1"/>
        <v>0.25612499999999999</v>
      </c>
      <c r="V8" s="258">
        <v>-0.83806000000000003</v>
      </c>
      <c r="W8" s="258">
        <v>0.35442499999999999</v>
      </c>
      <c r="X8" s="258">
        <v>0.41837600000000003</v>
      </c>
      <c r="Y8" s="258">
        <v>0.88927100000000003</v>
      </c>
      <c r="Z8" s="258">
        <v>-0.38995000000000002</v>
      </c>
      <c r="AA8" s="258">
        <v>-8.5400000000000007E-3</v>
      </c>
      <c r="AB8" s="257"/>
    </row>
    <row r="9" spans="1:28">
      <c r="A9" s="15" t="s">
        <v>218</v>
      </c>
      <c r="B9" t="s">
        <v>9</v>
      </c>
      <c r="C9" t="s">
        <v>12</v>
      </c>
      <c r="D9" s="3">
        <v>6</v>
      </c>
      <c r="E9" s="44">
        <v>55.05</v>
      </c>
      <c r="F9" s="42">
        <f t="shared" si="2"/>
        <v>39.809583333333329</v>
      </c>
      <c r="G9">
        <v>29.777999999999999</v>
      </c>
      <c r="O9" s="3">
        <f>SUM(G9:L9)+N9</f>
        <v>29.777999999999999</v>
      </c>
      <c r="T9" s="38">
        <v>0.6</v>
      </c>
      <c r="U9" s="3">
        <f t="shared" si="1"/>
        <v>0.74444999999999995</v>
      </c>
      <c r="V9" s="258">
        <v>-1.2514099999999999</v>
      </c>
      <c r="W9" s="258">
        <v>0.41643200000000002</v>
      </c>
      <c r="X9" s="258">
        <v>0.382378</v>
      </c>
      <c r="Y9" s="258">
        <v>0.728074</v>
      </c>
      <c r="Z9" s="258">
        <v>-0.19842000000000001</v>
      </c>
      <c r="AA9" s="258">
        <v>-0.26512000000000002</v>
      </c>
      <c r="AB9" s="257"/>
    </row>
    <row r="10" spans="1:28">
      <c r="A10" s="15" t="s">
        <v>219</v>
      </c>
      <c r="B10" t="s">
        <v>9</v>
      </c>
      <c r="C10" t="s">
        <v>13</v>
      </c>
      <c r="D10" s="3">
        <v>1</v>
      </c>
      <c r="E10" s="44">
        <v>35.979999999999997</v>
      </c>
      <c r="F10" s="42">
        <f t="shared" si="2"/>
        <v>20.739583333333329</v>
      </c>
      <c r="G10">
        <v>16.111000000000001</v>
      </c>
      <c r="M10">
        <v>0.497</v>
      </c>
      <c r="O10" s="3">
        <f>SUM(G10:L10)+N10</f>
        <v>16.111000000000001</v>
      </c>
      <c r="Q10" s="24">
        <v>42671</v>
      </c>
      <c r="R10" s="24">
        <v>42678</v>
      </c>
      <c r="T10" s="44">
        <v>0.51</v>
      </c>
      <c r="U10" s="3">
        <f t="shared" si="1"/>
        <v>0.40277500000000005</v>
      </c>
      <c r="V10" s="258">
        <v>-0.96580999999999995</v>
      </c>
      <c r="W10" s="258">
        <v>0.36893199999999998</v>
      </c>
      <c r="X10" s="258">
        <v>0.43033500000000002</v>
      </c>
      <c r="Y10" s="258">
        <v>0.93438200000000005</v>
      </c>
      <c r="Z10" s="258">
        <v>-0.38667000000000001</v>
      </c>
      <c r="AA10" s="258">
        <v>-0.16602</v>
      </c>
      <c r="AB10" s="257"/>
    </row>
    <row r="11" spans="1:28">
      <c r="A11" s="15" t="s">
        <v>220</v>
      </c>
      <c r="B11" t="s">
        <v>9</v>
      </c>
      <c r="C11" t="s">
        <v>13</v>
      </c>
      <c r="D11" s="3">
        <v>2</v>
      </c>
      <c r="G11">
        <v>0.64500000000000002</v>
      </c>
      <c r="J11">
        <v>7.7759999999999998</v>
      </c>
      <c r="M11">
        <v>13.875</v>
      </c>
      <c r="N11" s="3">
        <v>0.10100000000000001</v>
      </c>
      <c r="O11" s="3">
        <f t="shared" ref="O11:O12" si="3">SUM(G11:L11)+N11</f>
        <v>8.5220000000000002</v>
      </c>
      <c r="T11" s="44">
        <v>0.66</v>
      </c>
      <c r="U11" s="3">
        <f t="shared" si="1"/>
        <v>0.21305000000000002</v>
      </c>
      <c r="V11" s="258">
        <v>1.5324599999999999</v>
      </c>
      <c r="W11" s="258">
        <v>0.33623799999999998</v>
      </c>
      <c r="X11" s="258">
        <v>-2.2956699999999999</v>
      </c>
      <c r="Y11" s="258">
        <v>0.46258199999999999</v>
      </c>
      <c r="Z11" s="258">
        <v>0.32157400000000003</v>
      </c>
      <c r="AA11" s="258">
        <v>-0.46586</v>
      </c>
      <c r="AB11" s="257"/>
    </row>
    <row r="12" spans="1:28">
      <c r="A12" s="15" t="s">
        <v>221</v>
      </c>
      <c r="B12" t="s">
        <v>9</v>
      </c>
      <c r="C12" t="s">
        <v>13</v>
      </c>
      <c r="D12" s="3">
        <v>3</v>
      </c>
      <c r="E12" s="44">
        <v>36.6</v>
      </c>
      <c r="F12" s="42">
        <f t="shared" si="2"/>
        <v>21.359583333333333</v>
      </c>
      <c r="G12">
        <v>4.931</v>
      </c>
      <c r="M12">
        <v>4.399</v>
      </c>
      <c r="N12" s="3">
        <v>2.5000000000000001E-2</v>
      </c>
      <c r="O12" s="3">
        <f t="shared" si="3"/>
        <v>4.9560000000000004</v>
      </c>
      <c r="Q12" s="24">
        <v>42671</v>
      </c>
      <c r="R12" s="24">
        <v>42678</v>
      </c>
      <c r="T12" s="44">
        <v>0.41</v>
      </c>
      <c r="U12" s="3">
        <f t="shared" si="1"/>
        <v>0.12390000000000001</v>
      </c>
      <c r="V12" s="258">
        <v>9.3847E-2</v>
      </c>
      <c r="W12" s="258">
        <v>-1.2515400000000001</v>
      </c>
      <c r="X12" s="258">
        <v>0.21846299999999999</v>
      </c>
      <c r="Y12" s="258">
        <v>1.2410099999999999</v>
      </c>
      <c r="Z12" s="258">
        <v>1.34402</v>
      </c>
      <c r="AA12" s="258">
        <v>-0.26878999999999997</v>
      </c>
      <c r="AB12" s="257"/>
    </row>
    <row r="13" spans="1:28">
      <c r="A13" s="15" t="s">
        <v>222</v>
      </c>
      <c r="B13" t="s">
        <v>9</v>
      </c>
      <c r="C13" t="s">
        <v>13</v>
      </c>
      <c r="D13" s="3">
        <v>4</v>
      </c>
      <c r="E13" s="44">
        <v>23.74</v>
      </c>
      <c r="F13" s="42">
        <f t="shared" si="2"/>
        <v>8.4995833333333319</v>
      </c>
      <c r="H13">
        <v>0.122</v>
      </c>
      <c r="M13">
        <v>0.91600000000000004</v>
      </c>
      <c r="N13" s="3">
        <v>4.218</v>
      </c>
      <c r="O13" s="3">
        <f>SUM(G13:L13)+N13</f>
        <v>4.34</v>
      </c>
      <c r="Q13" s="24">
        <v>42671</v>
      </c>
      <c r="R13" s="24">
        <v>42678</v>
      </c>
      <c r="T13" s="44">
        <v>0.39</v>
      </c>
      <c r="U13" s="3">
        <f t="shared" si="1"/>
        <v>0.1085</v>
      </c>
      <c r="V13" s="258">
        <v>0.65091500000000002</v>
      </c>
      <c r="W13" s="258">
        <v>-6.0148000000000001</v>
      </c>
      <c r="X13" s="258">
        <v>-0.81432000000000004</v>
      </c>
      <c r="Y13" s="258">
        <v>-1.0894299999999999</v>
      </c>
      <c r="Z13" s="258">
        <v>-0.89302000000000004</v>
      </c>
      <c r="AA13" s="258">
        <v>-7.9140000000000002E-2</v>
      </c>
      <c r="AB13" s="257"/>
    </row>
    <row r="14" spans="1:28">
      <c r="A14" s="15" t="s">
        <v>223</v>
      </c>
      <c r="B14" t="s">
        <v>9</v>
      </c>
      <c r="C14" t="s">
        <v>13</v>
      </c>
      <c r="D14" s="3">
        <v>5</v>
      </c>
      <c r="E14" s="44">
        <v>41.57</v>
      </c>
      <c r="F14" s="42">
        <f t="shared" si="2"/>
        <v>26.329583333333332</v>
      </c>
      <c r="G14">
        <v>1.4910000000000001</v>
      </c>
      <c r="J14">
        <v>5.5380000000000003</v>
      </c>
      <c r="L14">
        <v>0.112</v>
      </c>
      <c r="M14">
        <v>0.373</v>
      </c>
      <c r="N14" s="3">
        <v>0.14000000000000001</v>
      </c>
      <c r="O14" s="3">
        <f>SUM(G14:L14)+N14</f>
        <v>7.2809999999999997</v>
      </c>
      <c r="Q14" s="24">
        <v>42671</v>
      </c>
      <c r="R14" s="24">
        <v>42678</v>
      </c>
      <c r="T14" s="44">
        <v>0.62</v>
      </c>
      <c r="U14" s="3">
        <f t="shared" si="1"/>
        <v>0.18202499999999999</v>
      </c>
      <c r="V14" s="258">
        <v>1.1510800000000001</v>
      </c>
      <c r="W14" s="258">
        <v>-1.56057</v>
      </c>
      <c r="X14" s="258">
        <v>-1.1989700000000001</v>
      </c>
      <c r="Y14" s="258">
        <v>1.0206900000000001</v>
      </c>
      <c r="Z14" s="258">
        <v>1.7092099999999999</v>
      </c>
      <c r="AA14" s="258">
        <v>-0.79605999999999999</v>
      </c>
      <c r="AB14" s="257"/>
    </row>
    <row r="15" spans="1:28" s="4" customFormat="1">
      <c r="A15" s="16" t="s">
        <v>224</v>
      </c>
      <c r="B15" s="4" t="s">
        <v>9</v>
      </c>
      <c r="C15" s="4" t="s">
        <v>13</v>
      </c>
      <c r="D15" s="5">
        <v>6</v>
      </c>
      <c r="E15" s="37">
        <v>27.17</v>
      </c>
      <c r="F15" s="43">
        <f t="shared" si="2"/>
        <v>11.929583333333335</v>
      </c>
      <c r="G15" s="4">
        <v>7.3479999999999999</v>
      </c>
      <c r="N15" s="5"/>
      <c r="O15" s="3">
        <f t="shared" ref="O15:O17" si="4">SUM(G15:L15)+N15</f>
        <v>7.3479999999999999</v>
      </c>
      <c r="P15" s="66"/>
      <c r="Q15" s="48">
        <v>42671</v>
      </c>
      <c r="R15" s="48">
        <v>42678</v>
      </c>
      <c r="S15" s="5"/>
      <c r="T15" s="44">
        <v>0.45</v>
      </c>
      <c r="U15" s="3">
        <f t="shared" si="1"/>
        <v>0.1837</v>
      </c>
      <c r="V15" s="258">
        <v>-0.36965999999999999</v>
      </c>
      <c r="W15" s="258">
        <v>0.30123100000000003</v>
      </c>
      <c r="X15" s="258">
        <v>0.37452800000000003</v>
      </c>
      <c r="Y15" s="258">
        <v>0.72386099999999998</v>
      </c>
      <c r="Z15" s="258">
        <v>-0.40198</v>
      </c>
      <c r="AA15" s="258">
        <v>0.56886800000000004</v>
      </c>
      <c r="AB15" s="257"/>
    </row>
    <row r="16" spans="1:28">
      <c r="A16" s="15" t="s">
        <v>225</v>
      </c>
      <c r="B16" s="6" t="s">
        <v>196</v>
      </c>
      <c r="C16" t="s">
        <v>12</v>
      </c>
      <c r="D16" s="3">
        <v>1</v>
      </c>
      <c r="E16" s="38">
        <v>26.41</v>
      </c>
      <c r="F16" s="42">
        <f t="shared" si="2"/>
        <v>11.169583333333334</v>
      </c>
      <c r="G16" s="6">
        <v>39.892000000000003</v>
      </c>
      <c r="O16" s="3">
        <f t="shared" si="4"/>
        <v>39.892000000000003</v>
      </c>
      <c r="Q16" s="24">
        <v>42671</v>
      </c>
      <c r="R16" s="68">
        <v>42685</v>
      </c>
      <c r="S16" s="25">
        <v>42597</v>
      </c>
      <c r="T16" s="77">
        <v>0.6</v>
      </c>
      <c r="U16" s="3">
        <f t="shared" si="1"/>
        <v>0.99730000000000008</v>
      </c>
      <c r="V16" s="258">
        <v>-0.55001999999999995</v>
      </c>
      <c r="W16" s="258">
        <v>0.32673600000000003</v>
      </c>
      <c r="X16" s="258">
        <v>0.36651499999999998</v>
      </c>
      <c r="Y16" s="258">
        <v>0.68516600000000005</v>
      </c>
      <c r="Z16" s="258">
        <v>-0.33704000000000001</v>
      </c>
      <c r="AA16" s="258">
        <v>0.43085000000000001</v>
      </c>
      <c r="AB16" s="257"/>
    </row>
    <row r="17" spans="1:28">
      <c r="A17" s="15" t="s">
        <v>226</v>
      </c>
      <c r="B17" s="6" t="s">
        <v>196</v>
      </c>
      <c r="C17" t="s">
        <v>12</v>
      </c>
      <c r="D17" s="3">
        <v>2</v>
      </c>
      <c r="E17" s="38">
        <v>31.09</v>
      </c>
      <c r="F17" s="42">
        <f t="shared" si="2"/>
        <v>15.849583333333333</v>
      </c>
      <c r="G17" s="6">
        <v>18.725000000000001</v>
      </c>
      <c r="O17" s="3">
        <f t="shared" si="4"/>
        <v>18.725000000000001</v>
      </c>
      <c r="Q17" s="24">
        <v>42671</v>
      </c>
      <c r="R17" s="68">
        <v>42685</v>
      </c>
      <c r="S17" s="25">
        <v>42597</v>
      </c>
      <c r="T17" s="44">
        <f>AVERAGEA(0.71,0.69,0.72)</f>
        <v>0.70666666666666667</v>
      </c>
      <c r="U17" s="3">
        <f t="shared" si="1"/>
        <v>0.46812500000000007</v>
      </c>
      <c r="V17" s="258">
        <v>-0.58926000000000001</v>
      </c>
      <c r="W17" s="258">
        <v>0.32951799999999998</v>
      </c>
      <c r="X17" s="258">
        <v>0.37848700000000002</v>
      </c>
      <c r="Y17" s="258">
        <v>0.73315200000000003</v>
      </c>
      <c r="Z17" s="258">
        <v>-0.35614000000000001</v>
      </c>
      <c r="AA17" s="258">
        <v>0.354375</v>
      </c>
      <c r="AB17" s="257"/>
    </row>
    <row r="18" spans="1:28">
      <c r="A18" s="15" t="s">
        <v>227</v>
      </c>
      <c r="B18" s="6" t="s">
        <v>196</v>
      </c>
      <c r="C18" t="s">
        <v>12</v>
      </c>
      <c r="D18" s="3">
        <v>3</v>
      </c>
      <c r="E18" s="38">
        <v>27.54</v>
      </c>
      <c r="F18" s="42">
        <f t="shared" si="2"/>
        <v>12.299583333333333</v>
      </c>
      <c r="G18" s="6">
        <v>35.713000000000001</v>
      </c>
      <c r="O18" s="3">
        <f>SUM(G18:L18)+N18</f>
        <v>35.713000000000001</v>
      </c>
      <c r="Q18" s="24">
        <v>42671</v>
      </c>
      <c r="R18" s="68">
        <v>42685</v>
      </c>
      <c r="S18" s="25">
        <v>42597</v>
      </c>
      <c r="T18" s="44">
        <f>AVERAGEA(0.7,0.76,0.73)</f>
        <v>0.73</v>
      </c>
      <c r="U18" s="3">
        <f t="shared" si="1"/>
        <v>0.89282500000000009</v>
      </c>
      <c r="V18" s="258">
        <v>-1.06517</v>
      </c>
      <c r="W18" s="258">
        <v>0.38021500000000003</v>
      </c>
      <c r="X18" s="258">
        <v>0.43963600000000003</v>
      </c>
      <c r="Y18" s="258">
        <v>0.96946900000000003</v>
      </c>
      <c r="Z18" s="258">
        <v>-0.38412000000000002</v>
      </c>
      <c r="AA18" s="258">
        <v>-0.28849999999999998</v>
      </c>
      <c r="AB18" s="257"/>
    </row>
    <row r="19" spans="1:28">
      <c r="A19" s="15" t="s">
        <v>228</v>
      </c>
      <c r="B19" s="6" t="s">
        <v>196</v>
      </c>
      <c r="C19" t="s">
        <v>12</v>
      </c>
      <c r="D19" s="3">
        <v>4</v>
      </c>
      <c r="E19" s="38">
        <v>25.95</v>
      </c>
      <c r="F19" s="42">
        <f t="shared" si="2"/>
        <v>10.709583333333333</v>
      </c>
      <c r="G19" s="6">
        <v>14.092000000000001</v>
      </c>
      <c r="J19">
        <v>2.137</v>
      </c>
      <c r="O19" s="3">
        <f>SUM(G19:L19)+N19</f>
        <v>16.228999999999999</v>
      </c>
      <c r="Q19" s="24">
        <v>42671</v>
      </c>
      <c r="R19" s="24">
        <v>42687</v>
      </c>
      <c r="S19" s="25">
        <v>42597</v>
      </c>
      <c r="T19" s="44">
        <f>AVERAGEA(0.63,0.5,0.65)</f>
        <v>0.59333333333333327</v>
      </c>
      <c r="U19" s="3">
        <f t="shared" si="1"/>
        <v>0.40572499999999995</v>
      </c>
      <c r="V19" s="258">
        <v>-0.23894000000000001</v>
      </c>
      <c r="W19" s="258">
        <v>0.51904899999999998</v>
      </c>
      <c r="X19" s="258">
        <v>-0.18021000000000001</v>
      </c>
      <c r="Y19" s="258">
        <v>0.68077900000000002</v>
      </c>
      <c r="Z19" s="258">
        <v>-0.43576999999999999</v>
      </c>
      <c r="AA19" s="258">
        <v>0.15138299999999999</v>
      </c>
      <c r="AB19" s="257"/>
    </row>
    <row r="20" spans="1:28">
      <c r="A20" s="15" t="s">
        <v>229</v>
      </c>
      <c r="B20" s="6" t="s">
        <v>196</v>
      </c>
      <c r="C20" t="s">
        <v>12</v>
      </c>
      <c r="D20" s="3">
        <v>5</v>
      </c>
      <c r="E20" s="38">
        <v>28.86</v>
      </c>
      <c r="F20" s="42">
        <f t="shared" si="2"/>
        <v>13.619583333333333</v>
      </c>
      <c r="G20">
        <v>1.895</v>
      </c>
      <c r="J20">
        <v>1.4079999999999999</v>
      </c>
      <c r="O20" s="3">
        <f t="shared" ref="O20" si="5">SUM(G20:L20)+N20</f>
        <v>3.3029999999999999</v>
      </c>
      <c r="Q20" s="24">
        <v>42671</v>
      </c>
      <c r="R20" s="24">
        <v>42687</v>
      </c>
      <c r="S20" s="25">
        <v>42597</v>
      </c>
      <c r="T20" s="44">
        <f>AVERAGEA(0.47,0.47,0.41)</f>
        <v>0.44999999999999996</v>
      </c>
      <c r="U20" s="3">
        <f t="shared" si="1"/>
        <v>8.257500000000001E-2</v>
      </c>
      <c r="V20" s="258">
        <v>-0.14107</v>
      </c>
      <c r="W20" s="258">
        <v>0.39160299999999998</v>
      </c>
      <c r="X20" s="258">
        <v>8.1877000000000005E-2</v>
      </c>
      <c r="Y20" s="258">
        <v>0.64467699999999994</v>
      </c>
      <c r="Z20" s="258">
        <v>-0.42307</v>
      </c>
      <c r="AA20" s="258">
        <v>0.56134499999999998</v>
      </c>
      <c r="AB20" s="257"/>
    </row>
    <row r="21" spans="1:28">
      <c r="A21" s="15" t="s">
        <v>230</v>
      </c>
      <c r="B21" s="6" t="s">
        <v>196</v>
      </c>
      <c r="C21" t="s">
        <v>12</v>
      </c>
      <c r="D21" s="3">
        <v>6</v>
      </c>
      <c r="E21" s="38">
        <v>22.87</v>
      </c>
      <c r="F21" s="42">
        <f t="shared" si="2"/>
        <v>7.6295833333333345</v>
      </c>
      <c r="G21">
        <v>27.116</v>
      </c>
      <c r="O21" s="3">
        <f>SUM(G21:L21)+N21</f>
        <v>27.116</v>
      </c>
      <c r="Q21" s="24">
        <v>42671</v>
      </c>
      <c r="R21" s="24">
        <v>42687</v>
      </c>
      <c r="S21" s="25">
        <v>42597</v>
      </c>
      <c r="T21" s="44">
        <f>AVERAGEA(0.66,0.69,0.69)</f>
        <v>0.68</v>
      </c>
      <c r="U21" s="3">
        <f t="shared" si="1"/>
        <v>0.67789999999999995</v>
      </c>
      <c r="V21" s="258">
        <v>-0.80967</v>
      </c>
      <c r="W21" s="258">
        <v>0.35120099999999999</v>
      </c>
      <c r="X21" s="258">
        <v>0.41571900000000001</v>
      </c>
      <c r="Y21" s="258">
        <v>0.87924599999999997</v>
      </c>
      <c r="Z21" s="258">
        <v>-0.39068000000000003</v>
      </c>
      <c r="AA21" s="258">
        <v>2.6450999999999999E-2</v>
      </c>
      <c r="AB21" s="257"/>
    </row>
    <row r="22" spans="1:28">
      <c r="A22" s="15" t="s">
        <v>231</v>
      </c>
      <c r="B22" s="6" t="s">
        <v>196</v>
      </c>
      <c r="C22" t="s">
        <v>13</v>
      </c>
      <c r="D22" s="3">
        <v>1</v>
      </c>
      <c r="E22" s="38">
        <v>57.16</v>
      </c>
      <c r="F22" s="42">
        <f t="shared" si="2"/>
        <v>41.919583333333328</v>
      </c>
      <c r="G22">
        <v>3.7999999999999999E-2</v>
      </c>
      <c r="J22">
        <v>5.7009999999999996</v>
      </c>
      <c r="L22">
        <v>6.3E-2</v>
      </c>
      <c r="O22" s="3">
        <f t="shared" ref="O22:O63" si="6">SUM(G22:L22)+N22</f>
        <v>5.8019999999999996</v>
      </c>
      <c r="Q22" s="24">
        <v>42671</v>
      </c>
      <c r="R22" s="24">
        <v>42689</v>
      </c>
      <c r="S22" s="25">
        <v>42597</v>
      </c>
      <c r="T22" s="44">
        <f>AVERAGEA(0.48,0.52,0.55)</f>
        <v>0.51666666666666672</v>
      </c>
      <c r="U22" s="3">
        <f t="shared" si="1"/>
        <v>0.14504999999999998</v>
      </c>
      <c r="V22" s="258">
        <v>0.68193999999999999</v>
      </c>
      <c r="W22" s="258">
        <v>0.35333999999999999</v>
      </c>
      <c r="X22" s="258">
        <v>-1.10836</v>
      </c>
      <c r="Y22" s="258">
        <v>5.4719999999999998E-2</v>
      </c>
      <c r="Z22" s="258">
        <v>-0.74919999999999998</v>
      </c>
      <c r="AA22" s="258">
        <v>0.575847</v>
      </c>
      <c r="AB22" s="257"/>
    </row>
    <row r="23" spans="1:28">
      <c r="A23" s="15" t="s">
        <v>232</v>
      </c>
      <c r="B23" s="6" t="s">
        <v>196</v>
      </c>
      <c r="C23" t="s">
        <v>13</v>
      </c>
      <c r="D23" s="3">
        <v>2</v>
      </c>
      <c r="E23" s="38">
        <v>35.409999999999997</v>
      </c>
      <c r="F23" s="42">
        <f t="shared" si="2"/>
        <v>20.169583333333328</v>
      </c>
      <c r="I23">
        <v>0.63300000000000001</v>
      </c>
      <c r="J23">
        <v>0.16700000000000001</v>
      </c>
      <c r="K23">
        <v>2.548</v>
      </c>
      <c r="M23">
        <v>0.42899999999999999</v>
      </c>
      <c r="O23" s="3">
        <f t="shared" si="6"/>
        <v>3.3479999999999999</v>
      </c>
      <c r="Q23" s="24">
        <v>42671</v>
      </c>
      <c r="R23" s="24">
        <v>42689</v>
      </c>
      <c r="S23" s="25">
        <v>42597</v>
      </c>
      <c r="T23" s="44">
        <f>AVERAGEA(0.64,0.63,0.66)</f>
        <v>0.64333333333333342</v>
      </c>
      <c r="U23" s="3">
        <f t="shared" si="1"/>
        <v>8.3699999999999997E-2</v>
      </c>
      <c r="V23" s="258">
        <v>1.79941</v>
      </c>
      <c r="W23" s="258">
        <v>-1.0682700000000001</v>
      </c>
      <c r="X23" s="258">
        <v>-1.01925</v>
      </c>
      <c r="Y23" s="258">
        <v>0.73435600000000001</v>
      </c>
      <c r="Z23" s="258">
        <v>1.3971899999999999</v>
      </c>
      <c r="AA23" s="258">
        <v>0.122295</v>
      </c>
      <c r="AB23" s="257"/>
    </row>
    <row r="24" spans="1:28">
      <c r="A24" s="15" t="s">
        <v>233</v>
      </c>
      <c r="B24" s="6" t="s">
        <v>196</v>
      </c>
      <c r="C24" t="s">
        <v>13</v>
      </c>
      <c r="D24" s="3">
        <v>3</v>
      </c>
      <c r="E24" s="38">
        <v>52.65</v>
      </c>
      <c r="F24" s="42">
        <f t="shared" si="2"/>
        <v>37.40958333333333</v>
      </c>
      <c r="G24">
        <v>1.4119999999999999</v>
      </c>
      <c r="J24">
        <v>3.5270000000000001</v>
      </c>
      <c r="L24">
        <v>4.9000000000000002E-2</v>
      </c>
      <c r="M24">
        <v>0.501</v>
      </c>
      <c r="O24" s="3">
        <f t="shared" si="6"/>
        <v>4.9880000000000004</v>
      </c>
      <c r="Q24" s="24">
        <v>42671</v>
      </c>
      <c r="R24" s="24">
        <v>42690</v>
      </c>
      <c r="S24" s="25">
        <v>42597</v>
      </c>
      <c r="T24" s="44">
        <f>AVERAGEA(0.54,0.54,0.56)</f>
        <v>0.54666666666666675</v>
      </c>
      <c r="U24" s="3">
        <f t="shared" si="1"/>
        <v>0.12470000000000002</v>
      </c>
      <c r="V24" s="258">
        <v>1.4707600000000001</v>
      </c>
      <c r="W24" s="258">
        <v>6.2400999999999998E-2</v>
      </c>
      <c r="X24" s="258">
        <v>-1.63944</v>
      </c>
      <c r="Y24" s="258">
        <v>0.44650299999999998</v>
      </c>
      <c r="Z24" s="258">
        <v>0.38022099999999998</v>
      </c>
      <c r="AA24" s="258">
        <v>0.1888</v>
      </c>
      <c r="AB24" s="257"/>
    </row>
    <row r="25" spans="1:28">
      <c r="A25" s="15" t="s">
        <v>234</v>
      </c>
      <c r="B25" s="6" t="s">
        <v>196</v>
      </c>
      <c r="C25" t="s">
        <v>13</v>
      </c>
      <c r="D25" s="3">
        <v>4</v>
      </c>
      <c r="E25" s="38">
        <v>43.78</v>
      </c>
      <c r="F25" s="42">
        <f t="shared" si="2"/>
        <v>28.539583333333333</v>
      </c>
      <c r="G25">
        <v>0.441</v>
      </c>
      <c r="J25">
        <v>4.7539999999999996</v>
      </c>
      <c r="L25">
        <v>1.2889999999999999</v>
      </c>
      <c r="O25" s="3">
        <f t="shared" si="6"/>
        <v>6.4839999999999991</v>
      </c>
      <c r="Q25" s="24">
        <v>42671</v>
      </c>
      <c r="R25" s="24">
        <v>42689</v>
      </c>
      <c r="S25" s="25">
        <v>42597</v>
      </c>
      <c r="T25" s="44">
        <f>AVERAGEA(0.62,0.62,0.64)</f>
        <v>0.62666666666666659</v>
      </c>
      <c r="U25" s="3">
        <f t="shared" si="1"/>
        <v>0.16209999999999997</v>
      </c>
      <c r="V25" s="258">
        <v>0.34365600000000002</v>
      </c>
      <c r="W25" s="258">
        <v>1.30105</v>
      </c>
      <c r="X25" s="258">
        <v>-2.4322300000000001</v>
      </c>
      <c r="Y25" s="258">
        <v>-1.2213099999999999</v>
      </c>
      <c r="Z25" s="258">
        <v>0.45431899999999997</v>
      </c>
      <c r="AA25" s="258">
        <v>0.373751</v>
      </c>
      <c r="AB25" s="257"/>
    </row>
    <row r="26" spans="1:28">
      <c r="A26" s="15" t="s">
        <v>235</v>
      </c>
      <c r="B26" s="6" t="s">
        <v>196</v>
      </c>
      <c r="C26" t="s">
        <v>13</v>
      </c>
      <c r="D26" s="3">
        <v>5</v>
      </c>
      <c r="E26" s="38">
        <v>21.82</v>
      </c>
      <c r="F26" s="42">
        <f t="shared" si="2"/>
        <v>6.5795833333333338</v>
      </c>
      <c r="G26">
        <v>0.40699999999999997</v>
      </c>
      <c r="I26">
        <v>1.3580000000000001</v>
      </c>
      <c r="J26">
        <v>4.9610000000000003</v>
      </c>
      <c r="K26">
        <v>0.20100000000000001</v>
      </c>
      <c r="L26">
        <v>0.374</v>
      </c>
      <c r="N26" s="3">
        <v>2.1999999999999999E-2</v>
      </c>
      <c r="O26" s="3">
        <f t="shared" si="6"/>
        <v>7.3230000000000004</v>
      </c>
      <c r="Q26" s="24">
        <v>42671</v>
      </c>
      <c r="R26" s="24">
        <v>42690</v>
      </c>
      <c r="S26" s="25">
        <v>42597</v>
      </c>
      <c r="T26" s="44">
        <f>AVERAGEA(0.66,0.59,0.61)</f>
        <v>0.62</v>
      </c>
      <c r="U26" s="3">
        <f t="shared" si="1"/>
        <v>0.18307500000000002</v>
      </c>
      <c r="V26" s="258">
        <v>1.79023</v>
      </c>
      <c r="W26" s="258">
        <v>1.4694100000000001</v>
      </c>
      <c r="X26" s="258">
        <v>-2.0985499999999999</v>
      </c>
      <c r="Y26" s="258">
        <v>-0.69169999999999998</v>
      </c>
      <c r="Z26" s="258">
        <v>-0.55715000000000003</v>
      </c>
      <c r="AA26" s="258">
        <v>-0.90456999999999999</v>
      </c>
      <c r="AB26" s="257"/>
    </row>
    <row r="27" spans="1:28" s="4" customFormat="1">
      <c r="A27" s="16" t="s">
        <v>236</v>
      </c>
      <c r="B27" s="7" t="s">
        <v>196</v>
      </c>
      <c r="C27" s="4" t="s">
        <v>13</v>
      </c>
      <c r="D27" s="5">
        <v>6</v>
      </c>
      <c r="E27" s="37">
        <v>30.19</v>
      </c>
      <c r="F27" s="43">
        <f t="shared" si="2"/>
        <v>14.949583333333335</v>
      </c>
      <c r="G27" s="4">
        <v>2.2959999999999998</v>
      </c>
      <c r="J27" s="4">
        <v>1.6120000000000001</v>
      </c>
      <c r="L27" s="4">
        <v>0.23400000000000001</v>
      </c>
      <c r="M27" s="4">
        <v>0.20300000000000001</v>
      </c>
      <c r="N27" s="5"/>
      <c r="O27" s="3">
        <f t="shared" si="6"/>
        <v>4.1420000000000003</v>
      </c>
      <c r="P27" s="66" t="s">
        <v>564</v>
      </c>
      <c r="Q27" s="48">
        <v>42671</v>
      </c>
      <c r="R27" s="48">
        <v>42690</v>
      </c>
      <c r="S27" s="27">
        <v>42597</v>
      </c>
      <c r="T27" s="44">
        <f>AVERAGEA(0.42,0.48,0.49)</f>
        <v>0.46333333333333332</v>
      </c>
      <c r="U27" s="3">
        <f t="shared" si="1"/>
        <v>0.10355000000000002</v>
      </c>
      <c r="V27" s="258">
        <v>0.964557</v>
      </c>
      <c r="W27" s="258">
        <v>-1.9099299999999999</v>
      </c>
      <c r="X27" s="258">
        <v>-0.29294999999999999</v>
      </c>
      <c r="Y27" s="258">
        <v>0.98063299999999998</v>
      </c>
      <c r="Z27" s="258">
        <v>2.2935099999999999</v>
      </c>
      <c r="AA27" s="258">
        <v>3.7354999999999999E-2</v>
      </c>
      <c r="AB27" s="257"/>
    </row>
    <row r="28" spans="1:28">
      <c r="A28" s="17" t="s">
        <v>237</v>
      </c>
      <c r="B28" s="6" t="s">
        <v>197</v>
      </c>
      <c r="C28" t="s">
        <v>12</v>
      </c>
      <c r="D28" s="3">
        <v>1</v>
      </c>
      <c r="E28" s="38">
        <v>24.8</v>
      </c>
      <c r="F28" s="42">
        <f t="shared" si="2"/>
        <v>9.5595833333333342</v>
      </c>
      <c r="G28" s="6">
        <v>9.4659999999999993</v>
      </c>
      <c r="N28" s="3">
        <v>8.5999999999999993E-2</v>
      </c>
      <c r="O28" s="3">
        <f t="shared" si="6"/>
        <v>9.5519999999999996</v>
      </c>
      <c r="Q28" s="24">
        <v>42671</v>
      </c>
      <c r="R28" s="24">
        <v>42690</v>
      </c>
      <c r="S28" s="69">
        <v>42596</v>
      </c>
      <c r="T28" s="77">
        <v>0.72</v>
      </c>
      <c r="U28" s="3">
        <f t="shared" si="1"/>
        <v>0.23879999999999998</v>
      </c>
      <c r="V28" s="258">
        <v>-0.86900999999999995</v>
      </c>
      <c r="W28" s="258">
        <v>-0.87783</v>
      </c>
      <c r="X28" s="258">
        <v>0.13173699999999999</v>
      </c>
      <c r="Y28" s="258">
        <v>0.13065299999999999</v>
      </c>
      <c r="Z28" s="258">
        <v>-1.32734</v>
      </c>
      <c r="AA28" s="258">
        <v>1.2881999999999999E-2</v>
      </c>
      <c r="AB28" s="257"/>
    </row>
    <row r="29" spans="1:28">
      <c r="A29" s="17" t="s">
        <v>238</v>
      </c>
      <c r="B29" s="6" t="s">
        <v>197</v>
      </c>
      <c r="C29" t="s">
        <v>12</v>
      </c>
      <c r="D29" s="3">
        <v>2</v>
      </c>
      <c r="E29" s="38">
        <v>25.06</v>
      </c>
      <c r="F29" s="42">
        <f t="shared" si="2"/>
        <v>9.8195833333333322</v>
      </c>
      <c r="G29" s="6">
        <v>18.123999999999999</v>
      </c>
      <c r="O29" s="3">
        <f t="shared" si="6"/>
        <v>18.123999999999999</v>
      </c>
      <c r="Q29" s="24">
        <v>42671</v>
      </c>
      <c r="R29" s="24">
        <v>42690</v>
      </c>
      <c r="S29" s="69">
        <v>42596</v>
      </c>
      <c r="T29" s="44">
        <f>AVERAGEA(0.72,0.73)</f>
        <v>0.72499999999999998</v>
      </c>
      <c r="U29" s="3">
        <f t="shared" si="1"/>
        <v>0.45309999999999995</v>
      </c>
      <c r="V29" s="258">
        <v>-0.69611999999999996</v>
      </c>
      <c r="W29" s="258">
        <v>0.33830500000000002</v>
      </c>
      <c r="X29" s="258">
        <v>0.40508899999999998</v>
      </c>
      <c r="Y29" s="258">
        <v>0.83914699999999998</v>
      </c>
      <c r="Z29" s="258">
        <v>-0.39359</v>
      </c>
      <c r="AA29" s="258">
        <v>0.16642899999999999</v>
      </c>
      <c r="AB29" s="257"/>
    </row>
    <row r="30" spans="1:28">
      <c r="A30" s="17" t="s">
        <v>239</v>
      </c>
      <c r="B30" s="6" t="s">
        <v>197</v>
      </c>
      <c r="C30" t="s">
        <v>12</v>
      </c>
      <c r="D30" s="3">
        <v>3</v>
      </c>
      <c r="E30" s="38">
        <v>43.92</v>
      </c>
      <c r="F30" s="42">
        <f t="shared" si="2"/>
        <v>28.679583333333333</v>
      </c>
      <c r="G30">
        <v>3.7949999999999999</v>
      </c>
      <c r="L30">
        <v>3.125</v>
      </c>
      <c r="O30" s="3">
        <f t="shared" si="6"/>
        <v>6.92</v>
      </c>
      <c r="P30" t="s">
        <v>401</v>
      </c>
      <c r="Q30" s="24">
        <v>42671</v>
      </c>
      <c r="R30" s="24">
        <v>42690</v>
      </c>
      <c r="S30" s="69">
        <v>42596</v>
      </c>
      <c r="T30" s="44">
        <v>0.74</v>
      </c>
      <c r="U30" s="3">
        <f t="shared" si="1"/>
        <v>0.17299999999999999</v>
      </c>
      <c r="V30" s="258">
        <v>-2.0540699999999998</v>
      </c>
      <c r="W30" s="258">
        <v>0.589615</v>
      </c>
      <c r="X30" s="258">
        <v>5.0858E-2</v>
      </c>
      <c r="Y30" s="258">
        <v>-0.66081999999999996</v>
      </c>
      <c r="Z30" s="258">
        <v>0.80715300000000001</v>
      </c>
      <c r="AA30" s="258">
        <v>0.12268</v>
      </c>
      <c r="AB30" s="257"/>
    </row>
    <row r="31" spans="1:28">
      <c r="A31" s="17" t="s">
        <v>240</v>
      </c>
      <c r="B31" s="6" t="s">
        <v>197</v>
      </c>
      <c r="C31" t="s">
        <v>12</v>
      </c>
      <c r="D31" s="3">
        <v>4</v>
      </c>
      <c r="E31" s="38">
        <v>28.14</v>
      </c>
      <c r="F31" s="42">
        <f t="shared" si="2"/>
        <v>12.899583333333334</v>
      </c>
      <c r="G31">
        <v>3.6240000000000001</v>
      </c>
      <c r="H31">
        <v>6.6440000000000001</v>
      </c>
      <c r="L31">
        <v>1.9239999999999999</v>
      </c>
      <c r="O31" s="3">
        <f t="shared" si="6"/>
        <v>12.192</v>
      </c>
      <c r="P31" t="s">
        <v>563</v>
      </c>
      <c r="Q31" s="24">
        <v>42671</v>
      </c>
      <c r="R31" s="24">
        <v>42691</v>
      </c>
      <c r="S31" s="69">
        <v>42596</v>
      </c>
      <c r="T31" s="44">
        <v>0.75</v>
      </c>
      <c r="U31" s="3">
        <f t="shared" si="1"/>
        <v>0.30480000000000002</v>
      </c>
      <c r="V31" s="258">
        <v>-1.8306800000000001</v>
      </c>
      <c r="W31" s="258">
        <v>-2.8863300000000001</v>
      </c>
      <c r="X31" s="258">
        <v>-0.63075999999999999</v>
      </c>
      <c r="Y31" s="258">
        <v>-2.2905600000000002</v>
      </c>
      <c r="Z31" s="258">
        <v>-2.13836</v>
      </c>
      <c r="AA31" s="258">
        <v>8.5212999999999997E-2</v>
      </c>
      <c r="AB31" s="257"/>
    </row>
    <row r="32" spans="1:28">
      <c r="A32" s="17" t="s">
        <v>241</v>
      </c>
      <c r="B32" s="6" t="s">
        <v>197</v>
      </c>
      <c r="C32" t="s">
        <v>12</v>
      </c>
      <c r="D32" s="3">
        <v>5</v>
      </c>
      <c r="E32" s="38">
        <v>23.22</v>
      </c>
      <c r="F32" s="42">
        <f t="shared" si="2"/>
        <v>7.9795833333333324</v>
      </c>
      <c r="G32">
        <v>18.805</v>
      </c>
      <c r="L32">
        <v>3.343</v>
      </c>
      <c r="O32" s="3">
        <f t="shared" si="6"/>
        <v>22.148</v>
      </c>
      <c r="Q32" s="24">
        <v>42671</v>
      </c>
      <c r="R32" s="24">
        <v>42691</v>
      </c>
      <c r="S32" s="69">
        <v>42596</v>
      </c>
      <c r="T32" s="44">
        <v>0.63</v>
      </c>
      <c r="U32" s="3">
        <f t="shared" si="1"/>
        <v>0.55370000000000008</v>
      </c>
      <c r="V32" s="258">
        <v>-1.9597800000000001</v>
      </c>
      <c r="W32" s="258">
        <v>0.59564700000000004</v>
      </c>
      <c r="X32" s="258">
        <v>-4.0960000000000003E-2</v>
      </c>
      <c r="Y32" s="258">
        <v>-1.0354099999999999</v>
      </c>
      <c r="Z32" s="258">
        <v>1.0057400000000001</v>
      </c>
      <c r="AA32" s="258">
        <v>0.51998900000000003</v>
      </c>
      <c r="AB32" s="257"/>
    </row>
    <row r="33" spans="1:28">
      <c r="A33" s="17" t="s">
        <v>242</v>
      </c>
      <c r="B33" s="6" t="s">
        <v>197</v>
      </c>
      <c r="C33" t="s">
        <v>12</v>
      </c>
      <c r="D33" s="3">
        <v>6</v>
      </c>
      <c r="E33" s="38">
        <v>29.04</v>
      </c>
      <c r="F33" s="42">
        <f t="shared" si="2"/>
        <v>13.799583333333333</v>
      </c>
      <c r="G33">
        <v>39.494999999999997</v>
      </c>
      <c r="L33">
        <v>2.0550000000000002</v>
      </c>
      <c r="O33" s="3">
        <f t="shared" si="6"/>
        <v>41.55</v>
      </c>
      <c r="Q33" s="24">
        <v>42671</v>
      </c>
      <c r="R33" s="24">
        <v>42691</v>
      </c>
      <c r="S33" s="69">
        <v>42596</v>
      </c>
      <c r="T33" s="44">
        <v>0.71</v>
      </c>
      <c r="U33" s="3">
        <f t="shared" si="1"/>
        <v>1.0387500000000001</v>
      </c>
      <c r="V33" s="258">
        <v>-1.5072000000000001</v>
      </c>
      <c r="W33" s="258">
        <v>0.53085800000000005</v>
      </c>
      <c r="X33" s="258">
        <v>-1.6930000000000001E-2</v>
      </c>
      <c r="Y33" s="258">
        <v>-0.92220000000000002</v>
      </c>
      <c r="Z33" s="258">
        <v>0.83331299999999997</v>
      </c>
      <c r="AA33" s="258">
        <v>0.853043</v>
      </c>
      <c r="AB33" s="257"/>
    </row>
    <row r="34" spans="1:28">
      <c r="A34" s="17" t="s">
        <v>243</v>
      </c>
      <c r="B34" s="6" t="s">
        <v>197</v>
      </c>
      <c r="C34" t="s">
        <v>13</v>
      </c>
      <c r="D34" s="3">
        <v>1</v>
      </c>
      <c r="E34" s="38">
        <v>27.19</v>
      </c>
      <c r="F34" s="42">
        <f t="shared" si="2"/>
        <v>11.949583333333335</v>
      </c>
      <c r="J34">
        <v>3.0059999999999998</v>
      </c>
      <c r="K34">
        <v>2.2370000000000001</v>
      </c>
      <c r="O34" s="3">
        <f t="shared" si="6"/>
        <v>5.2430000000000003</v>
      </c>
      <c r="Q34" s="24">
        <v>42671</v>
      </c>
      <c r="R34" s="24">
        <v>42690</v>
      </c>
      <c r="T34" s="44">
        <v>0.6</v>
      </c>
      <c r="U34" s="3">
        <f t="shared" si="1"/>
        <v>0.13107500000000002</v>
      </c>
      <c r="V34" s="258">
        <v>1.9472499999999999</v>
      </c>
      <c r="W34" s="258">
        <v>1.2103699999999999</v>
      </c>
      <c r="X34" s="258">
        <v>-0.99270999999999998</v>
      </c>
      <c r="Y34" s="258">
        <v>-0.57830999999999999</v>
      </c>
      <c r="Z34" s="258">
        <v>-0.55630000000000002</v>
      </c>
      <c r="AA34" s="258">
        <v>-0.20241999999999999</v>
      </c>
      <c r="AB34" s="257"/>
    </row>
    <row r="35" spans="1:28">
      <c r="A35" s="17" t="s">
        <v>244</v>
      </c>
      <c r="B35" s="6" t="s">
        <v>197</v>
      </c>
      <c r="C35" t="s">
        <v>13</v>
      </c>
      <c r="D35" s="3">
        <v>2</v>
      </c>
      <c r="E35" s="38">
        <v>34.78</v>
      </c>
      <c r="F35" s="42">
        <f t="shared" si="2"/>
        <v>19.539583333333333</v>
      </c>
      <c r="J35">
        <v>0.53300000000000003</v>
      </c>
      <c r="K35">
        <v>4.819</v>
      </c>
      <c r="O35" s="3">
        <f t="shared" si="6"/>
        <v>5.3520000000000003</v>
      </c>
      <c r="Q35" s="24">
        <v>42671</v>
      </c>
      <c r="R35" s="24">
        <v>42690</v>
      </c>
      <c r="S35" s="69">
        <v>42596</v>
      </c>
      <c r="T35" s="44">
        <v>0.57999999999999996</v>
      </c>
      <c r="U35" s="3">
        <f t="shared" si="1"/>
        <v>0.1338</v>
      </c>
      <c r="V35" s="258">
        <v>1.3227800000000001</v>
      </c>
      <c r="W35" s="258">
        <v>1.0064500000000001</v>
      </c>
      <c r="X35" s="258">
        <v>-1.87642</v>
      </c>
      <c r="Y35" s="258">
        <v>0.13807700000000001</v>
      </c>
      <c r="Z35" s="258">
        <v>-0.56284000000000001</v>
      </c>
      <c r="AA35" s="258">
        <v>0.423344</v>
      </c>
      <c r="AB35" s="257"/>
    </row>
    <row r="36" spans="1:28">
      <c r="A36" s="17" t="s">
        <v>245</v>
      </c>
      <c r="B36" s="6" t="s">
        <v>197</v>
      </c>
      <c r="C36" t="s">
        <v>13</v>
      </c>
      <c r="D36" s="3">
        <v>3</v>
      </c>
      <c r="E36" s="38">
        <v>26.05</v>
      </c>
      <c r="F36" s="42">
        <f t="shared" si="2"/>
        <v>10.809583333333334</v>
      </c>
      <c r="I36">
        <v>11.541</v>
      </c>
      <c r="J36">
        <v>0.36699999999999999</v>
      </c>
      <c r="O36" s="3">
        <f t="shared" si="6"/>
        <v>11.908000000000001</v>
      </c>
      <c r="Q36" s="24">
        <v>42671</v>
      </c>
      <c r="R36" s="24">
        <v>42690</v>
      </c>
      <c r="S36" s="25">
        <v>42598</v>
      </c>
      <c r="T36" s="44">
        <v>0.76</v>
      </c>
      <c r="U36" s="3">
        <f t="shared" si="1"/>
        <v>0.29770000000000002</v>
      </c>
      <c r="V36" s="258">
        <v>2.9364599999999998</v>
      </c>
      <c r="W36" s="258">
        <v>1.2544599999999999</v>
      </c>
      <c r="X36" s="258">
        <v>1.9038200000000001</v>
      </c>
      <c r="Y36" s="258">
        <v>-2.1187399999999998</v>
      </c>
      <c r="Z36" s="258">
        <v>-0.55373000000000006</v>
      </c>
      <c r="AA36" s="258">
        <v>-1.2220899999999999</v>
      </c>
      <c r="AB36" s="257"/>
    </row>
    <row r="37" spans="1:28">
      <c r="A37" s="17" t="s">
        <v>246</v>
      </c>
      <c r="B37" s="6" t="s">
        <v>197</v>
      </c>
      <c r="C37" t="s">
        <v>13</v>
      </c>
      <c r="D37" s="3">
        <v>4</v>
      </c>
      <c r="E37" s="38">
        <v>42.47</v>
      </c>
      <c r="F37" s="42">
        <f t="shared" si="2"/>
        <v>27.229583333333331</v>
      </c>
      <c r="G37">
        <v>1.2E-2</v>
      </c>
      <c r="I37">
        <v>2.867</v>
      </c>
      <c r="K37">
        <v>4.2309999999999999</v>
      </c>
      <c r="O37" s="3">
        <f t="shared" si="6"/>
        <v>7.1099999999999994</v>
      </c>
      <c r="Q37" s="24">
        <v>42671</v>
      </c>
      <c r="R37" s="24">
        <v>42691</v>
      </c>
      <c r="S37" s="25">
        <v>42598</v>
      </c>
      <c r="T37" s="44">
        <v>0.74</v>
      </c>
      <c r="U37" s="3">
        <f t="shared" si="1"/>
        <v>0.17774999999999999</v>
      </c>
      <c r="V37" s="258">
        <v>1.60334</v>
      </c>
      <c r="W37" s="258">
        <v>0.95290699999999995</v>
      </c>
      <c r="X37" s="258">
        <v>-0.34106999999999998</v>
      </c>
      <c r="Y37" s="258">
        <v>-0.43808000000000002</v>
      </c>
      <c r="Z37" s="258">
        <v>-0.51134000000000002</v>
      </c>
      <c r="AA37" s="258">
        <v>0.14343600000000001</v>
      </c>
      <c r="AB37" s="257"/>
    </row>
    <row r="38" spans="1:28">
      <c r="A38" s="17" t="s">
        <v>247</v>
      </c>
      <c r="B38" s="6" t="s">
        <v>197</v>
      </c>
      <c r="C38" t="s">
        <v>13</v>
      </c>
      <c r="D38" s="3">
        <v>5</v>
      </c>
      <c r="E38" s="38">
        <v>50.22</v>
      </c>
      <c r="F38" s="42">
        <f t="shared" si="2"/>
        <v>34.979583333333331</v>
      </c>
      <c r="I38">
        <v>0.81599999999999995</v>
      </c>
      <c r="J38">
        <v>0.23400000000000001</v>
      </c>
      <c r="K38">
        <v>2.645</v>
      </c>
      <c r="M38">
        <v>0.36699999999999999</v>
      </c>
      <c r="O38" s="3">
        <f t="shared" si="6"/>
        <v>3.6950000000000003</v>
      </c>
      <c r="Q38" s="24">
        <v>42671</v>
      </c>
      <c r="R38" s="24">
        <v>42690</v>
      </c>
      <c r="S38" s="25">
        <v>42598</v>
      </c>
      <c r="T38" s="44">
        <v>0.66</v>
      </c>
      <c r="U38" s="3">
        <f t="shared" si="1"/>
        <v>9.2374999999999999E-2</v>
      </c>
      <c r="V38" s="258">
        <v>1.4277</v>
      </c>
      <c r="W38" s="258">
        <v>0.86698200000000003</v>
      </c>
      <c r="X38" s="258">
        <v>-0.36559000000000003</v>
      </c>
      <c r="Y38" s="258">
        <v>-0.28664000000000001</v>
      </c>
      <c r="Z38" s="258">
        <v>-0.50361999999999996</v>
      </c>
      <c r="AA38" s="258">
        <v>0.31968200000000002</v>
      </c>
      <c r="AB38" s="257"/>
    </row>
    <row r="39" spans="1:28" s="4" customFormat="1">
      <c r="A39" s="16" t="s">
        <v>248</v>
      </c>
      <c r="B39" s="7" t="s">
        <v>197</v>
      </c>
      <c r="C39" s="4" t="s">
        <v>13</v>
      </c>
      <c r="D39" s="5">
        <v>6</v>
      </c>
      <c r="E39" s="37">
        <v>64.17</v>
      </c>
      <c r="F39" s="43">
        <f t="shared" si="2"/>
        <v>48.929583333333333</v>
      </c>
      <c r="I39" s="4">
        <v>3.1480000000000001</v>
      </c>
      <c r="J39" s="4">
        <v>0.34200000000000003</v>
      </c>
      <c r="K39" s="4">
        <v>4.78</v>
      </c>
      <c r="M39" s="4">
        <v>4.2000000000000003E-2</v>
      </c>
      <c r="N39" s="5"/>
      <c r="O39" s="3">
        <f t="shared" si="6"/>
        <v>8.27</v>
      </c>
      <c r="P39" s="66"/>
      <c r="Q39" s="48">
        <v>42671</v>
      </c>
      <c r="R39" s="48">
        <v>42691</v>
      </c>
      <c r="S39" s="27">
        <v>42598</v>
      </c>
      <c r="T39" s="44">
        <v>0.73</v>
      </c>
      <c r="U39" s="3">
        <f t="shared" si="1"/>
        <v>0.20674999999999999</v>
      </c>
      <c r="V39" s="258">
        <v>1.85968</v>
      </c>
      <c r="W39" s="258">
        <v>1.11538</v>
      </c>
      <c r="X39" s="258">
        <v>-0.59591000000000005</v>
      </c>
      <c r="Y39" s="258">
        <v>-0.59419</v>
      </c>
      <c r="Z39" s="258">
        <v>-0.53500000000000003</v>
      </c>
      <c r="AA39" s="258">
        <v>-0.11411</v>
      </c>
      <c r="AB39" s="257"/>
    </row>
    <row r="40" spans="1:28">
      <c r="A40" s="17" t="s">
        <v>249</v>
      </c>
      <c r="B40" s="6" t="s">
        <v>198</v>
      </c>
      <c r="C40" t="s">
        <v>12</v>
      </c>
      <c r="D40" s="3">
        <v>1</v>
      </c>
      <c r="E40" s="44">
        <v>25.81</v>
      </c>
      <c r="F40" s="42">
        <f t="shared" si="2"/>
        <v>10.569583333333332</v>
      </c>
      <c r="G40">
        <v>7.2489999999999997</v>
      </c>
      <c r="H40">
        <v>0.55600000000000005</v>
      </c>
      <c r="L40">
        <v>0.58399999999999996</v>
      </c>
      <c r="O40" s="3">
        <f t="shared" si="6"/>
        <v>8.3889999999999993</v>
      </c>
      <c r="Q40" s="24">
        <v>42671</v>
      </c>
      <c r="R40" s="26">
        <v>42687</v>
      </c>
      <c r="S40" s="11"/>
      <c r="T40" s="77">
        <v>0.7</v>
      </c>
      <c r="U40" s="3">
        <f t="shared" si="1"/>
        <v>0.20972499999999999</v>
      </c>
      <c r="V40" s="258">
        <v>-1.34775</v>
      </c>
      <c r="W40" s="258">
        <v>-0.11285000000000001</v>
      </c>
      <c r="X40" s="258">
        <v>0.108379</v>
      </c>
      <c r="Y40" s="258">
        <v>-0.20741000000000001</v>
      </c>
      <c r="Z40" s="258">
        <v>-0.26713999999999999</v>
      </c>
      <c r="AA40" s="258">
        <v>0.14954799999999999</v>
      </c>
      <c r="AB40" s="257"/>
    </row>
    <row r="41" spans="1:28">
      <c r="A41" s="17" t="s">
        <v>250</v>
      </c>
      <c r="B41" s="6" t="s">
        <v>198</v>
      </c>
      <c r="C41" t="s">
        <v>12</v>
      </c>
      <c r="D41" s="3">
        <v>2</v>
      </c>
      <c r="E41" s="44">
        <v>22.32</v>
      </c>
      <c r="F41" s="42">
        <f t="shared" si="2"/>
        <v>7.0795833333333338</v>
      </c>
      <c r="G41">
        <v>5.6920000000000002</v>
      </c>
      <c r="L41">
        <v>0.43099999999999999</v>
      </c>
      <c r="O41" s="3">
        <f t="shared" si="6"/>
        <v>6.1230000000000002</v>
      </c>
      <c r="Q41" s="24">
        <v>42671</v>
      </c>
      <c r="R41" s="24">
        <v>42689</v>
      </c>
      <c r="S41" s="25">
        <v>42601</v>
      </c>
      <c r="T41" s="38">
        <v>0.53</v>
      </c>
      <c r="U41" s="3">
        <f t="shared" si="1"/>
        <v>0.15307500000000002</v>
      </c>
      <c r="V41" s="258">
        <v>-1.3509100000000001</v>
      </c>
      <c r="W41" s="258">
        <v>0.25770300000000002</v>
      </c>
      <c r="X41" s="258">
        <v>0.247558</v>
      </c>
      <c r="Y41" s="258">
        <v>0.235267</v>
      </c>
      <c r="Z41" s="258">
        <v>-9.8989999999999995E-2</v>
      </c>
      <c r="AA41" s="258">
        <v>-4.1320000000000003E-2</v>
      </c>
      <c r="AB41" s="257"/>
    </row>
    <row r="42" spans="1:28">
      <c r="A42" s="17" t="s">
        <v>251</v>
      </c>
      <c r="B42" s="6" t="s">
        <v>198</v>
      </c>
      <c r="C42" t="s">
        <v>12</v>
      </c>
      <c r="D42" s="3">
        <v>3</v>
      </c>
      <c r="E42" s="44">
        <v>34.21</v>
      </c>
      <c r="F42" s="42">
        <f t="shared" si="2"/>
        <v>18.969583333333333</v>
      </c>
      <c r="G42">
        <v>10.537000000000001</v>
      </c>
      <c r="J42">
        <v>4.1260000000000003</v>
      </c>
      <c r="L42">
        <v>0.13100000000000001</v>
      </c>
      <c r="O42" s="3">
        <f t="shared" si="6"/>
        <v>14.794</v>
      </c>
      <c r="Q42" s="24">
        <v>42671</v>
      </c>
      <c r="R42" s="24">
        <v>42689</v>
      </c>
      <c r="S42" s="25">
        <v>42601</v>
      </c>
      <c r="T42" s="38">
        <v>0.68</v>
      </c>
      <c r="U42" s="3">
        <f t="shared" si="1"/>
        <v>0.36985000000000001</v>
      </c>
      <c r="V42" s="258">
        <v>-0.33739000000000002</v>
      </c>
      <c r="W42" s="258">
        <v>0.70311400000000002</v>
      </c>
      <c r="X42" s="258">
        <v>-0.5917</v>
      </c>
      <c r="Y42" s="258">
        <v>0.58122799999999997</v>
      </c>
      <c r="Z42" s="258">
        <v>-0.37458000000000002</v>
      </c>
      <c r="AA42" s="258">
        <v>-0.27085999999999999</v>
      </c>
      <c r="AB42" s="257"/>
    </row>
    <row r="43" spans="1:28">
      <c r="A43" s="17" t="s">
        <v>252</v>
      </c>
      <c r="B43" s="6" t="s">
        <v>198</v>
      </c>
      <c r="C43" t="s">
        <v>12</v>
      </c>
      <c r="D43" s="3">
        <v>4</v>
      </c>
      <c r="E43" s="44">
        <v>25.57</v>
      </c>
      <c r="F43" s="42">
        <f t="shared" si="2"/>
        <v>10.329583333333334</v>
      </c>
      <c r="G43">
        <v>7.8890000000000002</v>
      </c>
      <c r="L43">
        <v>1.177</v>
      </c>
      <c r="O43" s="3">
        <f t="shared" si="6"/>
        <v>9.0660000000000007</v>
      </c>
      <c r="Q43" s="24">
        <v>42671</v>
      </c>
      <c r="R43" s="24">
        <v>42689</v>
      </c>
      <c r="T43" s="38">
        <v>0.71</v>
      </c>
      <c r="U43" s="3">
        <f t="shared" si="1"/>
        <v>0.22665000000000002</v>
      </c>
      <c r="V43" s="258">
        <v>-2.2039900000000001</v>
      </c>
      <c r="W43" s="258">
        <v>0.51492899999999997</v>
      </c>
      <c r="X43" s="258">
        <v>2.6022E-2</v>
      </c>
      <c r="Y43" s="258">
        <v>-0.73533000000000004</v>
      </c>
      <c r="Z43" s="258">
        <v>0.77903699999999998</v>
      </c>
      <c r="AA43" s="258">
        <v>-1.33E-3</v>
      </c>
      <c r="AB43" s="257"/>
    </row>
    <row r="44" spans="1:28">
      <c r="A44" s="17" t="s">
        <v>253</v>
      </c>
      <c r="B44" s="6" t="s">
        <v>198</v>
      </c>
      <c r="C44" t="s">
        <v>12</v>
      </c>
      <c r="D44" s="3">
        <v>5</v>
      </c>
      <c r="E44" s="44">
        <v>36.58</v>
      </c>
      <c r="F44" s="42">
        <f t="shared" si="2"/>
        <v>21.33958333333333</v>
      </c>
      <c r="G44">
        <v>18.353999999999999</v>
      </c>
      <c r="L44">
        <v>1.8149999999999999</v>
      </c>
      <c r="O44" s="3">
        <f t="shared" si="6"/>
        <v>20.169</v>
      </c>
      <c r="Q44" s="24">
        <v>42671</v>
      </c>
      <c r="R44" s="24">
        <v>42689</v>
      </c>
      <c r="S44" s="25">
        <v>42601</v>
      </c>
      <c r="T44" s="38">
        <v>0.76</v>
      </c>
      <c r="U44" s="3">
        <f t="shared" si="1"/>
        <v>0.50422500000000003</v>
      </c>
      <c r="V44" s="258">
        <v>-2.14093</v>
      </c>
      <c r="W44" s="258">
        <v>0.26392399999999999</v>
      </c>
      <c r="X44" s="258">
        <v>0.340781</v>
      </c>
      <c r="Y44" s="258">
        <v>0.69570399999999999</v>
      </c>
      <c r="Z44" s="258">
        <v>0.17544599999999999</v>
      </c>
      <c r="AA44" s="258">
        <v>-1.22027</v>
      </c>
      <c r="AB44" s="257"/>
    </row>
    <row r="45" spans="1:28">
      <c r="A45" s="17" t="s">
        <v>254</v>
      </c>
      <c r="B45" s="6" t="s">
        <v>198</v>
      </c>
      <c r="C45" t="s">
        <v>12</v>
      </c>
      <c r="D45" s="3">
        <v>6</v>
      </c>
      <c r="E45" s="44">
        <v>23.93</v>
      </c>
      <c r="F45" s="42">
        <f t="shared" si="2"/>
        <v>8.6895833333333332</v>
      </c>
      <c r="G45">
        <v>4.3029999999999999</v>
      </c>
      <c r="J45">
        <v>2.0209999999999999</v>
      </c>
      <c r="L45">
        <v>7.8E-2</v>
      </c>
      <c r="O45" s="3">
        <f t="shared" si="6"/>
        <v>6.4020000000000001</v>
      </c>
      <c r="Q45" s="24">
        <v>42671</v>
      </c>
      <c r="R45" s="24">
        <v>42689</v>
      </c>
      <c r="T45" s="38">
        <v>0.67</v>
      </c>
      <c r="U45" s="3">
        <f t="shared" si="1"/>
        <v>0.16005</v>
      </c>
      <c r="V45" s="258">
        <v>-0.86963999999999997</v>
      </c>
      <c r="W45" s="258">
        <v>0.53362799999999999</v>
      </c>
      <c r="X45" s="258">
        <v>-0.51995999999999998</v>
      </c>
      <c r="Y45" s="258">
        <v>0.44535400000000003</v>
      </c>
      <c r="Z45" s="258">
        <v>-0.37812000000000001</v>
      </c>
      <c r="AA45" s="258">
        <v>-0.62517</v>
      </c>
      <c r="AB45" s="257"/>
    </row>
    <row r="46" spans="1:28">
      <c r="A46" s="17" t="s">
        <v>255</v>
      </c>
      <c r="B46" s="6" t="s">
        <v>198</v>
      </c>
      <c r="C46" t="s">
        <v>13</v>
      </c>
      <c r="D46" s="3">
        <v>1</v>
      </c>
      <c r="E46" s="44">
        <v>31.45</v>
      </c>
      <c r="F46" s="42">
        <f t="shared" si="2"/>
        <v>16.209583333333335</v>
      </c>
      <c r="I46">
        <v>8.3130000000000006</v>
      </c>
      <c r="M46">
        <v>0.45600000000000002</v>
      </c>
      <c r="O46" s="3">
        <f t="shared" si="6"/>
        <v>8.3130000000000006</v>
      </c>
      <c r="Q46" s="24">
        <v>42671</v>
      </c>
      <c r="R46" s="68">
        <v>42685</v>
      </c>
      <c r="T46" s="44">
        <v>0.56000000000000005</v>
      </c>
      <c r="U46" s="3">
        <f t="shared" si="1"/>
        <v>0.20782500000000001</v>
      </c>
      <c r="V46" s="258">
        <v>1.7971299999999999</v>
      </c>
      <c r="W46" s="258">
        <v>-1.7770000000000001E-2</v>
      </c>
      <c r="X46" s="258">
        <v>1.6649499999999999</v>
      </c>
      <c r="Y46" s="258">
        <v>-0.61112</v>
      </c>
      <c r="Z46" s="258">
        <v>0.28199099999999999</v>
      </c>
      <c r="AA46" s="258">
        <v>1.6095999999999999E-2</v>
      </c>
      <c r="AB46" s="257"/>
    </row>
    <row r="47" spans="1:28">
      <c r="A47" s="17" t="s">
        <v>256</v>
      </c>
      <c r="B47" s="6" t="s">
        <v>198</v>
      </c>
      <c r="C47" t="s">
        <v>13</v>
      </c>
      <c r="D47" s="3">
        <v>2</v>
      </c>
      <c r="E47" s="44">
        <v>20.9</v>
      </c>
      <c r="F47" s="42">
        <f t="shared" si="2"/>
        <v>5.6595833333333321</v>
      </c>
      <c r="I47">
        <v>2.0870000000000002</v>
      </c>
      <c r="M47">
        <v>0.64300000000000002</v>
      </c>
      <c r="O47" s="3">
        <f t="shared" si="6"/>
        <v>2.0870000000000002</v>
      </c>
      <c r="Q47" s="24">
        <v>42671</v>
      </c>
      <c r="R47" s="68">
        <v>42685</v>
      </c>
      <c r="T47" s="44">
        <v>0.34</v>
      </c>
      <c r="U47" s="3">
        <f t="shared" si="1"/>
        <v>5.2175000000000006E-2</v>
      </c>
      <c r="V47" s="258">
        <v>1.2559899999999999</v>
      </c>
      <c r="W47" s="258">
        <v>-0.20838999999999999</v>
      </c>
      <c r="X47" s="258">
        <v>1.0081500000000001</v>
      </c>
      <c r="Y47" s="258">
        <v>-1.4670000000000001E-2</v>
      </c>
      <c r="Z47" s="258">
        <v>0.28097</v>
      </c>
      <c r="AA47" s="258">
        <v>0.558477</v>
      </c>
      <c r="AB47" s="257"/>
    </row>
    <row r="48" spans="1:28">
      <c r="A48" s="17" t="s">
        <v>257</v>
      </c>
      <c r="B48" s="6" t="s">
        <v>198</v>
      </c>
      <c r="C48" t="s">
        <v>13</v>
      </c>
      <c r="D48" s="3">
        <v>3</v>
      </c>
      <c r="E48" s="44">
        <v>24.84</v>
      </c>
      <c r="F48" s="42">
        <f t="shared" si="2"/>
        <v>9.5995833333333334</v>
      </c>
      <c r="G48">
        <v>2.7E-2</v>
      </c>
      <c r="I48">
        <v>4.2279999999999998</v>
      </c>
      <c r="M48">
        <v>0.57399999999999995</v>
      </c>
      <c r="O48" s="3">
        <f t="shared" si="6"/>
        <v>4.2549999999999999</v>
      </c>
      <c r="Q48" s="24">
        <v>42671</v>
      </c>
      <c r="R48" s="68">
        <v>42685</v>
      </c>
      <c r="T48" s="44">
        <v>0.45</v>
      </c>
      <c r="U48" s="3">
        <f t="shared" si="1"/>
        <v>0.106375</v>
      </c>
      <c r="V48" s="258">
        <v>2.21306</v>
      </c>
      <c r="W48" s="258">
        <v>-0.83296000000000003</v>
      </c>
      <c r="X48" s="258">
        <v>1.6537500000000001</v>
      </c>
      <c r="Y48" s="258">
        <v>-0.40645999999999999</v>
      </c>
      <c r="Z48" s="258">
        <v>1.1823399999999999</v>
      </c>
      <c r="AA48" s="258">
        <v>-0.38128000000000001</v>
      </c>
      <c r="AB48" s="257"/>
    </row>
    <row r="49" spans="1:28">
      <c r="A49" s="17" t="s">
        <v>258</v>
      </c>
      <c r="B49" s="6" t="s">
        <v>198</v>
      </c>
      <c r="C49" t="s">
        <v>13</v>
      </c>
      <c r="D49" s="3">
        <v>4</v>
      </c>
      <c r="E49" s="44">
        <v>24.65</v>
      </c>
      <c r="F49" s="42">
        <f t="shared" si="2"/>
        <v>9.4095833333333321</v>
      </c>
      <c r="I49">
        <v>2.4049999999999998</v>
      </c>
      <c r="J49">
        <v>0.26300000000000001</v>
      </c>
      <c r="K49">
        <v>2.2149999999999999</v>
      </c>
      <c r="M49">
        <v>0.222</v>
      </c>
      <c r="O49" s="3">
        <f t="shared" si="6"/>
        <v>4.8829999999999991</v>
      </c>
      <c r="Q49" s="24">
        <v>42671</v>
      </c>
      <c r="R49" s="68">
        <v>42685</v>
      </c>
      <c r="S49" s="25">
        <v>42600</v>
      </c>
      <c r="T49" s="44">
        <v>0.68</v>
      </c>
      <c r="U49" s="3">
        <f t="shared" si="1"/>
        <v>0.12207499999999998</v>
      </c>
      <c r="V49" s="258">
        <v>1.72454</v>
      </c>
      <c r="W49" s="258">
        <v>0.65458799999999995</v>
      </c>
      <c r="X49" s="258">
        <v>-0.25256000000000001</v>
      </c>
      <c r="Y49" s="258">
        <v>-0.37164999999999998</v>
      </c>
      <c r="Z49" s="258">
        <v>-0.20615</v>
      </c>
      <c r="AA49" s="258">
        <v>4.9741E-2</v>
      </c>
      <c r="AB49" s="257"/>
    </row>
    <row r="50" spans="1:28">
      <c r="A50" s="17" t="s">
        <v>259</v>
      </c>
      <c r="B50" s="6" t="s">
        <v>198</v>
      </c>
      <c r="C50" t="s">
        <v>13</v>
      </c>
      <c r="D50" s="3">
        <v>5</v>
      </c>
      <c r="E50" s="44">
        <v>33</v>
      </c>
      <c r="F50" s="42">
        <f t="shared" si="2"/>
        <v>17.759583333333332</v>
      </c>
      <c r="I50">
        <v>7.9690000000000003</v>
      </c>
      <c r="J50">
        <v>1.5580000000000001</v>
      </c>
      <c r="M50">
        <v>0.247</v>
      </c>
      <c r="O50" s="3">
        <f t="shared" si="6"/>
        <v>9.527000000000001</v>
      </c>
      <c r="Q50" s="24">
        <v>42671</v>
      </c>
      <c r="R50" s="68">
        <v>42685</v>
      </c>
      <c r="S50" s="25">
        <v>42600</v>
      </c>
      <c r="T50" s="44">
        <v>0.72</v>
      </c>
      <c r="U50" s="3">
        <f t="shared" si="1"/>
        <v>0.238175</v>
      </c>
      <c r="V50" s="258">
        <v>1.97584</v>
      </c>
      <c r="W50" s="258">
        <v>-0.23168</v>
      </c>
      <c r="X50" s="258">
        <v>1.32016</v>
      </c>
      <c r="Y50" s="258">
        <v>-0.49567</v>
      </c>
      <c r="Z50" s="258">
        <v>0.56582200000000005</v>
      </c>
      <c r="AA50" s="258">
        <v>-0.13578000000000001</v>
      </c>
      <c r="AB50" s="257"/>
    </row>
    <row r="51" spans="1:28" s="4" customFormat="1">
      <c r="A51" s="16" t="s">
        <v>260</v>
      </c>
      <c r="B51" s="7" t="s">
        <v>198</v>
      </c>
      <c r="C51" s="4" t="s">
        <v>13</v>
      </c>
      <c r="D51" s="5">
        <v>6</v>
      </c>
      <c r="E51" s="37">
        <v>37.119999999999997</v>
      </c>
      <c r="F51" s="43">
        <f t="shared" si="2"/>
        <v>21.879583333333329</v>
      </c>
      <c r="I51" s="4">
        <v>8.6479999999999997</v>
      </c>
      <c r="J51" s="4">
        <v>2.4089999999999998</v>
      </c>
      <c r="M51" s="4">
        <v>0.112</v>
      </c>
      <c r="N51" s="5"/>
      <c r="O51" s="3">
        <f t="shared" si="6"/>
        <v>11.056999999999999</v>
      </c>
      <c r="P51" s="66"/>
      <c r="Q51" s="48">
        <v>42671</v>
      </c>
      <c r="R51" s="48">
        <v>42687</v>
      </c>
      <c r="S51" s="27">
        <v>42600</v>
      </c>
      <c r="T51" s="44">
        <v>0.63</v>
      </c>
      <c r="U51" s="3">
        <f t="shared" si="1"/>
        <v>0.27642499999999998</v>
      </c>
      <c r="V51" s="258">
        <v>1.6404700000000001</v>
      </c>
      <c r="W51" s="258">
        <v>-8.5050000000000001E-2</v>
      </c>
      <c r="X51" s="258">
        <v>0.65871500000000005</v>
      </c>
      <c r="Y51" s="258">
        <v>-0.19381999999999999</v>
      </c>
      <c r="Z51" s="258">
        <v>0.34936200000000001</v>
      </c>
      <c r="AA51" s="258">
        <v>0.18151400000000001</v>
      </c>
      <c r="AB51" s="257"/>
    </row>
    <row r="52" spans="1:28">
      <c r="A52" s="17" t="s">
        <v>261</v>
      </c>
      <c r="B52" s="6" t="s">
        <v>548</v>
      </c>
      <c r="C52" t="s">
        <v>12</v>
      </c>
      <c r="D52" s="3">
        <v>1</v>
      </c>
      <c r="E52" s="44">
        <v>33.049999999999997</v>
      </c>
      <c r="F52" s="42">
        <f t="shared" si="2"/>
        <v>17.809583333333329</v>
      </c>
      <c r="G52">
        <v>16.291</v>
      </c>
      <c r="O52" s="3">
        <f t="shared" si="6"/>
        <v>16.291</v>
      </c>
      <c r="S52" s="25">
        <v>42604</v>
      </c>
      <c r="T52" s="77">
        <v>0.74</v>
      </c>
      <c r="U52" s="3">
        <f t="shared" si="1"/>
        <v>0.40727500000000005</v>
      </c>
      <c r="V52" s="258">
        <v>-0.75419000000000003</v>
      </c>
      <c r="W52" s="258">
        <v>0.24984100000000001</v>
      </c>
      <c r="X52" s="258">
        <v>0.38825199999999999</v>
      </c>
      <c r="Y52" s="258">
        <v>0.80045500000000003</v>
      </c>
      <c r="Z52" s="258">
        <v>-0.46427000000000002</v>
      </c>
      <c r="AA52" s="258">
        <v>9.9433999999999995E-2</v>
      </c>
      <c r="AB52" s="257"/>
    </row>
    <row r="53" spans="1:28">
      <c r="A53" s="17" t="s">
        <v>262</v>
      </c>
      <c r="B53" s="6" t="s">
        <v>548</v>
      </c>
      <c r="C53" t="s">
        <v>12</v>
      </c>
      <c r="D53" s="3">
        <v>2</v>
      </c>
      <c r="E53" s="44">
        <v>24.12</v>
      </c>
      <c r="F53" s="42">
        <f t="shared" si="2"/>
        <v>8.8795833333333345</v>
      </c>
      <c r="G53">
        <v>3.3260000000000001</v>
      </c>
      <c r="M53">
        <v>2.5619999999999998</v>
      </c>
      <c r="N53" s="3">
        <v>0.158</v>
      </c>
      <c r="O53" s="3">
        <f t="shared" si="6"/>
        <v>3.484</v>
      </c>
      <c r="S53" s="25">
        <v>42604</v>
      </c>
      <c r="T53" s="38">
        <v>0.54</v>
      </c>
      <c r="U53" s="3">
        <f t="shared" si="1"/>
        <v>8.7099999999999997E-2</v>
      </c>
      <c r="V53" s="258">
        <v>-0.38428000000000001</v>
      </c>
      <c r="W53" s="258">
        <v>-1.5453399999999999</v>
      </c>
      <c r="X53" s="258">
        <v>6.3419000000000003E-2</v>
      </c>
      <c r="Y53" s="258">
        <v>0.37118299999999999</v>
      </c>
      <c r="Z53" s="258">
        <v>-0.45928999999999998</v>
      </c>
      <c r="AA53" s="258">
        <v>-8.3690000000000001E-2</v>
      </c>
      <c r="AB53" s="257"/>
    </row>
    <row r="54" spans="1:28">
      <c r="A54" s="17" t="s">
        <v>263</v>
      </c>
      <c r="B54" s="6" t="s">
        <v>548</v>
      </c>
      <c r="C54" t="s">
        <v>12</v>
      </c>
      <c r="D54" s="3">
        <v>3</v>
      </c>
      <c r="E54" s="44">
        <v>28.83</v>
      </c>
      <c r="F54" s="42">
        <f t="shared" si="2"/>
        <v>13.589583333333332</v>
      </c>
      <c r="G54">
        <v>12.321</v>
      </c>
      <c r="H54">
        <v>0.22500000000000001</v>
      </c>
      <c r="O54" s="3">
        <f t="shared" si="6"/>
        <v>12.545999999999999</v>
      </c>
      <c r="S54" s="25">
        <v>42604</v>
      </c>
      <c r="T54" s="38">
        <v>0.67</v>
      </c>
      <c r="U54" s="3">
        <f t="shared" si="1"/>
        <v>0.31364999999999998</v>
      </c>
      <c r="V54" s="258">
        <v>-0.42601</v>
      </c>
      <c r="W54" s="258">
        <v>-4.6129999999999997E-2</v>
      </c>
      <c r="X54" s="258">
        <v>0.35719699999999999</v>
      </c>
      <c r="Y54" s="258">
        <v>0.92001699999999997</v>
      </c>
      <c r="Z54" s="258">
        <v>3.6350000000000002E-3</v>
      </c>
      <c r="AA54" s="258">
        <v>0.15463499999999999</v>
      </c>
      <c r="AB54" s="257"/>
    </row>
    <row r="55" spans="1:28">
      <c r="A55" s="17" t="s">
        <v>264</v>
      </c>
      <c r="B55" s="6" t="s">
        <v>548</v>
      </c>
      <c r="C55" t="s">
        <v>12</v>
      </c>
      <c r="D55" s="3">
        <v>4</v>
      </c>
      <c r="E55" s="44">
        <v>40.68</v>
      </c>
      <c r="F55" s="42">
        <f t="shared" si="2"/>
        <v>25.439583333333331</v>
      </c>
      <c r="G55">
        <v>24.306999999999999</v>
      </c>
      <c r="O55" s="3">
        <f t="shared" si="6"/>
        <v>24.306999999999999</v>
      </c>
      <c r="S55" s="25">
        <v>42604</v>
      </c>
      <c r="T55" s="38">
        <v>0.82</v>
      </c>
      <c r="U55" s="3">
        <f t="shared" si="1"/>
        <v>0.60767499999999997</v>
      </c>
      <c r="V55" s="258">
        <v>-0.89483999999999997</v>
      </c>
      <c r="W55" s="258">
        <v>0.36087200000000003</v>
      </c>
      <c r="X55" s="258">
        <v>0.42369099999999998</v>
      </c>
      <c r="Y55" s="258">
        <v>0.90932000000000002</v>
      </c>
      <c r="Z55" s="258">
        <v>-0.38849</v>
      </c>
      <c r="AA55" s="258">
        <v>-7.8530000000000003E-2</v>
      </c>
      <c r="AB55" s="257"/>
    </row>
    <row r="56" spans="1:28">
      <c r="A56" s="17" t="s">
        <v>265</v>
      </c>
      <c r="B56" s="6" t="s">
        <v>548</v>
      </c>
      <c r="C56" t="s">
        <v>12</v>
      </c>
      <c r="D56" s="3">
        <v>5</v>
      </c>
      <c r="E56" s="44">
        <v>43.16</v>
      </c>
      <c r="F56" s="42">
        <f t="shared" si="2"/>
        <v>27.919583333333328</v>
      </c>
      <c r="G56">
        <v>22.965</v>
      </c>
      <c r="H56">
        <v>1.0549999999999999</v>
      </c>
      <c r="O56" s="3">
        <f t="shared" si="6"/>
        <v>24.02</v>
      </c>
      <c r="R56" s="24">
        <v>42678</v>
      </c>
      <c r="S56" s="25">
        <v>42604</v>
      </c>
      <c r="T56" s="38">
        <v>0.68</v>
      </c>
      <c r="U56" s="3">
        <f t="shared" si="1"/>
        <v>0.60050000000000003</v>
      </c>
      <c r="V56" s="258">
        <v>-0.89610999999999996</v>
      </c>
      <c r="W56" s="258">
        <v>-0.77968999999999999</v>
      </c>
      <c r="X56" s="258">
        <v>0.15654499999999999</v>
      </c>
      <c r="Y56" s="258">
        <v>0.19941800000000001</v>
      </c>
      <c r="Z56" s="258">
        <v>-1.25448</v>
      </c>
      <c r="AA56" s="258">
        <v>-2.511E-2</v>
      </c>
      <c r="AB56" s="257"/>
    </row>
    <row r="57" spans="1:28">
      <c r="A57" s="17" t="s">
        <v>266</v>
      </c>
      <c r="B57" s="6" t="s">
        <v>548</v>
      </c>
      <c r="C57" t="s">
        <v>12</v>
      </c>
      <c r="D57" s="3">
        <v>6</v>
      </c>
      <c r="E57" s="44">
        <v>33.68</v>
      </c>
      <c r="F57" s="42">
        <f t="shared" si="2"/>
        <v>18.439583333333331</v>
      </c>
      <c r="G57">
        <v>16.082000000000001</v>
      </c>
      <c r="O57" s="3">
        <f t="shared" si="6"/>
        <v>16.082000000000001</v>
      </c>
      <c r="S57" s="25">
        <v>42604</v>
      </c>
      <c r="T57" s="38">
        <v>0.74</v>
      </c>
      <c r="U57" s="3">
        <f t="shared" si="1"/>
        <v>0.40205000000000002</v>
      </c>
      <c r="V57" s="258">
        <v>-1.2754799999999999</v>
      </c>
      <c r="W57" s="258">
        <v>-0.45143</v>
      </c>
      <c r="X57" s="258">
        <v>0.25887500000000002</v>
      </c>
      <c r="Y57" s="258">
        <v>0.51097599999999999</v>
      </c>
      <c r="Z57" s="258">
        <v>-1.02823</v>
      </c>
      <c r="AA57" s="258">
        <v>-0.50651999999999997</v>
      </c>
      <c r="AB57" s="257"/>
    </row>
    <row r="58" spans="1:28">
      <c r="A58" s="17" t="s">
        <v>267</v>
      </c>
      <c r="B58" s="6" t="s">
        <v>548</v>
      </c>
      <c r="C58" t="s">
        <v>13</v>
      </c>
      <c r="D58" s="3">
        <v>1</v>
      </c>
      <c r="G58">
        <v>0.29499999999999998</v>
      </c>
      <c r="I58">
        <v>10.629</v>
      </c>
      <c r="O58" s="3">
        <f t="shared" si="6"/>
        <v>10.923999999999999</v>
      </c>
      <c r="S58" s="25">
        <v>42604</v>
      </c>
      <c r="T58" s="44">
        <v>0.45</v>
      </c>
      <c r="U58" s="3">
        <f t="shared" si="1"/>
        <v>0.27309999999999995</v>
      </c>
      <c r="V58" s="258">
        <v>1.1318999999999999</v>
      </c>
      <c r="W58" s="258">
        <v>0.542049</v>
      </c>
      <c r="X58" s="258">
        <v>1.2176499999999999</v>
      </c>
      <c r="Y58" s="258">
        <v>-0.41397</v>
      </c>
      <c r="Z58" s="258">
        <v>-0.42251</v>
      </c>
      <c r="AA58" s="258">
        <v>0.52302999999999999</v>
      </c>
      <c r="AB58" s="257"/>
    </row>
    <row r="59" spans="1:28">
      <c r="A59" s="17" t="s">
        <v>268</v>
      </c>
      <c r="B59" s="6" t="s">
        <v>548</v>
      </c>
      <c r="C59" t="s">
        <v>13</v>
      </c>
      <c r="D59" s="3">
        <v>2</v>
      </c>
      <c r="G59">
        <v>1.4710000000000001</v>
      </c>
      <c r="H59">
        <v>6.8000000000000005E-2</v>
      </c>
      <c r="M59">
        <v>9.8000000000000004E-2</v>
      </c>
      <c r="O59" s="3">
        <f t="shared" si="6"/>
        <v>1.5390000000000001</v>
      </c>
      <c r="S59" s="25">
        <v>42604</v>
      </c>
      <c r="T59" s="44">
        <v>0.42</v>
      </c>
      <c r="U59" s="3">
        <f t="shared" si="1"/>
        <v>3.8475000000000002E-2</v>
      </c>
      <c r="V59" s="258">
        <v>0.44949699999999998</v>
      </c>
      <c r="W59" s="258">
        <v>-1.05643</v>
      </c>
      <c r="X59" s="258">
        <v>0.15224099999999999</v>
      </c>
      <c r="Y59" s="258">
        <v>0.63844299999999998</v>
      </c>
      <c r="Z59" s="258">
        <v>0.29872700000000002</v>
      </c>
      <c r="AA59" s="258">
        <v>0.73508099999999998</v>
      </c>
      <c r="AB59" s="257"/>
    </row>
    <row r="60" spans="1:28">
      <c r="A60" s="17" t="s">
        <v>269</v>
      </c>
      <c r="B60" s="6" t="s">
        <v>548</v>
      </c>
      <c r="C60" t="s">
        <v>13</v>
      </c>
      <c r="D60" s="3">
        <v>3</v>
      </c>
      <c r="I60">
        <v>7.1870000000000003</v>
      </c>
      <c r="N60" s="3">
        <v>8.3000000000000004E-2</v>
      </c>
      <c r="O60" s="3">
        <f t="shared" si="6"/>
        <v>7.2700000000000005</v>
      </c>
      <c r="S60" s="25">
        <v>42604</v>
      </c>
      <c r="T60" s="44">
        <v>0.61</v>
      </c>
      <c r="U60" s="3">
        <f t="shared" si="1"/>
        <v>0.18174999999999999</v>
      </c>
      <c r="V60" s="258">
        <v>1.42587</v>
      </c>
      <c r="W60" s="258">
        <v>-1.2999999999999999E-4</v>
      </c>
      <c r="X60" s="258">
        <v>0.96135999999999999</v>
      </c>
      <c r="Y60" s="258">
        <v>-0.2077</v>
      </c>
      <c r="Z60" s="258">
        <v>0.16800999999999999</v>
      </c>
      <c r="AA60" s="258">
        <v>0.37865700000000002</v>
      </c>
      <c r="AB60" s="257"/>
    </row>
    <row r="61" spans="1:28">
      <c r="A61" s="17" t="s">
        <v>270</v>
      </c>
      <c r="B61" s="6" t="s">
        <v>548</v>
      </c>
      <c r="C61" t="s">
        <v>13</v>
      </c>
      <c r="D61" s="3">
        <v>4</v>
      </c>
      <c r="I61">
        <v>6.274</v>
      </c>
      <c r="M61">
        <v>0.42399999999999999</v>
      </c>
      <c r="O61" s="3">
        <f t="shared" si="6"/>
        <v>6.274</v>
      </c>
      <c r="S61" s="25">
        <v>42604</v>
      </c>
      <c r="T61" s="44">
        <v>0.52</v>
      </c>
      <c r="U61" s="3">
        <f t="shared" si="1"/>
        <v>0.15684999999999999</v>
      </c>
      <c r="V61" s="258">
        <v>1.7101900000000001</v>
      </c>
      <c r="W61" s="258">
        <v>6.6539000000000001E-2</v>
      </c>
      <c r="X61" s="258">
        <v>1.6394299999999999</v>
      </c>
      <c r="Y61" s="258">
        <v>-0.60196000000000005</v>
      </c>
      <c r="Z61" s="258">
        <v>0.18235299999999999</v>
      </c>
      <c r="AA61" s="258">
        <v>6.2300000000000001E-2</v>
      </c>
    </row>
    <row r="62" spans="1:28">
      <c r="A62" s="17" t="s">
        <v>271</v>
      </c>
      <c r="B62" s="6" t="s">
        <v>548</v>
      </c>
      <c r="C62" t="s">
        <v>13</v>
      </c>
      <c r="D62" s="3">
        <v>5</v>
      </c>
      <c r="E62" s="44">
        <v>21.94</v>
      </c>
      <c r="F62" s="42">
        <f t="shared" si="2"/>
        <v>6.6995833333333348</v>
      </c>
      <c r="G62">
        <v>2.4489999999999998</v>
      </c>
      <c r="H62">
        <v>0.14099999999999999</v>
      </c>
      <c r="K62">
        <v>1.365</v>
      </c>
      <c r="M62">
        <v>0.56499999999999995</v>
      </c>
      <c r="O62" s="3">
        <f t="shared" si="6"/>
        <v>3.9550000000000001</v>
      </c>
      <c r="S62" s="25">
        <v>42604</v>
      </c>
      <c r="T62" s="44">
        <v>0.47</v>
      </c>
      <c r="U62" s="3">
        <f t="shared" si="1"/>
        <v>9.8875000000000005E-2</v>
      </c>
      <c r="V62" s="258">
        <v>0.62417500000000004</v>
      </c>
      <c r="W62" s="258">
        <v>-0.63883999999999996</v>
      </c>
      <c r="X62" s="258">
        <v>-0.67222000000000004</v>
      </c>
      <c r="Y62" s="258">
        <v>0.53731200000000001</v>
      </c>
      <c r="Z62" s="258">
        <v>0.14754100000000001</v>
      </c>
      <c r="AA62" s="258">
        <v>0.16866700000000001</v>
      </c>
      <c r="AB62" s="257"/>
    </row>
    <row r="63" spans="1:28" s="4" customFormat="1">
      <c r="A63" s="16" t="s">
        <v>272</v>
      </c>
      <c r="B63" s="7" t="s">
        <v>548</v>
      </c>
      <c r="C63" s="4" t="s">
        <v>13</v>
      </c>
      <c r="D63" s="5">
        <v>6</v>
      </c>
      <c r="E63" s="37">
        <v>26.13</v>
      </c>
      <c r="F63" s="43">
        <f t="shared" si="2"/>
        <v>10.889583333333333</v>
      </c>
      <c r="G63" s="4">
        <v>0.60799999999999998</v>
      </c>
      <c r="H63" s="4">
        <v>1.4999999999999999E-2</v>
      </c>
      <c r="I63" s="4">
        <v>5.7389999999999999</v>
      </c>
      <c r="K63" s="4">
        <v>2.7E-2</v>
      </c>
      <c r="M63" s="4">
        <v>0.46800000000000003</v>
      </c>
      <c r="N63" s="5"/>
      <c r="O63" s="3">
        <f t="shared" si="6"/>
        <v>6.3890000000000002</v>
      </c>
      <c r="P63" s="4" t="s">
        <v>394</v>
      </c>
      <c r="R63" s="48"/>
      <c r="S63" s="27">
        <v>42604</v>
      </c>
      <c r="T63" s="44">
        <v>0.55000000000000004</v>
      </c>
      <c r="U63" s="3">
        <f t="shared" si="1"/>
        <v>0.15972500000000001</v>
      </c>
      <c r="V63" s="258">
        <v>1.5535699999999999</v>
      </c>
      <c r="W63" s="258">
        <v>6.6317000000000001E-2</v>
      </c>
      <c r="X63" s="258">
        <v>1.5201199999999999</v>
      </c>
      <c r="Y63" s="258">
        <v>-0.60465000000000002</v>
      </c>
      <c r="Z63" s="258">
        <v>9.3340000000000003E-3</v>
      </c>
      <c r="AA63" s="258">
        <v>5.3068999999999998E-2</v>
      </c>
      <c r="AB63"/>
    </row>
  </sheetData>
  <pageMargins left="0.7" right="0.7" top="0.75" bottom="0.75" header="0.3" footer="0.3"/>
  <pageSetup paperSize="9" orientation="portrait" horizont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21"/>
  <sheetViews>
    <sheetView workbookViewId="0">
      <selection activeCell="G19" sqref="G19"/>
    </sheetView>
  </sheetViews>
  <sheetFormatPr baseColWidth="10" defaultColWidth="8.83203125" defaultRowHeight="16"/>
  <cols>
    <col min="1" max="1" width="14.83203125" customWidth="1"/>
    <col min="2" max="2" width="8.83203125" style="52" customWidth="1"/>
    <col min="3" max="3" width="12.6640625" style="31" customWidth="1"/>
    <col min="4" max="4" width="11.6640625" bestFit="1" customWidth="1"/>
    <col min="5" max="5" width="15.6640625" bestFit="1" customWidth="1"/>
    <col min="6" max="6" width="15.83203125" customWidth="1"/>
    <col min="7" max="7" width="10.33203125" style="31" customWidth="1"/>
    <col min="8" max="9" width="10.1640625" bestFit="1" customWidth="1"/>
    <col min="10" max="10" width="8.83203125" style="3"/>
  </cols>
  <sheetData>
    <row r="1" spans="1:14" ht="19">
      <c r="A1" s="19" t="s">
        <v>454</v>
      </c>
      <c r="K1" s="19" t="s">
        <v>551</v>
      </c>
    </row>
    <row r="2" spans="1:14">
      <c r="A2" t="s">
        <v>456</v>
      </c>
    </row>
    <row r="3" spans="1:14">
      <c r="A3" s="1" t="s">
        <v>458</v>
      </c>
      <c r="B3" s="60" t="s">
        <v>529</v>
      </c>
      <c r="C3" s="30" t="s">
        <v>457</v>
      </c>
      <c r="D3" s="1" t="s">
        <v>466</v>
      </c>
      <c r="E3" s="1" t="s">
        <v>465</v>
      </c>
      <c r="F3" s="1" t="s">
        <v>467</v>
      </c>
      <c r="G3" s="30" t="s">
        <v>530</v>
      </c>
      <c r="H3" s="1" t="s">
        <v>451</v>
      </c>
      <c r="I3" s="1" t="s">
        <v>452</v>
      </c>
      <c r="J3" s="2"/>
      <c r="K3" s="61" t="s">
        <v>552</v>
      </c>
      <c r="L3" s="61" t="s">
        <v>529</v>
      </c>
      <c r="M3" s="61" t="s">
        <v>559</v>
      </c>
      <c r="N3" s="61" t="s">
        <v>560</v>
      </c>
    </row>
    <row r="4" spans="1:14">
      <c r="A4" t="s">
        <v>458</v>
      </c>
      <c r="B4" s="52">
        <v>1</v>
      </c>
      <c r="C4" s="31">
        <f>3.506</f>
        <v>3.5059999999999998</v>
      </c>
      <c r="D4">
        <f>3.357</f>
        <v>3.3570000000000002</v>
      </c>
      <c r="E4">
        <f>3.424</f>
        <v>3.4239999999999999</v>
      </c>
      <c r="F4">
        <f>AVERAGE(D4:E4)</f>
        <v>3.3905000000000003</v>
      </c>
      <c r="G4" s="31">
        <f>(C4-F4)/B4</f>
        <v>0.11549999999999949</v>
      </c>
      <c r="H4" s="24">
        <v>42746</v>
      </c>
      <c r="I4" s="24">
        <v>42748</v>
      </c>
      <c r="K4" t="s">
        <v>553</v>
      </c>
      <c r="L4">
        <v>5</v>
      </c>
      <c r="M4">
        <v>76.19</v>
      </c>
      <c r="N4">
        <f>M4/L4</f>
        <v>15.238</v>
      </c>
    </row>
    <row r="5" spans="1:14">
      <c r="A5" t="s">
        <v>470</v>
      </c>
      <c r="B5" s="52">
        <v>3</v>
      </c>
      <c r="C5" s="31">
        <f>7.242</f>
        <v>7.242</v>
      </c>
      <c r="D5">
        <f>7.046</f>
        <v>7.0460000000000003</v>
      </c>
      <c r="E5">
        <f>7.182</f>
        <v>7.1820000000000004</v>
      </c>
      <c r="F5">
        <f>AVERAGE(D5:E5)</f>
        <v>7.1140000000000008</v>
      </c>
      <c r="G5" s="31">
        <f>(C5-F5)/B5</f>
        <v>4.2666666666666409E-2</v>
      </c>
      <c r="H5" s="24">
        <v>42755</v>
      </c>
      <c r="I5" s="24">
        <v>42758</v>
      </c>
      <c r="K5" t="s">
        <v>554</v>
      </c>
      <c r="L5">
        <v>4</v>
      </c>
      <c r="M5">
        <v>61.11</v>
      </c>
      <c r="N5">
        <f t="shared" ref="N5:N9" si="0">M5/L5</f>
        <v>15.2775</v>
      </c>
    </row>
    <row r="6" spans="1:14">
      <c r="A6" t="s">
        <v>526</v>
      </c>
      <c r="B6" s="52">
        <v>3</v>
      </c>
      <c r="C6" s="31">
        <f>7.187</f>
        <v>7.1870000000000003</v>
      </c>
      <c r="F6" t="e">
        <f t="shared" ref="F6:F19" si="1">AVERAGE(D6:E6)</f>
        <v>#DIV/0!</v>
      </c>
      <c r="G6" s="31" t="e">
        <f>(C6-F6)/B6</f>
        <v>#DIV/0!</v>
      </c>
      <c r="H6" s="24">
        <v>42765</v>
      </c>
      <c r="I6" s="25">
        <v>42767</v>
      </c>
      <c r="K6" t="s">
        <v>555</v>
      </c>
      <c r="L6">
        <v>5</v>
      </c>
      <c r="M6">
        <v>76.2</v>
      </c>
      <c r="N6">
        <f t="shared" si="0"/>
        <v>15.24</v>
      </c>
    </row>
    <row r="7" spans="1:14">
      <c r="A7" t="s">
        <v>527</v>
      </c>
      <c r="B7" s="52">
        <v>3</v>
      </c>
      <c r="C7" s="31">
        <f>7.168</f>
        <v>7.1680000000000001</v>
      </c>
      <c r="D7">
        <f>6.893</f>
        <v>6.8929999999999998</v>
      </c>
      <c r="E7">
        <f>6.964</f>
        <v>6.9640000000000004</v>
      </c>
      <c r="F7">
        <f t="shared" si="1"/>
        <v>6.9284999999999997</v>
      </c>
      <c r="G7" s="31">
        <f>(C7-F7)/B7</f>
        <v>7.9833333333333492E-2</v>
      </c>
      <c r="H7" s="24">
        <v>42768</v>
      </c>
      <c r="I7" s="24">
        <v>42770</v>
      </c>
      <c r="K7" t="s">
        <v>556</v>
      </c>
      <c r="L7">
        <v>4</v>
      </c>
      <c r="M7">
        <v>61.15</v>
      </c>
      <c r="N7">
        <f t="shared" si="0"/>
        <v>15.2875</v>
      </c>
    </row>
    <row r="8" spans="1:14">
      <c r="A8" t="s">
        <v>528</v>
      </c>
      <c r="B8" s="52">
        <v>3</v>
      </c>
      <c r="C8" s="31">
        <v>7.218</v>
      </c>
      <c r="D8">
        <v>6.9429999999999996</v>
      </c>
      <c r="E8">
        <v>7.0439999999999996</v>
      </c>
      <c r="F8">
        <f t="shared" si="1"/>
        <v>6.9934999999999992</v>
      </c>
      <c r="G8" s="31">
        <f t="shared" ref="G8:G19" si="2">(C8-F8)/B8</f>
        <v>7.4833333333333599E-2</v>
      </c>
      <c r="H8" s="24">
        <v>42770</v>
      </c>
      <c r="K8" t="s">
        <v>557</v>
      </c>
      <c r="L8">
        <v>5</v>
      </c>
      <c r="M8">
        <v>75.86</v>
      </c>
      <c r="N8">
        <f t="shared" si="0"/>
        <v>15.172000000000001</v>
      </c>
    </row>
    <row r="9" spans="1:14">
      <c r="A9" t="s">
        <v>569</v>
      </c>
      <c r="B9" s="52">
        <v>3</v>
      </c>
      <c r="C9" s="31">
        <v>7.1059999999999999</v>
      </c>
      <c r="D9">
        <v>6.8179999999999996</v>
      </c>
      <c r="E9">
        <v>6.9480000000000004</v>
      </c>
      <c r="F9">
        <f t="shared" si="1"/>
        <v>6.883</v>
      </c>
      <c r="G9" s="31">
        <f t="shared" si="2"/>
        <v>7.4333333333333293E-2</v>
      </c>
      <c r="H9" s="24">
        <v>42776</v>
      </c>
      <c r="K9" t="s">
        <v>558</v>
      </c>
      <c r="L9">
        <v>4</v>
      </c>
      <c r="M9">
        <v>60.91</v>
      </c>
      <c r="N9">
        <f t="shared" si="0"/>
        <v>15.227499999999999</v>
      </c>
    </row>
    <row r="10" spans="1:14">
      <c r="A10" t="s">
        <v>664</v>
      </c>
      <c r="B10" s="52">
        <v>3</v>
      </c>
      <c r="C10" s="31">
        <v>7.1840000000000002</v>
      </c>
      <c r="D10">
        <v>6.9089999999999998</v>
      </c>
      <c r="E10">
        <v>6.9530000000000003</v>
      </c>
      <c r="F10">
        <f t="shared" si="1"/>
        <v>6.931</v>
      </c>
      <c r="G10" s="31">
        <f t="shared" si="2"/>
        <v>8.4333333333333371E-2</v>
      </c>
      <c r="H10" s="24">
        <v>42787</v>
      </c>
      <c r="I10" s="24">
        <v>42789</v>
      </c>
    </row>
    <row r="11" spans="1:14">
      <c r="A11" t="s">
        <v>669</v>
      </c>
      <c r="B11" s="52">
        <v>3</v>
      </c>
      <c r="C11" s="31">
        <v>7.1559999999999997</v>
      </c>
      <c r="D11">
        <v>6.8630000000000004</v>
      </c>
      <c r="E11">
        <v>6.9290000000000003</v>
      </c>
      <c r="F11">
        <f t="shared" si="1"/>
        <v>6.8960000000000008</v>
      </c>
      <c r="G11" s="31">
        <f t="shared" si="2"/>
        <v>8.6666666666666295E-2</v>
      </c>
      <c r="H11" s="26">
        <v>42790</v>
      </c>
      <c r="I11" s="24">
        <v>42792</v>
      </c>
      <c r="K11" t="s">
        <v>561</v>
      </c>
      <c r="N11">
        <f>AVERAGE(N4:N9)</f>
        <v>15.240416666666667</v>
      </c>
    </row>
    <row r="12" spans="1:14">
      <c r="A12" t="s">
        <v>680</v>
      </c>
      <c r="B12" s="52">
        <v>3</v>
      </c>
      <c r="C12" s="31">
        <v>7.2370000000000001</v>
      </c>
      <c r="D12">
        <v>6.9409999999999998</v>
      </c>
      <c r="E12">
        <v>6.9770000000000003</v>
      </c>
      <c r="F12">
        <f t="shared" si="1"/>
        <v>6.9589999999999996</v>
      </c>
      <c r="G12" s="31">
        <f t="shared" si="2"/>
        <v>9.2666666666666828E-2</v>
      </c>
    </row>
    <row r="13" spans="1:14">
      <c r="A13" t="s">
        <v>692</v>
      </c>
      <c r="B13" s="52">
        <v>3</v>
      </c>
      <c r="C13" s="31">
        <v>7.242</v>
      </c>
      <c r="D13">
        <v>6.9580000000000002</v>
      </c>
      <c r="E13">
        <v>7.0279999999999996</v>
      </c>
      <c r="F13">
        <f t="shared" si="1"/>
        <v>6.9930000000000003</v>
      </c>
      <c r="G13" s="31">
        <f t="shared" si="2"/>
        <v>8.2999999999999893E-2</v>
      </c>
      <c r="H13" s="24">
        <v>42797</v>
      </c>
      <c r="I13" s="24">
        <v>42799</v>
      </c>
    </row>
    <row r="14" spans="1:14">
      <c r="A14" t="s">
        <v>707</v>
      </c>
      <c r="B14" s="52">
        <v>3</v>
      </c>
      <c r="C14" s="31">
        <v>7.13</v>
      </c>
      <c r="D14">
        <v>6.8250000000000002</v>
      </c>
      <c r="E14">
        <v>6.9260000000000002</v>
      </c>
      <c r="F14">
        <f t="shared" si="1"/>
        <v>6.8755000000000006</v>
      </c>
      <c r="G14" s="31">
        <f t="shared" si="2"/>
        <v>8.4833333333333094E-2</v>
      </c>
      <c r="H14" s="24">
        <v>42818</v>
      </c>
      <c r="I14" s="24">
        <v>42820</v>
      </c>
    </row>
    <row r="15" spans="1:14">
      <c r="A15" t="s">
        <v>711</v>
      </c>
      <c r="B15" s="52">
        <v>3</v>
      </c>
      <c r="C15" s="31">
        <v>7.1959999999999997</v>
      </c>
      <c r="D15">
        <v>6.891</v>
      </c>
      <c r="E15">
        <v>6.9610000000000003</v>
      </c>
      <c r="F15">
        <f t="shared" si="1"/>
        <v>6.9260000000000002</v>
      </c>
      <c r="G15" s="31">
        <f t="shared" si="2"/>
        <v>8.9999999999999858E-2</v>
      </c>
      <c r="H15" s="24">
        <v>42823</v>
      </c>
      <c r="I15" s="24">
        <v>42825</v>
      </c>
    </row>
    <row r="16" spans="1:14">
      <c r="A16" t="s">
        <v>1104</v>
      </c>
      <c r="B16" s="52">
        <v>3</v>
      </c>
      <c r="C16" s="31">
        <v>7.4740000000000002</v>
      </c>
      <c r="D16">
        <v>7.0350000000000001</v>
      </c>
      <c r="E16">
        <v>7.0640000000000001</v>
      </c>
      <c r="F16">
        <f t="shared" si="1"/>
        <v>7.0495000000000001</v>
      </c>
      <c r="G16" s="31">
        <f t="shared" si="2"/>
        <v>0.14150000000000004</v>
      </c>
      <c r="H16" s="24">
        <v>42993</v>
      </c>
      <c r="I16" s="24">
        <v>42996</v>
      </c>
    </row>
    <row r="17" spans="1:9">
      <c r="A17" t="s">
        <v>1106</v>
      </c>
      <c r="B17" s="52">
        <v>3</v>
      </c>
      <c r="C17" s="31">
        <v>7.5190000000000001</v>
      </c>
      <c r="D17">
        <v>7.18</v>
      </c>
      <c r="E17">
        <v>7.2320000000000002</v>
      </c>
      <c r="F17">
        <f t="shared" si="1"/>
        <v>7.2059999999999995</v>
      </c>
      <c r="G17" s="31">
        <f t="shared" si="2"/>
        <v>0.10433333333333354</v>
      </c>
      <c r="H17" s="24">
        <v>43024</v>
      </c>
      <c r="I17" s="24">
        <v>43027</v>
      </c>
    </row>
    <row r="18" spans="1:9">
      <c r="A18" t="s">
        <v>1107</v>
      </c>
      <c r="B18" s="52">
        <v>3</v>
      </c>
      <c r="C18" s="31">
        <v>7.6550000000000002</v>
      </c>
      <c r="D18">
        <v>7.2690000000000001</v>
      </c>
      <c r="E18">
        <v>7.2720000000000002</v>
      </c>
      <c r="F18">
        <f t="shared" si="1"/>
        <v>7.2705000000000002</v>
      </c>
      <c r="G18" s="31">
        <f t="shared" si="2"/>
        <v>0.12816666666666668</v>
      </c>
      <c r="H18" s="24">
        <v>43024</v>
      </c>
      <c r="I18" s="24">
        <v>43027</v>
      </c>
    </row>
    <row r="19" spans="1:9">
      <c r="A19" t="s">
        <v>1108</v>
      </c>
      <c r="B19" s="52">
        <v>3</v>
      </c>
      <c r="C19" s="31">
        <v>7.5149999999999997</v>
      </c>
      <c r="D19">
        <v>7.1660000000000004</v>
      </c>
      <c r="E19">
        <v>7.2140000000000004</v>
      </c>
      <c r="F19">
        <f t="shared" si="1"/>
        <v>7.19</v>
      </c>
      <c r="G19" s="31">
        <f t="shared" si="2"/>
        <v>0.1083333333333331</v>
      </c>
      <c r="H19" s="24">
        <v>43026</v>
      </c>
      <c r="I19" s="24">
        <v>43028</v>
      </c>
    </row>
    <row r="21" spans="1:9">
      <c r="A21" t="s">
        <v>713</v>
      </c>
      <c r="G21" s="31">
        <f>AVERAGE(G7:G15)</f>
        <v>8.338888888888886E-2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T148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4" sqref="A4"/>
    </sheetView>
  </sheetViews>
  <sheetFormatPr baseColWidth="10" defaultColWidth="8.83203125" defaultRowHeight="15"/>
  <cols>
    <col min="1" max="1" width="9.83203125" style="79" customWidth="1"/>
    <col min="2" max="2" width="7.83203125" style="79" bestFit="1" customWidth="1"/>
    <col min="3" max="3" width="7" style="79" bestFit="1" customWidth="1"/>
    <col min="4" max="4" width="11.5" style="79" bestFit="1" customWidth="1"/>
    <col min="5" max="5" width="7.6640625" style="79" bestFit="1" customWidth="1"/>
    <col min="6" max="6" width="8" style="79" customWidth="1"/>
    <col min="7" max="7" width="15.6640625" style="79" bestFit="1" customWidth="1"/>
    <col min="8" max="8" width="14" style="79" bestFit="1" customWidth="1"/>
    <col min="9" max="9" width="8.6640625" style="79" bestFit="1" customWidth="1"/>
    <col min="10" max="10" width="8.5" style="79" bestFit="1" customWidth="1"/>
    <col min="11" max="11" width="7.5" style="79" bestFit="1" customWidth="1"/>
    <col min="12" max="12" width="12.1640625" style="83" bestFit="1" customWidth="1"/>
    <col min="13" max="13" width="12.1640625" style="80" customWidth="1"/>
    <col min="14" max="14" width="13.6640625" style="79" bestFit="1" customWidth="1"/>
    <col min="15" max="15" width="23.83203125" style="79" bestFit="1" customWidth="1"/>
    <col min="16" max="16" width="18.83203125" style="79" bestFit="1" customWidth="1"/>
    <col min="17" max="17" width="11.1640625" style="79" bestFit="1" customWidth="1"/>
    <col min="18" max="18" width="10.1640625" style="79" bestFit="1" customWidth="1"/>
    <col min="19" max="19" width="16.5" style="79" bestFit="1" customWidth="1"/>
    <col min="20" max="20" width="18" style="79" bestFit="1" customWidth="1"/>
    <col min="21" max="21" width="22.33203125" style="79" bestFit="1" customWidth="1"/>
    <col min="22" max="22" width="20.6640625" style="79" bestFit="1" customWidth="1"/>
    <col min="23" max="23" width="26.5" style="79" bestFit="1" customWidth="1"/>
    <col min="24" max="24" width="11.5" style="79" bestFit="1" customWidth="1"/>
    <col min="25" max="25" width="15.83203125" style="79" bestFit="1" customWidth="1"/>
    <col min="26" max="26" width="15.5" style="79" bestFit="1" customWidth="1"/>
    <col min="27" max="27" width="28.5" style="79" bestFit="1" customWidth="1"/>
    <col min="28" max="28" width="22" style="79" bestFit="1" customWidth="1"/>
    <col min="29" max="29" width="16" style="79" bestFit="1" customWidth="1"/>
    <col min="30" max="30" width="23.83203125" style="79" bestFit="1" customWidth="1"/>
    <col min="31" max="31" width="22.5" style="79" bestFit="1" customWidth="1"/>
    <col min="32" max="32" width="13.1640625" style="79" bestFit="1" customWidth="1"/>
    <col min="33" max="33" width="13.83203125" style="79" bestFit="1" customWidth="1"/>
    <col min="34" max="34" width="10.5" style="79" bestFit="1" customWidth="1"/>
    <col min="35" max="35" width="22.5" style="79" bestFit="1" customWidth="1"/>
    <col min="36" max="36" width="15.33203125" style="79" bestFit="1" customWidth="1"/>
    <col min="37" max="16384" width="8.83203125" style="79"/>
  </cols>
  <sheetData>
    <row r="1" spans="1:72" ht="19">
      <c r="A1" s="86" t="s">
        <v>579</v>
      </c>
    </row>
    <row r="2" spans="1:72">
      <c r="A2" s="79" t="s">
        <v>580</v>
      </c>
      <c r="B2" s="79">
        <v>25</v>
      </c>
      <c r="C2" s="79" t="s">
        <v>581</v>
      </c>
      <c r="N2" s="79" t="s">
        <v>582</v>
      </c>
      <c r="O2" s="79" t="s">
        <v>582</v>
      </c>
      <c r="P2" s="79" t="s">
        <v>583</v>
      </c>
      <c r="Q2" s="79" t="s">
        <v>584</v>
      </c>
      <c r="R2" s="79" t="s">
        <v>582</v>
      </c>
      <c r="S2" s="79" t="s">
        <v>585</v>
      </c>
      <c r="T2" s="79" t="s">
        <v>367</v>
      </c>
      <c r="U2" s="79" t="s">
        <v>367</v>
      </c>
      <c r="V2" s="79" t="s">
        <v>584</v>
      </c>
      <c r="W2" s="79" t="s">
        <v>586</v>
      </c>
      <c r="X2" s="79" t="s">
        <v>584</v>
      </c>
      <c r="Y2" s="79" t="s">
        <v>587</v>
      </c>
      <c r="Z2" s="79" t="s">
        <v>588</v>
      </c>
      <c r="AA2" s="79" t="s">
        <v>589</v>
      </c>
      <c r="AB2" s="79" t="s">
        <v>583</v>
      </c>
      <c r="AC2" s="79" t="s">
        <v>367</v>
      </c>
      <c r="AD2" s="79" t="s">
        <v>588</v>
      </c>
      <c r="AE2" s="79" t="s">
        <v>590</v>
      </c>
      <c r="AF2" s="79" t="s">
        <v>588</v>
      </c>
      <c r="AG2" s="79" t="s">
        <v>584</v>
      </c>
      <c r="AH2" s="79" t="s">
        <v>582</v>
      </c>
      <c r="AI2" s="79" t="s">
        <v>588</v>
      </c>
      <c r="AJ2" s="79" t="s">
        <v>582</v>
      </c>
      <c r="AK2" s="79" t="s">
        <v>588</v>
      </c>
      <c r="AL2" s="79" t="s">
        <v>367</v>
      </c>
      <c r="AM2" s="79" t="s">
        <v>582</v>
      </c>
      <c r="AN2" s="79" t="s">
        <v>588</v>
      </c>
      <c r="AO2" s="79" t="s">
        <v>582</v>
      </c>
      <c r="AP2" s="79" t="s">
        <v>582</v>
      </c>
      <c r="AQ2" s="79" t="s">
        <v>582</v>
      </c>
      <c r="AR2" s="79" t="s">
        <v>582</v>
      </c>
      <c r="AS2" s="79" t="s">
        <v>582</v>
      </c>
      <c r="AT2" s="79" t="s">
        <v>582</v>
      </c>
      <c r="AU2" s="79" t="s">
        <v>582</v>
      </c>
      <c r="AV2" s="79" t="s">
        <v>582</v>
      </c>
      <c r="AW2" s="79" t="s">
        <v>582</v>
      </c>
      <c r="AX2" s="79" t="s">
        <v>591</v>
      </c>
      <c r="AY2" s="79" t="s">
        <v>591</v>
      </c>
      <c r="AZ2" s="79" t="s">
        <v>591</v>
      </c>
      <c r="BA2" s="79" t="s">
        <v>582</v>
      </c>
      <c r="BB2" s="79" t="s">
        <v>582</v>
      </c>
      <c r="BC2" s="79" t="s">
        <v>582</v>
      </c>
      <c r="BD2" s="79" t="s">
        <v>582</v>
      </c>
      <c r="BE2" s="79" t="s">
        <v>591</v>
      </c>
      <c r="BF2" s="79" t="s">
        <v>591</v>
      </c>
      <c r="BG2" s="79" t="s">
        <v>582</v>
      </c>
      <c r="BH2" s="79" t="s">
        <v>582</v>
      </c>
      <c r="BI2" s="79" t="s">
        <v>582</v>
      </c>
      <c r="BJ2" s="79" t="s">
        <v>582</v>
      </c>
      <c r="BK2" s="79" t="s">
        <v>591</v>
      </c>
      <c r="BL2" s="79" t="s">
        <v>591</v>
      </c>
      <c r="BM2" s="79" t="s">
        <v>591</v>
      </c>
      <c r="BQ2" s="79" t="s">
        <v>591</v>
      </c>
      <c r="BR2" s="79" t="s">
        <v>591</v>
      </c>
      <c r="BS2" s="79" t="s">
        <v>591</v>
      </c>
      <c r="BT2" s="79" t="s">
        <v>367</v>
      </c>
    </row>
    <row r="3" spans="1:72" ht="16">
      <c r="A3" s="70" t="s">
        <v>10</v>
      </c>
      <c r="B3" s="71" t="s">
        <v>8</v>
      </c>
      <c r="C3" s="71" t="s">
        <v>11</v>
      </c>
      <c r="D3" s="72" t="s">
        <v>212</v>
      </c>
      <c r="E3" s="87" t="s">
        <v>1121</v>
      </c>
      <c r="F3" s="87" t="s">
        <v>1122</v>
      </c>
      <c r="G3" s="87" t="s">
        <v>592</v>
      </c>
      <c r="H3" s="87" t="s">
        <v>584</v>
      </c>
      <c r="I3" s="87" t="s">
        <v>583</v>
      </c>
      <c r="J3" s="87" t="s">
        <v>591</v>
      </c>
      <c r="K3" s="87" t="s">
        <v>593</v>
      </c>
      <c r="L3" s="89" t="s">
        <v>594</v>
      </c>
      <c r="M3" s="88" t="s">
        <v>652</v>
      </c>
      <c r="N3" s="79" t="s">
        <v>276</v>
      </c>
      <c r="O3" s="79" t="s">
        <v>273</v>
      </c>
      <c r="P3" s="79" t="s">
        <v>595</v>
      </c>
      <c r="Q3" s="79" t="s">
        <v>277</v>
      </c>
      <c r="R3" s="79" t="s">
        <v>596</v>
      </c>
      <c r="S3" s="79" t="s">
        <v>279</v>
      </c>
      <c r="T3" s="79" t="s">
        <v>597</v>
      </c>
      <c r="U3" s="79" t="s">
        <v>598</v>
      </c>
      <c r="V3" s="79" t="s">
        <v>599</v>
      </c>
      <c r="W3" s="79" t="s">
        <v>600</v>
      </c>
      <c r="X3" s="79" t="s">
        <v>601</v>
      </c>
      <c r="Y3" s="79" t="s">
        <v>602</v>
      </c>
      <c r="Z3" s="79" t="s">
        <v>603</v>
      </c>
      <c r="AA3" s="79" t="s">
        <v>604</v>
      </c>
      <c r="AB3" s="79" t="s">
        <v>605</v>
      </c>
      <c r="AC3" s="79" t="s">
        <v>606</v>
      </c>
      <c r="AD3" s="79" t="s">
        <v>607</v>
      </c>
      <c r="AE3" s="79" t="s">
        <v>608</v>
      </c>
      <c r="AF3" s="79" t="s">
        <v>609</v>
      </c>
      <c r="AG3" s="79" t="s">
        <v>610</v>
      </c>
      <c r="AH3" s="79" t="s">
        <v>611</v>
      </c>
      <c r="AI3" s="79" t="s">
        <v>612</v>
      </c>
      <c r="AJ3" s="79" t="s">
        <v>613</v>
      </c>
      <c r="AK3" s="79" t="s">
        <v>614</v>
      </c>
      <c r="AL3" s="79" t="s">
        <v>615</v>
      </c>
      <c r="AM3" s="79" t="s">
        <v>616</v>
      </c>
      <c r="AN3" s="79" t="s">
        <v>617</v>
      </c>
      <c r="AO3" s="79" t="s">
        <v>288</v>
      </c>
      <c r="AP3" s="79" t="s">
        <v>616</v>
      </c>
      <c r="AQ3" s="79" t="s">
        <v>616</v>
      </c>
      <c r="AR3" s="79" t="s">
        <v>616</v>
      </c>
      <c r="AS3" s="79" t="s">
        <v>616</v>
      </c>
      <c r="AT3" s="79" t="s">
        <v>618</v>
      </c>
      <c r="AU3" s="79" t="s">
        <v>619</v>
      </c>
      <c r="AV3" s="79" t="s">
        <v>620</v>
      </c>
      <c r="AW3" s="79" t="s">
        <v>621</v>
      </c>
      <c r="AX3" s="79" t="s">
        <v>622</v>
      </c>
      <c r="AY3" s="79" t="s">
        <v>623</v>
      </c>
      <c r="AZ3" s="79" t="s">
        <v>624</v>
      </c>
      <c r="BA3" s="79" t="s">
        <v>625</v>
      </c>
      <c r="BB3" s="79" t="s">
        <v>626</v>
      </c>
      <c r="BC3" s="79" t="s">
        <v>627</v>
      </c>
      <c r="BD3" s="79" t="s">
        <v>628</v>
      </c>
      <c r="BE3" s="79" t="s">
        <v>629</v>
      </c>
      <c r="BF3" s="79" t="s">
        <v>630</v>
      </c>
      <c r="BG3" s="79" t="s">
        <v>631</v>
      </c>
      <c r="BH3" s="79" t="s">
        <v>632</v>
      </c>
      <c r="BI3" s="79" t="s">
        <v>633</v>
      </c>
      <c r="BJ3" s="79" t="s">
        <v>634</v>
      </c>
      <c r="BK3" s="79" t="s">
        <v>629</v>
      </c>
      <c r="BL3" s="79" t="s">
        <v>630</v>
      </c>
      <c r="BM3" s="79" t="s">
        <v>624</v>
      </c>
      <c r="BN3" s="79" t="s">
        <v>635</v>
      </c>
      <c r="BO3" s="79" t="s">
        <v>636</v>
      </c>
      <c r="BP3" s="79" t="s">
        <v>637</v>
      </c>
      <c r="BQ3" s="79" t="s">
        <v>638</v>
      </c>
      <c r="BR3" s="79" t="s">
        <v>630</v>
      </c>
      <c r="BS3" s="79" t="s">
        <v>624</v>
      </c>
      <c r="BT3" s="79" t="s">
        <v>639</v>
      </c>
    </row>
    <row r="4" spans="1:72">
      <c r="A4" s="80" t="s">
        <v>0</v>
      </c>
      <c r="B4" s="79" t="s">
        <v>9</v>
      </c>
      <c r="C4" s="79" t="s">
        <v>12</v>
      </c>
      <c r="D4" s="79">
        <v>1</v>
      </c>
      <c r="E4" s="79">
        <f t="shared" ref="E4:E35" si="0">N4+O4+R4+AH4+AJ4+AM4+SUM(AO4:AW4)+SUM(BA4:BD4)+SUM(BG4:BJ4)</f>
        <v>107</v>
      </c>
      <c r="F4" s="79">
        <f>Z4+AD4+AF4+AI4+AK4+AN4+SUM(S4:U4)+Y4+AC4+AL4+BT4</f>
        <v>0</v>
      </c>
      <c r="G4" s="79">
        <f t="shared" ref="G4:G27" si="1">W4+AE4</f>
        <v>0</v>
      </c>
      <c r="H4" s="79">
        <f t="shared" ref="H4:H27" si="2">Q4+V4+X4+AA4+AG4</f>
        <v>0</v>
      </c>
      <c r="I4" s="79">
        <f t="shared" ref="I4:I27" si="3">P4+AB4</f>
        <v>100</v>
      </c>
      <c r="J4" s="79">
        <f t="shared" ref="J4:J27" si="4">SUM(AX4:AZ4)+SUM(BE4:BF4)+SUM(BK4:BM4)+SUM(BQ4:BS4)</f>
        <v>0</v>
      </c>
      <c r="K4" s="79">
        <f t="shared" ref="K4:K45" si="5">SUM(BN4:BP4)</f>
        <v>0</v>
      </c>
      <c r="L4" s="83" t="str">
        <f t="shared" ref="L4:L35" si="6">IF(SUM(E4:K4)=SUM(N4:BT4),"Correct","Something went wrong")</f>
        <v>Correct</v>
      </c>
      <c r="M4" s="80">
        <f>SUM(E4:J4)/25*100</f>
        <v>827.99999999999989</v>
      </c>
      <c r="O4" s="79">
        <v>23</v>
      </c>
      <c r="P4" s="79">
        <v>100</v>
      </c>
      <c r="BA4" s="79">
        <v>84</v>
      </c>
    </row>
    <row r="5" spans="1:72">
      <c r="A5" s="80" t="s">
        <v>642</v>
      </c>
      <c r="B5" s="79" t="s">
        <v>9</v>
      </c>
      <c r="C5" s="79" t="s">
        <v>12</v>
      </c>
      <c r="D5" s="79">
        <v>2</v>
      </c>
      <c r="E5" s="79">
        <f t="shared" si="0"/>
        <v>131</v>
      </c>
      <c r="F5" s="79">
        <f>Z5+AD5+AF5+AI5+AK5+AN5+SUM(S5:U5)+Y5+AC5+AL5+BT5</f>
        <v>10</v>
      </c>
      <c r="G5" s="79">
        <f t="shared" si="1"/>
        <v>0</v>
      </c>
      <c r="H5" s="79">
        <f t="shared" si="2"/>
        <v>0</v>
      </c>
      <c r="I5" s="79">
        <f t="shared" si="3"/>
        <v>110</v>
      </c>
      <c r="J5" s="79">
        <f t="shared" si="4"/>
        <v>0</v>
      </c>
      <c r="K5" s="79">
        <f t="shared" si="5"/>
        <v>0</v>
      </c>
      <c r="L5" s="83" t="str">
        <f t="shared" si="6"/>
        <v>Correct</v>
      </c>
      <c r="M5" s="80">
        <f t="shared" ref="M5:M63" si="7">SUM(E5:J5)/25*100</f>
        <v>1003.9999999999999</v>
      </c>
      <c r="O5" s="79">
        <v>105</v>
      </c>
      <c r="P5" s="79">
        <v>110</v>
      </c>
      <c r="S5" s="79">
        <v>10</v>
      </c>
      <c r="BA5" s="79">
        <v>26</v>
      </c>
    </row>
    <row r="6" spans="1:72">
      <c r="A6" s="80" t="s">
        <v>1</v>
      </c>
      <c r="B6" s="79" t="s">
        <v>9</v>
      </c>
      <c r="C6" s="79" t="s">
        <v>12</v>
      </c>
      <c r="D6" s="79">
        <v>3</v>
      </c>
      <c r="E6" s="79">
        <f t="shared" si="0"/>
        <v>146</v>
      </c>
      <c r="F6" s="79">
        <f t="shared" ref="F6:F63" si="8">Z6+AD6+AF6+AI6+AK6+AN6+SUM(S6:U6)+Y6+AC6+AL6+BT6</f>
        <v>1</v>
      </c>
      <c r="G6" s="79">
        <f t="shared" si="1"/>
        <v>0</v>
      </c>
      <c r="H6" s="79">
        <f t="shared" si="2"/>
        <v>0</v>
      </c>
      <c r="I6" s="79">
        <f t="shared" si="3"/>
        <v>26</v>
      </c>
      <c r="J6" s="79">
        <f t="shared" si="4"/>
        <v>0</v>
      </c>
      <c r="K6" s="79">
        <f t="shared" si="5"/>
        <v>0</v>
      </c>
      <c r="L6" s="83" t="str">
        <f t="shared" si="6"/>
        <v>Correct</v>
      </c>
      <c r="M6" s="80">
        <f t="shared" si="7"/>
        <v>692</v>
      </c>
      <c r="O6" s="79">
        <v>42</v>
      </c>
      <c r="P6" s="79">
        <v>26</v>
      </c>
      <c r="S6" s="79">
        <v>1</v>
      </c>
      <c r="BA6" s="79">
        <v>104</v>
      </c>
    </row>
    <row r="7" spans="1:72">
      <c r="A7" s="80" t="s">
        <v>2</v>
      </c>
      <c r="B7" s="79" t="s">
        <v>9</v>
      </c>
      <c r="C7" s="79" t="s">
        <v>12</v>
      </c>
      <c r="D7" s="79">
        <v>4</v>
      </c>
      <c r="E7" s="79">
        <f t="shared" si="0"/>
        <v>93</v>
      </c>
      <c r="F7" s="79">
        <f t="shared" si="8"/>
        <v>0</v>
      </c>
      <c r="G7" s="79">
        <f t="shared" si="1"/>
        <v>0</v>
      </c>
      <c r="H7" s="79">
        <f t="shared" si="2"/>
        <v>0</v>
      </c>
      <c r="I7" s="79">
        <f t="shared" si="3"/>
        <v>39</v>
      </c>
      <c r="J7" s="79">
        <f t="shared" si="4"/>
        <v>0</v>
      </c>
      <c r="K7" s="79">
        <f t="shared" si="5"/>
        <v>0</v>
      </c>
      <c r="L7" s="83" t="str">
        <f t="shared" si="6"/>
        <v>Correct</v>
      </c>
      <c r="M7" s="80">
        <f t="shared" si="7"/>
        <v>528</v>
      </c>
      <c r="N7" s="79">
        <v>83</v>
      </c>
      <c r="P7" s="79">
        <v>39</v>
      </c>
      <c r="BB7" s="79">
        <v>10</v>
      </c>
    </row>
    <row r="8" spans="1:72">
      <c r="A8" s="80" t="s">
        <v>3</v>
      </c>
      <c r="B8" s="79" t="s">
        <v>9</v>
      </c>
      <c r="C8" s="79" t="s">
        <v>12</v>
      </c>
      <c r="D8" s="79">
        <v>5</v>
      </c>
      <c r="E8" s="79">
        <f t="shared" si="0"/>
        <v>82</v>
      </c>
      <c r="F8" s="79">
        <f t="shared" si="8"/>
        <v>0</v>
      </c>
      <c r="G8" s="79">
        <f t="shared" si="1"/>
        <v>0</v>
      </c>
      <c r="H8" s="79">
        <f t="shared" si="2"/>
        <v>0</v>
      </c>
      <c r="I8" s="79">
        <f t="shared" si="3"/>
        <v>0</v>
      </c>
      <c r="J8" s="79">
        <f t="shared" si="4"/>
        <v>0</v>
      </c>
      <c r="K8" s="79">
        <f t="shared" si="5"/>
        <v>0</v>
      </c>
      <c r="L8" s="83" t="str">
        <f t="shared" si="6"/>
        <v>Correct</v>
      </c>
      <c r="M8" s="80">
        <f t="shared" si="7"/>
        <v>328</v>
      </c>
      <c r="N8" s="79">
        <v>82</v>
      </c>
    </row>
    <row r="9" spans="1:72" s="83" customFormat="1">
      <c r="A9" s="83" t="s">
        <v>643</v>
      </c>
      <c r="B9" s="83" t="s">
        <v>9</v>
      </c>
      <c r="C9" s="83" t="s">
        <v>12</v>
      </c>
      <c r="D9" s="83">
        <v>6</v>
      </c>
      <c r="E9" s="79">
        <f t="shared" si="0"/>
        <v>100</v>
      </c>
      <c r="F9" s="79">
        <f t="shared" si="8"/>
        <v>0</v>
      </c>
      <c r="G9" s="83">
        <f t="shared" si="1"/>
        <v>0</v>
      </c>
      <c r="H9" s="83">
        <f t="shared" si="2"/>
        <v>0</v>
      </c>
      <c r="I9" s="83">
        <f t="shared" si="3"/>
        <v>9</v>
      </c>
      <c r="J9" s="83">
        <f t="shared" si="4"/>
        <v>0</v>
      </c>
      <c r="K9" s="83">
        <f t="shared" si="5"/>
        <v>0</v>
      </c>
      <c r="L9" s="83" t="str">
        <f t="shared" si="6"/>
        <v>Correct</v>
      </c>
      <c r="M9" s="80">
        <f t="shared" si="7"/>
        <v>436.00000000000006</v>
      </c>
      <c r="O9" s="83">
        <v>93</v>
      </c>
      <c r="P9" s="83">
        <v>9</v>
      </c>
      <c r="BC9" s="83">
        <v>4</v>
      </c>
      <c r="BD9" s="83">
        <v>3</v>
      </c>
    </row>
    <row r="10" spans="1:72">
      <c r="A10" s="80" t="s">
        <v>4</v>
      </c>
      <c r="B10" s="79" t="s">
        <v>9</v>
      </c>
      <c r="C10" s="79" t="s">
        <v>13</v>
      </c>
      <c r="D10" s="79">
        <v>1</v>
      </c>
      <c r="E10" s="79">
        <f t="shared" si="0"/>
        <v>91</v>
      </c>
      <c r="F10" s="79">
        <f t="shared" si="8"/>
        <v>0</v>
      </c>
      <c r="G10" s="79">
        <f t="shared" si="1"/>
        <v>0</v>
      </c>
      <c r="H10" s="79">
        <f t="shared" si="2"/>
        <v>0</v>
      </c>
      <c r="I10" s="79">
        <f t="shared" si="3"/>
        <v>0</v>
      </c>
      <c r="J10" s="79">
        <f t="shared" si="4"/>
        <v>0</v>
      </c>
      <c r="K10" s="79">
        <f t="shared" si="5"/>
        <v>0</v>
      </c>
      <c r="L10" s="83" t="str">
        <f t="shared" si="6"/>
        <v>Correct</v>
      </c>
      <c r="M10" s="80">
        <f t="shared" si="7"/>
        <v>364</v>
      </c>
      <c r="N10" s="79">
        <v>56</v>
      </c>
      <c r="AT10" s="79">
        <v>35</v>
      </c>
    </row>
    <row r="11" spans="1:72">
      <c r="A11" s="80" t="s">
        <v>640</v>
      </c>
      <c r="B11" s="79" t="s">
        <v>9</v>
      </c>
      <c r="C11" s="79" t="s">
        <v>13</v>
      </c>
      <c r="D11" s="79">
        <v>2</v>
      </c>
      <c r="E11" s="79">
        <f t="shared" si="0"/>
        <v>24</v>
      </c>
      <c r="F11" s="79">
        <f t="shared" si="8"/>
        <v>0</v>
      </c>
      <c r="G11" s="79">
        <f t="shared" si="1"/>
        <v>0</v>
      </c>
      <c r="H11" s="204">
        <f t="shared" si="2"/>
        <v>63</v>
      </c>
      <c r="I11" s="79">
        <f t="shared" si="3"/>
        <v>0</v>
      </c>
      <c r="J11" s="79">
        <f t="shared" si="4"/>
        <v>9</v>
      </c>
      <c r="K11" s="79">
        <f t="shared" si="5"/>
        <v>0</v>
      </c>
      <c r="L11" s="83" t="str">
        <f t="shared" si="6"/>
        <v>Correct</v>
      </c>
      <c r="M11" s="80">
        <f t="shared" si="7"/>
        <v>384</v>
      </c>
      <c r="Q11" s="79">
        <v>63</v>
      </c>
      <c r="AU11" s="79">
        <v>22</v>
      </c>
      <c r="AV11" s="79">
        <v>2</v>
      </c>
      <c r="AX11" s="79">
        <v>5</v>
      </c>
      <c r="AY11" s="79">
        <v>4</v>
      </c>
    </row>
    <row r="12" spans="1:72">
      <c r="A12" s="80" t="s">
        <v>5</v>
      </c>
      <c r="B12" s="79" t="s">
        <v>9</v>
      </c>
      <c r="C12" s="79" t="s">
        <v>13</v>
      </c>
      <c r="D12" s="79">
        <v>3</v>
      </c>
      <c r="E12" s="79">
        <f t="shared" si="0"/>
        <v>65</v>
      </c>
      <c r="F12" s="79">
        <f t="shared" si="8"/>
        <v>0</v>
      </c>
      <c r="G12" s="79">
        <f t="shared" si="1"/>
        <v>0</v>
      </c>
      <c r="H12" s="79">
        <f t="shared" si="2"/>
        <v>0</v>
      </c>
      <c r="I12" s="79">
        <f t="shared" si="3"/>
        <v>2</v>
      </c>
      <c r="J12" s="79">
        <f t="shared" si="4"/>
        <v>17</v>
      </c>
      <c r="K12" s="79">
        <f t="shared" si="5"/>
        <v>0</v>
      </c>
      <c r="L12" s="83" t="str">
        <f t="shared" si="6"/>
        <v>Correct</v>
      </c>
      <c r="M12" s="80">
        <f t="shared" si="7"/>
        <v>336</v>
      </c>
      <c r="O12" s="79">
        <v>61</v>
      </c>
      <c r="P12" s="79">
        <v>2</v>
      </c>
      <c r="R12" s="79">
        <v>4</v>
      </c>
      <c r="AX12" s="79">
        <v>17</v>
      </c>
    </row>
    <row r="13" spans="1:72">
      <c r="A13" s="80" t="s">
        <v>6</v>
      </c>
      <c r="B13" s="79" t="s">
        <v>9</v>
      </c>
      <c r="C13" s="79" t="s">
        <v>13</v>
      </c>
      <c r="D13" s="79">
        <v>4</v>
      </c>
      <c r="E13" s="79">
        <f t="shared" si="0"/>
        <v>4</v>
      </c>
      <c r="F13" s="79">
        <f t="shared" si="8"/>
        <v>42</v>
      </c>
      <c r="G13" s="79">
        <f t="shared" si="1"/>
        <v>0</v>
      </c>
      <c r="H13" s="79">
        <f t="shared" si="2"/>
        <v>0</v>
      </c>
      <c r="I13" s="79">
        <f t="shared" si="3"/>
        <v>2</v>
      </c>
      <c r="J13" s="79">
        <f t="shared" si="4"/>
        <v>25</v>
      </c>
      <c r="K13" s="79">
        <f t="shared" si="5"/>
        <v>0</v>
      </c>
      <c r="L13" s="83" t="str">
        <f t="shared" si="6"/>
        <v>Correct</v>
      </c>
      <c r="M13" s="80">
        <f t="shared" si="7"/>
        <v>292</v>
      </c>
      <c r="O13" s="79">
        <v>1</v>
      </c>
      <c r="P13" s="79">
        <v>2</v>
      </c>
      <c r="R13" s="79">
        <v>3</v>
      </c>
      <c r="S13" s="79">
        <v>39</v>
      </c>
      <c r="T13" s="79">
        <v>3</v>
      </c>
      <c r="AX13" s="79">
        <v>25</v>
      </c>
    </row>
    <row r="14" spans="1:72">
      <c r="A14" s="80" t="s">
        <v>7</v>
      </c>
      <c r="B14" s="79" t="s">
        <v>9</v>
      </c>
      <c r="C14" s="79" t="s">
        <v>13</v>
      </c>
      <c r="D14" s="79">
        <v>5</v>
      </c>
      <c r="E14" s="79">
        <f t="shared" si="0"/>
        <v>48</v>
      </c>
      <c r="F14" s="79">
        <f t="shared" si="8"/>
        <v>2</v>
      </c>
      <c r="G14" s="79">
        <f t="shared" si="1"/>
        <v>0</v>
      </c>
      <c r="H14" s="79">
        <f t="shared" si="2"/>
        <v>32</v>
      </c>
      <c r="I14" s="79">
        <f t="shared" si="3"/>
        <v>2</v>
      </c>
      <c r="J14" s="79">
        <f t="shared" si="4"/>
        <v>23</v>
      </c>
      <c r="K14" s="79">
        <f t="shared" si="5"/>
        <v>0</v>
      </c>
      <c r="L14" s="83" t="str">
        <f t="shared" si="6"/>
        <v>Correct</v>
      </c>
      <c r="M14" s="80">
        <f t="shared" si="7"/>
        <v>428</v>
      </c>
      <c r="P14" s="79">
        <v>2</v>
      </c>
      <c r="Q14" s="79">
        <v>32</v>
      </c>
      <c r="R14" s="79">
        <v>44</v>
      </c>
      <c r="U14" s="79">
        <v>2</v>
      </c>
      <c r="AW14" s="79">
        <v>4</v>
      </c>
      <c r="AX14" s="79">
        <v>22</v>
      </c>
      <c r="AZ14" s="79">
        <v>1</v>
      </c>
    </row>
    <row r="15" spans="1:72" s="81" customFormat="1">
      <c r="A15" s="82" t="s">
        <v>641</v>
      </c>
      <c r="B15" s="81" t="s">
        <v>9</v>
      </c>
      <c r="C15" s="81" t="s">
        <v>13</v>
      </c>
      <c r="D15" s="81">
        <v>6</v>
      </c>
      <c r="E15" s="79">
        <f t="shared" si="0"/>
        <v>49</v>
      </c>
      <c r="F15" s="79">
        <f t="shared" si="8"/>
        <v>0</v>
      </c>
      <c r="G15" s="81">
        <f t="shared" si="1"/>
        <v>0</v>
      </c>
      <c r="H15" s="81">
        <f t="shared" si="2"/>
        <v>0</v>
      </c>
      <c r="I15" s="81">
        <f t="shared" si="3"/>
        <v>0</v>
      </c>
      <c r="J15" s="81">
        <f t="shared" si="4"/>
        <v>0</v>
      </c>
      <c r="K15" s="81">
        <f t="shared" si="5"/>
        <v>0</v>
      </c>
      <c r="L15" s="83" t="str">
        <f t="shared" si="6"/>
        <v>Correct</v>
      </c>
      <c r="M15" s="80">
        <f t="shared" si="7"/>
        <v>196</v>
      </c>
      <c r="N15" s="81">
        <v>49</v>
      </c>
    </row>
    <row r="16" spans="1:72">
      <c r="A16" s="80" t="s">
        <v>43</v>
      </c>
      <c r="B16" s="79" t="s">
        <v>196</v>
      </c>
      <c r="C16" s="79" t="s">
        <v>12</v>
      </c>
      <c r="D16" s="83">
        <v>1</v>
      </c>
      <c r="E16" s="79">
        <f t="shared" si="0"/>
        <v>58</v>
      </c>
      <c r="F16" s="79">
        <f t="shared" si="8"/>
        <v>0</v>
      </c>
      <c r="G16" s="79">
        <f t="shared" si="1"/>
        <v>0</v>
      </c>
      <c r="H16" s="79">
        <f t="shared" si="2"/>
        <v>0</v>
      </c>
      <c r="I16" s="79">
        <f t="shared" si="3"/>
        <v>3</v>
      </c>
      <c r="J16" s="79">
        <f t="shared" si="4"/>
        <v>0</v>
      </c>
      <c r="K16" s="79">
        <f t="shared" si="5"/>
        <v>0</v>
      </c>
      <c r="L16" s="83" t="str">
        <f t="shared" si="6"/>
        <v>Correct</v>
      </c>
      <c r="M16" s="80">
        <f t="shared" si="7"/>
        <v>244</v>
      </c>
      <c r="N16" s="83">
        <v>58</v>
      </c>
      <c r="O16" s="83"/>
      <c r="P16" s="83">
        <v>3</v>
      </c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K16" s="83"/>
      <c r="AL16" s="83"/>
      <c r="AM16" s="83"/>
      <c r="BE16" s="83"/>
      <c r="BF16" s="83"/>
      <c r="BG16" s="83"/>
      <c r="BH16" s="83"/>
    </row>
    <row r="17" spans="1:61">
      <c r="A17" s="80" t="s">
        <v>44</v>
      </c>
      <c r="B17" s="79" t="s">
        <v>196</v>
      </c>
      <c r="C17" s="79" t="s">
        <v>12</v>
      </c>
      <c r="D17" s="79">
        <v>2</v>
      </c>
      <c r="E17" s="79">
        <f t="shared" si="0"/>
        <v>62</v>
      </c>
      <c r="F17" s="79">
        <f t="shared" si="8"/>
        <v>0</v>
      </c>
      <c r="G17" s="79">
        <f t="shared" si="1"/>
        <v>0</v>
      </c>
      <c r="H17" s="79">
        <f t="shared" si="2"/>
        <v>0</v>
      </c>
      <c r="I17" s="79">
        <f t="shared" si="3"/>
        <v>2</v>
      </c>
      <c r="J17" s="79">
        <f t="shared" si="4"/>
        <v>0</v>
      </c>
      <c r="K17" s="79">
        <f t="shared" si="5"/>
        <v>0</v>
      </c>
      <c r="L17" s="83" t="str">
        <f t="shared" si="6"/>
        <v>Correct</v>
      </c>
      <c r="M17" s="80">
        <f t="shared" si="7"/>
        <v>256</v>
      </c>
      <c r="N17" s="79">
        <v>62</v>
      </c>
      <c r="P17" s="79">
        <v>2</v>
      </c>
    </row>
    <row r="18" spans="1:61">
      <c r="A18" s="80" t="s">
        <v>45</v>
      </c>
      <c r="B18" s="79" t="s">
        <v>196</v>
      </c>
      <c r="C18" s="79" t="s">
        <v>12</v>
      </c>
      <c r="D18" s="79">
        <v>3</v>
      </c>
      <c r="E18" s="79">
        <f t="shared" si="0"/>
        <v>98</v>
      </c>
      <c r="F18" s="79">
        <f t="shared" si="8"/>
        <v>0</v>
      </c>
      <c r="G18" s="79">
        <f t="shared" si="1"/>
        <v>0</v>
      </c>
      <c r="H18" s="79">
        <f t="shared" si="2"/>
        <v>0</v>
      </c>
      <c r="I18" s="79">
        <f t="shared" si="3"/>
        <v>0</v>
      </c>
      <c r="J18" s="79">
        <f t="shared" si="4"/>
        <v>0</v>
      </c>
      <c r="K18" s="79">
        <f t="shared" si="5"/>
        <v>0</v>
      </c>
      <c r="L18" s="83" t="str">
        <f t="shared" si="6"/>
        <v>Correct</v>
      </c>
      <c r="M18" s="80">
        <f t="shared" si="7"/>
        <v>392</v>
      </c>
      <c r="O18" s="79">
        <v>98</v>
      </c>
    </row>
    <row r="19" spans="1:61">
      <c r="A19" s="80" t="s">
        <v>645</v>
      </c>
      <c r="B19" s="79" t="s">
        <v>196</v>
      </c>
      <c r="C19" s="79" t="s">
        <v>12</v>
      </c>
      <c r="D19" s="79">
        <v>4</v>
      </c>
      <c r="E19" s="79">
        <f t="shared" si="0"/>
        <v>58</v>
      </c>
      <c r="F19" s="79">
        <f t="shared" si="8"/>
        <v>0</v>
      </c>
      <c r="G19" s="79">
        <f t="shared" si="1"/>
        <v>0</v>
      </c>
      <c r="H19" s="79">
        <f t="shared" si="2"/>
        <v>14</v>
      </c>
      <c r="I19" s="79">
        <f t="shared" si="3"/>
        <v>0</v>
      </c>
      <c r="J19" s="79">
        <f t="shared" si="4"/>
        <v>0</v>
      </c>
      <c r="K19" s="79">
        <f t="shared" si="5"/>
        <v>0</v>
      </c>
      <c r="L19" s="83" t="str">
        <f t="shared" si="6"/>
        <v>Correct</v>
      </c>
      <c r="M19" s="80">
        <f t="shared" si="7"/>
        <v>288</v>
      </c>
      <c r="O19" s="79">
        <v>58</v>
      </c>
      <c r="Q19" s="79">
        <v>14</v>
      </c>
    </row>
    <row r="20" spans="1:61">
      <c r="A20" s="80" t="s">
        <v>47</v>
      </c>
      <c r="B20" s="79" t="s">
        <v>196</v>
      </c>
      <c r="C20" s="79" t="s">
        <v>12</v>
      </c>
      <c r="D20" s="79">
        <v>5</v>
      </c>
      <c r="E20" s="79">
        <f t="shared" si="0"/>
        <v>42</v>
      </c>
      <c r="F20" s="79">
        <f t="shared" si="8"/>
        <v>0</v>
      </c>
      <c r="G20" s="79">
        <f t="shared" si="1"/>
        <v>0</v>
      </c>
      <c r="H20" s="79">
        <f t="shared" si="2"/>
        <v>7</v>
      </c>
      <c r="I20" s="79">
        <f t="shared" si="3"/>
        <v>0</v>
      </c>
      <c r="J20" s="79">
        <f t="shared" si="4"/>
        <v>0</v>
      </c>
      <c r="K20" s="79">
        <f t="shared" si="5"/>
        <v>0</v>
      </c>
      <c r="L20" s="83" t="str">
        <f t="shared" si="6"/>
        <v>Correct</v>
      </c>
      <c r="M20" s="80">
        <f t="shared" si="7"/>
        <v>196</v>
      </c>
      <c r="O20" s="79">
        <v>42</v>
      </c>
      <c r="Q20" s="79">
        <v>7</v>
      </c>
    </row>
    <row r="21" spans="1:61" s="197" customFormat="1">
      <c r="A21" s="195" t="s">
        <v>48</v>
      </c>
      <c r="B21" s="196" t="s">
        <v>196</v>
      </c>
      <c r="C21" s="196" t="s">
        <v>12</v>
      </c>
      <c r="D21" s="197">
        <v>6</v>
      </c>
      <c r="E21" s="79">
        <f t="shared" si="0"/>
        <v>80</v>
      </c>
      <c r="F21" s="79">
        <f t="shared" si="8"/>
        <v>0</v>
      </c>
      <c r="G21" s="197">
        <f t="shared" si="1"/>
        <v>0</v>
      </c>
      <c r="H21" s="197">
        <f t="shared" si="2"/>
        <v>0</v>
      </c>
      <c r="I21" s="197">
        <f t="shared" si="3"/>
        <v>0</v>
      </c>
      <c r="J21" s="197">
        <f t="shared" si="4"/>
        <v>0</v>
      </c>
      <c r="K21" s="197">
        <f t="shared" si="5"/>
        <v>0</v>
      </c>
      <c r="L21" s="83" t="str">
        <f t="shared" si="6"/>
        <v>Correct</v>
      </c>
      <c r="M21" s="80">
        <f t="shared" si="7"/>
        <v>320</v>
      </c>
      <c r="N21" s="197">
        <v>80</v>
      </c>
    </row>
    <row r="22" spans="1:61">
      <c r="A22" s="80" t="s">
        <v>60</v>
      </c>
      <c r="B22" s="79" t="s">
        <v>196</v>
      </c>
      <c r="C22" s="79" t="s">
        <v>13</v>
      </c>
      <c r="D22" s="79">
        <v>1</v>
      </c>
      <c r="E22" s="79">
        <f t="shared" si="0"/>
        <v>11</v>
      </c>
      <c r="F22" s="79">
        <f t="shared" si="8"/>
        <v>4</v>
      </c>
      <c r="G22" s="79">
        <f t="shared" si="1"/>
        <v>0</v>
      </c>
      <c r="H22" s="79">
        <f t="shared" si="2"/>
        <v>33</v>
      </c>
      <c r="I22" s="79">
        <f t="shared" si="3"/>
        <v>2</v>
      </c>
      <c r="J22" s="79">
        <f t="shared" si="4"/>
        <v>0</v>
      </c>
      <c r="K22" s="79">
        <f t="shared" si="5"/>
        <v>0</v>
      </c>
      <c r="L22" s="83" t="str">
        <f t="shared" si="6"/>
        <v>Correct</v>
      </c>
      <c r="M22" s="80">
        <f t="shared" si="7"/>
        <v>200</v>
      </c>
      <c r="P22" s="79">
        <v>2</v>
      </c>
      <c r="Q22" s="79">
        <v>33</v>
      </c>
      <c r="Y22" s="79">
        <v>2</v>
      </c>
      <c r="Z22" s="79">
        <v>1</v>
      </c>
      <c r="AK22" s="79">
        <v>1</v>
      </c>
      <c r="BG22" s="79">
        <v>11</v>
      </c>
    </row>
    <row r="23" spans="1:61">
      <c r="A23" s="80" t="s">
        <v>61</v>
      </c>
      <c r="B23" s="79" t="s">
        <v>196</v>
      </c>
      <c r="C23" s="79" t="s">
        <v>13</v>
      </c>
      <c r="D23" s="79">
        <v>2</v>
      </c>
      <c r="E23" s="79">
        <f t="shared" si="0"/>
        <v>0</v>
      </c>
      <c r="F23" s="79">
        <f t="shared" si="8"/>
        <v>0</v>
      </c>
      <c r="G23" s="79">
        <f t="shared" si="1"/>
        <v>3</v>
      </c>
      <c r="H23" s="79">
        <f t="shared" si="2"/>
        <v>31</v>
      </c>
      <c r="I23" s="79">
        <f t="shared" si="3"/>
        <v>0</v>
      </c>
      <c r="J23" s="79">
        <f t="shared" si="4"/>
        <v>19</v>
      </c>
      <c r="K23" s="79">
        <f t="shared" si="5"/>
        <v>0</v>
      </c>
      <c r="L23" s="83" t="str">
        <f t="shared" si="6"/>
        <v>Correct</v>
      </c>
      <c r="M23" s="80">
        <f t="shared" si="7"/>
        <v>212</v>
      </c>
      <c r="Q23" s="79">
        <v>3</v>
      </c>
      <c r="V23" s="79">
        <v>28</v>
      </c>
      <c r="W23" s="79">
        <v>3</v>
      </c>
      <c r="BE23" s="79">
        <v>17</v>
      </c>
      <c r="BF23" s="79">
        <v>2</v>
      </c>
    </row>
    <row r="24" spans="1:61">
      <c r="A24" s="80" t="s">
        <v>62</v>
      </c>
      <c r="B24" s="79" t="s">
        <v>196</v>
      </c>
      <c r="C24" s="79" t="s">
        <v>13</v>
      </c>
      <c r="D24" s="79">
        <v>3</v>
      </c>
      <c r="E24" s="79">
        <f t="shared" si="0"/>
        <v>5</v>
      </c>
      <c r="F24" s="79">
        <f t="shared" si="8"/>
        <v>0</v>
      </c>
      <c r="G24" s="79">
        <f t="shared" si="1"/>
        <v>0</v>
      </c>
      <c r="H24" s="204">
        <f t="shared" si="2"/>
        <v>46</v>
      </c>
      <c r="I24" s="79">
        <f t="shared" si="3"/>
        <v>1</v>
      </c>
      <c r="J24" s="79">
        <f t="shared" si="4"/>
        <v>9</v>
      </c>
      <c r="K24" s="79">
        <f t="shared" si="5"/>
        <v>0</v>
      </c>
      <c r="L24" s="83" t="str">
        <f t="shared" si="6"/>
        <v>Correct</v>
      </c>
      <c r="M24" s="80">
        <f t="shared" si="7"/>
        <v>244</v>
      </c>
      <c r="O24" s="79">
        <v>5</v>
      </c>
      <c r="P24" s="79">
        <v>1</v>
      </c>
      <c r="Q24" s="79">
        <v>33</v>
      </c>
      <c r="X24" s="79">
        <v>13</v>
      </c>
      <c r="BE24" s="79">
        <v>9</v>
      </c>
    </row>
    <row r="25" spans="1:61">
      <c r="A25" s="80" t="s">
        <v>644</v>
      </c>
      <c r="B25" s="79" t="s">
        <v>196</v>
      </c>
      <c r="C25" s="79" t="s">
        <v>13</v>
      </c>
      <c r="D25" s="79">
        <v>4</v>
      </c>
      <c r="E25" s="79">
        <f t="shared" si="0"/>
        <v>15</v>
      </c>
      <c r="F25" s="79">
        <f t="shared" si="8"/>
        <v>0</v>
      </c>
      <c r="G25" s="79">
        <f t="shared" si="1"/>
        <v>0</v>
      </c>
      <c r="H25" s="79">
        <f t="shared" si="2"/>
        <v>60</v>
      </c>
      <c r="I25" s="79">
        <f t="shared" si="3"/>
        <v>50</v>
      </c>
      <c r="J25" s="79">
        <f t="shared" si="4"/>
        <v>0</v>
      </c>
      <c r="K25" s="79">
        <f t="shared" si="5"/>
        <v>0</v>
      </c>
      <c r="L25" s="83" t="str">
        <f t="shared" si="6"/>
        <v>Correct</v>
      </c>
      <c r="M25" s="80">
        <f t="shared" si="7"/>
        <v>500</v>
      </c>
      <c r="O25" s="79">
        <v>15</v>
      </c>
      <c r="P25" s="79">
        <v>50</v>
      </c>
      <c r="Q25" s="79">
        <v>60</v>
      </c>
    </row>
    <row r="26" spans="1:61">
      <c r="A26" s="80" t="s">
        <v>63</v>
      </c>
      <c r="B26" s="79" t="s">
        <v>196</v>
      </c>
      <c r="C26" s="79" t="s">
        <v>13</v>
      </c>
      <c r="D26" s="79">
        <v>5</v>
      </c>
      <c r="E26" s="79">
        <f t="shared" si="0"/>
        <v>24</v>
      </c>
      <c r="F26" s="79">
        <f t="shared" si="8"/>
        <v>1</v>
      </c>
      <c r="G26" s="79">
        <f t="shared" si="1"/>
        <v>18</v>
      </c>
      <c r="H26" s="79">
        <f t="shared" si="2"/>
        <v>75</v>
      </c>
      <c r="I26" s="79">
        <f t="shared" si="3"/>
        <v>6</v>
      </c>
      <c r="J26" s="79">
        <f t="shared" si="4"/>
        <v>0</v>
      </c>
      <c r="K26" s="79">
        <f t="shared" si="5"/>
        <v>0</v>
      </c>
      <c r="L26" s="83" t="str">
        <f t="shared" si="6"/>
        <v>Correct</v>
      </c>
      <c r="M26" s="80">
        <f t="shared" si="7"/>
        <v>496</v>
      </c>
      <c r="P26" s="79">
        <v>6</v>
      </c>
      <c r="Q26" s="79">
        <v>61</v>
      </c>
      <c r="W26" s="79">
        <v>18</v>
      </c>
      <c r="X26" s="79">
        <v>10</v>
      </c>
      <c r="AA26" s="79">
        <v>4</v>
      </c>
      <c r="AL26" s="79">
        <v>1</v>
      </c>
      <c r="BH26" s="79">
        <v>24</v>
      </c>
    </row>
    <row r="27" spans="1:61" s="81" customFormat="1">
      <c r="A27" s="82" t="s">
        <v>64</v>
      </c>
      <c r="B27" s="81" t="s">
        <v>196</v>
      </c>
      <c r="C27" s="81" t="s">
        <v>13</v>
      </c>
      <c r="D27" s="81">
        <v>6</v>
      </c>
      <c r="E27" s="79">
        <f t="shared" si="0"/>
        <v>27</v>
      </c>
      <c r="F27" s="79">
        <f t="shared" si="8"/>
        <v>0</v>
      </c>
      <c r="G27" s="81">
        <f t="shared" si="1"/>
        <v>0</v>
      </c>
      <c r="H27" s="81">
        <f t="shared" si="2"/>
        <v>8</v>
      </c>
      <c r="I27" s="81">
        <f t="shared" si="3"/>
        <v>11</v>
      </c>
      <c r="J27" s="81">
        <f t="shared" si="4"/>
        <v>25</v>
      </c>
      <c r="K27" s="81">
        <f t="shared" si="5"/>
        <v>0</v>
      </c>
      <c r="L27" s="83" t="str">
        <f t="shared" si="6"/>
        <v>Correct</v>
      </c>
      <c r="M27" s="80">
        <f t="shared" si="7"/>
        <v>284</v>
      </c>
      <c r="Q27" s="81">
        <v>8</v>
      </c>
      <c r="AB27" s="81">
        <v>11</v>
      </c>
      <c r="AM27" s="81">
        <v>27</v>
      </c>
      <c r="BE27" s="81">
        <v>25</v>
      </c>
    </row>
    <row r="28" spans="1:61">
      <c r="A28" s="80" t="s">
        <v>81</v>
      </c>
      <c r="B28" s="79" t="s">
        <v>197</v>
      </c>
      <c r="C28" s="79" t="s">
        <v>12</v>
      </c>
      <c r="D28" s="83">
        <v>1</v>
      </c>
      <c r="E28" s="79">
        <f t="shared" si="0"/>
        <v>70</v>
      </c>
      <c r="F28" s="79">
        <f t="shared" si="8"/>
        <v>13</v>
      </c>
      <c r="G28" s="79">
        <f t="shared" ref="G28:G33" si="9">W28+AE28</f>
        <v>0</v>
      </c>
      <c r="H28" s="79">
        <f t="shared" ref="H28:H33" si="10">Q28+V28+X28+AA28+AG28</f>
        <v>0</v>
      </c>
      <c r="I28" s="79">
        <f t="shared" ref="I28:I33" si="11">P28+AB28</f>
        <v>0</v>
      </c>
      <c r="J28" s="79">
        <f t="shared" ref="J28:J33" si="12">SUM(AX28:AZ28)+SUM(BE28:BF28)+SUM(BK28:BM28)+SUM(BQ28:BS28)</f>
        <v>0</v>
      </c>
      <c r="K28" s="79">
        <f t="shared" si="5"/>
        <v>0</v>
      </c>
      <c r="L28" s="83" t="str">
        <f t="shared" si="6"/>
        <v>Correct</v>
      </c>
      <c r="M28" s="80">
        <f t="shared" si="7"/>
        <v>332</v>
      </c>
      <c r="N28" s="83">
        <v>64</v>
      </c>
      <c r="O28" s="83"/>
      <c r="P28" s="83"/>
      <c r="Q28" s="83"/>
      <c r="R28" s="83"/>
      <c r="S28" s="83"/>
      <c r="T28" s="83"/>
      <c r="U28" s="83"/>
      <c r="V28" s="83"/>
      <c r="W28" s="83"/>
      <c r="Z28" s="83"/>
      <c r="AC28" s="83">
        <v>13</v>
      </c>
      <c r="AD28" s="83"/>
      <c r="BI28" s="83">
        <v>6</v>
      </c>
    </row>
    <row r="29" spans="1:61">
      <c r="A29" s="80" t="s">
        <v>82</v>
      </c>
      <c r="B29" s="79" t="s">
        <v>197</v>
      </c>
      <c r="C29" s="79" t="s">
        <v>12</v>
      </c>
      <c r="D29" s="79">
        <v>2</v>
      </c>
      <c r="E29" s="79">
        <f t="shared" si="0"/>
        <v>72</v>
      </c>
      <c r="F29" s="79">
        <f t="shared" si="8"/>
        <v>0</v>
      </c>
      <c r="G29" s="79">
        <f t="shared" si="9"/>
        <v>0</v>
      </c>
      <c r="H29" s="79">
        <f t="shared" si="10"/>
        <v>0</v>
      </c>
      <c r="I29" s="79">
        <f t="shared" si="11"/>
        <v>0</v>
      </c>
      <c r="J29" s="79">
        <f t="shared" si="12"/>
        <v>0</v>
      </c>
      <c r="K29" s="79">
        <f t="shared" si="5"/>
        <v>0</v>
      </c>
      <c r="L29" s="83" t="str">
        <f t="shared" si="6"/>
        <v>Correct</v>
      </c>
      <c r="M29" s="80">
        <f t="shared" si="7"/>
        <v>288</v>
      </c>
      <c r="N29" s="79">
        <v>72</v>
      </c>
    </row>
    <row r="30" spans="1:61">
      <c r="A30" s="80" t="s">
        <v>83</v>
      </c>
      <c r="B30" s="79" t="s">
        <v>197</v>
      </c>
      <c r="C30" s="79" t="s">
        <v>12</v>
      </c>
      <c r="D30" s="79">
        <v>3</v>
      </c>
      <c r="E30" s="79">
        <f t="shared" si="0"/>
        <v>96</v>
      </c>
      <c r="F30" s="79">
        <f t="shared" si="8"/>
        <v>0</v>
      </c>
      <c r="G30" s="79">
        <f t="shared" si="9"/>
        <v>0</v>
      </c>
      <c r="H30" s="79">
        <f t="shared" si="10"/>
        <v>0</v>
      </c>
      <c r="I30" s="79">
        <f t="shared" si="11"/>
        <v>58</v>
      </c>
      <c r="J30" s="79">
        <f t="shared" si="12"/>
        <v>0</v>
      </c>
      <c r="K30" s="79">
        <f t="shared" si="5"/>
        <v>0</v>
      </c>
      <c r="L30" s="83" t="str">
        <f t="shared" si="6"/>
        <v>Correct</v>
      </c>
      <c r="M30" s="80">
        <f t="shared" si="7"/>
        <v>616</v>
      </c>
      <c r="N30" s="79">
        <v>96</v>
      </c>
      <c r="P30" s="79">
        <v>58</v>
      </c>
    </row>
    <row r="31" spans="1:61">
      <c r="A31" s="80" t="s">
        <v>647</v>
      </c>
      <c r="B31" s="79" t="s">
        <v>197</v>
      </c>
      <c r="C31" s="79" t="s">
        <v>12</v>
      </c>
      <c r="D31" s="79">
        <v>4</v>
      </c>
      <c r="E31" s="79">
        <f t="shared" si="0"/>
        <v>62</v>
      </c>
      <c r="F31" s="79">
        <f t="shared" si="8"/>
        <v>36</v>
      </c>
      <c r="G31" s="79">
        <f t="shared" si="9"/>
        <v>0</v>
      </c>
      <c r="H31" s="79">
        <f t="shared" si="10"/>
        <v>0</v>
      </c>
      <c r="I31" s="79">
        <f t="shared" si="11"/>
        <v>41</v>
      </c>
      <c r="J31" s="79">
        <f t="shared" si="12"/>
        <v>0</v>
      </c>
      <c r="K31" s="79">
        <f t="shared" si="5"/>
        <v>0</v>
      </c>
      <c r="L31" s="83" t="str">
        <f t="shared" si="6"/>
        <v>Correct</v>
      </c>
      <c r="M31" s="80">
        <f t="shared" si="7"/>
        <v>556</v>
      </c>
      <c r="N31" s="79">
        <v>49</v>
      </c>
      <c r="O31" s="79">
        <v>13</v>
      </c>
      <c r="P31" s="79">
        <v>41</v>
      </c>
      <c r="AD31" s="79">
        <v>36</v>
      </c>
    </row>
    <row r="32" spans="1:61">
      <c r="A32" s="80" t="s">
        <v>84</v>
      </c>
      <c r="B32" s="79" t="s">
        <v>197</v>
      </c>
      <c r="C32" s="79" t="s">
        <v>12</v>
      </c>
      <c r="D32" s="79">
        <v>5</v>
      </c>
      <c r="E32" s="79">
        <f t="shared" si="0"/>
        <v>77</v>
      </c>
      <c r="F32" s="79">
        <f t="shared" si="8"/>
        <v>0</v>
      </c>
      <c r="G32" s="79">
        <f t="shared" si="9"/>
        <v>0</v>
      </c>
      <c r="H32" s="79">
        <f t="shared" si="10"/>
        <v>0</v>
      </c>
      <c r="I32" s="79">
        <f t="shared" si="11"/>
        <v>68</v>
      </c>
      <c r="J32" s="79">
        <f t="shared" si="12"/>
        <v>0</v>
      </c>
      <c r="K32" s="79">
        <f t="shared" si="5"/>
        <v>0</v>
      </c>
      <c r="L32" s="83" t="str">
        <f t="shared" si="6"/>
        <v>Correct</v>
      </c>
      <c r="M32" s="80">
        <f t="shared" si="7"/>
        <v>580</v>
      </c>
      <c r="N32" s="79">
        <v>77</v>
      </c>
      <c r="P32" s="79">
        <v>68</v>
      </c>
    </row>
    <row r="33" spans="1:68" s="83" customFormat="1">
      <c r="A33" s="83" t="s">
        <v>85</v>
      </c>
      <c r="B33" s="83" t="s">
        <v>197</v>
      </c>
      <c r="C33" s="83" t="s">
        <v>12</v>
      </c>
      <c r="D33" s="83">
        <v>6</v>
      </c>
      <c r="E33" s="79">
        <f t="shared" si="0"/>
        <v>55</v>
      </c>
      <c r="F33" s="79">
        <f t="shared" si="8"/>
        <v>0</v>
      </c>
      <c r="G33" s="83">
        <f t="shared" si="9"/>
        <v>0</v>
      </c>
      <c r="H33" s="83">
        <f t="shared" si="10"/>
        <v>0</v>
      </c>
      <c r="I33" s="83">
        <f t="shared" si="11"/>
        <v>60</v>
      </c>
      <c r="J33" s="83">
        <f t="shared" si="12"/>
        <v>0</v>
      </c>
      <c r="K33" s="83">
        <f t="shared" si="5"/>
        <v>0</v>
      </c>
      <c r="L33" s="83" t="str">
        <f t="shared" si="6"/>
        <v>Correct</v>
      </c>
      <c r="M33" s="80">
        <f t="shared" si="7"/>
        <v>459.99999999999994</v>
      </c>
      <c r="N33" s="83">
        <v>55</v>
      </c>
      <c r="P33" s="83">
        <v>60</v>
      </c>
    </row>
    <row r="34" spans="1:68">
      <c r="A34" s="80" t="s">
        <v>101</v>
      </c>
      <c r="B34" s="79" t="s">
        <v>197</v>
      </c>
      <c r="C34" s="79" t="s">
        <v>13</v>
      </c>
      <c r="D34" s="79">
        <v>1</v>
      </c>
      <c r="E34" s="79">
        <f t="shared" si="0"/>
        <v>0</v>
      </c>
      <c r="F34" s="79">
        <f t="shared" si="8"/>
        <v>0</v>
      </c>
      <c r="G34" s="79">
        <f t="shared" ref="G34:G51" si="13">W34+AE34</f>
        <v>22</v>
      </c>
      <c r="H34" s="79">
        <f t="shared" ref="H34:H51" si="14">Q34+V34+X34+AA34+AG34</f>
        <v>52</v>
      </c>
      <c r="I34" s="79">
        <f t="shared" ref="I34:I51" si="15">P34+AB34</f>
        <v>0</v>
      </c>
      <c r="J34" s="79">
        <f t="shared" ref="J34:J51" si="16">SUM(AX34:AZ34)+SUM(BE34:BF34)+SUM(BK34:BM34)+SUM(BQ34:BS34)</f>
        <v>0</v>
      </c>
      <c r="K34" s="79">
        <f t="shared" si="5"/>
        <v>0</v>
      </c>
      <c r="L34" s="83" t="str">
        <f t="shared" si="6"/>
        <v>Correct</v>
      </c>
      <c r="M34" s="80">
        <f t="shared" si="7"/>
        <v>296</v>
      </c>
      <c r="Q34" s="79">
        <v>32</v>
      </c>
      <c r="V34" s="79">
        <v>20</v>
      </c>
      <c r="W34" s="79">
        <v>22</v>
      </c>
    </row>
    <row r="35" spans="1:68">
      <c r="A35" s="80" t="s">
        <v>102</v>
      </c>
      <c r="B35" s="79" t="s">
        <v>197</v>
      </c>
      <c r="C35" s="79" t="s">
        <v>13</v>
      </c>
      <c r="D35" s="79">
        <v>2</v>
      </c>
      <c r="E35" s="79">
        <f t="shared" si="0"/>
        <v>0</v>
      </c>
      <c r="F35" s="79">
        <f t="shared" si="8"/>
        <v>0</v>
      </c>
      <c r="G35" s="79">
        <f t="shared" si="13"/>
        <v>0</v>
      </c>
      <c r="H35" s="204">
        <f t="shared" si="14"/>
        <v>54</v>
      </c>
      <c r="I35" s="79">
        <f t="shared" si="15"/>
        <v>0</v>
      </c>
      <c r="J35" s="79">
        <f t="shared" si="16"/>
        <v>0</v>
      </c>
      <c r="K35" s="79">
        <f t="shared" si="5"/>
        <v>0</v>
      </c>
      <c r="L35" s="83" t="str">
        <f t="shared" si="6"/>
        <v>Correct</v>
      </c>
      <c r="M35" s="80">
        <f t="shared" si="7"/>
        <v>216</v>
      </c>
      <c r="Q35" s="79">
        <v>7</v>
      </c>
      <c r="V35" s="79">
        <v>47</v>
      </c>
    </row>
    <row r="36" spans="1:68">
      <c r="A36" s="80" t="s">
        <v>103</v>
      </c>
      <c r="B36" s="79" t="s">
        <v>197</v>
      </c>
      <c r="C36" s="79" t="s">
        <v>13</v>
      </c>
      <c r="D36" s="79">
        <v>3</v>
      </c>
      <c r="E36" s="79">
        <f t="shared" ref="E36:E63" si="17">N36+O36+R36+AH36+AJ36+AM36+SUM(AO36:AW36)+SUM(BA36:BD36)+SUM(BG36:BJ36)</f>
        <v>0</v>
      </c>
      <c r="F36" s="79">
        <f t="shared" si="8"/>
        <v>1</v>
      </c>
      <c r="G36" s="205">
        <f t="shared" si="13"/>
        <v>72</v>
      </c>
      <c r="H36" s="79">
        <f t="shared" si="14"/>
        <v>25</v>
      </c>
      <c r="I36" s="79">
        <f t="shared" si="15"/>
        <v>0</v>
      </c>
      <c r="J36" s="79">
        <f t="shared" si="16"/>
        <v>0</v>
      </c>
      <c r="K36" s="79">
        <f t="shared" si="5"/>
        <v>0</v>
      </c>
      <c r="L36" s="83" t="str">
        <f t="shared" ref="L36:L63" si="18">IF(SUM(E36:K36)=SUM(N36:BT36),"Correct","Something went wrong")</f>
        <v>Correct</v>
      </c>
      <c r="M36" s="80">
        <f t="shared" si="7"/>
        <v>392</v>
      </c>
      <c r="Q36" s="79">
        <v>25</v>
      </c>
      <c r="W36" s="79">
        <v>72</v>
      </c>
      <c r="Z36" s="79">
        <v>1</v>
      </c>
    </row>
    <row r="37" spans="1:68">
      <c r="A37" s="80" t="s">
        <v>646</v>
      </c>
      <c r="B37" s="79" t="s">
        <v>197</v>
      </c>
      <c r="C37" s="79" t="s">
        <v>13</v>
      </c>
      <c r="D37" s="79">
        <v>4</v>
      </c>
      <c r="E37" s="79">
        <f t="shared" si="17"/>
        <v>0</v>
      </c>
      <c r="F37" s="79">
        <f t="shared" si="8"/>
        <v>0</v>
      </c>
      <c r="G37" s="79">
        <f t="shared" si="13"/>
        <v>21</v>
      </c>
      <c r="H37" s="79">
        <f t="shared" si="14"/>
        <v>35</v>
      </c>
      <c r="I37" s="79">
        <f t="shared" si="15"/>
        <v>0</v>
      </c>
      <c r="J37" s="79">
        <f t="shared" si="16"/>
        <v>0</v>
      </c>
      <c r="K37" s="79">
        <f t="shared" si="5"/>
        <v>0</v>
      </c>
      <c r="L37" s="83" t="str">
        <f t="shared" si="18"/>
        <v>Correct</v>
      </c>
      <c r="M37" s="80">
        <f t="shared" si="7"/>
        <v>224.00000000000003</v>
      </c>
      <c r="V37" s="79">
        <v>35</v>
      </c>
      <c r="W37" s="79">
        <v>21</v>
      </c>
    </row>
    <row r="38" spans="1:68">
      <c r="A38" s="80" t="s">
        <v>104</v>
      </c>
      <c r="B38" s="79" t="s">
        <v>197</v>
      </c>
      <c r="C38" s="79" t="s">
        <v>13</v>
      </c>
      <c r="D38" s="79">
        <v>5</v>
      </c>
      <c r="E38" s="79">
        <f t="shared" si="17"/>
        <v>0</v>
      </c>
      <c r="F38" s="79">
        <f t="shared" si="8"/>
        <v>0</v>
      </c>
      <c r="G38" s="79">
        <f t="shared" si="13"/>
        <v>17</v>
      </c>
      <c r="H38" s="79">
        <f t="shared" si="14"/>
        <v>32</v>
      </c>
      <c r="I38" s="79">
        <f t="shared" si="15"/>
        <v>0</v>
      </c>
      <c r="J38" s="79">
        <f t="shared" si="16"/>
        <v>0</v>
      </c>
      <c r="K38" s="79">
        <f t="shared" si="5"/>
        <v>0</v>
      </c>
      <c r="L38" s="83" t="str">
        <f t="shared" si="18"/>
        <v>Correct</v>
      </c>
      <c r="M38" s="80">
        <f t="shared" si="7"/>
        <v>196</v>
      </c>
      <c r="Q38" s="79">
        <v>2</v>
      </c>
      <c r="V38" s="79">
        <v>30</v>
      </c>
      <c r="W38" s="79">
        <v>17</v>
      </c>
    </row>
    <row r="39" spans="1:68" s="81" customFormat="1">
      <c r="A39" s="82" t="s">
        <v>105</v>
      </c>
      <c r="B39" s="81" t="s">
        <v>197</v>
      </c>
      <c r="C39" s="81" t="s">
        <v>13</v>
      </c>
      <c r="D39" s="81">
        <v>6</v>
      </c>
      <c r="E39" s="79">
        <f t="shared" si="17"/>
        <v>0</v>
      </c>
      <c r="F39" s="79">
        <f t="shared" si="8"/>
        <v>0</v>
      </c>
      <c r="G39" s="81">
        <f t="shared" si="13"/>
        <v>24</v>
      </c>
      <c r="H39" s="81">
        <f t="shared" si="14"/>
        <v>44</v>
      </c>
      <c r="I39" s="81">
        <f t="shared" si="15"/>
        <v>0</v>
      </c>
      <c r="J39" s="81">
        <f t="shared" si="16"/>
        <v>0</v>
      </c>
      <c r="K39" s="81">
        <f t="shared" si="5"/>
        <v>0</v>
      </c>
      <c r="L39" s="83" t="str">
        <f t="shared" si="18"/>
        <v>Correct</v>
      </c>
      <c r="M39" s="80">
        <f t="shared" si="7"/>
        <v>272</v>
      </c>
      <c r="Q39" s="81">
        <v>4</v>
      </c>
      <c r="V39" s="81">
        <v>40</v>
      </c>
      <c r="W39" s="81">
        <v>24</v>
      </c>
    </row>
    <row r="40" spans="1:68">
      <c r="A40" s="80" t="s">
        <v>123</v>
      </c>
      <c r="B40" s="79" t="s">
        <v>198</v>
      </c>
      <c r="C40" s="79" t="s">
        <v>12</v>
      </c>
      <c r="D40" s="83">
        <v>1</v>
      </c>
      <c r="E40" s="79">
        <f t="shared" si="17"/>
        <v>78</v>
      </c>
      <c r="F40" s="79">
        <f t="shared" si="8"/>
        <v>6</v>
      </c>
      <c r="G40" s="79">
        <f t="shared" si="13"/>
        <v>0</v>
      </c>
      <c r="H40" s="79">
        <f t="shared" si="14"/>
        <v>0</v>
      </c>
      <c r="I40" s="79">
        <f t="shared" si="15"/>
        <v>27</v>
      </c>
      <c r="J40" s="79">
        <f t="shared" si="16"/>
        <v>0</v>
      </c>
      <c r="K40" s="79">
        <f t="shared" si="5"/>
        <v>0</v>
      </c>
      <c r="L40" s="83" t="str">
        <f t="shared" si="18"/>
        <v>Correct</v>
      </c>
      <c r="M40" s="80">
        <f t="shared" si="7"/>
        <v>444.00000000000006</v>
      </c>
      <c r="N40" s="83"/>
      <c r="O40" s="83">
        <v>30</v>
      </c>
      <c r="P40" s="83">
        <v>27</v>
      </c>
      <c r="Q40" s="83"/>
      <c r="R40" s="83"/>
      <c r="S40" s="83"/>
      <c r="T40" s="83"/>
      <c r="U40" s="83"/>
      <c r="V40" s="83"/>
      <c r="W40" s="83"/>
      <c r="Z40" s="83">
        <v>2</v>
      </c>
      <c r="AC40" s="83">
        <v>1</v>
      </c>
      <c r="AE40" s="83"/>
      <c r="AF40" s="83">
        <v>2</v>
      </c>
      <c r="AM40" s="83"/>
      <c r="AN40" s="83">
        <v>1</v>
      </c>
      <c r="AO40" s="83">
        <v>48</v>
      </c>
      <c r="BJ40" s="83"/>
      <c r="BK40" s="83"/>
      <c r="BL40" s="83"/>
      <c r="BM40" s="83"/>
      <c r="BN40" s="83"/>
      <c r="BO40" s="83"/>
      <c r="BP40" s="83"/>
    </row>
    <row r="41" spans="1:68">
      <c r="A41" s="80" t="s">
        <v>124</v>
      </c>
      <c r="B41" s="79" t="s">
        <v>198</v>
      </c>
      <c r="C41" s="79" t="s">
        <v>12</v>
      </c>
      <c r="D41" s="79">
        <v>2</v>
      </c>
      <c r="E41" s="79">
        <f t="shared" si="17"/>
        <v>90</v>
      </c>
      <c r="F41" s="79">
        <f t="shared" si="8"/>
        <v>2</v>
      </c>
      <c r="G41" s="79">
        <f t="shared" si="13"/>
        <v>0</v>
      </c>
      <c r="H41" s="79">
        <f t="shared" si="14"/>
        <v>0</v>
      </c>
      <c r="I41" s="79">
        <f t="shared" si="15"/>
        <v>21</v>
      </c>
      <c r="J41" s="79">
        <f t="shared" si="16"/>
        <v>0</v>
      </c>
      <c r="K41" s="79">
        <f t="shared" si="5"/>
        <v>0</v>
      </c>
      <c r="L41" s="83" t="str">
        <f t="shared" si="18"/>
        <v>Correct</v>
      </c>
      <c r="M41" s="80">
        <f t="shared" si="7"/>
        <v>451.99999999999994</v>
      </c>
      <c r="N41" s="79">
        <v>10</v>
      </c>
      <c r="O41" s="79">
        <v>26</v>
      </c>
      <c r="P41" s="79">
        <v>21</v>
      </c>
      <c r="AN41" s="79">
        <v>2</v>
      </c>
      <c r="AO41" s="79">
        <v>5</v>
      </c>
      <c r="BJ41" s="79">
        <v>49</v>
      </c>
    </row>
    <row r="42" spans="1:68">
      <c r="A42" s="80" t="s">
        <v>125</v>
      </c>
      <c r="B42" s="79" t="s">
        <v>198</v>
      </c>
      <c r="C42" s="79" t="s">
        <v>12</v>
      </c>
      <c r="D42" s="79">
        <v>3</v>
      </c>
      <c r="E42" s="79">
        <f t="shared" si="17"/>
        <v>73</v>
      </c>
      <c r="F42" s="79">
        <f t="shared" si="8"/>
        <v>0</v>
      </c>
      <c r="G42" s="79">
        <f t="shared" si="13"/>
        <v>0</v>
      </c>
      <c r="H42" s="79">
        <f t="shared" si="14"/>
        <v>24</v>
      </c>
      <c r="I42" s="79">
        <f t="shared" si="15"/>
        <v>4</v>
      </c>
      <c r="J42" s="79">
        <f t="shared" si="16"/>
        <v>0</v>
      </c>
      <c r="K42" s="79">
        <f t="shared" si="5"/>
        <v>0</v>
      </c>
      <c r="L42" s="83" t="str">
        <f t="shared" si="18"/>
        <v>Correct</v>
      </c>
      <c r="M42" s="80">
        <f t="shared" si="7"/>
        <v>404</v>
      </c>
      <c r="N42" s="79">
        <v>27</v>
      </c>
      <c r="O42" s="79">
        <v>36</v>
      </c>
      <c r="P42" s="79">
        <v>4</v>
      </c>
      <c r="Q42" s="79">
        <v>24</v>
      </c>
      <c r="AO42" s="79">
        <v>2</v>
      </c>
      <c r="BJ42" s="79">
        <v>8</v>
      </c>
    </row>
    <row r="43" spans="1:68">
      <c r="A43" s="80" t="s">
        <v>126</v>
      </c>
      <c r="B43" s="79" t="s">
        <v>198</v>
      </c>
      <c r="C43" s="79" t="s">
        <v>12</v>
      </c>
      <c r="D43" s="79">
        <v>4</v>
      </c>
      <c r="E43" s="79">
        <f t="shared" si="17"/>
        <v>103</v>
      </c>
      <c r="F43" s="79">
        <f t="shared" si="8"/>
        <v>1</v>
      </c>
      <c r="G43" s="79">
        <f t="shared" si="13"/>
        <v>0</v>
      </c>
      <c r="H43" s="79">
        <f t="shared" si="14"/>
        <v>0</v>
      </c>
      <c r="I43" s="79">
        <f t="shared" si="15"/>
        <v>60</v>
      </c>
      <c r="J43" s="79">
        <f t="shared" si="16"/>
        <v>0</v>
      </c>
      <c r="K43" s="79">
        <f t="shared" si="5"/>
        <v>0</v>
      </c>
      <c r="L43" s="83" t="str">
        <f t="shared" si="18"/>
        <v>Correct</v>
      </c>
      <c r="M43" s="80">
        <f t="shared" si="7"/>
        <v>656</v>
      </c>
      <c r="N43" s="79">
        <v>12</v>
      </c>
      <c r="O43" s="79">
        <v>85</v>
      </c>
      <c r="P43" s="79">
        <v>60</v>
      </c>
      <c r="AN43" s="79">
        <v>1</v>
      </c>
      <c r="AO43" s="79">
        <v>6</v>
      </c>
    </row>
    <row r="44" spans="1:68">
      <c r="A44" s="80" t="s">
        <v>127</v>
      </c>
      <c r="B44" s="79" t="s">
        <v>198</v>
      </c>
      <c r="C44" s="79" t="s">
        <v>12</v>
      </c>
      <c r="D44" s="79">
        <v>5</v>
      </c>
      <c r="E44" s="79">
        <f t="shared" si="17"/>
        <v>154</v>
      </c>
      <c r="F44" s="79">
        <f t="shared" si="8"/>
        <v>1</v>
      </c>
      <c r="G44" s="79">
        <f t="shared" si="13"/>
        <v>0</v>
      </c>
      <c r="H44" s="79">
        <f t="shared" si="14"/>
        <v>0</v>
      </c>
      <c r="I44" s="79">
        <f t="shared" si="15"/>
        <v>20</v>
      </c>
      <c r="J44" s="79">
        <f t="shared" si="16"/>
        <v>2</v>
      </c>
      <c r="K44" s="79">
        <f t="shared" si="5"/>
        <v>0</v>
      </c>
      <c r="L44" s="83" t="str">
        <f t="shared" si="18"/>
        <v>Correct</v>
      </c>
      <c r="M44" s="80">
        <f t="shared" si="7"/>
        <v>708</v>
      </c>
      <c r="N44" s="79">
        <v>52</v>
      </c>
      <c r="O44" s="79">
        <v>80</v>
      </c>
      <c r="P44" s="79">
        <v>20</v>
      </c>
      <c r="AN44" s="79">
        <v>1</v>
      </c>
      <c r="AO44" s="79">
        <v>18</v>
      </c>
      <c r="BJ44" s="79">
        <v>4</v>
      </c>
      <c r="BK44" s="79">
        <v>2</v>
      </c>
    </row>
    <row r="45" spans="1:68" s="83" customFormat="1">
      <c r="A45" s="83" t="s">
        <v>650</v>
      </c>
      <c r="B45" s="83" t="s">
        <v>198</v>
      </c>
      <c r="C45" s="83" t="s">
        <v>12</v>
      </c>
      <c r="D45" s="83">
        <v>6</v>
      </c>
      <c r="E45" s="79">
        <f t="shared" si="17"/>
        <v>97</v>
      </c>
      <c r="F45" s="79">
        <f t="shared" si="8"/>
        <v>2</v>
      </c>
      <c r="G45" s="83">
        <f t="shared" si="13"/>
        <v>0</v>
      </c>
      <c r="H45" s="83">
        <f t="shared" si="14"/>
        <v>21</v>
      </c>
      <c r="I45" s="83">
        <f t="shared" si="15"/>
        <v>10</v>
      </c>
      <c r="J45" s="83">
        <f t="shared" si="16"/>
        <v>0</v>
      </c>
      <c r="K45" s="83">
        <f t="shared" si="5"/>
        <v>0</v>
      </c>
      <c r="L45" s="83" t="str">
        <f t="shared" si="18"/>
        <v>Correct</v>
      </c>
      <c r="M45" s="80">
        <f t="shared" si="7"/>
        <v>520</v>
      </c>
      <c r="O45" s="83">
        <v>57</v>
      </c>
      <c r="P45" s="83">
        <v>10</v>
      </c>
      <c r="Q45" s="83">
        <v>21</v>
      </c>
      <c r="AC45" s="83">
        <v>2</v>
      </c>
      <c r="AO45" s="83">
        <v>38</v>
      </c>
      <c r="BJ45" s="83">
        <v>2</v>
      </c>
    </row>
    <row r="46" spans="1:68">
      <c r="A46" s="80" t="s">
        <v>139</v>
      </c>
      <c r="B46" s="79" t="s">
        <v>198</v>
      </c>
      <c r="C46" s="79" t="s">
        <v>13</v>
      </c>
      <c r="D46" s="79">
        <v>1</v>
      </c>
      <c r="E46" s="79">
        <f t="shared" si="17"/>
        <v>0</v>
      </c>
      <c r="F46" s="79">
        <f t="shared" si="8"/>
        <v>0</v>
      </c>
      <c r="G46" s="204">
        <f t="shared" si="13"/>
        <v>39</v>
      </c>
      <c r="H46" s="79">
        <f t="shared" si="14"/>
        <v>0</v>
      </c>
      <c r="I46" s="79">
        <f t="shared" si="15"/>
        <v>0</v>
      </c>
      <c r="J46" s="79">
        <f t="shared" si="16"/>
        <v>7</v>
      </c>
      <c r="K46" s="79">
        <f t="shared" ref="K46:K47" si="19">SUM(BN46:BP46)</f>
        <v>0</v>
      </c>
      <c r="L46" s="83" t="str">
        <f t="shared" si="18"/>
        <v>Correct</v>
      </c>
      <c r="M46" s="80">
        <f t="shared" si="7"/>
        <v>184</v>
      </c>
      <c r="W46" s="79">
        <v>39</v>
      </c>
      <c r="BK46" s="79">
        <v>6</v>
      </c>
      <c r="BL46" s="79">
        <v>1</v>
      </c>
    </row>
    <row r="47" spans="1:68">
      <c r="A47" s="80" t="s">
        <v>140</v>
      </c>
      <c r="B47" s="79" t="s">
        <v>198</v>
      </c>
      <c r="C47" s="79" t="s">
        <v>13</v>
      </c>
      <c r="D47" s="79">
        <v>2</v>
      </c>
      <c r="E47" s="79">
        <f t="shared" si="17"/>
        <v>0</v>
      </c>
      <c r="F47" s="79">
        <f t="shared" si="8"/>
        <v>0</v>
      </c>
      <c r="G47" s="205">
        <f t="shared" si="13"/>
        <v>21</v>
      </c>
      <c r="H47" s="79">
        <f t="shared" si="14"/>
        <v>0</v>
      </c>
      <c r="I47" s="79">
        <f t="shared" si="15"/>
        <v>0</v>
      </c>
      <c r="J47" s="79">
        <f t="shared" si="16"/>
        <v>7</v>
      </c>
      <c r="K47" s="79">
        <f t="shared" si="19"/>
        <v>8</v>
      </c>
      <c r="L47" s="83" t="str">
        <f t="shared" si="18"/>
        <v>Correct</v>
      </c>
      <c r="M47" s="80">
        <f t="shared" si="7"/>
        <v>112.00000000000001</v>
      </c>
      <c r="W47" s="79">
        <v>21</v>
      </c>
      <c r="BK47" s="79">
        <v>7</v>
      </c>
      <c r="BN47" s="79">
        <v>6</v>
      </c>
      <c r="BO47" s="79">
        <v>2</v>
      </c>
    </row>
    <row r="48" spans="1:68">
      <c r="A48" s="80" t="s">
        <v>648</v>
      </c>
      <c r="B48" s="79" t="s">
        <v>198</v>
      </c>
      <c r="C48" s="79" t="s">
        <v>13</v>
      </c>
      <c r="D48" s="79">
        <v>3</v>
      </c>
      <c r="E48" s="79">
        <f t="shared" si="17"/>
        <v>2</v>
      </c>
      <c r="F48" s="79">
        <f t="shared" si="8"/>
        <v>0</v>
      </c>
      <c r="G48" s="204">
        <f t="shared" si="13"/>
        <v>41</v>
      </c>
      <c r="H48" s="79">
        <f t="shared" si="14"/>
        <v>0</v>
      </c>
      <c r="I48" s="79">
        <f t="shared" si="15"/>
        <v>0</v>
      </c>
      <c r="J48" s="79">
        <f t="shared" si="16"/>
        <v>16</v>
      </c>
      <c r="K48" s="79">
        <f>SUM(BN48:BP48)</f>
        <v>3</v>
      </c>
      <c r="L48" s="83" t="str">
        <f t="shared" si="18"/>
        <v>Correct</v>
      </c>
      <c r="M48" s="80">
        <f t="shared" si="7"/>
        <v>236</v>
      </c>
      <c r="W48" s="79">
        <v>28</v>
      </c>
      <c r="AE48" s="79">
        <v>13</v>
      </c>
      <c r="AM48" s="79">
        <v>2</v>
      </c>
      <c r="BK48" s="79">
        <v>16</v>
      </c>
      <c r="BN48" s="79">
        <v>2</v>
      </c>
      <c r="BO48" s="79">
        <v>1</v>
      </c>
    </row>
    <row r="49" spans="1:72">
      <c r="A49" s="80" t="s">
        <v>649</v>
      </c>
      <c r="B49" s="79" t="s">
        <v>198</v>
      </c>
      <c r="C49" s="79" t="s">
        <v>13</v>
      </c>
      <c r="D49" s="79">
        <v>4</v>
      </c>
      <c r="E49" s="79">
        <f t="shared" si="17"/>
        <v>0</v>
      </c>
      <c r="F49" s="79">
        <f t="shared" si="8"/>
        <v>0</v>
      </c>
      <c r="G49" s="79">
        <f t="shared" si="13"/>
        <v>22</v>
      </c>
      <c r="H49" s="79">
        <f t="shared" si="14"/>
        <v>33</v>
      </c>
      <c r="I49" s="79">
        <f t="shared" si="15"/>
        <v>0</v>
      </c>
      <c r="J49" s="79">
        <f t="shared" si="16"/>
        <v>3</v>
      </c>
      <c r="K49" s="79">
        <f>SUM(BN49:BP49)</f>
        <v>2</v>
      </c>
      <c r="L49" s="83" t="str">
        <f t="shared" si="18"/>
        <v>Correct</v>
      </c>
      <c r="M49" s="80">
        <f t="shared" si="7"/>
        <v>231.99999999999997</v>
      </c>
      <c r="Q49" s="79">
        <v>2</v>
      </c>
      <c r="V49" s="79">
        <v>31</v>
      </c>
      <c r="W49" s="79">
        <v>22</v>
      </c>
      <c r="BL49" s="79">
        <v>2</v>
      </c>
      <c r="BM49" s="79">
        <v>1</v>
      </c>
      <c r="BN49" s="79">
        <v>2</v>
      </c>
    </row>
    <row r="50" spans="1:72">
      <c r="A50" s="80" t="s">
        <v>141</v>
      </c>
      <c r="B50" s="79" t="s">
        <v>198</v>
      </c>
      <c r="C50" s="79" t="s">
        <v>13</v>
      </c>
      <c r="D50" s="79">
        <v>5</v>
      </c>
      <c r="E50" s="79">
        <f t="shared" si="17"/>
        <v>0</v>
      </c>
      <c r="F50" s="79">
        <f t="shared" si="8"/>
        <v>0</v>
      </c>
      <c r="G50" s="204">
        <f t="shared" si="13"/>
        <v>37</v>
      </c>
      <c r="H50" s="79">
        <f t="shared" si="14"/>
        <v>6</v>
      </c>
      <c r="I50" s="79">
        <f t="shared" si="15"/>
        <v>0</v>
      </c>
      <c r="J50" s="79">
        <f t="shared" si="16"/>
        <v>10</v>
      </c>
      <c r="K50" s="79">
        <f>SUM(BN50:BP50)</f>
        <v>0</v>
      </c>
      <c r="L50" s="83" t="str">
        <f t="shared" si="18"/>
        <v>Correct</v>
      </c>
      <c r="M50" s="80">
        <f t="shared" si="7"/>
        <v>212</v>
      </c>
      <c r="Q50" s="79">
        <v>6</v>
      </c>
      <c r="AE50" s="79">
        <v>37</v>
      </c>
      <c r="BK50" s="79">
        <v>5</v>
      </c>
      <c r="BM50" s="79">
        <v>5</v>
      </c>
    </row>
    <row r="51" spans="1:72" s="81" customFormat="1">
      <c r="A51" s="82" t="s">
        <v>142</v>
      </c>
      <c r="B51" s="81" t="s">
        <v>198</v>
      </c>
      <c r="C51" s="81" t="s">
        <v>13</v>
      </c>
      <c r="D51" s="81">
        <v>6</v>
      </c>
      <c r="E51" s="79">
        <f t="shared" si="17"/>
        <v>0</v>
      </c>
      <c r="F51" s="79">
        <f t="shared" si="8"/>
        <v>0</v>
      </c>
      <c r="G51" s="81">
        <f t="shared" si="13"/>
        <v>25</v>
      </c>
      <c r="H51" s="81">
        <f t="shared" si="14"/>
        <v>12</v>
      </c>
      <c r="I51" s="81">
        <f t="shared" si="15"/>
        <v>0</v>
      </c>
      <c r="J51" s="81">
        <f t="shared" si="16"/>
        <v>8</v>
      </c>
      <c r="K51" s="81">
        <f>SUM(BN51:BP51)</f>
        <v>8</v>
      </c>
      <c r="L51" s="83" t="str">
        <f t="shared" si="18"/>
        <v>Correct</v>
      </c>
      <c r="M51" s="80">
        <f t="shared" si="7"/>
        <v>180</v>
      </c>
      <c r="Q51" s="81">
        <v>12</v>
      </c>
      <c r="W51" s="81">
        <v>25</v>
      </c>
      <c r="BK51" s="81">
        <v>4</v>
      </c>
      <c r="BL51" s="81">
        <v>4</v>
      </c>
      <c r="BN51" s="81">
        <v>6</v>
      </c>
      <c r="BO51" s="81">
        <v>2</v>
      </c>
    </row>
    <row r="52" spans="1:72">
      <c r="A52" s="80" t="s">
        <v>154</v>
      </c>
      <c r="B52" s="79" t="s">
        <v>548</v>
      </c>
      <c r="C52" s="79" t="s">
        <v>12</v>
      </c>
      <c r="D52" s="83">
        <v>1</v>
      </c>
      <c r="E52" s="79">
        <f t="shared" si="17"/>
        <v>75</v>
      </c>
      <c r="F52" s="79">
        <f t="shared" si="8"/>
        <v>1</v>
      </c>
      <c r="G52" s="79">
        <f t="shared" ref="G52:G57" si="20">W52+AE52</f>
        <v>0</v>
      </c>
      <c r="H52" s="79">
        <f t="shared" ref="H52:H57" si="21">Q52+V52+X52+AA52+AG52</f>
        <v>0</v>
      </c>
      <c r="I52" s="79">
        <f t="shared" ref="I52:I57" si="22">P52+AB52</f>
        <v>0</v>
      </c>
      <c r="J52" s="79">
        <f t="shared" ref="J52:J57" si="23">SUM(AX52:AZ52)+SUM(BE52:BF52)+SUM(BK52:BM52)+SUM(BQ52:BS52)</f>
        <v>0</v>
      </c>
      <c r="K52" s="79">
        <f t="shared" ref="K52:K57" si="24">SUM(BN52:BP52)</f>
        <v>0</v>
      </c>
      <c r="L52" s="83" t="str">
        <f t="shared" si="18"/>
        <v>Correct</v>
      </c>
      <c r="M52" s="80">
        <f t="shared" si="7"/>
        <v>304</v>
      </c>
      <c r="N52" s="83">
        <v>63</v>
      </c>
      <c r="O52" s="83"/>
      <c r="P52" s="83"/>
      <c r="Q52" s="83"/>
      <c r="R52" s="83"/>
      <c r="S52" s="83"/>
      <c r="T52" s="83"/>
      <c r="V52" s="83"/>
      <c r="W52" s="83"/>
      <c r="Z52" s="83"/>
      <c r="AG52" s="83"/>
      <c r="AH52" s="83">
        <v>12</v>
      </c>
      <c r="AI52" s="83">
        <v>1</v>
      </c>
      <c r="AJ52" s="83"/>
      <c r="AL52" s="83"/>
      <c r="AN52" s="83"/>
      <c r="AP52" s="83"/>
      <c r="AQ52" s="83"/>
      <c r="AR52" s="83"/>
      <c r="AS52" s="83"/>
      <c r="BQ52" s="83"/>
      <c r="BR52" s="83"/>
      <c r="BS52" s="83"/>
      <c r="BT52" s="83"/>
    </row>
    <row r="53" spans="1:72">
      <c r="A53" s="80" t="s">
        <v>155</v>
      </c>
      <c r="B53" s="79" t="s">
        <v>548</v>
      </c>
      <c r="C53" s="79" t="s">
        <v>12</v>
      </c>
      <c r="D53" s="79">
        <v>2</v>
      </c>
      <c r="E53" s="79">
        <f t="shared" si="17"/>
        <v>61</v>
      </c>
      <c r="F53" s="79">
        <f t="shared" si="8"/>
        <v>12</v>
      </c>
      <c r="G53" s="79">
        <f t="shared" si="20"/>
        <v>0</v>
      </c>
      <c r="H53" s="79">
        <f t="shared" si="21"/>
        <v>0</v>
      </c>
      <c r="I53" s="79">
        <f t="shared" si="22"/>
        <v>0</v>
      </c>
      <c r="J53" s="79">
        <f t="shared" si="23"/>
        <v>8</v>
      </c>
      <c r="K53" s="79">
        <f t="shared" si="24"/>
        <v>0</v>
      </c>
      <c r="L53" s="83" t="str">
        <f t="shared" si="18"/>
        <v>Correct</v>
      </c>
      <c r="M53" s="80">
        <f t="shared" si="7"/>
        <v>324</v>
      </c>
      <c r="T53" s="79">
        <v>12</v>
      </c>
      <c r="AH53" s="79">
        <v>61</v>
      </c>
      <c r="BR53" s="84">
        <v>8</v>
      </c>
    </row>
    <row r="54" spans="1:72">
      <c r="A54" s="80" t="s">
        <v>156</v>
      </c>
      <c r="B54" s="79" t="s">
        <v>548</v>
      </c>
      <c r="C54" s="79" t="s">
        <v>12</v>
      </c>
      <c r="D54" s="79">
        <v>3</v>
      </c>
      <c r="E54" s="79">
        <f t="shared" si="17"/>
        <v>65</v>
      </c>
      <c r="F54" s="79">
        <f t="shared" si="8"/>
        <v>0</v>
      </c>
      <c r="G54" s="79">
        <f t="shared" si="20"/>
        <v>0</v>
      </c>
      <c r="H54" s="79">
        <f t="shared" si="21"/>
        <v>0</v>
      </c>
      <c r="I54" s="79">
        <f t="shared" si="22"/>
        <v>0</v>
      </c>
      <c r="J54" s="79">
        <f t="shared" si="23"/>
        <v>4</v>
      </c>
      <c r="K54" s="79">
        <f t="shared" si="24"/>
        <v>0</v>
      </c>
      <c r="L54" s="83" t="str">
        <f t="shared" si="18"/>
        <v>Correct</v>
      </c>
      <c r="M54" s="80">
        <f t="shared" si="7"/>
        <v>276</v>
      </c>
      <c r="AH54" s="79">
        <v>65</v>
      </c>
      <c r="BR54" s="84">
        <v>4</v>
      </c>
    </row>
    <row r="55" spans="1:72">
      <c r="A55" s="80" t="s">
        <v>157</v>
      </c>
      <c r="B55" s="79" t="s">
        <v>548</v>
      </c>
      <c r="C55" s="79" t="s">
        <v>12</v>
      </c>
      <c r="D55" s="79">
        <v>4</v>
      </c>
      <c r="E55" s="79">
        <f t="shared" si="17"/>
        <v>86</v>
      </c>
      <c r="F55" s="79">
        <f t="shared" si="8"/>
        <v>0</v>
      </c>
      <c r="G55" s="79">
        <f t="shared" si="20"/>
        <v>0</v>
      </c>
      <c r="H55" s="79">
        <f t="shared" si="21"/>
        <v>0</v>
      </c>
      <c r="I55" s="79">
        <f t="shared" si="22"/>
        <v>0</v>
      </c>
      <c r="J55" s="79">
        <f t="shared" si="23"/>
        <v>0</v>
      </c>
      <c r="K55" s="79">
        <f t="shared" si="24"/>
        <v>0</v>
      </c>
      <c r="L55" s="83" t="str">
        <f t="shared" si="18"/>
        <v>Correct</v>
      </c>
      <c r="M55" s="80">
        <f t="shared" si="7"/>
        <v>344</v>
      </c>
      <c r="N55" s="79">
        <v>86</v>
      </c>
    </row>
    <row r="56" spans="1:72">
      <c r="A56" s="80" t="s">
        <v>158</v>
      </c>
      <c r="B56" s="79" t="s">
        <v>548</v>
      </c>
      <c r="C56" s="79" t="s">
        <v>12</v>
      </c>
      <c r="D56" s="79">
        <v>5</v>
      </c>
      <c r="E56" s="79">
        <f t="shared" si="17"/>
        <v>73</v>
      </c>
      <c r="F56" s="79">
        <f t="shared" si="8"/>
        <v>12</v>
      </c>
      <c r="G56" s="79">
        <f t="shared" si="20"/>
        <v>0</v>
      </c>
      <c r="H56" s="79">
        <f t="shared" si="21"/>
        <v>0</v>
      </c>
      <c r="I56" s="79">
        <f t="shared" si="22"/>
        <v>0</v>
      </c>
      <c r="J56" s="79">
        <f t="shared" si="23"/>
        <v>0</v>
      </c>
      <c r="K56" s="79">
        <f t="shared" si="24"/>
        <v>0</v>
      </c>
      <c r="L56" s="83" t="str">
        <f t="shared" si="18"/>
        <v>Correct</v>
      </c>
      <c r="M56" s="80">
        <f t="shared" si="7"/>
        <v>340</v>
      </c>
      <c r="T56" s="79">
        <v>10</v>
      </c>
      <c r="AH56" s="79">
        <v>21</v>
      </c>
      <c r="AJ56" s="79">
        <v>52</v>
      </c>
      <c r="AN56" s="79">
        <v>2</v>
      </c>
    </row>
    <row r="57" spans="1:72" s="83" customFormat="1">
      <c r="A57" s="83" t="s">
        <v>159</v>
      </c>
      <c r="B57" s="83" t="s">
        <v>548</v>
      </c>
      <c r="C57" s="83" t="s">
        <v>12</v>
      </c>
      <c r="D57" s="83">
        <v>6</v>
      </c>
      <c r="E57" s="79">
        <f t="shared" si="17"/>
        <v>103</v>
      </c>
      <c r="F57" s="79">
        <f t="shared" si="8"/>
        <v>9</v>
      </c>
      <c r="G57" s="83">
        <f t="shared" si="20"/>
        <v>0</v>
      </c>
      <c r="H57" s="83">
        <f t="shared" si="21"/>
        <v>0</v>
      </c>
      <c r="I57" s="83">
        <f t="shared" si="22"/>
        <v>0</v>
      </c>
      <c r="J57" s="83">
        <f t="shared" si="23"/>
        <v>0</v>
      </c>
      <c r="K57" s="83">
        <f t="shared" si="24"/>
        <v>0</v>
      </c>
      <c r="L57" s="83" t="str">
        <f t="shared" si="18"/>
        <v>Correct</v>
      </c>
      <c r="M57" s="80">
        <f t="shared" si="7"/>
        <v>448.00000000000006</v>
      </c>
      <c r="N57" s="83">
        <v>81</v>
      </c>
      <c r="AH57" s="83">
        <v>8</v>
      </c>
      <c r="AJ57" s="83">
        <v>14</v>
      </c>
      <c r="AL57" s="83">
        <v>9</v>
      </c>
    </row>
    <row r="58" spans="1:72">
      <c r="A58" s="80" t="s">
        <v>178</v>
      </c>
      <c r="B58" s="79" t="s">
        <v>548</v>
      </c>
      <c r="C58" s="79" t="s">
        <v>13</v>
      </c>
      <c r="D58" s="79">
        <v>1</v>
      </c>
      <c r="E58" s="79">
        <f t="shared" si="17"/>
        <v>3</v>
      </c>
      <c r="F58" s="79">
        <f t="shared" si="8"/>
        <v>0</v>
      </c>
      <c r="G58" s="205">
        <f t="shared" ref="G58:G63" si="25">W58+AE58</f>
        <v>27</v>
      </c>
      <c r="H58" s="79">
        <f t="shared" ref="H58:H63" si="26">Q58+V58+X58+AA58+AG58</f>
        <v>2</v>
      </c>
      <c r="I58" s="79">
        <f t="shared" ref="I58:I63" si="27">P58+AB58</f>
        <v>0</v>
      </c>
      <c r="J58" s="79">
        <f t="shared" ref="J58:J63" si="28">SUM(AX58:AZ58)+SUM(BE58:BF58)+SUM(BK58:BM58)+SUM(BQ58:BS58)</f>
        <v>0</v>
      </c>
      <c r="K58" s="79">
        <f t="shared" ref="K58:K63" si="29">SUM(BN58:BP58)</f>
        <v>0</v>
      </c>
      <c r="L58" s="83" t="str">
        <f t="shared" si="18"/>
        <v>Correct</v>
      </c>
      <c r="M58" s="80">
        <f t="shared" si="7"/>
        <v>128</v>
      </c>
      <c r="Q58" s="79">
        <v>2</v>
      </c>
      <c r="W58" s="79">
        <v>27</v>
      </c>
      <c r="AS58" s="79">
        <v>3</v>
      </c>
    </row>
    <row r="59" spans="1:72">
      <c r="A59" s="80" t="s">
        <v>179</v>
      </c>
      <c r="B59" s="79" t="s">
        <v>548</v>
      </c>
      <c r="C59" s="79" t="s">
        <v>13</v>
      </c>
      <c r="D59" s="79">
        <v>2</v>
      </c>
      <c r="E59" s="79">
        <f t="shared" si="17"/>
        <v>17</v>
      </c>
      <c r="F59" s="79">
        <f t="shared" si="8"/>
        <v>4</v>
      </c>
      <c r="G59" s="196">
        <f t="shared" si="25"/>
        <v>0</v>
      </c>
      <c r="H59" s="79">
        <f t="shared" si="26"/>
        <v>0</v>
      </c>
      <c r="I59" s="79">
        <f t="shared" si="27"/>
        <v>0</v>
      </c>
      <c r="J59" s="79">
        <f t="shared" si="28"/>
        <v>10</v>
      </c>
      <c r="K59" s="79">
        <f t="shared" si="29"/>
        <v>0</v>
      </c>
      <c r="L59" s="83" t="str">
        <f t="shared" si="18"/>
        <v>Correct</v>
      </c>
      <c r="M59" s="80">
        <f t="shared" si="7"/>
        <v>124</v>
      </c>
      <c r="Z59" s="79">
        <v>3</v>
      </c>
      <c r="AQ59" s="79">
        <v>10</v>
      </c>
      <c r="AR59" s="79">
        <v>5</v>
      </c>
      <c r="AS59" s="79">
        <v>2</v>
      </c>
      <c r="BR59" s="79">
        <v>10</v>
      </c>
      <c r="BT59" s="79">
        <v>1</v>
      </c>
    </row>
    <row r="60" spans="1:72">
      <c r="A60" s="80" t="s">
        <v>180</v>
      </c>
      <c r="B60" s="79" t="s">
        <v>548</v>
      </c>
      <c r="C60" s="79" t="s">
        <v>13</v>
      </c>
      <c r="D60" s="79">
        <v>3</v>
      </c>
      <c r="E60" s="79">
        <f t="shared" si="17"/>
        <v>0</v>
      </c>
      <c r="F60" s="79">
        <f t="shared" si="8"/>
        <v>0</v>
      </c>
      <c r="G60" s="196">
        <f t="shared" si="25"/>
        <v>25</v>
      </c>
      <c r="H60" s="79">
        <f t="shared" si="26"/>
        <v>5</v>
      </c>
      <c r="I60" s="79">
        <f t="shared" si="27"/>
        <v>0</v>
      </c>
      <c r="J60" s="79">
        <f t="shared" si="28"/>
        <v>6</v>
      </c>
      <c r="K60" s="79">
        <f t="shared" si="29"/>
        <v>0</v>
      </c>
      <c r="L60" s="83" t="str">
        <f t="shared" si="18"/>
        <v>Correct</v>
      </c>
      <c r="M60" s="80">
        <f t="shared" si="7"/>
        <v>144</v>
      </c>
      <c r="V60" s="79">
        <v>3</v>
      </c>
      <c r="W60" s="79">
        <v>25</v>
      </c>
      <c r="AG60" s="79">
        <v>2</v>
      </c>
      <c r="BQ60" s="79">
        <v>4</v>
      </c>
      <c r="BR60" s="79">
        <v>2</v>
      </c>
    </row>
    <row r="61" spans="1:72">
      <c r="A61" s="80" t="s">
        <v>651</v>
      </c>
      <c r="B61" s="79" t="s">
        <v>548</v>
      </c>
      <c r="C61" s="79" t="s">
        <v>13</v>
      </c>
      <c r="D61" s="79">
        <v>4</v>
      </c>
      <c r="E61" s="79">
        <f t="shared" si="17"/>
        <v>1</v>
      </c>
      <c r="F61" s="79">
        <f t="shared" si="8"/>
        <v>0</v>
      </c>
      <c r="G61" s="204">
        <f t="shared" si="25"/>
        <v>38</v>
      </c>
      <c r="H61" s="79">
        <f t="shared" si="26"/>
        <v>0</v>
      </c>
      <c r="I61" s="79">
        <f t="shared" si="27"/>
        <v>0</v>
      </c>
      <c r="J61" s="79">
        <f t="shared" si="28"/>
        <v>6</v>
      </c>
      <c r="K61" s="79">
        <f t="shared" si="29"/>
        <v>0</v>
      </c>
      <c r="L61" s="83" t="str">
        <f t="shared" si="18"/>
        <v>Correct</v>
      </c>
      <c r="M61" s="80">
        <f t="shared" si="7"/>
        <v>180</v>
      </c>
      <c r="W61" s="79">
        <v>38</v>
      </c>
      <c r="AQ61" s="79">
        <v>1</v>
      </c>
      <c r="BQ61" s="79">
        <v>3</v>
      </c>
      <c r="BR61" s="79">
        <v>3</v>
      </c>
    </row>
    <row r="62" spans="1:72">
      <c r="A62" s="80" t="s">
        <v>181</v>
      </c>
      <c r="B62" s="79" t="s">
        <v>548</v>
      </c>
      <c r="C62" s="79" t="s">
        <v>13</v>
      </c>
      <c r="D62" s="79">
        <v>5</v>
      </c>
      <c r="E62" s="79">
        <f t="shared" si="17"/>
        <v>29</v>
      </c>
      <c r="F62" s="79">
        <f t="shared" si="8"/>
        <v>4</v>
      </c>
      <c r="G62" s="79">
        <f t="shared" si="25"/>
        <v>0</v>
      </c>
      <c r="H62" s="79">
        <f t="shared" si="26"/>
        <v>21</v>
      </c>
      <c r="I62" s="79">
        <f t="shared" si="27"/>
        <v>0</v>
      </c>
      <c r="J62" s="79">
        <f t="shared" si="28"/>
        <v>9</v>
      </c>
      <c r="K62" s="79">
        <f t="shared" si="29"/>
        <v>0</v>
      </c>
      <c r="L62" s="83" t="str">
        <f t="shared" si="18"/>
        <v>Correct</v>
      </c>
      <c r="M62" s="80">
        <f t="shared" si="7"/>
        <v>252</v>
      </c>
      <c r="O62" s="79">
        <v>1</v>
      </c>
      <c r="Z62" s="79">
        <v>4</v>
      </c>
      <c r="AG62" s="79">
        <v>21</v>
      </c>
      <c r="AQ62" s="79">
        <v>20</v>
      </c>
      <c r="AR62" s="79">
        <v>8</v>
      </c>
      <c r="BR62" s="79">
        <v>9</v>
      </c>
    </row>
    <row r="63" spans="1:72">
      <c r="A63" s="80" t="s">
        <v>181</v>
      </c>
      <c r="B63" s="79" t="s">
        <v>548</v>
      </c>
      <c r="C63" s="79" t="s">
        <v>13</v>
      </c>
      <c r="D63" s="79">
        <v>6</v>
      </c>
      <c r="E63" s="79">
        <f t="shared" si="17"/>
        <v>5</v>
      </c>
      <c r="F63" s="79">
        <f t="shared" si="8"/>
        <v>1</v>
      </c>
      <c r="G63" s="204">
        <f t="shared" si="25"/>
        <v>36</v>
      </c>
      <c r="H63" s="79">
        <f t="shared" si="26"/>
        <v>1</v>
      </c>
      <c r="I63" s="79">
        <f t="shared" si="27"/>
        <v>0</v>
      </c>
      <c r="J63" s="79">
        <f t="shared" si="28"/>
        <v>5</v>
      </c>
      <c r="K63" s="79">
        <f t="shared" si="29"/>
        <v>0</v>
      </c>
      <c r="L63" s="83" t="str">
        <f t="shared" si="18"/>
        <v>Correct</v>
      </c>
      <c r="M63" s="80">
        <f t="shared" si="7"/>
        <v>192</v>
      </c>
      <c r="Q63" s="79">
        <v>1</v>
      </c>
      <c r="U63" s="81"/>
      <c r="V63" s="81"/>
      <c r="W63" s="81">
        <v>36</v>
      </c>
      <c r="X63" s="81"/>
      <c r="Y63" s="81"/>
      <c r="Z63" s="81">
        <v>1</v>
      </c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P63" s="79">
        <v>5</v>
      </c>
      <c r="BQ63" s="79">
        <v>2</v>
      </c>
      <c r="BR63" s="79">
        <v>1</v>
      </c>
      <c r="BS63" s="79">
        <v>2</v>
      </c>
    </row>
    <row r="64" spans="1:72">
      <c r="BQ64" s="79">
        <v>1</v>
      </c>
      <c r="BR64" s="79">
        <v>1</v>
      </c>
      <c r="BS64" s="79">
        <v>1</v>
      </c>
      <c r="BT64" s="79">
        <v>1</v>
      </c>
    </row>
    <row r="65" spans="1:22">
      <c r="M65" s="80">
        <f>STDEV(M4:M9)/SQRT(6)</f>
        <v>103.59407962491544</v>
      </c>
    </row>
    <row r="67" spans="1:22" ht="16">
      <c r="A67" s="266" t="s">
        <v>567</v>
      </c>
      <c r="E67" s="87" t="s">
        <v>1247</v>
      </c>
      <c r="F67" s="87" t="s">
        <v>1122</v>
      </c>
      <c r="G67" s="87" t="s">
        <v>1037</v>
      </c>
      <c r="H67" s="87" t="s">
        <v>1036</v>
      </c>
      <c r="I67" s="87" t="s">
        <v>583</v>
      </c>
      <c r="J67" s="87" t="s">
        <v>591</v>
      </c>
    </row>
    <row r="68" spans="1:22">
      <c r="B68" s="79" t="s">
        <v>9</v>
      </c>
      <c r="C68" s="79" t="s">
        <v>13</v>
      </c>
      <c r="E68" s="79">
        <f>IF(SUM(E10:E15)=0,0,SUM(E10:E15))</f>
        <v>281</v>
      </c>
      <c r="F68" s="79">
        <f>IF(SUM(F10:F15)=0,0,SUM(F10:F15))</f>
        <v>44</v>
      </c>
      <c r="G68" s="79">
        <f>IF(SUM(G10:G15)=0,0,SUM(G10:G15))</f>
        <v>0</v>
      </c>
      <c r="H68" s="79">
        <f>IF(SUM(H10:H15)=0,0,SUM(H10:H15))</f>
        <v>95</v>
      </c>
      <c r="I68" s="79">
        <f>IF(SUM(I10:I15)=0,0,SUM(I10:I15))</f>
        <v>6</v>
      </c>
      <c r="J68" s="79">
        <f>IF(SUM(J10:J15)=0,0,SUM(J10:J15))</f>
        <v>74</v>
      </c>
    </row>
    <row r="69" spans="1:22">
      <c r="B69" s="79" t="s">
        <v>9</v>
      </c>
      <c r="C69" s="79" t="s">
        <v>12</v>
      </c>
      <c r="E69" s="79">
        <f>IF(SUM(E4:E9)=0,0,SUM(E4:E9))</f>
        <v>659</v>
      </c>
      <c r="F69" s="79">
        <f>IF(SUM(F4:F9)=0,0,SUM(F4:F9))</f>
        <v>11</v>
      </c>
      <c r="G69" s="79">
        <f>IF(SUM(G4:G9)=0,0,SUM(G4:G9))</f>
        <v>0</v>
      </c>
      <c r="H69" s="79">
        <f>IF(SUM(H4:H9)=0,0,SUM(H4:H9))</f>
        <v>0</v>
      </c>
      <c r="I69" s="79">
        <f>IF(SUM(I4:I9)=0,0,SUM(I4:I9))</f>
        <v>284</v>
      </c>
      <c r="J69" s="79">
        <f>IF(SUM(J4:J9)=0,0,SUM(J4:J9))</f>
        <v>0</v>
      </c>
      <c r="N69" s="84"/>
      <c r="V69" s="80"/>
    </row>
    <row r="70" spans="1:22">
      <c r="B70" s="79" t="s">
        <v>196</v>
      </c>
      <c r="C70" s="79" t="s">
        <v>13</v>
      </c>
      <c r="E70" s="79">
        <f>IF(SUM(E22:E27)=0,0,SUM(E22:E27))</f>
        <v>82</v>
      </c>
      <c r="F70" s="79">
        <f>IF(SUM(F22:F27)=0,0,SUM(F22:F27))</f>
        <v>5</v>
      </c>
      <c r="G70" s="79">
        <f>IF(SUM(G22:G27)=0,0,SUM(G22:G27))</f>
        <v>21</v>
      </c>
      <c r="H70" s="79">
        <f>IF(SUM(H22:H27)=0,0,SUM(H22:H27))</f>
        <v>253</v>
      </c>
      <c r="I70" s="79">
        <f>IF(SUM(I22:I27)=0,0,SUM(I22:I27))</f>
        <v>70</v>
      </c>
      <c r="J70" s="79">
        <f>IF(SUM(J22:J27)=0,0,SUM(J22:J27))</f>
        <v>53</v>
      </c>
      <c r="V70" s="80"/>
    </row>
    <row r="71" spans="1:22">
      <c r="B71" s="79" t="s">
        <v>196</v>
      </c>
      <c r="C71" s="79" t="s">
        <v>12</v>
      </c>
      <c r="E71" s="79">
        <f>IF(SUM(E16:E21)=0,0,SUM(E16:E21))</f>
        <v>398</v>
      </c>
      <c r="F71" s="79">
        <f>IF(SUM(F16:F21)=0,0,SUM(F16:F21))</f>
        <v>0</v>
      </c>
      <c r="G71" s="79">
        <f>IF(SUM(G16:G21)=0,0,SUM(G16:G21))</f>
        <v>0</v>
      </c>
      <c r="H71" s="79">
        <f>IF(SUM(H16:H21)=0,0,SUM(H16:H21))</f>
        <v>21</v>
      </c>
      <c r="I71" s="79">
        <f>IF(SUM(I16:I21)=0,0,SUM(I16:I21))</f>
        <v>5</v>
      </c>
      <c r="J71" s="79">
        <f>IF(SUM(J16:J21)=0,0,SUM(J16:J21))</f>
        <v>0</v>
      </c>
      <c r="V71" s="80"/>
    </row>
    <row r="72" spans="1:22">
      <c r="B72" s="79" t="s">
        <v>197</v>
      </c>
      <c r="C72" s="79" t="s">
        <v>13</v>
      </c>
      <c r="E72" s="79">
        <f>IF(SUM(E34:E39)=0,0,SUM(E34:E39))</f>
        <v>0</v>
      </c>
      <c r="F72" s="79">
        <f>IF(SUM(F34:F39)=0,0,SUM(F34:F39))</f>
        <v>1</v>
      </c>
      <c r="G72" s="79">
        <f>IF(SUM(G34:G39)=0,0,SUM(G34:G39))</f>
        <v>156</v>
      </c>
      <c r="H72" s="79">
        <f>IF(SUM(H34:H39)=0,0,SUM(H34:H39))</f>
        <v>242</v>
      </c>
      <c r="I72" s="79">
        <f>IF(SUM(I34:I39)=0,0,SUM(I34:I39))</f>
        <v>0</v>
      </c>
      <c r="J72" s="79">
        <f>IF(SUM(J34:J39)=0,0,SUM(J34:J39))</f>
        <v>0</v>
      </c>
      <c r="V72" s="80"/>
    </row>
    <row r="73" spans="1:22">
      <c r="B73" s="79" t="s">
        <v>197</v>
      </c>
      <c r="C73" s="79" t="s">
        <v>12</v>
      </c>
      <c r="E73" s="79">
        <f>IF(SUM(E28:E33)=0,0,SUM(E28:E33))</f>
        <v>432</v>
      </c>
      <c r="F73" s="79">
        <f>IF(SUM(F28:F33)=0,0,SUM(F28:F33))</f>
        <v>49</v>
      </c>
      <c r="G73" s="79">
        <f>IF(SUM(G28:G33)=0,0,SUM(G28:G33))</f>
        <v>0</v>
      </c>
      <c r="H73" s="79">
        <f>IF(SUM(H28:H33)=0,0,SUM(H28:H33))</f>
        <v>0</v>
      </c>
      <c r="I73" s="79">
        <f>IF(SUM(I28:I33)=0,0,SUM(I28:I33))</f>
        <v>227</v>
      </c>
      <c r="J73" s="79">
        <f>IF(SUM(J28:J33)=0,0,SUM(J28:J33))</f>
        <v>0</v>
      </c>
      <c r="V73" s="80"/>
    </row>
    <row r="74" spans="1:22">
      <c r="B74" s="79" t="s">
        <v>198</v>
      </c>
      <c r="C74" s="79" t="s">
        <v>13</v>
      </c>
      <c r="E74" s="79">
        <f>IF(SUM(E46:E51)=0,0,SUM(E46:E51))</f>
        <v>2</v>
      </c>
      <c r="F74" s="79">
        <f>IF(SUM(F46:F51)=0,0,SUM(F46:F51))</f>
        <v>0</v>
      </c>
      <c r="G74" s="79">
        <f>IF(SUM(G46:G51)=0,0,SUM(G46:G51))</f>
        <v>185</v>
      </c>
      <c r="H74" s="79">
        <f>IF(SUM(H46:H51)=0,0,SUM(H46:H51))</f>
        <v>51</v>
      </c>
      <c r="I74" s="79">
        <f>IF(SUM(I46:I51)=0,0,SUM(I46:I51))</f>
        <v>0</v>
      </c>
      <c r="J74" s="79">
        <f>IF(SUM(J46:J51)=0,0,SUM(J46:J51))</f>
        <v>51</v>
      </c>
      <c r="V74" s="80"/>
    </row>
    <row r="75" spans="1:22">
      <c r="B75" s="79" t="s">
        <v>198</v>
      </c>
      <c r="C75" s="79" t="s">
        <v>12</v>
      </c>
      <c r="E75" s="79">
        <f>IF(SUM(E40:E45)=0,0,SUM(E40:E45))</f>
        <v>595</v>
      </c>
      <c r="F75" s="79">
        <f>IF(SUM(F40:F45)=0,0,SUM(F40:F45))</f>
        <v>12</v>
      </c>
      <c r="G75" s="79">
        <f>IF(SUM(G40:G45)=0,0,SUM(G40:G45))</f>
        <v>0</v>
      </c>
      <c r="H75" s="79">
        <f>IF(SUM(H40:H45)=0,0,SUM(H40:H45))</f>
        <v>45</v>
      </c>
      <c r="I75" s="79">
        <f>IF(SUM(I40:I45)=0,0,SUM(I40:I45))</f>
        <v>142</v>
      </c>
      <c r="J75" s="79">
        <f>IF(SUM(J40:J45)=0,0,SUM(J40:J45))</f>
        <v>2</v>
      </c>
      <c r="V75" s="80"/>
    </row>
    <row r="76" spans="1:22">
      <c r="B76" s="79" t="s">
        <v>548</v>
      </c>
      <c r="C76" s="79" t="s">
        <v>13</v>
      </c>
      <c r="E76" s="79">
        <f>IF(SUM(E58:E63)=0,0,SUM(E58:E63))</f>
        <v>55</v>
      </c>
      <c r="F76" s="79">
        <f>IF(SUM(F58:F63)=0,0,SUM(F58:F63))</f>
        <v>9</v>
      </c>
      <c r="G76" s="79">
        <f>IF(SUM(G58:G63)=0,0,SUM(G58:G63))</f>
        <v>126</v>
      </c>
      <c r="H76" s="79">
        <f>IF(SUM(H58:H63)=0,0,SUM(H58:H63))</f>
        <v>29</v>
      </c>
      <c r="I76" s="79">
        <f>IF(SUM(I58:I63)=0,0,SUM(I58:I63))</f>
        <v>0</v>
      </c>
      <c r="J76" s="79">
        <f>IF(SUM(J58:J63)=0,0,SUM(J58:J63))</f>
        <v>36</v>
      </c>
      <c r="V76" s="80"/>
    </row>
    <row r="77" spans="1:22">
      <c r="B77" s="79" t="s">
        <v>548</v>
      </c>
      <c r="C77" s="79" t="s">
        <v>12</v>
      </c>
      <c r="E77" s="79">
        <f>IF(SUM(E52:E57)=0,0,SUM(E52:E57))</f>
        <v>463</v>
      </c>
      <c r="F77" s="79">
        <f>IF(SUM(F52:F57)=0,0,SUM(F52:F57))</f>
        <v>34</v>
      </c>
      <c r="G77" s="79">
        <f>IF(SUM(G52:G57)=0,0,SUM(G52:G57))</f>
        <v>0</v>
      </c>
      <c r="H77" s="79">
        <f>IF(SUM(H52:H57)=0,0,SUM(H52:H57))</f>
        <v>0</v>
      </c>
      <c r="I77" s="79">
        <f>IF(SUM(I52:I57)=0,0,SUM(I52:I57))</f>
        <v>0</v>
      </c>
      <c r="J77" s="79">
        <f>IF(SUM(J52:J57)=0,0,SUM(J52:J57))</f>
        <v>12</v>
      </c>
      <c r="V77" s="80"/>
    </row>
    <row r="78" spans="1:22">
      <c r="A78" s="266" t="s">
        <v>1248</v>
      </c>
      <c r="K78" s="265" t="s">
        <v>1237</v>
      </c>
      <c r="L78" s="265" t="s">
        <v>1239</v>
      </c>
      <c r="M78" s="264" t="s">
        <v>1238</v>
      </c>
      <c r="V78" s="80"/>
    </row>
    <row r="79" spans="1:22">
      <c r="B79" s="79" t="s">
        <v>9</v>
      </c>
      <c r="C79" s="79" t="s">
        <v>13</v>
      </c>
      <c r="E79" s="256">
        <f>E68/(25*6)*100</f>
        <v>187.33333333333334</v>
      </c>
      <c r="F79" s="256">
        <f>F68/(25*6)*100</f>
        <v>29.333333333333332</v>
      </c>
      <c r="G79" s="256">
        <f>G68/(25*6)*100</f>
        <v>0</v>
      </c>
      <c r="H79" s="256">
        <f>H68/(25*6)*100</f>
        <v>63.333333333333329</v>
      </c>
      <c r="I79" s="256">
        <f>I68/(25*6)*100</f>
        <v>4</v>
      </c>
      <c r="J79" s="256">
        <f>J68/(25*6)*100</f>
        <v>49.333333333333336</v>
      </c>
      <c r="K79" s="263">
        <f>SUM(E79:J79)</f>
        <v>333.33333333333331</v>
      </c>
      <c r="L79" s="267">
        <f>STDEV(M10:M15)/SQRT(6)</f>
        <v>33.189020942340441</v>
      </c>
      <c r="M79" s="268">
        <f>SUM(K79:L79)</f>
        <v>366.52235427567376</v>
      </c>
      <c r="V79" s="80"/>
    </row>
    <row r="80" spans="1:22">
      <c r="B80" s="79" t="s">
        <v>9</v>
      </c>
      <c r="C80" s="79" t="s">
        <v>12</v>
      </c>
      <c r="E80" s="256">
        <f t="shared" ref="E80:K88" si="30">E69/(25*6)*100</f>
        <v>439.33333333333337</v>
      </c>
      <c r="F80" s="256">
        <f>F69/(25*6)*100</f>
        <v>7.333333333333333</v>
      </c>
      <c r="G80" s="256">
        <f>G69/(25*6)*100</f>
        <v>0</v>
      </c>
      <c r="H80" s="256">
        <f>H69/(25*6)*100</f>
        <v>0</v>
      </c>
      <c r="I80" s="256">
        <f>I69/(25*6)*100</f>
        <v>189.33333333333334</v>
      </c>
      <c r="J80" s="256">
        <f>J69/(25*6)*100</f>
        <v>0</v>
      </c>
      <c r="K80" s="263">
        <f>SUM(E80:J80)</f>
        <v>636</v>
      </c>
      <c r="L80" s="267">
        <f>STDEV(M4:M9)/SQRT(6)</f>
        <v>103.59407962491544</v>
      </c>
      <c r="M80" s="268">
        <f>SUM(K80:L80)</f>
        <v>739.59407962491548</v>
      </c>
      <c r="V80" s="80"/>
    </row>
    <row r="81" spans="2:22">
      <c r="B81" s="79" t="s">
        <v>196</v>
      </c>
      <c r="C81" s="79" t="s">
        <v>13</v>
      </c>
      <c r="E81" s="256">
        <f t="shared" si="30"/>
        <v>54.666666666666664</v>
      </c>
      <c r="F81" s="256">
        <f>F70/(25*6)*100</f>
        <v>3.3333333333333335</v>
      </c>
      <c r="G81" s="256">
        <f>G70/(25*6)*100</f>
        <v>14.000000000000002</v>
      </c>
      <c r="H81" s="256">
        <f>H70/(25*6)*100</f>
        <v>168.66666666666669</v>
      </c>
      <c r="I81" s="256">
        <f>I70/(25*6)*100</f>
        <v>46.666666666666664</v>
      </c>
      <c r="J81" s="256">
        <f>J70/(25*6)*100</f>
        <v>35.333333333333336</v>
      </c>
      <c r="K81" s="263">
        <f t="shared" ref="K81:K88" si="31">SUM(E81:J81)</f>
        <v>322.66666666666669</v>
      </c>
      <c r="L81" s="267">
        <f>STDEV(M22:M27)/SQRT(6)</f>
        <v>56.706652558976238</v>
      </c>
      <c r="M81" s="268">
        <f>SUM(K81:L81)</f>
        <v>379.37331922564294</v>
      </c>
      <c r="V81" s="80"/>
    </row>
    <row r="82" spans="2:22">
      <c r="B82" s="79" t="s">
        <v>196</v>
      </c>
      <c r="C82" s="79" t="s">
        <v>12</v>
      </c>
      <c r="E82" s="256">
        <f t="shared" si="30"/>
        <v>265.33333333333331</v>
      </c>
      <c r="F82" s="256">
        <f>F71/(25*6)*100</f>
        <v>0</v>
      </c>
      <c r="G82" s="256">
        <f>G71/(25*6)*100</f>
        <v>0</v>
      </c>
      <c r="H82" s="256">
        <f>H71/(25*6)*100</f>
        <v>14.000000000000002</v>
      </c>
      <c r="I82" s="256">
        <f>I71/(25*6)*100</f>
        <v>3.3333333333333335</v>
      </c>
      <c r="J82" s="256">
        <f>J71/(25*6)*100</f>
        <v>0</v>
      </c>
      <c r="K82" s="263">
        <f t="shared" si="31"/>
        <v>282.66666666666663</v>
      </c>
      <c r="L82" s="267">
        <f>STDEV(M16:M21)/SQRT(6)</f>
        <v>27.744869395579741</v>
      </c>
      <c r="M82" s="268">
        <f>SUM(K82:L82)</f>
        <v>310.41153606224634</v>
      </c>
      <c r="V82" s="80"/>
    </row>
    <row r="83" spans="2:22">
      <c r="B83" s="79" t="s">
        <v>197</v>
      </c>
      <c r="C83" s="79" t="s">
        <v>13</v>
      </c>
      <c r="E83" s="256">
        <f t="shared" si="30"/>
        <v>0</v>
      </c>
      <c r="F83" s="256">
        <f>F72/(25*6)*100</f>
        <v>0.66666666666666674</v>
      </c>
      <c r="G83" s="256">
        <f>G72/(25*6)*100</f>
        <v>104</v>
      </c>
      <c r="H83" s="256">
        <f>H72/(25*6)*100</f>
        <v>161.33333333333331</v>
      </c>
      <c r="I83" s="256">
        <f>I72/(25*6)*100</f>
        <v>0</v>
      </c>
      <c r="J83" s="256">
        <f>J72/(25*6)*100</f>
        <v>0</v>
      </c>
      <c r="K83" s="263">
        <f t="shared" si="31"/>
        <v>266</v>
      </c>
      <c r="L83" s="267">
        <f>STDEV(M34:M39)/SQRT(6)</f>
        <v>29.425612426365348</v>
      </c>
      <c r="M83" s="268">
        <f>SUM(K83:L83)</f>
        <v>295.42561242636532</v>
      </c>
      <c r="V83" s="85"/>
    </row>
    <row r="84" spans="2:22">
      <c r="B84" s="79" t="s">
        <v>197</v>
      </c>
      <c r="C84" s="79" t="s">
        <v>12</v>
      </c>
      <c r="E84" s="256">
        <f t="shared" si="30"/>
        <v>288</v>
      </c>
      <c r="F84" s="256">
        <f>F73/(25*6)*100</f>
        <v>32.666666666666664</v>
      </c>
      <c r="G84" s="256">
        <f>G73/(25*6)*100</f>
        <v>0</v>
      </c>
      <c r="H84" s="256">
        <f>H73/(25*6)*100</f>
        <v>0</v>
      </c>
      <c r="I84" s="256">
        <f>I73/(25*6)*100</f>
        <v>151.33333333333334</v>
      </c>
      <c r="J84" s="256">
        <f>J73/(25*6)*100</f>
        <v>0</v>
      </c>
      <c r="K84" s="263">
        <f t="shared" si="31"/>
        <v>472</v>
      </c>
      <c r="L84" s="267">
        <f>STDEV(M28:M33)/SQRT(6)</f>
        <v>55.694404267095521</v>
      </c>
      <c r="M84" s="268">
        <f>SUM(K84:L84)</f>
        <v>527.69440426709548</v>
      </c>
      <c r="V84" s="80"/>
    </row>
    <row r="85" spans="2:22">
      <c r="B85" s="79" t="s">
        <v>198</v>
      </c>
      <c r="C85" s="79" t="s">
        <v>13</v>
      </c>
      <c r="E85" s="256">
        <f t="shared" si="30"/>
        <v>1.3333333333333335</v>
      </c>
      <c r="F85" s="256">
        <f>F74/(25*6)*100</f>
        <v>0</v>
      </c>
      <c r="G85" s="256">
        <f>G74/(25*6)*100</f>
        <v>123.33333333333334</v>
      </c>
      <c r="H85" s="256">
        <f>H74/(25*6)*100</f>
        <v>34</v>
      </c>
      <c r="I85" s="256">
        <f>I74/(25*6)*100</f>
        <v>0</v>
      </c>
      <c r="J85" s="256">
        <f>J74/(25*6)*100</f>
        <v>34</v>
      </c>
      <c r="K85" s="263">
        <f t="shared" si="31"/>
        <v>192.66666666666669</v>
      </c>
      <c r="L85" s="267">
        <f>STDEV(M46:M51)/SQRT(6)</f>
        <v>18.745073426844137</v>
      </c>
      <c r="M85" s="268">
        <f>SUM(K85:L85)</f>
        <v>211.41174009351082</v>
      </c>
    </row>
    <row r="86" spans="2:22">
      <c r="B86" s="79" t="s">
        <v>198</v>
      </c>
      <c r="C86" s="79" t="s">
        <v>12</v>
      </c>
      <c r="E86" s="256">
        <f t="shared" si="30"/>
        <v>396.66666666666669</v>
      </c>
      <c r="F86" s="256">
        <f>F75/(25*6)*100</f>
        <v>8</v>
      </c>
      <c r="G86" s="256">
        <f>G75/(25*6)*100</f>
        <v>0</v>
      </c>
      <c r="H86" s="256">
        <f>H75/(25*6)*100</f>
        <v>30</v>
      </c>
      <c r="I86" s="256">
        <f>I75/(25*6)*100</f>
        <v>94.666666666666671</v>
      </c>
      <c r="J86" s="256">
        <f>J75/(25*6)*100</f>
        <v>1.3333333333333335</v>
      </c>
      <c r="K86" s="263">
        <f t="shared" si="31"/>
        <v>530.66666666666674</v>
      </c>
      <c r="L86" s="267">
        <f>STDEV(M40:M45)/SQRT(6)</f>
        <v>50.666666666666643</v>
      </c>
      <c r="M86" s="268">
        <f>SUM(K86:L86)</f>
        <v>581.33333333333337</v>
      </c>
    </row>
    <row r="87" spans="2:22">
      <c r="B87" s="79" t="s">
        <v>548</v>
      </c>
      <c r="C87" s="79" t="s">
        <v>13</v>
      </c>
      <c r="E87" s="256">
        <f t="shared" si="30"/>
        <v>36.666666666666664</v>
      </c>
      <c r="F87" s="256">
        <f>F76/(25*6)*100</f>
        <v>6</v>
      </c>
      <c r="G87" s="256">
        <f>G76/(25*6)*100</f>
        <v>84</v>
      </c>
      <c r="H87" s="256">
        <f>H76/(25*6)*100</f>
        <v>19.333333333333332</v>
      </c>
      <c r="I87" s="256">
        <f>I76/(25*6)*100</f>
        <v>0</v>
      </c>
      <c r="J87" s="256">
        <f>J76/(25*6)*100</f>
        <v>24</v>
      </c>
      <c r="K87" s="263">
        <f t="shared" si="31"/>
        <v>170</v>
      </c>
      <c r="L87" s="267">
        <f>STDEV(M58:M63)/SQRT(6)</f>
        <v>19.886343722933756</v>
      </c>
      <c r="M87" s="268">
        <f>SUM(K87:L87)</f>
        <v>189.88634372293376</v>
      </c>
    </row>
    <row r="88" spans="2:22">
      <c r="B88" s="79" t="s">
        <v>548</v>
      </c>
      <c r="C88" s="79" t="s">
        <v>12</v>
      </c>
      <c r="E88" s="256">
        <f t="shared" si="30"/>
        <v>308.66666666666663</v>
      </c>
      <c r="F88" s="256">
        <f>F77/(25*6)*100</f>
        <v>22.666666666666664</v>
      </c>
      <c r="G88" s="256">
        <f>G77/(25*6)*100</f>
        <v>0</v>
      </c>
      <c r="H88" s="256">
        <f>H77/(25*6)*100</f>
        <v>0</v>
      </c>
      <c r="I88" s="256">
        <f>I77/(25*6)*100</f>
        <v>0</v>
      </c>
      <c r="J88" s="256">
        <f>J77/(25*6)*100</f>
        <v>8</v>
      </c>
      <c r="K88" s="263">
        <f t="shared" si="31"/>
        <v>339.33333333333331</v>
      </c>
      <c r="L88" s="267">
        <f>STDEV(M52:M57)/SQRT(6)</f>
        <v>24.031460860944609</v>
      </c>
      <c r="M88" s="268">
        <f>SUM(K88:L88)</f>
        <v>363.36479419427792</v>
      </c>
    </row>
    <row r="91" spans="2:22">
      <c r="V91" s="80"/>
    </row>
    <row r="123" spans="3:7">
      <c r="C123" s="79" t="s">
        <v>1038</v>
      </c>
      <c r="G123" s="79" t="s">
        <v>1039</v>
      </c>
    </row>
    <row r="131" spans="10:10">
      <c r="J131" s="79" t="s">
        <v>13</v>
      </c>
    </row>
    <row r="148" spans="10:10">
      <c r="J148" s="79" t="s">
        <v>12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48"/>
  <sheetViews>
    <sheetView workbookViewId="0">
      <pane xSplit="5" topLeftCell="F1" activePane="topRight" state="frozen"/>
      <selection pane="topRight" activeCell="R4" sqref="R4"/>
    </sheetView>
  </sheetViews>
  <sheetFormatPr baseColWidth="10" defaultRowHeight="16"/>
  <cols>
    <col min="7" max="7" width="12.6640625" customWidth="1"/>
    <col min="24" max="24" width="10.83203125" style="31"/>
    <col min="25" max="25" width="10.83203125" style="59"/>
    <col min="28" max="28" width="10.83203125" style="31"/>
  </cols>
  <sheetData>
    <row r="1" spans="1:39" ht="19">
      <c r="A1" s="19"/>
      <c r="B1" s="19"/>
      <c r="C1" s="19"/>
      <c r="D1" s="19"/>
      <c r="E1" s="19"/>
      <c r="F1" s="19"/>
      <c r="G1" s="19"/>
      <c r="H1" s="33"/>
      <c r="I1" s="33"/>
      <c r="J1" s="39"/>
      <c r="K1" s="45" t="s">
        <v>434</v>
      </c>
      <c r="L1" s="45" t="s">
        <v>689</v>
      </c>
      <c r="M1" s="45"/>
      <c r="N1" s="45"/>
      <c r="O1" s="45"/>
      <c r="P1" s="45"/>
      <c r="Q1" s="45"/>
      <c r="R1" s="45"/>
      <c r="S1" s="45"/>
      <c r="T1" s="33"/>
      <c r="U1" s="33"/>
      <c r="V1" s="20"/>
      <c r="W1" s="21"/>
      <c r="X1" s="28" t="s">
        <v>460</v>
      </c>
      <c r="Y1" s="208"/>
      <c r="Z1" s="21"/>
      <c r="AA1" s="28" t="s">
        <v>461</v>
      </c>
      <c r="AB1" s="28"/>
      <c r="AC1" s="28"/>
      <c r="AD1" s="28"/>
      <c r="AE1" s="28"/>
      <c r="AF1" s="28"/>
      <c r="AG1" s="28"/>
      <c r="AH1" s="28"/>
      <c r="AI1" s="28"/>
      <c r="AJ1" s="28"/>
      <c r="AK1" s="20"/>
      <c r="AL1" s="20"/>
      <c r="AM1" s="21"/>
    </row>
    <row r="2" spans="1:39">
      <c r="A2" s="9"/>
      <c r="B2" s="9"/>
      <c r="C2" s="9"/>
      <c r="D2" s="9"/>
      <c r="E2" s="9"/>
      <c r="F2" s="9"/>
      <c r="G2" s="9"/>
      <c r="H2" s="34"/>
      <c r="I2" s="34"/>
      <c r="J2" s="40"/>
      <c r="K2" s="46"/>
      <c r="L2" s="46"/>
      <c r="M2" s="46"/>
      <c r="N2" s="46" t="s">
        <v>448</v>
      </c>
      <c r="O2" s="46"/>
      <c r="P2" s="46">
        <v>3.35</v>
      </c>
      <c r="Q2" s="46"/>
      <c r="R2" s="46"/>
      <c r="S2" s="46"/>
      <c r="T2" s="34"/>
      <c r="U2" s="34"/>
      <c r="V2" s="22"/>
      <c r="W2" s="23"/>
      <c r="X2" s="29"/>
      <c r="Y2" s="145"/>
      <c r="Z2" s="23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18"/>
      <c r="AL2" s="18"/>
      <c r="AM2" s="2"/>
    </row>
    <row r="3" spans="1:39">
      <c r="A3" s="1" t="s">
        <v>10</v>
      </c>
      <c r="B3" s="1" t="s">
        <v>8</v>
      </c>
      <c r="C3" s="1" t="s">
        <v>11</v>
      </c>
      <c r="D3" s="1" t="s">
        <v>212</v>
      </c>
      <c r="E3" s="1" t="s">
        <v>20</v>
      </c>
      <c r="F3" s="1" t="s">
        <v>375</v>
      </c>
      <c r="G3" s="1" t="s">
        <v>779</v>
      </c>
      <c r="H3" s="35" t="s">
        <v>432</v>
      </c>
      <c r="I3" s="35" t="s">
        <v>431</v>
      </c>
      <c r="J3" s="41" t="s">
        <v>433</v>
      </c>
      <c r="K3" s="47" t="s">
        <v>444</v>
      </c>
      <c r="L3" s="47" t="s">
        <v>449</v>
      </c>
      <c r="M3" s="47" t="s">
        <v>443</v>
      </c>
      <c r="N3" s="47" t="s">
        <v>445</v>
      </c>
      <c r="O3" s="47" t="s">
        <v>446</v>
      </c>
      <c r="P3" s="47" t="s">
        <v>447</v>
      </c>
      <c r="Q3" s="47" t="s">
        <v>441</v>
      </c>
      <c r="R3" s="47" t="s">
        <v>509</v>
      </c>
      <c r="S3" s="47" t="s">
        <v>436</v>
      </c>
      <c r="T3" s="35" t="s">
        <v>435</v>
      </c>
      <c r="U3" s="35" t="s">
        <v>442</v>
      </c>
      <c r="V3" s="18" t="s">
        <v>455</v>
      </c>
      <c r="W3" s="2" t="s">
        <v>508</v>
      </c>
      <c r="X3" s="30" t="s">
        <v>453</v>
      </c>
      <c r="Y3" s="61" t="s">
        <v>450</v>
      </c>
      <c r="Z3" s="2" t="s">
        <v>474</v>
      </c>
      <c r="AA3" s="30" t="s">
        <v>459</v>
      </c>
      <c r="AB3" s="30" t="s">
        <v>437</v>
      </c>
      <c r="AC3" s="30" t="s">
        <v>438</v>
      </c>
      <c r="AD3" s="30" t="s">
        <v>439</v>
      </c>
      <c r="AE3" s="30" t="s">
        <v>468</v>
      </c>
      <c r="AF3" s="30" t="s">
        <v>440</v>
      </c>
      <c r="AG3" s="30" t="s">
        <v>815</v>
      </c>
      <c r="AH3" s="30" t="s">
        <v>814</v>
      </c>
      <c r="AI3" s="30" t="s">
        <v>843</v>
      </c>
      <c r="AJ3" s="30" t="s">
        <v>764</v>
      </c>
      <c r="AK3" s="18" t="s">
        <v>451</v>
      </c>
      <c r="AL3" s="18" t="s">
        <v>452</v>
      </c>
      <c r="AM3" s="2" t="s">
        <v>375</v>
      </c>
    </row>
    <row r="4" spans="1:39">
      <c r="A4" t="s">
        <v>0</v>
      </c>
      <c r="B4" t="s">
        <v>9</v>
      </c>
      <c r="C4" t="s">
        <v>12</v>
      </c>
      <c r="D4" s="8">
        <v>1</v>
      </c>
      <c r="E4">
        <v>5</v>
      </c>
      <c r="H4" s="36">
        <v>47.98</v>
      </c>
      <c r="I4" s="36">
        <v>2.93</v>
      </c>
      <c r="J4" s="42">
        <f>H4-I4</f>
        <v>45.05</v>
      </c>
      <c r="K4" s="44">
        <v>0</v>
      </c>
      <c r="L4" s="44">
        <v>0</v>
      </c>
      <c r="M4" s="44">
        <v>1.1499999999999999</v>
      </c>
      <c r="N4" s="44">
        <v>0</v>
      </c>
      <c r="O4" s="44">
        <v>31.82</v>
      </c>
      <c r="P4" s="44">
        <v>1.36</v>
      </c>
      <c r="Q4" s="44">
        <f t="shared" ref="Q4:Q21" si="0">SUM(N4:P4)</f>
        <v>33.18</v>
      </c>
      <c r="R4" s="44">
        <v>294.23</v>
      </c>
      <c r="S4">
        <v>285.86</v>
      </c>
      <c r="T4" s="36">
        <f>R4-S4</f>
        <v>8.3700000000000045</v>
      </c>
      <c r="U4" s="36">
        <f>J4-T4-Q4-M4-(IF(L4="none",0))-K4</f>
        <v>2.349999999999993</v>
      </c>
      <c r="V4" s="24">
        <v>42996</v>
      </c>
      <c r="W4" s="3"/>
      <c r="X4" s="31">
        <v>5.758</v>
      </c>
      <c r="Y4" s="67">
        <v>43024</v>
      </c>
      <c r="Z4" s="3"/>
      <c r="AA4" s="31">
        <v>2.5150000000000001</v>
      </c>
      <c r="AB4" s="31">
        <v>10.507</v>
      </c>
      <c r="AC4" s="31">
        <f t="shared" ref="AC4:AC6" si="1">AB4-AA4</f>
        <v>7.9919999999999991</v>
      </c>
      <c r="AD4" s="31">
        <v>5.5670000000000002</v>
      </c>
      <c r="AE4" s="31">
        <v>0.104</v>
      </c>
      <c r="AF4" s="31">
        <f>AD4-AA4+AE4</f>
        <v>3.1560000000000001</v>
      </c>
      <c r="AG4" s="31">
        <f>((AC4-AF4)*100)/AF4</f>
        <v>153.23193916349805</v>
      </c>
      <c r="AH4" s="31">
        <f>(AF4/AC4)*100</f>
        <v>39.489489489489493</v>
      </c>
      <c r="AI4" s="31">
        <f>100-AH4</f>
        <v>60.510510510510507</v>
      </c>
      <c r="AJ4" s="31">
        <f>T4*AH4%</f>
        <v>3.3052702702702725</v>
      </c>
      <c r="AK4" s="67">
        <v>43024</v>
      </c>
      <c r="AL4" s="26">
        <v>43027</v>
      </c>
      <c r="AM4" s="25"/>
    </row>
    <row r="5" spans="1:39">
      <c r="A5" t="s">
        <v>642</v>
      </c>
      <c r="B5" t="s">
        <v>9</v>
      </c>
      <c r="C5" t="s">
        <v>12</v>
      </c>
      <c r="D5" s="8">
        <v>1</v>
      </c>
      <c r="E5">
        <v>10</v>
      </c>
      <c r="H5" s="36">
        <v>58.76</v>
      </c>
      <c r="I5" s="38">
        <v>2.99</v>
      </c>
      <c r="J5" s="42">
        <f t="shared" ref="J5:J39" si="2">H5-I5</f>
        <v>55.769999999999996</v>
      </c>
      <c r="K5" s="38">
        <v>0</v>
      </c>
      <c r="L5" s="38">
        <v>0</v>
      </c>
      <c r="M5" s="44">
        <v>4.75</v>
      </c>
      <c r="N5" s="44">
        <v>0</v>
      </c>
      <c r="O5" s="44">
        <v>25.77</v>
      </c>
      <c r="P5" s="44">
        <v>1.04</v>
      </c>
      <c r="Q5" s="44">
        <f t="shared" si="0"/>
        <v>26.81</v>
      </c>
      <c r="R5" s="44">
        <v>306.68</v>
      </c>
      <c r="S5">
        <v>285.86</v>
      </c>
      <c r="T5" s="36">
        <f t="shared" ref="T5:T6" si="3">R5-S5</f>
        <v>20.819999999999993</v>
      </c>
      <c r="U5" s="36">
        <f>J5-T5-Q5-M5-(IF(L5="none",0))-K5</f>
        <v>3.3900000000000041</v>
      </c>
      <c r="V5" s="24">
        <v>42996</v>
      </c>
      <c r="W5" s="3"/>
      <c r="X5" s="31" t="s">
        <v>469</v>
      </c>
      <c r="Y5" s="68" t="s">
        <v>469</v>
      </c>
      <c r="Z5" s="3" t="s">
        <v>475</v>
      </c>
      <c r="AA5" s="31">
        <v>2.492</v>
      </c>
      <c r="AB5" s="31">
        <v>9.25</v>
      </c>
      <c r="AC5" s="31">
        <f t="shared" si="1"/>
        <v>6.758</v>
      </c>
      <c r="AD5" s="31">
        <v>4.798</v>
      </c>
      <c r="AE5" s="31">
        <v>0.104</v>
      </c>
      <c r="AF5" s="31">
        <f t="shared" ref="AF5:AF32" si="4">AD5-AA5+AE5</f>
        <v>2.41</v>
      </c>
      <c r="AG5" s="31">
        <f t="shared" ref="AG5:AG32" si="5">((AC5-AF5)*100)/AF5</f>
        <v>180.41493775933608</v>
      </c>
      <c r="AH5" s="31">
        <f t="shared" ref="AH5:AH32" si="6">(AF5/AC5)*100</f>
        <v>35.661438295353662</v>
      </c>
      <c r="AI5" s="31">
        <f t="shared" ref="AI5:AI32" si="7">100-AH5</f>
        <v>64.338561704646338</v>
      </c>
      <c r="AJ5" s="31">
        <f t="shared" ref="AJ5:AJ32" si="8">T5*AH5%</f>
        <v>7.4247114530926304</v>
      </c>
      <c r="AK5" s="67">
        <v>43024</v>
      </c>
      <c r="AL5" s="26">
        <v>43027</v>
      </c>
      <c r="AM5" s="25"/>
    </row>
    <row r="6" spans="1:39">
      <c r="A6" t="s">
        <v>3</v>
      </c>
      <c r="B6" t="s">
        <v>9</v>
      </c>
      <c r="C6" t="s">
        <v>12</v>
      </c>
      <c r="D6" s="8">
        <v>2</v>
      </c>
      <c r="E6">
        <v>5</v>
      </c>
      <c r="H6" s="36">
        <v>36.01</v>
      </c>
      <c r="I6" s="36">
        <v>2.93</v>
      </c>
      <c r="J6" s="42">
        <f t="shared" si="2"/>
        <v>33.08</v>
      </c>
      <c r="K6" s="44">
        <v>0</v>
      </c>
      <c r="L6" s="44">
        <v>0</v>
      </c>
      <c r="M6" s="44">
        <v>1.73</v>
      </c>
      <c r="N6" s="44">
        <v>0.4</v>
      </c>
      <c r="O6" s="44">
        <v>24.23</v>
      </c>
      <c r="P6" s="44">
        <v>1.46</v>
      </c>
      <c r="Q6" s="44">
        <f t="shared" si="0"/>
        <v>26.09</v>
      </c>
      <c r="R6" s="44">
        <v>288.55</v>
      </c>
      <c r="S6">
        <v>285.86</v>
      </c>
      <c r="T6" s="36">
        <f t="shared" si="3"/>
        <v>2.6899999999999977</v>
      </c>
      <c r="U6" s="36">
        <f t="shared" ref="U6" si="9">J6-T6-Q6-M6-(IF(L6="none",0))-K6</f>
        <v>2.5700000000000007</v>
      </c>
      <c r="V6" s="24">
        <v>42996</v>
      </c>
      <c r="W6" s="3"/>
      <c r="X6" s="31">
        <v>5.2690000000000001</v>
      </c>
      <c r="Y6" s="67">
        <v>43024</v>
      </c>
      <c r="Z6" s="3"/>
      <c r="AA6" s="31">
        <v>2.4569999999999999</v>
      </c>
      <c r="AB6" s="31">
        <v>12.634</v>
      </c>
      <c r="AC6" s="31">
        <f t="shared" si="1"/>
        <v>10.177</v>
      </c>
      <c r="AD6" s="31">
        <v>6.0019999999999998</v>
      </c>
      <c r="AE6" s="31">
        <v>0.104</v>
      </c>
      <c r="AF6" s="31">
        <f t="shared" si="4"/>
        <v>3.649</v>
      </c>
      <c r="AG6" s="31">
        <f t="shared" si="5"/>
        <v>178.89832830912579</v>
      </c>
      <c r="AH6" s="31">
        <f t="shared" si="6"/>
        <v>35.855360125773807</v>
      </c>
      <c r="AI6" s="31">
        <f t="shared" si="7"/>
        <v>64.144639874226186</v>
      </c>
      <c r="AJ6" s="31">
        <f t="shared" si="8"/>
        <v>0.96450918738331459</v>
      </c>
      <c r="AK6" s="67">
        <v>43024</v>
      </c>
      <c r="AL6" s="26">
        <v>43027</v>
      </c>
      <c r="AM6" s="25"/>
    </row>
    <row r="7" spans="1:39">
      <c r="A7" t="s">
        <v>643</v>
      </c>
      <c r="B7" t="s">
        <v>9</v>
      </c>
      <c r="C7" t="s">
        <v>12</v>
      </c>
      <c r="D7" s="6">
        <v>2</v>
      </c>
      <c r="E7">
        <v>10</v>
      </c>
      <c r="H7" s="38">
        <v>65.2</v>
      </c>
      <c r="I7" s="38">
        <v>3.16</v>
      </c>
      <c r="J7" s="42">
        <f t="shared" si="2"/>
        <v>62.040000000000006</v>
      </c>
      <c r="K7" s="44">
        <v>0</v>
      </c>
      <c r="L7" s="44">
        <v>0</v>
      </c>
      <c r="M7" s="44">
        <v>6.81</v>
      </c>
      <c r="N7" s="44">
        <v>0</v>
      </c>
      <c r="O7" s="44">
        <v>13.45</v>
      </c>
      <c r="P7" s="44">
        <v>0.99</v>
      </c>
      <c r="Q7" s="44">
        <f t="shared" si="0"/>
        <v>14.44</v>
      </c>
      <c r="R7" s="44">
        <v>322.55</v>
      </c>
      <c r="S7">
        <v>285.86</v>
      </c>
      <c r="T7" s="36">
        <f t="shared" ref="T7:T39" si="10">R7-S7</f>
        <v>36.69</v>
      </c>
      <c r="U7" s="36">
        <f t="shared" ref="U7:U39" si="11">J7-T7-Q7-M7-(IF(L7="none",0))-K7</f>
        <v>4.1000000000000094</v>
      </c>
      <c r="V7" s="24">
        <v>42996</v>
      </c>
      <c r="X7" s="31">
        <v>5.7060000000000004</v>
      </c>
      <c r="Y7" s="67">
        <v>43024</v>
      </c>
      <c r="AA7" s="31">
        <v>2.48</v>
      </c>
      <c r="AB7" s="31">
        <v>17.422000000000001</v>
      </c>
      <c r="AC7" s="31">
        <f t="shared" ref="AC7:AC48" si="12">AB7-AA7</f>
        <v>14.942</v>
      </c>
      <c r="AD7" s="31">
        <v>7.9169999999999998</v>
      </c>
      <c r="AE7" s="31">
        <v>0.104</v>
      </c>
      <c r="AF7" s="31">
        <f t="shared" si="4"/>
        <v>5.5409999999999995</v>
      </c>
      <c r="AG7" s="31">
        <f t="shared" si="5"/>
        <v>169.66251579137341</v>
      </c>
      <c r="AH7" s="31">
        <f t="shared" si="6"/>
        <v>37.083389104537538</v>
      </c>
      <c r="AI7" s="31">
        <f t="shared" si="7"/>
        <v>62.916610895462462</v>
      </c>
      <c r="AJ7" s="31">
        <f t="shared" si="8"/>
        <v>13.605895462454823</v>
      </c>
      <c r="AK7" s="67">
        <v>43024</v>
      </c>
      <c r="AL7" s="26">
        <v>43027</v>
      </c>
    </row>
    <row r="8" spans="1:39">
      <c r="A8" t="s">
        <v>23</v>
      </c>
      <c r="B8" t="s">
        <v>9</v>
      </c>
      <c r="C8" t="s">
        <v>12</v>
      </c>
      <c r="D8" s="6">
        <v>3</v>
      </c>
      <c r="E8">
        <v>5</v>
      </c>
      <c r="H8">
        <v>65.260000000000005</v>
      </c>
      <c r="I8">
        <v>2.99</v>
      </c>
      <c r="J8" s="42">
        <f t="shared" si="2"/>
        <v>62.27</v>
      </c>
      <c r="K8">
        <v>0</v>
      </c>
      <c r="L8">
        <v>0</v>
      </c>
      <c r="M8">
        <v>3.53</v>
      </c>
      <c r="N8">
        <v>0.08</v>
      </c>
      <c r="O8">
        <v>39.21</v>
      </c>
      <c r="P8">
        <v>0.1</v>
      </c>
      <c r="Q8" s="44">
        <f t="shared" si="0"/>
        <v>39.39</v>
      </c>
      <c r="R8">
        <v>301.36</v>
      </c>
      <c r="S8">
        <v>285.95999999999998</v>
      </c>
      <c r="T8" s="36">
        <f t="shared" si="10"/>
        <v>15.400000000000034</v>
      </c>
      <c r="U8" s="36">
        <f t="shared" si="11"/>
        <v>3.9499999999999686</v>
      </c>
      <c r="V8" s="24">
        <v>42990</v>
      </c>
      <c r="X8" s="31">
        <v>5.7</v>
      </c>
      <c r="Y8" s="67">
        <v>42993</v>
      </c>
      <c r="AA8">
        <v>2.4950000000000001</v>
      </c>
      <c r="AB8" s="31">
        <v>13.685</v>
      </c>
      <c r="AC8" s="31">
        <f t="shared" si="12"/>
        <v>11.190000000000001</v>
      </c>
      <c r="AD8" s="31">
        <v>6.5540000000000003</v>
      </c>
      <c r="AE8" s="31">
        <v>0.14150000000000004</v>
      </c>
      <c r="AF8" s="31">
        <f t="shared" si="4"/>
        <v>4.2004999999999999</v>
      </c>
      <c r="AG8" s="31">
        <f t="shared" si="5"/>
        <v>166.39685751696231</v>
      </c>
      <c r="AH8" s="31">
        <f t="shared" si="6"/>
        <v>37.537980339588913</v>
      </c>
      <c r="AI8" s="31">
        <f t="shared" si="7"/>
        <v>62.462019660411087</v>
      </c>
      <c r="AJ8" s="31">
        <f t="shared" si="8"/>
        <v>5.7808489722967051</v>
      </c>
      <c r="AK8" s="67">
        <v>42993</v>
      </c>
      <c r="AL8" s="24">
        <v>42996</v>
      </c>
    </row>
    <row r="9" spans="1:39">
      <c r="A9" t="s">
        <v>1089</v>
      </c>
      <c r="B9" t="s">
        <v>9</v>
      </c>
      <c r="C9" t="s">
        <v>12</v>
      </c>
      <c r="D9" s="6">
        <v>3</v>
      </c>
      <c r="E9">
        <v>10</v>
      </c>
      <c r="H9">
        <v>73.069999999999993</v>
      </c>
      <c r="I9">
        <v>3.07</v>
      </c>
      <c r="J9" s="42">
        <f t="shared" si="2"/>
        <v>70</v>
      </c>
      <c r="K9">
        <v>0</v>
      </c>
      <c r="L9">
        <v>0</v>
      </c>
      <c r="M9">
        <v>10.34</v>
      </c>
      <c r="N9">
        <v>0.03</v>
      </c>
      <c r="O9">
        <v>11.92</v>
      </c>
      <c r="P9">
        <v>0</v>
      </c>
      <c r="Q9" s="44">
        <f t="shared" si="0"/>
        <v>11.95</v>
      </c>
      <c r="R9">
        <v>326.79000000000002</v>
      </c>
      <c r="S9">
        <v>285.95999999999998</v>
      </c>
      <c r="T9" s="36">
        <f t="shared" si="10"/>
        <v>40.830000000000041</v>
      </c>
      <c r="U9" s="36">
        <f t="shared" si="11"/>
        <v>6.8799999999999599</v>
      </c>
      <c r="V9" s="24">
        <v>42990</v>
      </c>
      <c r="X9" s="31">
        <v>5.8150000000000004</v>
      </c>
      <c r="Y9" s="67">
        <v>42993</v>
      </c>
      <c r="AA9">
        <v>2.5030000000000001</v>
      </c>
      <c r="AB9" s="31">
        <v>18.023</v>
      </c>
      <c r="AC9" s="31">
        <f t="shared" si="12"/>
        <v>15.52</v>
      </c>
      <c r="AD9" s="31">
        <v>9.1959999999999997</v>
      </c>
      <c r="AE9" s="31">
        <v>0.14150000000000004</v>
      </c>
      <c r="AF9" s="31">
        <f t="shared" si="4"/>
        <v>6.8344999999999994</v>
      </c>
      <c r="AG9" s="31">
        <f t="shared" si="5"/>
        <v>127.08318092033069</v>
      </c>
      <c r="AH9" s="31">
        <f t="shared" si="6"/>
        <v>44.03672680412371</v>
      </c>
      <c r="AI9" s="31">
        <f t="shared" si="7"/>
        <v>55.96327319587629</v>
      </c>
      <c r="AJ9" s="31">
        <f t="shared" si="8"/>
        <v>17.980195554123728</v>
      </c>
      <c r="AK9" s="67">
        <v>42993</v>
      </c>
      <c r="AL9" s="24">
        <v>42996</v>
      </c>
    </row>
    <row r="10" spans="1:39">
      <c r="A10" t="s">
        <v>16</v>
      </c>
      <c r="B10" t="s">
        <v>9</v>
      </c>
      <c r="C10" t="s">
        <v>12</v>
      </c>
      <c r="D10" s="6">
        <v>4</v>
      </c>
      <c r="E10">
        <v>5</v>
      </c>
      <c r="H10" s="38">
        <v>40.659999999999997</v>
      </c>
      <c r="I10" s="38">
        <v>3.09</v>
      </c>
      <c r="J10" s="42">
        <f t="shared" si="2"/>
        <v>37.569999999999993</v>
      </c>
      <c r="K10" s="44">
        <v>0</v>
      </c>
      <c r="L10" s="44">
        <v>0</v>
      </c>
      <c r="M10" s="44">
        <v>3.65</v>
      </c>
      <c r="N10" s="44">
        <v>0.25</v>
      </c>
      <c r="O10" s="44">
        <v>10.82</v>
      </c>
      <c r="P10" s="44">
        <v>0.66</v>
      </c>
      <c r="Q10" s="44">
        <f t="shared" si="0"/>
        <v>11.73</v>
      </c>
      <c r="R10" s="44">
        <v>306.48</v>
      </c>
      <c r="S10">
        <v>285.83999999999997</v>
      </c>
      <c r="T10" s="36">
        <f t="shared" si="10"/>
        <v>20.640000000000043</v>
      </c>
      <c r="U10" s="36">
        <f t="shared" si="11"/>
        <v>1.5499999999999496</v>
      </c>
      <c r="V10" s="24">
        <v>43010</v>
      </c>
      <c r="X10" s="31">
        <v>5.3890000000000002</v>
      </c>
      <c r="Y10" s="67">
        <v>43024</v>
      </c>
      <c r="AA10" s="31">
        <v>2.476</v>
      </c>
      <c r="AB10" s="31">
        <v>18.754000000000001</v>
      </c>
      <c r="AC10" s="31">
        <f t="shared" si="12"/>
        <v>16.278000000000002</v>
      </c>
      <c r="AD10" s="31">
        <v>15.497999999999999</v>
      </c>
      <c r="AE10" s="31">
        <v>0.128</v>
      </c>
      <c r="AF10" s="31">
        <f t="shared" si="4"/>
        <v>13.149999999999999</v>
      </c>
      <c r="AG10" s="31">
        <f t="shared" si="5"/>
        <v>23.787072243346039</v>
      </c>
      <c r="AH10" s="31">
        <f t="shared" si="6"/>
        <v>80.783880083548326</v>
      </c>
      <c r="AI10" s="31">
        <f t="shared" si="7"/>
        <v>19.216119916451674</v>
      </c>
      <c r="AJ10" s="31">
        <f t="shared" si="8"/>
        <v>16.673792849244407</v>
      </c>
      <c r="AK10" s="67">
        <v>43024</v>
      </c>
      <c r="AL10" s="26">
        <v>43027</v>
      </c>
    </row>
    <row r="11" spans="1:39">
      <c r="A11" t="s">
        <v>1090</v>
      </c>
      <c r="B11" t="s">
        <v>9</v>
      </c>
      <c r="C11" t="s">
        <v>12</v>
      </c>
      <c r="D11" s="6">
        <v>4</v>
      </c>
      <c r="E11">
        <v>10</v>
      </c>
      <c r="H11" s="38">
        <v>40.67</v>
      </c>
      <c r="I11" s="38">
        <v>2.98</v>
      </c>
      <c r="J11" s="42">
        <f t="shared" si="2"/>
        <v>37.690000000000005</v>
      </c>
      <c r="K11" s="44">
        <v>0</v>
      </c>
      <c r="L11" s="44">
        <v>0</v>
      </c>
      <c r="M11" s="44">
        <v>1.46</v>
      </c>
      <c r="N11" s="44">
        <v>0.1</v>
      </c>
      <c r="O11" s="44">
        <v>14.87</v>
      </c>
      <c r="P11">
        <v>0.18</v>
      </c>
      <c r="Q11" s="44">
        <f t="shared" si="0"/>
        <v>15.149999999999999</v>
      </c>
      <c r="R11" s="44">
        <v>305.85000000000002</v>
      </c>
      <c r="S11">
        <v>285.83999999999997</v>
      </c>
      <c r="T11" s="36">
        <f t="shared" si="10"/>
        <v>20.010000000000048</v>
      </c>
      <c r="U11" s="36">
        <f t="shared" si="11"/>
        <v>1.0699999999999585</v>
      </c>
      <c r="V11" s="24">
        <v>43010</v>
      </c>
      <c r="X11" s="31">
        <v>5.3049999999999997</v>
      </c>
      <c r="Y11" s="67">
        <v>43024</v>
      </c>
      <c r="AA11" s="31">
        <v>2.5289999999999999</v>
      </c>
      <c r="AB11" s="31">
        <v>18.181000000000001</v>
      </c>
      <c r="AC11" s="31">
        <f t="shared" si="12"/>
        <v>15.652000000000001</v>
      </c>
      <c r="AD11" s="31">
        <v>14.04</v>
      </c>
      <c r="AE11" s="31">
        <v>0.128</v>
      </c>
      <c r="AF11" s="31">
        <f t="shared" si="4"/>
        <v>11.638999999999999</v>
      </c>
      <c r="AG11" s="31">
        <f t="shared" si="5"/>
        <v>34.478907122605051</v>
      </c>
      <c r="AH11" s="31">
        <f t="shared" si="6"/>
        <v>74.361104012266793</v>
      </c>
      <c r="AI11" s="31">
        <f t="shared" si="7"/>
        <v>25.638895987733207</v>
      </c>
      <c r="AJ11" s="31">
        <f t="shared" si="8"/>
        <v>14.879656912854619</v>
      </c>
      <c r="AK11" s="67">
        <v>43024</v>
      </c>
      <c r="AL11" s="26">
        <v>43027</v>
      </c>
    </row>
    <row r="12" spans="1:39">
      <c r="A12" t="s">
        <v>26</v>
      </c>
      <c r="B12" t="s">
        <v>9</v>
      </c>
      <c r="C12" t="s">
        <v>12</v>
      </c>
      <c r="D12" s="6">
        <v>5</v>
      </c>
      <c r="E12">
        <v>5</v>
      </c>
      <c r="H12">
        <v>70.040000000000006</v>
      </c>
      <c r="I12">
        <v>3.03</v>
      </c>
      <c r="J12" s="42">
        <f t="shared" si="2"/>
        <v>67.010000000000005</v>
      </c>
      <c r="K12">
        <v>1.1599999999999999</v>
      </c>
      <c r="L12">
        <v>0</v>
      </c>
      <c r="M12">
        <v>4.29</v>
      </c>
      <c r="N12">
        <v>0.28000000000000003</v>
      </c>
      <c r="O12">
        <v>12.83</v>
      </c>
      <c r="P12">
        <v>0</v>
      </c>
      <c r="Q12" s="44">
        <f t="shared" si="0"/>
        <v>13.11</v>
      </c>
      <c r="R12">
        <v>332.93</v>
      </c>
      <c r="S12">
        <v>285.95999999999998</v>
      </c>
      <c r="T12" s="36">
        <f t="shared" si="10"/>
        <v>46.970000000000027</v>
      </c>
      <c r="U12" s="36">
        <f t="shared" si="11"/>
        <v>1.4799999999999784</v>
      </c>
      <c r="V12" s="24">
        <v>42990</v>
      </c>
      <c r="X12" s="31">
        <v>5.8730000000000002</v>
      </c>
      <c r="Y12" s="67">
        <v>42993</v>
      </c>
      <c r="AA12">
        <v>2.4830000000000001</v>
      </c>
      <c r="AB12" s="31">
        <v>21.273</v>
      </c>
      <c r="AC12" s="31">
        <f t="shared" si="12"/>
        <v>18.79</v>
      </c>
      <c r="AD12" s="31">
        <v>14.393000000000001</v>
      </c>
      <c r="AE12" s="31">
        <v>0.14150000000000004</v>
      </c>
      <c r="AF12" s="31">
        <f t="shared" si="4"/>
        <v>12.051500000000001</v>
      </c>
      <c r="AG12" s="31">
        <f t="shared" si="5"/>
        <v>55.914201551674047</v>
      </c>
      <c r="AH12" s="31">
        <f t="shared" si="6"/>
        <v>64.137839276210755</v>
      </c>
      <c r="AI12" s="31">
        <f t="shared" si="7"/>
        <v>35.862160723789245</v>
      </c>
      <c r="AJ12" s="31">
        <f t="shared" si="8"/>
        <v>30.125543108036208</v>
      </c>
      <c r="AK12" s="67">
        <v>42993</v>
      </c>
      <c r="AL12" s="24">
        <v>42996</v>
      </c>
    </row>
    <row r="13" spans="1:39">
      <c r="A13" t="s">
        <v>1091</v>
      </c>
      <c r="B13" t="s">
        <v>9</v>
      </c>
      <c r="C13" t="s">
        <v>12</v>
      </c>
      <c r="D13" s="6">
        <v>5</v>
      </c>
      <c r="E13">
        <v>10</v>
      </c>
      <c r="H13">
        <v>72.95</v>
      </c>
      <c r="I13">
        <v>2.98</v>
      </c>
      <c r="J13" s="42">
        <f t="shared" si="2"/>
        <v>69.97</v>
      </c>
      <c r="K13">
        <v>0</v>
      </c>
      <c r="L13">
        <v>0</v>
      </c>
      <c r="M13">
        <v>2.6</v>
      </c>
      <c r="N13">
        <v>0.1</v>
      </c>
      <c r="O13">
        <v>4.21</v>
      </c>
      <c r="P13">
        <v>0</v>
      </c>
      <c r="Q13" s="44">
        <f t="shared" si="0"/>
        <v>4.3099999999999996</v>
      </c>
      <c r="R13">
        <v>348.01</v>
      </c>
      <c r="S13">
        <v>285.95999999999998</v>
      </c>
      <c r="T13" s="36">
        <f t="shared" si="10"/>
        <v>62.050000000000011</v>
      </c>
      <c r="U13" s="36">
        <f t="shared" si="11"/>
        <v>1.0099999999999878</v>
      </c>
      <c r="V13" s="24">
        <v>42990</v>
      </c>
      <c r="X13" s="31">
        <v>5.8609999999999998</v>
      </c>
      <c r="Y13" s="67">
        <v>42993</v>
      </c>
      <c r="AA13">
        <v>2.464</v>
      </c>
      <c r="AB13" s="31">
        <v>29.812999999999999</v>
      </c>
      <c r="AC13" s="31">
        <f t="shared" si="12"/>
        <v>27.349</v>
      </c>
      <c r="AD13" s="31">
        <v>19.97</v>
      </c>
      <c r="AE13" s="31">
        <v>0.14150000000000004</v>
      </c>
      <c r="AF13" s="31">
        <f t="shared" si="4"/>
        <v>17.647500000000001</v>
      </c>
      <c r="AG13" s="31">
        <f t="shared" si="5"/>
        <v>54.973792321858618</v>
      </c>
      <c r="AH13" s="31">
        <f t="shared" si="6"/>
        <v>64.527039379867631</v>
      </c>
      <c r="AI13" s="31">
        <f t="shared" si="7"/>
        <v>35.472960620132369</v>
      </c>
      <c r="AJ13" s="31">
        <f t="shared" si="8"/>
        <v>40.039027935207876</v>
      </c>
      <c r="AK13" s="67">
        <v>42993</v>
      </c>
      <c r="AL13" s="24">
        <v>42996</v>
      </c>
    </row>
    <row r="14" spans="1:39">
      <c r="A14" t="s">
        <v>17</v>
      </c>
      <c r="B14" t="s">
        <v>9</v>
      </c>
      <c r="C14" t="s">
        <v>12</v>
      </c>
      <c r="D14" s="6">
        <v>6</v>
      </c>
      <c r="E14">
        <v>5</v>
      </c>
      <c r="H14">
        <v>32.119999999999997</v>
      </c>
      <c r="I14">
        <v>3.01</v>
      </c>
      <c r="J14" s="42">
        <f t="shared" si="2"/>
        <v>29.11</v>
      </c>
      <c r="K14">
        <v>0</v>
      </c>
      <c r="L14">
        <v>0</v>
      </c>
      <c r="M14">
        <v>1.69</v>
      </c>
      <c r="N14">
        <v>0.43</v>
      </c>
      <c r="O14">
        <v>22.41</v>
      </c>
      <c r="P14">
        <v>0.1</v>
      </c>
      <c r="Q14" s="44">
        <f t="shared" si="0"/>
        <v>22.94</v>
      </c>
      <c r="R14">
        <v>288.33</v>
      </c>
      <c r="S14">
        <v>285.86</v>
      </c>
      <c r="T14" s="36">
        <f t="shared" si="10"/>
        <v>2.4699999999999704</v>
      </c>
      <c r="U14" s="36">
        <f t="shared" si="11"/>
        <v>2.0100000000000278</v>
      </c>
      <c r="V14" s="24">
        <v>42996</v>
      </c>
      <c r="X14" s="31">
        <v>5.7290000000000001</v>
      </c>
      <c r="Y14" s="67">
        <v>43024</v>
      </c>
      <c r="AA14">
        <v>2.4860000000000002</v>
      </c>
      <c r="AB14" s="31">
        <v>10.456</v>
      </c>
      <c r="AC14" s="31">
        <f t="shared" si="12"/>
        <v>7.9699999999999989</v>
      </c>
      <c r="AD14" s="31">
        <v>7.4269999999999996</v>
      </c>
      <c r="AE14" s="31">
        <v>0.104</v>
      </c>
      <c r="AF14" s="31">
        <f t="shared" si="4"/>
        <v>5.044999999999999</v>
      </c>
      <c r="AG14" s="31">
        <f t="shared" si="5"/>
        <v>57.978196233894955</v>
      </c>
      <c r="AH14" s="31">
        <f t="shared" si="6"/>
        <v>63.299874529485564</v>
      </c>
      <c r="AI14" s="31">
        <f t="shared" si="7"/>
        <v>36.700125470514436</v>
      </c>
      <c r="AJ14" s="31">
        <f t="shared" si="8"/>
        <v>1.5635069008782747</v>
      </c>
      <c r="AK14" s="67">
        <v>43024</v>
      </c>
      <c r="AL14" s="26">
        <v>43027</v>
      </c>
    </row>
    <row r="15" spans="1:39">
      <c r="A15" t="s">
        <v>1092</v>
      </c>
      <c r="B15" t="s">
        <v>9</v>
      </c>
      <c r="C15" t="s">
        <v>12</v>
      </c>
      <c r="D15" s="6">
        <v>6</v>
      </c>
      <c r="E15">
        <v>10</v>
      </c>
      <c r="H15">
        <v>70.48</v>
      </c>
      <c r="I15">
        <v>2.97</v>
      </c>
      <c r="J15" s="42">
        <f t="shared" si="2"/>
        <v>67.510000000000005</v>
      </c>
      <c r="K15">
        <v>0</v>
      </c>
      <c r="L15">
        <v>0</v>
      </c>
      <c r="M15">
        <v>2.91</v>
      </c>
      <c r="N15">
        <v>0.19</v>
      </c>
      <c r="O15">
        <v>48.06</v>
      </c>
      <c r="P15">
        <v>0.46</v>
      </c>
      <c r="Q15" s="44">
        <f t="shared" si="0"/>
        <v>48.71</v>
      </c>
      <c r="R15">
        <v>299.35000000000002</v>
      </c>
      <c r="S15">
        <v>285.86</v>
      </c>
      <c r="T15" s="36">
        <f t="shared" si="10"/>
        <v>13.490000000000009</v>
      </c>
      <c r="U15" s="36">
        <f t="shared" si="11"/>
        <v>2.399999999999995</v>
      </c>
      <c r="V15" s="24">
        <v>42996</v>
      </c>
      <c r="X15" s="31">
        <v>5.0410000000000004</v>
      </c>
      <c r="Y15" s="67">
        <v>43024</v>
      </c>
      <c r="AA15">
        <v>2.5089999999999999</v>
      </c>
      <c r="AB15" s="31">
        <v>15.603999999999999</v>
      </c>
      <c r="AC15" s="31">
        <f t="shared" si="12"/>
        <v>13.094999999999999</v>
      </c>
      <c r="AD15" s="31">
        <v>9.9179999999999993</v>
      </c>
      <c r="AE15" s="31">
        <v>0.104</v>
      </c>
      <c r="AF15" s="31">
        <f t="shared" si="4"/>
        <v>7.512999999999999</v>
      </c>
      <c r="AG15" s="31">
        <f t="shared" si="5"/>
        <v>74.297883668308273</v>
      </c>
      <c r="AH15" s="31">
        <f t="shared" si="6"/>
        <v>57.37304314623902</v>
      </c>
      <c r="AI15" s="31">
        <f t="shared" si="7"/>
        <v>42.62695685376098</v>
      </c>
      <c r="AJ15" s="31">
        <f t="shared" si="8"/>
        <v>7.7396235204276493</v>
      </c>
      <c r="AK15" s="67">
        <v>43024</v>
      </c>
      <c r="AL15" s="26">
        <v>43027</v>
      </c>
    </row>
    <row r="16" spans="1:39">
      <c r="A16" t="s">
        <v>4</v>
      </c>
      <c r="B16" t="s">
        <v>9</v>
      </c>
      <c r="C16" t="s">
        <v>13</v>
      </c>
      <c r="D16" s="6">
        <v>1</v>
      </c>
      <c r="E16">
        <v>5</v>
      </c>
      <c r="H16">
        <v>52.32</v>
      </c>
      <c r="I16">
        <v>2.94</v>
      </c>
      <c r="J16" s="42">
        <f t="shared" si="2"/>
        <v>49.38</v>
      </c>
      <c r="K16">
        <v>0</v>
      </c>
      <c r="L16">
        <v>0</v>
      </c>
      <c r="M16">
        <v>4.37</v>
      </c>
      <c r="N16">
        <v>0.13</v>
      </c>
      <c r="O16">
        <v>24.58</v>
      </c>
      <c r="P16">
        <v>0</v>
      </c>
      <c r="Q16" s="44">
        <f t="shared" si="0"/>
        <v>24.709999999999997</v>
      </c>
      <c r="R16">
        <v>304.14</v>
      </c>
      <c r="S16">
        <v>285.83999999999997</v>
      </c>
      <c r="T16" s="36">
        <f t="shared" si="10"/>
        <v>18.300000000000011</v>
      </c>
      <c r="U16" s="36">
        <f t="shared" si="11"/>
        <v>1.9999999999999938</v>
      </c>
      <c r="V16" s="24">
        <v>43010</v>
      </c>
      <c r="X16" s="31">
        <v>6.891</v>
      </c>
      <c r="Y16" s="67">
        <v>43024</v>
      </c>
      <c r="AA16">
        <v>2.4529999999999998</v>
      </c>
      <c r="AB16" s="31">
        <v>16.358000000000001</v>
      </c>
      <c r="AC16" s="31">
        <f t="shared" si="12"/>
        <v>13.905000000000001</v>
      </c>
      <c r="AD16" s="31">
        <v>9.3670000000000009</v>
      </c>
      <c r="AE16" s="31">
        <v>0.128</v>
      </c>
      <c r="AF16" s="31">
        <f t="shared" si="4"/>
        <v>7.0420000000000016</v>
      </c>
      <c r="AG16" s="31">
        <f t="shared" si="5"/>
        <v>97.458108491905676</v>
      </c>
      <c r="AH16" s="31">
        <f t="shared" si="6"/>
        <v>50.643653362099968</v>
      </c>
      <c r="AI16" s="31">
        <f t="shared" si="7"/>
        <v>49.356346637900032</v>
      </c>
      <c r="AJ16" s="31">
        <f t="shared" si="8"/>
        <v>9.2677885652643006</v>
      </c>
      <c r="AK16" s="67">
        <v>43024</v>
      </c>
      <c r="AL16" s="26">
        <v>43027</v>
      </c>
    </row>
    <row r="17" spans="1:38">
      <c r="A17" t="s">
        <v>640</v>
      </c>
      <c r="B17" t="s">
        <v>9</v>
      </c>
      <c r="C17" t="s">
        <v>13</v>
      </c>
      <c r="D17" s="6">
        <v>1</v>
      </c>
      <c r="E17">
        <v>10</v>
      </c>
      <c r="H17">
        <v>103.85</v>
      </c>
      <c r="I17">
        <v>2.98</v>
      </c>
      <c r="J17" s="42">
        <f t="shared" si="2"/>
        <v>100.86999999999999</v>
      </c>
      <c r="K17">
        <v>0</v>
      </c>
      <c r="L17">
        <v>0</v>
      </c>
      <c r="M17">
        <v>2.34</v>
      </c>
      <c r="N17">
        <v>0.34</v>
      </c>
      <c r="O17">
        <v>25.33</v>
      </c>
      <c r="P17">
        <v>0</v>
      </c>
      <c r="Q17" s="44">
        <f t="shared" si="0"/>
        <v>25.669999999999998</v>
      </c>
      <c r="R17">
        <v>355.48</v>
      </c>
      <c r="S17">
        <v>285.83999999999997</v>
      </c>
      <c r="T17" s="36">
        <f t="shared" si="10"/>
        <v>69.640000000000043</v>
      </c>
      <c r="U17" s="36">
        <f t="shared" si="11"/>
        <v>3.2199999999999491</v>
      </c>
      <c r="V17" s="24">
        <v>43010</v>
      </c>
      <c r="X17" s="31">
        <v>7.39</v>
      </c>
      <c r="Y17" s="67">
        <v>43024</v>
      </c>
      <c r="AA17">
        <v>2.468</v>
      </c>
      <c r="AB17" s="31">
        <v>33.348999999999997</v>
      </c>
      <c r="AC17" s="31">
        <f t="shared" si="12"/>
        <v>30.880999999999997</v>
      </c>
      <c r="AD17" s="31">
        <v>19.684000000000001</v>
      </c>
      <c r="AE17" s="31">
        <v>0.128</v>
      </c>
      <c r="AF17" s="31">
        <f t="shared" si="4"/>
        <v>17.344000000000001</v>
      </c>
      <c r="AG17" s="31">
        <f t="shared" si="5"/>
        <v>78.050046125461222</v>
      </c>
      <c r="AH17" s="31">
        <f t="shared" si="6"/>
        <v>56.163984326932429</v>
      </c>
      <c r="AI17" s="31">
        <f t="shared" si="7"/>
        <v>43.836015673067571</v>
      </c>
      <c r="AJ17" s="31">
        <f t="shared" si="8"/>
        <v>39.112598685275763</v>
      </c>
      <c r="AK17" s="67">
        <v>43024</v>
      </c>
      <c r="AL17" s="26">
        <v>43027</v>
      </c>
    </row>
    <row r="18" spans="1:38">
      <c r="A18" t="s">
        <v>7</v>
      </c>
      <c r="B18" t="s">
        <v>9</v>
      </c>
      <c r="C18" t="s">
        <v>13</v>
      </c>
      <c r="D18" s="6">
        <v>2</v>
      </c>
      <c r="E18">
        <v>5</v>
      </c>
      <c r="H18">
        <v>62.26</v>
      </c>
      <c r="I18">
        <v>2.94</v>
      </c>
      <c r="J18" s="42">
        <f t="shared" si="2"/>
        <v>59.32</v>
      </c>
      <c r="K18">
        <v>0</v>
      </c>
      <c r="L18">
        <v>0</v>
      </c>
      <c r="M18">
        <v>1.24</v>
      </c>
      <c r="N18">
        <v>0.17</v>
      </c>
      <c r="O18">
        <v>9.33</v>
      </c>
      <c r="P18">
        <v>0</v>
      </c>
      <c r="Q18" s="44">
        <f t="shared" si="0"/>
        <v>9.5</v>
      </c>
      <c r="R18">
        <v>333.47</v>
      </c>
      <c r="S18">
        <v>285.86</v>
      </c>
      <c r="T18" s="36">
        <f t="shared" si="10"/>
        <v>47.610000000000014</v>
      </c>
      <c r="U18" s="36">
        <f t="shared" si="11"/>
        <v>0.96999999999998665</v>
      </c>
      <c r="V18" s="24">
        <v>42996</v>
      </c>
      <c r="X18" s="31">
        <v>4.9870000000000001</v>
      </c>
      <c r="Y18" s="67">
        <v>43024</v>
      </c>
      <c r="AA18">
        <v>2.504</v>
      </c>
      <c r="AB18" s="31">
        <v>23.890999999999998</v>
      </c>
      <c r="AC18" s="31">
        <f t="shared" si="12"/>
        <v>21.386999999999997</v>
      </c>
      <c r="AD18" s="31">
        <v>14.978999999999999</v>
      </c>
      <c r="AE18" s="31">
        <v>0.104</v>
      </c>
      <c r="AF18" s="31">
        <f t="shared" si="4"/>
        <v>12.578999999999999</v>
      </c>
      <c r="AG18" s="31">
        <f t="shared" si="5"/>
        <v>70.021464345337463</v>
      </c>
      <c r="AH18" s="31">
        <f t="shared" si="6"/>
        <v>58.816103240286154</v>
      </c>
      <c r="AI18" s="31">
        <f t="shared" si="7"/>
        <v>41.183896759713846</v>
      </c>
      <c r="AJ18" s="31">
        <f t="shared" si="8"/>
        <v>28.002346752700248</v>
      </c>
      <c r="AK18" s="67">
        <v>43024</v>
      </c>
      <c r="AL18" s="26">
        <v>43027</v>
      </c>
    </row>
    <row r="19" spans="1:38">
      <c r="A19" t="s">
        <v>641</v>
      </c>
      <c r="B19" t="s">
        <v>9</v>
      </c>
      <c r="C19" t="s">
        <v>13</v>
      </c>
      <c r="D19" s="6">
        <v>2</v>
      </c>
      <c r="E19">
        <v>10</v>
      </c>
      <c r="H19">
        <v>92.9</v>
      </c>
      <c r="I19">
        <v>2.78</v>
      </c>
      <c r="J19" s="42">
        <f t="shared" si="2"/>
        <v>90.12</v>
      </c>
      <c r="K19">
        <v>0.37</v>
      </c>
      <c r="L19">
        <v>2.96</v>
      </c>
      <c r="M19">
        <v>1.1200000000000001</v>
      </c>
      <c r="N19">
        <v>0.34</v>
      </c>
      <c r="O19">
        <v>3.85</v>
      </c>
      <c r="P19">
        <v>0</v>
      </c>
      <c r="Q19" s="44">
        <f t="shared" si="0"/>
        <v>4.1900000000000004</v>
      </c>
      <c r="R19">
        <v>365.85</v>
      </c>
      <c r="S19">
        <v>285.86</v>
      </c>
      <c r="T19" s="36">
        <f t="shared" si="10"/>
        <v>79.990000000000009</v>
      </c>
      <c r="U19" s="36">
        <f t="shared" si="11"/>
        <v>4.4499999999999948</v>
      </c>
      <c r="V19" s="24">
        <v>42996</v>
      </c>
      <c r="X19" s="31">
        <v>4.3979999999999997</v>
      </c>
      <c r="Y19" s="67">
        <v>43024</v>
      </c>
      <c r="AA19">
        <v>2.5680000000000001</v>
      </c>
      <c r="AB19" s="31">
        <v>40.771999999999998</v>
      </c>
      <c r="AC19" s="31">
        <f t="shared" si="12"/>
        <v>38.204000000000001</v>
      </c>
      <c r="AD19" s="31">
        <v>26.584</v>
      </c>
      <c r="AE19" s="31">
        <v>0.104</v>
      </c>
      <c r="AF19" s="31">
        <f t="shared" si="4"/>
        <v>24.119999999999997</v>
      </c>
      <c r="AG19" s="31">
        <f t="shared" si="5"/>
        <v>58.39137645107796</v>
      </c>
      <c r="AH19" s="31">
        <f t="shared" si="6"/>
        <v>63.134750287927957</v>
      </c>
      <c r="AI19" s="31">
        <f t="shared" si="7"/>
        <v>36.865249712072043</v>
      </c>
      <c r="AJ19" s="31">
        <f t="shared" si="8"/>
        <v>50.501486755313579</v>
      </c>
      <c r="AK19" s="67">
        <v>43024</v>
      </c>
      <c r="AL19" s="26">
        <v>43027</v>
      </c>
    </row>
    <row r="20" spans="1:38">
      <c r="A20" t="s">
        <v>31</v>
      </c>
      <c r="B20" t="s">
        <v>9</v>
      </c>
      <c r="C20" t="s">
        <v>13</v>
      </c>
      <c r="D20" s="6">
        <v>3</v>
      </c>
      <c r="E20">
        <v>5</v>
      </c>
      <c r="H20">
        <v>93.46</v>
      </c>
      <c r="I20">
        <v>2.92</v>
      </c>
      <c r="J20" s="42">
        <f t="shared" si="2"/>
        <v>90.539999999999992</v>
      </c>
      <c r="K20">
        <v>0.24</v>
      </c>
      <c r="L20">
        <v>0</v>
      </c>
      <c r="M20">
        <v>0.6</v>
      </c>
      <c r="N20">
        <v>7.0000000000000007E-2</v>
      </c>
      <c r="O20">
        <v>23.95</v>
      </c>
      <c r="P20">
        <v>0</v>
      </c>
      <c r="Q20" s="44">
        <f t="shared" si="0"/>
        <v>24.02</v>
      </c>
      <c r="R20">
        <v>349.13</v>
      </c>
      <c r="S20">
        <v>285.86</v>
      </c>
      <c r="T20" s="36">
        <f t="shared" si="10"/>
        <v>63.269999999999982</v>
      </c>
      <c r="U20" s="36">
        <f t="shared" si="11"/>
        <v>2.4100000000000108</v>
      </c>
      <c r="V20" s="24">
        <v>42996</v>
      </c>
      <c r="X20" s="31">
        <v>5.0739999999999998</v>
      </c>
      <c r="Y20" s="67">
        <v>43024</v>
      </c>
      <c r="AA20">
        <v>2.512</v>
      </c>
      <c r="AB20" s="31">
        <v>30.207999999999998</v>
      </c>
      <c r="AC20" s="31">
        <f t="shared" si="12"/>
        <v>27.695999999999998</v>
      </c>
      <c r="AD20" s="31">
        <v>19.137</v>
      </c>
      <c r="AE20" s="31">
        <v>0.104</v>
      </c>
      <c r="AF20" s="31">
        <f t="shared" si="4"/>
        <v>16.728999999999999</v>
      </c>
      <c r="AG20" s="31">
        <f t="shared" si="5"/>
        <v>65.556817502540497</v>
      </c>
      <c r="AH20" s="31">
        <f t="shared" si="6"/>
        <v>60.402224147891395</v>
      </c>
      <c r="AI20" s="31">
        <f t="shared" si="7"/>
        <v>39.597775852108605</v>
      </c>
      <c r="AJ20" s="31">
        <f t="shared" si="8"/>
        <v>38.216487218370872</v>
      </c>
      <c r="AK20" s="67">
        <v>43024</v>
      </c>
      <c r="AL20" s="26">
        <v>43027</v>
      </c>
    </row>
    <row r="21" spans="1:38">
      <c r="A21" t="s">
        <v>1093</v>
      </c>
      <c r="B21" t="s">
        <v>9</v>
      </c>
      <c r="C21" t="s">
        <v>13</v>
      </c>
      <c r="D21" s="6">
        <v>3</v>
      </c>
      <c r="E21">
        <v>10</v>
      </c>
      <c r="H21">
        <v>112.92</v>
      </c>
      <c r="I21">
        <v>3.16</v>
      </c>
      <c r="J21" s="42">
        <f t="shared" si="2"/>
        <v>109.76</v>
      </c>
      <c r="K21">
        <v>2.35</v>
      </c>
      <c r="L21">
        <v>0</v>
      </c>
      <c r="M21">
        <v>0.32</v>
      </c>
      <c r="N21">
        <v>0.03</v>
      </c>
      <c r="O21">
        <v>18.32</v>
      </c>
      <c r="P21">
        <v>0</v>
      </c>
      <c r="Q21" s="44">
        <f t="shared" si="0"/>
        <v>18.350000000000001</v>
      </c>
      <c r="R21">
        <v>370.49</v>
      </c>
      <c r="S21">
        <v>285.86</v>
      </c>
      <c r="T21" s="36">
        <f t="shared" si="10"/>
        <v>84.63</v>
      </c>
      <c r="U21" s="36">
        <f t="shared" si="11"/>
        <v>4.1100000000000083</v>
      </c>
      <c r="V21" s="24">
        <v>42996</v>
      </c>
      <c r="X21" s="31">
        <v>5.5209999999999999</v>
      </c>
      <c r="Y21" s="67">
        <v>43024</v>
      </c>
      <c r="AA21">
        <v>2.5350000000000001</v>
      </c>
      <c r="AB21" s="31">
        <v>43.198</v>
      </c>
      <c r="AC21" s="31">
        <f t="shared" si="12"/>
        <v>40.662999999999997</v>
      </c>
      <c r="AD21" s="31">
        <v>27.326000000000001</v>
      </c>
      <c r="AE21" s="31">
        <v>0.104</v>
      </c>
      <c r="AF21" s="31">
        <f t="shared" si="4"/>
        <v>24.895</v>
      </c>
      <c r="AG21" s="31">
        <f t="shared" si="5"/>
        <v>63.338019682667195</v>
      </c>
      <c r="AH21" s="31">
        <f t="shared" si="6"/>
        <v>61.222733197255494</v>
      </c>
      <c r="AI21" s="31">
        <f t="shared" si="7"/>
        <v>38.777266802744506</v>
      </c>
      <c r="AJ21" s="31">
        <f t="shared" si="8"/>
        <v>51.812799104837325</v>
      </c>
      <c r="AK21" s="67">
        <v>43024</v>
      </c>
      <c r="AL21" s="26">
        <v>43027</v>
      </c>
    </row>
    <row r="22" spans="1:38">
      <c r="A22" t="s">
        <v>34</v>
      </c>
      <c r="B22" t="s">
        <v>9</v>
      </c>
      <c r="C22" t="s">
        <v>13</v>
      </c>
      <c r="D22" s="6">
        <v>4</v>
      </c>
      <c r="E22">
        <v>5</v>
      </c>
      <c r="H22">
        <v>83.09</v>
      </c>
      <c r="I22">
        <v>2.96</v>
      </c>
      <c r="J22" s="42">
        <f t="shared" si="2"/>
        <v>80.13000000000001</v>
      </c>
      <c r="K22">
        <v>7.0000000000000007E-2</v>
      </c>
      <c r="L22">
        <v>0</v>
      </c>
      <c r="M22">
        <v>0.19</v>
      </c>
      <c r="N22">
        <v>0</v>
      </c>
      <c r="O22">
        <v>8.9499999999999993</v>
      </c>
      <c r="P22">
        <v>0.06</v>
      </c>
      <c r="Q22" s="44">
        <f>SUM(N22:P22)</f>
        <v>9.01</v>
      </c>
      <c r="R22">
        <v>354.96</v>
      </c>
      <c r="S22">
        <v>285.98</v>
      </c>
      <c r="T22" s="36">
        <f t="shared" si="10"/>
        <v>68.979999999999961</v>
      </c>
      <c r="U22" s="36">
        <f t="shared" si="11"/>
        <v>1.8800000000000485</v>
      </c>
      <c r="V22" s="24">
        <v>42990</v>
      </c>
      <c r="X22" s="31">
        <v>5.2939999999999996</v>
      </c>
      <c r="Y22" s="67">
        <v>42993</v>
      </c>
      <c r="AA22">
        <v>2.5139999999999998</v>
      </c>
      <c r="AB22" s="31">
        <v>34.755000000000003</v>
      </c>
      <c r="AC22" s="31">
        <f t="shared" si="12"/>
        <v>32.241</v>
      </c>
      <c r="AD22" s="31">
        <v>23.338999999999999</v>
      </c>
      <c r="AE22" s="31">
        <v>0.14150000000000004</v>
      </c>
      <c r="AF22" s="31">
        <f t="shared" si="4"/>
        <v>20.9665</v>
      </c>
      <c r="AG22" s="31">
        <f t="shared" si="5"/>
        <v>53.773877375813804</v>
      </c>
      <c r="AH22" s="31">
        <f t="shared" si="6"/>
        <v>65.03055116156446</v>
      </c>
      <c r="AI22" s="31">
        <f t="shared" si="7"/>
        <v>34.96944883843554</v>
      </c>
      <c r="AJ22" s="31">
        <f t="shared" si="8"/>
        <v>44.858074191247141</v>
      </c>
      <c r="AK22" s="67">
        <v>42993</v>
      </c>
      <c r="AL22" s="24">
        <v>42996</v>
      </c>
    </row>
    <row r="23" spans="1:38">
      <c r="A23" t="s">
        <v>1094</v>
      </c>
      <c r="B23" t="s">
        <v>9</v>
      </c>
      <c r="C23" t="s">
        <v>13</v>
      </c>
      <c r="D23" s="6">
        <v>4</v>
      </c>
      <c r="E23">
        <v>10</v>
      </c>
      <c r="H23">
        <v>118.32</v>
      </c>
      <c r="I23">
        <v>3.06</v>
      </c>
      <c r="J23" s="42">
        <f t="shared" si="2"/>
        <v>115.25999999999999</v>
      </c>
      <c r="K23">
        <v>0.83</v>
      </c>
      <c r="L23">
        <v>0</v>
      </c>
      <c r="M23">
        <v>0.04</v>
      </c>
      <c r="N23">
        <v>0</v>
      </c>
      <c r="O23">
        <v>3.82</v>
      </c>
      <c r="P23">
        <v>0.09</v>
      </c>
      <c r="Q23" s="44">
        <f t="shared" ref="Q23:Q39" si="13">SUM(N23:P23)</f>
        <v>3.9099999999999997</v>
      </c>
      <c r="R23">
        <v>393.88</v>
      </c>
      <c r="S23">
        <v>285.95999999999998</v>
      </c>
      <c r="T23" s="36">
        <f t="shared" si="10"/>
        <v>107.92000000000002</v>
      </c>
      <c r="U23" s="36">
        <f t="shared" si="11"/>
        <v>2.5599999999999752</v>
      </c>
      <c r="V23" s="24">
        <v>42990</v>
      </c>
      <c r="X23" s="31">
        <v>5.5179999999999998</v>
      </c>
      <c r="Y23" s="67">
        <v>42993</v>
      </c>
      <c r="AA23">
        <v>2.488</v>
      </c>
      <c r="AB23" s="31">
        <v>45.978000000000002</v>
      </c>
      <c r="AC23" s="31">
        <f t="shared" si="12"/>
        <v>43.49</v>
      </c>
      <c r="AD23" s="31">
        <v>31.913</v>
      </c>
      <c r="AE23" s="31">
        <v>0.14150000000000004</v>
      </c>
      <c r="AF23" s="31">
        <f t="shared" si="4"/>
        <v>29.566500000000001</v>
      </c>
      <c r="AG23" s="31">
        <f t="shared" si="5"/>
        <v>47.092148208276264</v>
      </c>
      <c r="AH23" s="31">
        <f t="shared" si="6"/>
        <v>67.984594159576915</v>
      </c>
      <c r="AI23" s="31">
        <f t="shared" si="7"/>
        <v>32.015405840423085</v>
      </c>
      <c r="AJ23" s="31">
        <f t="shared" si="8"/>
        <v>73.368974017015418</v>
      </c>
      <c r="AK23" s="67">
        <v>42993</v>
      </c>
      <c r="AL23" s="24">
        <v>42996</v>
      </c>
    </row>
    <row r="24" spans="1:38">
      <c r="A24" t="s">
        <v>37</v>
      </c>
      <c r="B24" t="s">
        <v>9</v>
      </c>
      <c r="C24" t="s">
        <v>13</v>
      </c>
      <c r="D24" s="6">
        <v>5</v>
      </c>
      <c r="E24">
        <v>5</v>
      </c>
      <c r="H24">
        <v>75.88</v>
      </c>
      <c r="I24">
        <v>2.94</v>
      </c>
      <c r="J24" s="42">
        <f t="shared" si="2"/>
        <v>72.94</v>
      </c>
      <c r="K24">
        <v>0</v>
      </c>
      <c r="L24">
        <v>0</v>
      </c>
      <c r="M24">
        <v>0.32</v>
      </c>
      <c r="N24">
        <v>0</v>
      </c>
      <c r="O24">
        <v>10.29</v>
      </c>
      <c r="P24">
        <v>0</v>
      </c>
      <c r="Q24" s="44">
        <f t="shared" si="13"/>
        <v>10.29</v>
      </c>
      <c r="R24">
        <v>347.34</v>
      </c>
      <c r="S24">
        <v>285.95999999999998</v>
      </c>
      <c r="T24" s="36">
        <f t="shared" si="10"/>
        <v>61.379999999999995</v>
      </c>
      <c r="U24" s="36">
        <f t="shared" si="11"/>
        <v>0.95000000000000306</v>
      </c>
      <c r="V24" s="24">
        <v>42990</v>
      </c>
      <c r="X24" s="31">
        <v>6.6669999999999998</v>
      </c>
      <c r="Y24" s="67">
        <v>42993</v>
      </c>
      <c r="AA24">
        <v>2.4630000000000001</v>
      </c>
      <c r="AB24" s="31">
        <v>34.029000000000003</v>
      </c>
      <c r="AC24" s="31">
        <f t="shared" si="12"/>
        <v>31.566000000000003</v>
      </c>
      <c r="AD24" s="31">
        <v>22.053999999999998</v>
      </c>
      <c r="AE24" s="31">
        <v>0.14150000000000004</v>
      </c>
      <c r="AF24" s="31">
        <f t="shared" si="4"/>
        <v>19.732499999999998</v>
      </c>
      <c r="AG24" s="31">
        <f t="shared" si="5"/>
        <v>59.969593310528339</v>
      </c>
      <c r="AH24" s="31">
        <f t="shared" si="6"/>
        <v>62.511879870747002</v>
      </c>
      <c r="AI24" s="31">
        <f t="shared" si="7"/>
        <v>37.488120129252998</v>
      </c>
      <c r="AJ24" s="31">
        <f t="shared" si="8"/>
        <v>38.369791864664506</v>
      </c>
      <c r="AK24" s="24">
        <v>42993</v>
      </c>
      <c r="AL24" s="24">
        <v>42996</v>
      </c>
    </row>
    <row r="25" spans="1:38">
      <c r="A25" t="s">
        <v>38</v>
      </c>
      <c r="B25" t="s">
        <v>9</v>
      </c>
      <c r="C25" t="s">
        <v>13</v>
      </c>
      <c r="D25" s="6">
        <v>5</v>
      </c>
      <c r="E25">
        <v>10</v>
      </c>
      <c r="H25">
        <v>99.13</v>
      </c>
      <c r="I25">
        <v>3.02</v>
      </c>
      <c r="J25" s="42">
        <f t="shared" si="2"/>
        <v>96.11</v>
      </c>
      <c r="K25">
        <v>0.13</v>
      </c>
      <c r="L25">
        <v>7.0000000000000007E-2</v>
      </c>
      <c r="M25">
        <v>0</v>
      </c>
      <c r="N25">
        <v>0.08</v>
      </c>
      <c r="O25">
        <v>6.91</v>
      </c>
      <c r="P25">
        <v>0</v>
      </c>
      <c r="Q25" s="44">
        <f t="shared" si="13"/>
        <v>6.99</v>
      </c>
      <c r="R25">
        <v>373.61</v>
      </c>
      <c r="S25">
        <v>285.95999999999998</v>
      </c>
      <c r="T25" s="36">
        <f t="shared" si="10"/>
        <v>87.650000000000034</v>
      </c>
      <c r="U25" s="36">
        <f t="shared" si="11"/>
        <v>1.3399999999999652</v>
      </c>
      <c r="V25" s="24">
        <v>42990</v>
      </c>
      <c r="X25" s="31">
        <v>6.516</v>
      </c>
      <c r="Y25" s="67">
        <v>42993</v>
      </c>
      <c r="AA25">
        <v>2.472</v>
      </c>
      <c r="AB25" s="31">
        <v>43.579000000000001</v>
      </c>
      <c r="AC25" s="31">
        <f t="shared" si="12"/>
        <v>41.106999999999999</v>
      </c>
      <c r="AD25" s="31">
        <v>29.704999999999998</v>
      </c>
      <c r="AE25" s="31">
        <v>0.14150000000000004</v>
      </c>
      <c r="AF25" s="31">
        <f t="shared" si="4"/>
        <v>27.374499999999998</v>
      </c>
      <c r="AG25" s="31">
        <f t="shared" si="5"/>
        <v>50.165299822827826</v>
      </c>
      <c r="AH25" s="31">
        <f t="shared" si="6"/>
        <v>66.593280949716586</v>
      </c>
      <c r="AI25" s="31">
        <f t="shared" si="7"/>
        <v>33.406719050283414</v>
      </c>
      <c r="AJ25" s="31">
        <f t="shared" si="8"/>
        <v>58.369010752426604</v>
      </c>
      <c r="AK25" s="24">
        <v>42993</v>
      </c>
      <c r="AL25" s="24">
        <v>42996</v>
      </c>
    </row>
    <row r="26" spans="1:38">
      <c r="A26" t="s">
        <v>39</v>
      </c>
      <c r="B26" t="s">
        <v>9</v>
      </c>
      <c r="C26" t="s">
        <v>13</v>
      </c>
      <c r="D26" s="6">
        <v>6</v>
      </c>
      <c r="E26">
        <v>5</v>
      </c>
      <c r="H26">
        <v>68.63</v>
      </c>
      <c r="I26">
        <v>2.99</v>
      </c>
      <c r="J26" s="42">
        <f t="shared" si="2"/>
        <v>65.64</v>
      </c>
      <c r="K26">
        <v>0</v>
      </c>
      <c r="L26">
        <v>0</v>
      </c>
      <c r="M26">
        <v>10.75</v>
      </c>
      <c r="N26">
        <v>0</v>
      </c>
      <c r="O26">
        <v>16.98</v>
      </c>
      <c r="P26">
        <v>0</v>
      </c>
      <c r="Q26" s="44">
        <f t="shared" si="13"/>
        <v>16.98</v>
      </c>
      <c r="R26">
        <v>318.08999999999997</v>
      </c>
      <c r="S26">
        <v>285.95999999999998</v>
      </c>
      <c r="T26" s="36">
        <f t="shared" si="10"/>
        <v>32.129999999999995</v>
      </c>
      <c r="U26" s="36">
        <f t="shared" si="11"/>
        <v>5.7800000000000047</v>
      </c>
      <c r="V26" s="24">
        <v>42990</v>
      </c>
      <c r="X26" s="31">
        <v>6.5819999999999999</v>
      </c>
      <c r="Y26" s="67">
        <v>42993</v>
      </c>
      <c r="AA26">
        <v>2.5619999999999998</v>
      </c>
      <c r="AB26" s="31">
        <v>14.945</v>
      </c>
      <c r="AC26" s="31">
        <f t="shared" si="12"/>
        <v>12.383000000000001</v>
      </c>
      <c r="AD26" s="31">
        <v>6.82</v>
      </c>
      <c r="AE26" s="31">
        <v>0.14150000000000004</v>
      </c>
      <c r="AF26" s="31">
        <f t="shared" si="4"/>
        <v>4.3995000000000006</v>
      </c>
      <c r="AG26" s="31">
        <f t="shared" si="5"/>
        <v>181.46380270485281</v>
      </c>
      <c r="AH26" s="31">
        <f t="shared" si="6"/>
        <v>35.528547201808934</v>
      </c>
      <c r="AI26" s="31">
        <f t="shared" si="7"/>
        <v>64.471452798191066</v>
      </c>
      <c r="AJ26" s="31">
        <f t="shared" si="8"/>
        <v>11.41532221594121</v>
      </c>
      <c r="AK26" s="24">
        <v>42993</v>
      </c>
      <c r="AL26" s="24">
        <v>42996</v>
      </c>
    </row>
    <row r="27" spans="1:38" s="4" customFormat="1">
      <c r="A27" s="4" t="s">
        <v>1095</v>
      </c>
      <c r="B27" s="4" t="s">
        <v>9</v>
      </c>
      <c r="C27" s="4" t="s">
        <v>13</v>
      </c>
      <c r="D27" s="7">
        <v>6</v>
      </c>
      <c r="E27" s="4">
        <v>10</v>
      </c>
      <c r="H27" s="4">
        <v>139.12</v>
      </c>
      <c r="I27" s="4">
        <v>3.1</v>
      </c>
      <c r="J27" s="42">
        <f t="shared" si="2"/>
        <v>136.02000000000001</v>
      </c>
      <c r="K27" s="4">
        <v>0</v>
      </c>
      <c r="L27" s="4">
        <v>0</v>
      </c>
      <c r="M27" s="4">
        <v>0</v>
      </c>
      <c r="N27" s="4">
        <v>0</v>
      </c>
      <c r="O27" s="4">
        <v>10.1</v>
      </c>
      <c r="P27" s="4">
        <v>0</v>
      </c>
      <c r="Q27" s="44">
        <f t="shared" si="13"/>
        <v>10.1</v>
      </c>
      <c r="R27" s="4">
        <v>405.74</v>
      </c>
      <c r="S27">
        <v>285.95999999999998</v>
      </c>
      <c r="T27" s="36">
        <f t="shared" si="10"/>
        <v>119.78000000000003</v>
      </c>
      <c r="U27" s="36">
        <f t="shared" si="11"/>
        <v>6.139999999999981</v>
      </c>
      <c r="V27" s="24">
        <v>42990</v>
      </c>
      <c r="X27" s="32">
        <v>6.4580000000000002</v>
      </c>
      <c r="Y27" s="67">
        <v>42993</v>
      </c>
      <c r="AA27" s="4">
        <v>2.4830000000000001</v>
      </c>
      <c r="AB27" s="32">
        <v>59.16</v>
      </c>
      <c r="AC27" s="31">
        <f t="shared" si="12"/>
        <v>56.677</v>
      </c>
      <c r="AD27" s="31">
        <v>44.215000000000003</v>
      </c>
      <c r="AE27" s="31">
        <v>0.14150000000000004</v>
      </c>
      <c r="AF27" s="31">
        <f t="shared" si="4"/>
        <v>41.873500000000007</v>
      </c>
      <c r="AG27" s="31">
        <f t="shared" si="5"/>
        <v>35.352908163874503</v>
      </c>
      <c r="AH27" s="31">
        <f t="shared" si="6"/>
        <v>73.880939358117061</v>
      </c>
      <c r="AI27" s="31">
        <f t="shared" si="7"/>
        <v>26.119060641882939</v>
      </c>
      <c r="AJ27" s="31">
        <f t="shared" si="8"/>
        <v>88.494589163152639</v>
      </c>
      <c r="AK27" s="24">
        <v>42993</v>
      </c>
      <c r="AL27" s="24">
        <v>42996</v>
      </c>
    </row>
    <row r="28" spans="1:38">
      <c r="A28" s="6" t="s">
        <v>51</v>
      </c>
      <c r="B28" s="6" t="s">
        <v>196</v>
      </c>
      <c r="C28" t="s">
        <v>12</v>
      </c>
      <c r="D28" s="8">
        <v>3</v>
      </c>
      <c r="E28">
        <v>5</v>
      </c>
      <c r="H28" s="6">
        <v>30.97</v>
      </c>
      <c r="I28" s="6">
        <v>2.0299999999999998</v>
      </c>
      <c r="J28" s="42">
        <f t="shared" si="2"/>
        <v>28.939999999999998</v>
      </c>
      <c r="K28" s="6">
        <v>0</v>
      </c>
      <c r="L28" s="6">
        <v>0</v>
      </c>
      <c r="M28" s="6">
        <v>2.89</v>
      </c>
      <c r="N28" s="6">
        <v>0.31</v>
      </c>
      <c r="O28" s="6">
        <v>15.33</v>
      </c>
      <c r="P28" s="6">
        <v>0.05</v>
      </c>
      <c r="Q28" s="44">
        <f t="shared" si="13"/>
        <v>15.690000000000001</v>
      </c>
      <c r="R28" s="6">
        <v>294.2</v>
      </c>
      <c r="S28">
        <v>285.83999999999997</v>
      </c>
      <c r="T28" s="36">
        <f t="shared" si="10"/>
        <v>8.3600000000000136</v>
      </c>
      <c r="U28" s="36">
        <f t="shared" si="11"/>
        <v>1.9999999999999827</v>
      </c>
      <c r="V28" s="24">
        <v>43010</v>
      </c>
      <c r="X28" s="31">
        <v>5.7469999999999999</v>
      </c>
      <c r="Y28" s="67">
        <v>43024</v>
      </c>
      <c r="AA28" s="6">
        <v>2.444</v>
      </c>
      <c r="AB28" s="31">
        <v>10.558999999999999</v>
      </c>
      <c r="AC28" s="31">
        <f t="shared" si="12"/>
        <v>8.1149999999999984</v>
      </c>
      <c r="AD28" s="31">
        <v>5.56</v>
      </c>
      <c r="AE28" s="31">
        <v>0.128</v>
      </c>
      <c r="AF28" s="31">
        <f t="shared" si="4"/>
        <v>3.2439999999999998</v>
      </c>
      <c r="AG28" s="31">
        <f t="shared" si="5"/>
        <v>150.15413070283597</v>
      </c>
      <c r="AH28" s="31">
        <f t="shared" si="6"/>
        <v>39.975354282193479</v>
      </c>
      <c r="AI28" s="31">
        <f t="shared" si="7"/>
        <v>60.024645717806521</v>
      </c>
      <c r="AJ28" s="31">
        <f t="shared" si="8"/>
        <v>3.3419396179913798</v>
      </c>
      <c r="AK28" s="24">
        <v>43024</v>
      </c>
      <c r="AL28" s="26">
        <v>43027</v>
      </c>
    </row>
    <row r="29" spans="1:38">
      <c r="A29" s="6" t="s">
        <v>1096</v>
      </c>
      <c r="B29" s="6" t="s">
        <v>196</v>
      </c>
      <c r="C29" t="s">
        <v>12</v>
      </c>
      <c r="D29" s="8">
        <v>3</v>
      </c>
      <c r="E29">
        <v>10</v>
      </c>
      <c r="H29" s="6">
        <v>36.619999999999997</v>
      </c>
      <c r="I29" s="6">
        <v>2.02</v>
      </c>
      <c r="J29" s="42">
        <f t="shared" si="2"/>
        <v>34.599999999999994</v>
      </c>
      <c r="K29" s="6">
        <v>0</v>
      </c>
      <c r="L29" s="6">
        <v>0</v>
      </c>
      <c r="M29" s="6">
        <v>0.38</v>
      </c>
      <c r="N29" s="6">
        <v>0.32</v>
      </c>
      <c r="O29" s="6">
        <v>21.24</v>
      </c>
      <c r="P29" s="6">
        <v>0.12</v>
      </c>
      <c r="Q29" s="44">
        <f t="shared" si="13"/>
        <v>21.68</v>
      </c>
      <c r="R29" s="6">
        <v>296.68</v>
      </c>
      <c r="S29">
        <v>285.83999999999997</v>
      </c>
      <c r="T29" s="36">
        <f t="shared" si="10"/>
        <v>10.840000000000032</v>
      </c>
      <c r="U29" s="36">
        <f t="shared" si="11"/>
        <v>1.6999999999999629</v>
      </c>
      <c r="V29" s="24">
        <v>43010</v>
      </c>
      <c r="X29" s="31">
        <v>5.8689999999999998</v>
      </c>
      <c r="Y29" s="67">
        <v>43024</v>
      </c>
      <c r="AA29">
        <v>2.5510000000000002</v>
      </c>
      <c r="AB29" s="31">
        <v>13.143000000000001</v>
      </c>
      <c r="AC29" s="31">
        <f t="shared" si="12"/>
        <v>10.592000000000001</v>
      </c>
      <c r="AD29" s="31">
        <v>7.7149999999999999</v>
      </c>
      <c r="AE29" s="31">
        <v>0.128</v>
      </c>
      <c r="AF29" s="31">
        <f t="shared" si="4"/>
        <v>5.2919999999999998</v>
      </c>
      <c r="AG29" s="31">
        <f t="shared" si="5"/>
        <v>100.15117157974304</v>
      </c>
      <c r="AH29" s="31">
        <f t="shared" si="6"/>
        <v>49.96223564954682</v>
      </c>
      <c r="AI29" s="31">
        <f t="shared" si="7"/>
        <v>50.03776435045318</v>
      </c>
      <c r="AJ29" s="31">
        <f t="shared" si="8"/>
        <v>5.4159063444108915</v>
      </c>
      <c r="AK29" s="24">
        <v>43024</v>
      </c>
      <c r="AL29" s="26">
        <v>43027</v>
      </c>
    </row>
    <row r="30" spans="1:38">
      <c r="A30" s="6" t="s">
        <v>1097</v>
      </c>
      <c r="B30" s="6" t="s">
        <v>196</v>
      </c>
      <c r="C30" t="s">
        <v>12</v>
      </c>
      <c r="D30" s="8">
        <v>3</v>
      </c>
      <c r="E30">
        <v>20</v>
      </c>
      <c r="H30" s="6">
        <v>107.95</v>
      </c>
      <c r="I30" s="6">
        <v>1.98</v>
      </c>
      <c r="J30" s="42">
        <f t="shared" si="2"/>
        <v>105.97</v>
      </c>
      <c r="K30" s="6">
        <v>3.16</v>
      </c>
      <c r="L30" s="6">
        <v>0</v>
      </c>
      <c r="M30" s="6">
        <v>2.12</v>
      </c>
      <c r="N30" s="6">
        <v>0.02</v>
      </c>
      <c r="O30" s="6">
        <v>17.72</v>
      </c>
      <c r="P30" s="6">
        <v>0</v>
      </c>
      <c r="Q30" s="44">
        <f t="shared" si="13"/>
        <v>17.739999999999998</v>
      </c>
      <c r="R30" s="6">
        <v>365.73</v>
      </c>
      <c r="S30">
        <v>285.83999999999997</v>
      </c>
      <c r="T30" s="36">
        <f t="shared" si="10"/>
        <v>79.890000000000043</v>
      </c>
      <c r="U30" s="36">
        <f t="shared" si="11"/>
        <v>3.059999999999957</v>
      </c>
      <c r="V30" s="24">
        <v>43010</v>
      </c>
      <c r="X30" s="31">
        <v>6.41</v>
      </c>
      <c r="Y30" s="67">
        <v>43024</v>
      </c>
      <c r="AA30">
        <v>2.56</v>
      </c>
      <c r="AB30" s="31">
        <v>39.871000000000002</v>
      </c>
      <c r="AC30" s="31">
        <f t="shared" si="12"/>
        <v>37.311</v>
      </c>
      <c r="AD30" s="31">
        <v>25.151</v>
      </c>
      <c r="AE30" s="31">
        <v>0.128</v>
      </c>
      <c r="AF30" s="31">
        <f t="shared" si="4"/>
        <v>22.719000000000001</v>
      </c>
      <c r="AG30" s="31">
        <f t="shared" si="5"/>
        <v>64.228179057176803</v>
      </c>
      <c r="AH30" s="31">
        <f t="shared" si="6"/>
        <v>60.890890086033608</v>
      </c>
      <c r="AI30" s="31">
        <f t="shared" si="7"/>
        <v>39.109109913966392</v>
      </c>
      <c r="AJ30" s="31">
        <f t="shared" si="8"/>
        <v>48.645732089732277</v>
      </c>
      <c r="AK30" s="24">
        <v>43024</v>
      </c>
      <c r="AL30" s="26">
        <v>43027</v>
      </c>
    </row>
    <row r="31" spans="1:38">
      <c r="A31" s="6" t="s">
        <v>1098</v>
      </c>
      <c r="B31" s="6" t="s">
        <v>196</v>
      </c>
      <c r="C31" t="s">
        <v>12</v>
      </c>
      <c r="D31" s="8">
        <v>3</v>
      </c>
      <c r="E31">
        <v>30</v>
      </c>
      <c r="H31" s="6">
        <v>100.07</v>
      </c>
      <c r="I31" s="6">
        <v>1.98</v>
      </c>
      <c r="J31" s="42">
        <f t="shared" si="2"/>
        <v>98.089999999999989</v>
      </c>
      <c r="K31" s="6">
        <v>2.12</v>
      </c>
      <c r="L31" s="6">
        <v>0</v>
      </c>
      <c r="M31" s="6">
        <v>5.22</v>
      </c>
      <c r="N31" s="6">
        <v>0</v>
      </c>
      <c r="O31" s="6">
        <v>2.97</v>
      </c>
      <c r="P31" s="6">
        <v>0</v>
      </c>
      <c r="Q31" s="44">
        <f t="shared" si="13"/>
        <v>2.97</v>
      </c>
      <c r="R31" s="6">
        <v>371.67</v>
      </c>
      <c r="S31">
        <v>285.83999999999997</v>
      </c>
      <c r="T31" s="36">
        <f t="shared" si="10"/>
        <v>85.830000000000041</v>
      </c>
      <c r="U31" s="36">
        <f t="shared" si="11"/>
        <v>1.9499999999999478</v>
      </c>
      <c r="V31" s="24">
        <v>43010</v>
      </c>
      <c r="X31" s="31">
        <v>6.306</v>
      </c>
      <c r="Y31" s="67">
        <v>43024</v>
      </c>
      <c r="AA31">
        <v>2.5419999999999998</v>
      </c>
      <c r="AB31" s="31">
        <v>44.652999999999999</v>
      </c>
      <c r="AC31" s="31">
        <f t="shared" si="12"/>
        <v>42.110999999999997</v>
      </c>
      <c r="AD31" s="31">
        <v>28.135000000000002</v>
      </c>
      <c r="AE31" s="31">
        <v>0.128</v>
      </c>
      <c r="AF31" s="31">
        <f t="shared" si="4"/>
        <v>25.721000000000004</v>
      </c>
      <c r="AG31" s="31">
        <f t="shared" si="5"/>
        <v>63.722250301310176</v>
      </c>
      <c r="AH31" s="31">
        <f t="shared" si="6"/>
        <v>61.079052979031623</v>
      </c>
      <c r="AI31" s="31">
        <f t="shared" si="7"/>
        <v>38.920947020968377</v>
      </c>
      <c r="AJ31" s="31">
        <f t="shared" si="8"/>
        <v>52.424151171902864</v>
      </c>
      <c r="AK31" s="24">
        <v>43024</v>
      </c>
      <c r="AL31" s="26">
        <v>43027</v>
      </c>
    </row>
    <row r="32" spans="1:38">
      <c r="A32" s="6" t="s">
        <v>63</v>
      </c>
      <c r="B32" s="6" t="s">
        <v>196</v>
      </c>
      <c r="C32" t="s">
        <v>13</v>
      </c>
      <c r="D32" s="6">
        <v>2</v>
      </c>
      <c r="E32">
        <v>5</v>
      </c>
      <c r="F32" t="s">
        <v>1099</v>
      </c>
      <c r="J32" s="42">
        <f t="shared" si="2"/>
        <v>0</v>
      </c>
      <c r="Q32" s="44">
        <f t="shared" si="13"/>
        <v>0</v>
      </c>
      <c r="T32" s="36">
        <v>18.180000000000007</v>
      </c>
      <c r="U32" s="36"/>
      <c r="V32" s="24">
        <v>43014</v>
      </c>
      <c r="X32" s="31">
        <v>5.532</v>
      </c>
      <c r="Y32" s="67">
        <v>43026</v>
      </c>
      <c r="AA32">
        <v>2.5270000000000001</v>
      </c>
      <c r="AB32" s="31">
        <v>14.795</v>
      </c>
      <c r="AC32" s="31">
        <f t="shared" si="12"/>
        <v>12.268000000000001</v>
      </c>
      <c r="AD32" s="31">
        <v>5.9930000000000003</v>
      </c>
      <c r="AE32" s="31">
        <v>0.108</v>
      </c>
      <c r="AF32" s="31">
        <f t="shared" si="4"/>
        <v>3.5740000000000003</v>
      </c>
      <c r="AG32" s="31">
        <f t="shared" si="5"/>
        <v>243.25685506435366</v>
      </c>
      <c r="AH32" s="31">
        <f t="shared" si="6"/>
        <v>29.132702967068795</v>
      </c>
      <c r="AI32" s="31">
        <f t="shared" si="7"/>
        <v>70.867297032931205</v>
      </c>
      <c r="AJ32" s="31">
        <f t="shared" si="8"/>
        <v>5.2963253994131092</v>
      </c>
      <c r="AK32" s="24">
        <v>43026</v>
      </c>
      <c r="AL32" s="24">
        <v>43028</v>
      </c>
    </row>
    <row r="33" spans="1:39" s="4" customFormat="1">
      <c r="A33" s="7" t="s">
        <v>66</v>
      </c>
      <c r="B33" s="7" t="s">
        <v>196</v>
      </c>
      <c r="C33" s="4" t="s">
        <v>13</v>
      </c>
      <c r="D33" s="7">
        <v>3</v>
      </c>
      <c r="E33" s="4">
        <v>5</v>
      </c>
      <c r="F33" s="4" t="s">
        <v>1099</v>
      </c>
      <c r="J33" s="42">
        <f t="shared" si="2"/>
        <v>0</v>
      </c>
      <c r="Q33" s="44">
        <f t="shared" si="13"/>
        <v>0</v>
      </c>
      <c r="T33" s="36">
        <v>22.29000000000002</v>
      </c>
      <c r="U33" s="36"/>
      <c r="V33" s="24">
        <v>43014</v>
      </c>
      <c r="X33" s="32">
        <v>6.0540000000000003</v>
      </c>
      <c r="Y33" s="67">
        <v>43026</v>
      </c>
      <c r="AA33" s="4">
        <v>2.4529999999999998</v>
      </c>
      <c r="AB33" s="32">
        <v>17.350000000000001</v>
      </c>
      <c r="AC33" s="31">
        <f t="shared" si="12"/>
        <v>14.897000000000002</v>
      </c>
      <c r="AD33" s="4">
        <v>6.4260000000000002</v>
      </c>
      <c r="AE33" s="31">
        <v>0.108</v>
      </c>
      <c r="AF33" s="31">
        <f t="shared" ref="AF33:AF36" si="14">AD33-AA33+AE33</f>
        <v>4.0810000000000004</v>
      </c>
      <c r="AG33" s="31">
        <f t="shared" ref="AG33:AG36" si="15">((AC33-AF33)*100)/AF33</f>
        <v>265.03308012741979</v>
      </c>
      <c r="AH33" s="31">
        <f t="shared" ref="AH33:AH36" si="16">(AF33/AC33)*100</f>
        <v>27.394777471974223</v>
      </c>
      <c r="AI33" s="31">
        <f t="shared" ref="AI33:AI36" si="17">100-AH33</f>
        <v>72.605222528025777</v>
      </c>
      <c r="AJ33" s="31">
        <f t="shared" ref="AJ33:AJ36" si="18">T33*AH33%</f>
        <v>6.1062958985030598</v>
      </c>
      <c r="AK33" s="24">
        <v>43026</v>
      </c>
      <c r="AL33" s="24">
        <v>43028</v>
      </c>
    </row>
    <row r="34" spans="1:39">
      <c r="A34" s="6" t="s">
        <v>101</v>
      </c>
      <c r="B34" s="6" t="s">
        <v>197</v>
      </c>
      <c r="C34" s="6" t="s">
        <v>13</v>
      </c>
      <c r="D34" s="6">
        <v>1</v>
      </c>
      <c r="E34" s="6">
        <v>5</v>
      </c>
      <c r="F34" t="s">
        <v>1099</v>
      </c>
      <c r="J34" s="42">
        <f t="shared" si="2"/>
        <v>0</v>
      </c>
      <c r="Q34" s="44">
        <f t="shared" si="13"/>
        <v>0</v>
      </c>
      <c r="T34" s="36">
        <v>15.989999999999952</v>
      </c>
      <c r="U34" s="36"/>
      <c r="V34" s="24">
        <v>43015</v>
      </c>
      <c r="X34" s="31">
        <v>5.4720000000000004</v>
      </c>
      <c r="Y34" s="67">
        <v>43026</v>
      </c>
      <c r="AA34" s="6">
        <v>2.4830000000000001</v>
      </c>
      <c r="AB34" s="31">
        <v>26.675000000000001</v>
      </c>
      <c r="AC34" s="31">
        <f t="shared" si="12"/>
        <v>24.192</v>
      </c>
      <c r="AD34" s="31">
        <v>9.81</v>
      </c>
      <c r="AE34" s="31">
        <v>0.108</v>
      </c>
      <c r="AF34" s="31">
        <f t="shared" si="14"/>
        <v>7.4349999999999996</v>
      </c>
      <c r="AG34" s="31">
        <f t="shared" si="15"/>
        <v>225.37995965030265</v>
      </c>
      <c r="AH34" s="31">
        <f t="shared" si="16"/>
        <v>30.733300264550262</v>
      </c>
      <c r="AI34" s="31">
        <f t="shared" si="17"/>
        <v>69.266699735449734</v>
      </c>
      <c r="AJ34" s="31">
        <f t="shared" si="18"/>
        <v>4.9142547123015721</v>
      </c>
      <c r="AK34" s="24">
        <v>43026</v>
      </c>
      <c r="AL34" s="24">
        <v>43028</v>
      </c>
    </row>
    <row r="35" spans="1:39">
      <c r="A35" s="6" t="s">
        <v>112</v>
      </c>
      <c r="B35" s="6" t="s">
        <v>197</v>
      </c>
      <c r="C35" s="6" t="s">
        <v>13</v>
      </c>
      <c r="D35" s="6">
        <v>4</v>
      </c>
      <c r="E35" s="6">
        <v>5</v>
      </c>
      <c r="F35" t="s">
        <v>1099</v>
      </c>
      <c r="J35" s="42">
        <f t="shared" si="2"/>
        <v>0</v>
      </c>
      <c r="Q35" s="44">
        <f t="shared" si="13"/>
        <v>0</v>
      </c>
      <c r="T35" s="219">
        <v>8.02</v>
      </c>
      <c r="U35" s="36"/>
      <c r="V35" s="24">
        <v>43015</v>
      </c>
      <c r="X35" s="31">
        <v>5.43</v>
      </c>
      <c r="Y35" s="67">
        <v>43026</v>
      </c>
      <c r="AA35" s="6">
        <v>2.468</v>
      </c>
      <c r="AB35" s="31">
        <v>20.914000000000001</v>
      </c>
      <c r="AC35" s="31">
        <f t="shared" si="12"/>
        <v>18.446000000000002</v>
      </c>
      <c r="AD35" s="31">
        <v>5.234</v>
      </c>
      <c r="AE35" s="31">
        <v>0.108</v>
      </c>
      <c r="AF35" s="31">
        <f t="shared" si="14"/>
        <v>2.8740000000000001</v>
      </c>
      <c r="AG35" s="31">
        <f t="shared" si="15"/>
        <v>541.82324286708422</v>
      </c>
      <c r="AH35" s="31">
        <f t="shared" si="16"/>
        <v>15.580613683183344</v>
      </c>
      <c r="AI35" s="31">
        <f t="shared" si="17"/>
        <v>84.419386316816656</v>
      </c>
      <c r="AJ35" s="31">
        <f t="shared" si="18"/>
        <v>1.2495652173913041</v>
      </c>
      <c r="AK35" s="24">
        <v>43026</v>
      </c>
      <c r="AL35" s="24">
        <v>43028</v>
      </c>
    </row>
    <row r="36" spans="1:39" s="4" customFormat="1">
      <c r="A36" s="7" t="s">
        <v>120</v>
      </c>
      <c r="B36" s="7" t="s">
        <v>197</v>
      </c>
      <c r="C36" s="7" t="s">
        <v>13</v>
      </c>
      <c r="D36" s="7">
        <v>6</v>
      </c>
      <c r="E36" s="7">
        <v>5</v>
      </c>
      <c r="F36" s="4" t="s">
        <v>1099</v>
      </c>
      <c r="J36" s="42">
        <f t="shared" si="2"/>
        <v>0</v>
      </c>
      <c r="Q36" s="44">
        <f t="shared" si="13"/>
        <v>0</v>
      </c>
      <c r="T36" s="219">
        <v>18.43</v>
      </c>
      <c r="U36" s="36"/>
      <c r="V36" s="24">
        <v>43015</v>
      </c>
      <c r="X36" s="32"/>
      <c r="Y36" s="7"/>
      <c r="AA36" s="4">
        <v>2.4950000000000001</v>
      </c>
      <c r="AB36" s="32">
        <v>15.055999999999999</v>
      </c>
      <c r="AC36" s="31">
        <f t="shared" si="12"/>
        <v>12.561</v>
      </c>
      <c r="AD36" s="4">
        <v>5.5940000000000003</v>
      </c>
      <c r="AE36" s="31">
        <v>0.108</v>
      </c>
      <c r="AF36" s="31">
        <f t="shared" si="14"/>
        <v>3.2070000000000003</v>
      </c>
      <c r="AG36" s="31">
        <f t="shared" si="15"/>
        <v>291.67446211412528</v>
      </c>
      <c r="AH36" s="31">
        <f t="shared" si="16"/>
        <v>25.531406735132556</v>
      </c>
      <c r="AI36" s="31">
        <f t="shared" si="17"/>
        <v>74.468593264867451</v>
      </c>
      <c r="AJ36" s="31">
        <f t="shared" si="18"/>
        <v>4.7054382612849297</v>
      </c>
      <c r="AK36" s="24">
        <v>43026</v>
      </c>
      <c r="AL36" s="24">
        <v>43028</v>
      </c>
    </row>
    <row r="37" spans="1:39">
      <c r="A37" s="6" t="s">
        <v>127</v>
      </c>
      <c r="B37" s="6" t="s">
        <v>198</v>
      </c>
      <c r="C37" s="6" t="s">
        <v>12</v>
      </c>
      <c r="D37" s="6">
        <v>2</v>
      </c>
      <c r="E37" s="6">
        <v>5</v>
      </c>
      <c r="F37" s="6" t="s">
        <v>1099</v>
      </c>
      <c r="J37" s="42">
        <f t="shared" si="2"/>
        <v>0</v>
      </c>
      <c r="Q37" s="44">
        <f t="shared" si="13"/>
        <v>0</v>
      </c>
      <c r="T37" s="219">
        <v>6.78</v>
      </c>
      <c r="U37" s="36"/>
      <c r="V37" s="24">
        <v>43015</v>
      </c>
      <c r="X37" s="31">
        <v>5.4279999999999999</v>
      </c>
      <c r="Y37" s="67">
        <v>43026</v>
      </c>
      <c r="Z37" s="4" t="s">
        <v>1110</v>
      </c>
      <c r="AA37">
        <v>2.4900000000000002</v>
      </c>
      <c r="AB37" s="31">
        <v>9.3209999999999997</v>
      </c>
      <c r="AC37" s="31">
        <f t="shared" si="12"/>
        <v>6.8309999999999995</v>
      </c>
      <c r="AD37" s="31">
        <v>6.0129999999999999</v>
      </c>
      <c r="AE37" s="31">
        <v>0.108</v>
      </c>
      <c r="AF37" s="31">
        <f t="shared" ref="AF37:AF48" si="19">AD37-AA37+AE37</f>
        <v>3.6309999999999998</v>
      </c>
      <c r="AG37" s="31">
        <f t="shared" ref="AG37:AG48" si="20">((AC37-AF37)*100)/AF37</f>
        <v>88.129991737813285</v>
      </c>
      <c r="AH37" s="31">
        <f t="shared" ref="AH37:AH48" si="21">(AF37/AC37)*100</f>
        <v>53.154735763431418</v>
      </c>
      <c r="AI37" s="31">
        <f t="shared" ref="AI37:AI48" si="22">100-AH37</f>
        <v>46.845264236568582</v>
      </c>
      <c r="AJ37" s="31">
        <f t="shared" ref="AJ37:AJ48" si="23">T37*AH37%</f>
        <v>3.60389108476065</v>
      </c>
      <c r="AK37" s="24">
        <v>43026</v>
      </c>
      <c r="AL37" s="24">
        <v>43028</v>
      </c>
    </row>
    <row r="38" spans="1:39">
      <c r="A38" s="6" t="s">
        <v>650</v>
      </c>
      <c r="B38" s="6" t="s">
        <v>198</v>
      </c>
      <c r="C38" s="6" t="s">
        <v>12</v>
      </c>
      <c r="D38" s="6">
        <v>2</v>
      </c>
      <c r="E38" s="6">
        <v>10</v>
      </c>
      <c r="F38" t="s">
        <v>1101</v>
      </c>
      <c r="H38">
        <v>45.48</v>
      </c>
      <c r="I38">
        <v>0</v>
      </c>
      <c r="J38" s="42">
        <f t="shared" si="2"/>
        <v>45.48</v>
      </c>
      <c r="K38">
        <v>0.1</v>
      </c>
      <c r="L38">
        <v>0</v>
      </c>
      <c r="M38">
        <v>1.39</v>
      </c>
      <c r="N38">
        <v>0.04</v>
      </c>
      <c r="O38">
        <v>25.37</v>
      </c>
      <c r="P38">
        <v>0</v>
      </c>
      <c r="Q38" s="44">
        <f t="shared" si="13"/>
        <v>25.41</v>
      </c>
      <c r="R38">
        <v>303.07</v>
      </c>
      <c r="S38">
        <v>285.83999999999997</v>
      </c>
      <c r="T38" s="36">
        <f t="shared" si="10"/>
        <v>17.230000000000018</v>
      </c>
      <c r="U38" s="36">
        <f t="shared" si="11"/>
        <v>1.3499999999999786</v>
      </c>
      <c r="V38" s="24">
        <v>43010</v>
      </c>
      <c r="X38" s="31">
        <v>4.8940000000000001</v>
      </c>
      <c r="Y38" s="67">
        <v>43024</v>
      </c>
      <c r="AA38">
        <v>2.4750000000000001</v>
      </c>
      <c r="AB38" s="31">
        <v>19.408999999999999</v>
      </c>
      <c r="AC38" s="31">
        <f t="shared" si="12"/>
        <v>16.933999999999997</v>
      </c>
      <c r="AD38">
        <v>8.8019999999999996</v>
      </c>
      <c r="AE38" s="31">
        <v>0.128</v>
      </c>
      <c r="AF38" s="31">
        <f t="shared" si="19"/>
        <v>6.4550000000000001</v>
      </c>
      <c r="AG38" s="31">
        <f t="shared" si="20"/>
        <v>162.33927188226176</v>
      </c>
      <c r="AH38" s="31">
        <f t="shared" si="21"/>
        <v>38.118578008739817</v>
      </c>
      <c r="AI38" s="31">
        <f t="shared" si="22"/>
        <v>61.881421991260183</v>
      </c>
      <c r="AJ38" s="31">
        <f t="shared" si="23"/>
        <v>6.5678309909058772</v>
      </c>
      <c r="AK38" s="24">
        <v>43024</v>
      </c>
      <c r="AL38" s="26">
        <v>43027</v>
      </c>
    </row>
    <row r="39" spans="1:39">
      <c r="A39" s="6" t="s">
        <v>1100</v>
      </c>
      <c r="B39" s="6" t="s">
        <v>198</v>
      </c>
      <c r="C39" s="6" t="s">
        <v>12</v>
      </c>
      <c r="D39" s="6">
        <v>2</v>
      </c>
      <c r="E39" s="6">
        <v>20</v>
      </c>
      <c r="F39" t="s">
        <v>1101</v>
      </c>
      <c r="H39">
        <v>84.07</v>
      </c>
      <c r="I39">
        <v>0</v>
      </c>
      <c r="J39" s="42">
        <f t="shared" si="2"/>
        <v>84.07</v>
      </c>
      <c r="K39">
        <v>2.4500000000000002</v>
      </c>
      <c r="L39">
        <v>0</v>
      </c>
      <c r="M39">
        <v>6.32</v>
      </c>
      <c r="N39">
        <v>0.02</v>
      </c>
      <c r="O39">
        <v>16.28</v>
      </c>
      <c r="P39">
        <v>0.2</v>
      </c>
      <c r="Q39" s="44">
        <f t="shared" si="13"/>
        <v>16.5</v>
      </c>
      <c r="R39">
        <v>339.93</v>
      </c>
      <c r="S39">
        <v>285.83999999999997</v>
      </c>
      <c r="T39" s="36">
        <f t="shared" si="10"/>
        <v>54.090000000000032</v>
      </c>
      <c r="U39" s="36">
        <f t="shared" si="11"/>
        <v>4.7099999999999609</v>
      </c>
      <c r="V39" s="24">
        <v>43010</v>
      </c>
      <c r="X39" s="31">
        <v>5.0999999999999996</v>
      </c>
      <c r="Y39" s="67">
        <v>43024</v>
      </c>
      <c r="AA39">
        <v>2.5059999999999998</v>
      </c>
      <c r="AB39" s="31">
        <v>17.808</v>
      </c>
      <c r="AC39" s="31">
        <f t="shared" si="12"/>
        <v>15.302</v>
      </c>
      <c r="AD39">
        <v>10.071999999999999</v>
      </c>
      <c r="AE39" s="31">
        <v>0.108</v>
      </c>
      <c r="AF39" s="31">
        <f t="shared" si="19"/>
        <v>7.6739999999999986</v>
      </c>
      <c r="AG39" s="31">
        <f t="shared" si="20"/>
        <v>99.400573364607794</v>
      </c>
      <c r="AH39" s="31">
        <f t="shared" si="21"/>
        <v>50.150307149392226</v>
      </c>
      <c r="AI39" s="31">
        <f t="shared" si="22"/>
        <v>49.849692850607774</v>
      </c>
      <c r="AJ39" s="31">
        <f t="shared" si="23"/>
        <v>27.126301137106271</v>
      </c>
      <c r="AK39" s="24">
        <v>43024</v>
      </c>
      <c r="AL39" s="24">
        <v>43028</v>
      </c>
      <c r="AM39" t="s">
        <v>1109</v>
      </c>
    </row>
    <row r="40" spans="1:39">
      <c r="A40" s="6" t="s">
        <v>128</v>
      </c>
      <c r="B40" s="6" t="s">
        <v>198</v>
      </c>
      <c r="C40" s="6" t="s">
        <v>12</v>
      </c>
      <c r="D40" s="6">
        <v>4</v>
      </c>
      <c r="E40" s="6">
        <v>5</v>
      </c>
      <c r="F40" s="6" t="s">
        <v>1099</v>
      </c>
      <c r="T40" s="219">
        <v>15.52</v>
      </c>
      <c r="V40" s="24">
        <v>43015</v>
      </c>
      <c r="X40" s="31">
        <v>5.2</v>
      </c>
      <c r="Y40" s="67">
        <v>43026</v>
      </c>
      <c r="AA40">
        <v>2.5</v>
      </c>
      <c r="AB40" s="31">
        <v>24.004999999999999</v>
      </c>
      <c r="AC40" s="31">
        <f t="shared" si="12"/>
        <v>21.504999999999999</v>
      </c>
      <c r="AD40">
        <v>9.9429999999999996</v>
      </c>
      <c r="AE40" s="31">
        <v>0.108</v>
      </c>
      <c r="AF40" s="31">
        <f t="shared" si="19"/>
        <v>7.5509999999999993</v>
      </c>
      <c r="AG40" s="31">
        <f t="shared" si="20"/>
        <v>184.79671566679912</v>
      </c>
      <c r="AH40" s="31">
        <f t="shared" si="21"/>
        <v>35.112764473378284</v>
      </c>
      <c r="AI40" s="31">
        <f t="shared" si="22"/>
        <v>64.887235526621708</v>
      </c>
      <c r="AJ40" s="31">
        <f t="shared" si="23"/>
        <v>5.4495010462683098</v>
      </c>
      <c r="AK40" s="24">
        <v>43026</v>
      </c>
      <c r="AL40" s="24">
        <v>43028</v>
      </c>
    </row>
    <row r="41" spans="1:39">
      <c r="A41" s="6" t="s">
        <v>132</v>
      </c>
      <c r="B41" s="6" t="s">
        <v>198</v>
      </c>
      <c r="C41" s="6" t="s">
        <v>12</v>
      </c>
      <c r="D41" s="6">
        <v>5</v>
      </c>
      <c r="E41" s="6">
        <v>5</v>
      </c>
      <c r="F41" s="6" t="s">
        <v>1099</v>
      </c>
      <c r="T41" s="219">
        <v>7.02</v>
      </c>
      <c r="V41" s="24">
        <v>43015</v>
      </c>
      <c r="X41" s="31">
        <v>4.9429999999999996</v>
      </c>
      <c r="Y41" s="67">
        <v>43026</v>
      </c>
      <c r="AA41">
        <v>2.512</v>
      </c>
      <c r="AB41" s="31">
        <v>18.152999999999999</v>
      </c>
      <c r="AC41" s="31">
        <f t="shared" si="12"/>
        <v>15.640999999999998</v>
      </c>
      <c r="AD41">
        <v>8.77</v>
      </c>
      <c r="AE41" s="31">
        <v>0.108</v>
      </c>
      <c r="AF41" s="31">
        <f t="shared" si="19"/>
        <v>6.3659999999999988</v>
      </c>
      <c r="AG41" s="31">
        <f t="shared" si="20"/>
        <v>145.69588438579956</v>
      </c>
      <c r="AH41" s="31">
        <f t="shared" si="21"/>
        <v>40.700722460200751</v>
      </c>
      <c r="AI41" s="31">
        <f t="shared" si="22"/>
        <v>59.299277539799249</v>
      </c>
      <c r="AJ41" s="31">
        <f t="shared" si="23"/>
        <v>2.8571907167060924</v>
      </c>
      <c r="AK41" s="24">
        <v>43026</v>
      </c>
      <c r="AL41" s="24">
        <v>43028</v>
      </c>
    </row>
    <row r="42" spans="1:39" s="4" customFormat="1">
      <c r="A42" s="7" t="s">
        <v>135</v>
      </c>
      <c r="B42" s="7" t="s">
        <v>198</v>
      </c>
      <c r="C42" s="7" t="s">
        <v>12</v>
      </c>
      <c r="D42" s="7">
        <v>6</v>
      </c>
      <c r="E42" s="7">
        <v>5</v>
      </c>
      <c r="F42" s="7" t="s">
        <v>1099</v>
      </c>
      <c r="T42" s="219">
        <v>10.19</v>
      </c>
      <c r="V42" s="24">
        <v>43015</v>
      </c>
      <c r="X42" s="32">
        <v>5.4009999999999998</v>
      </c>
      <c r="Y42" s="67">
        <v>43026</v>
      </c>
      <c r="AA42" s="4">
        <v>2.5419999999999998</v>
      </c>
      <c r="AB42" s="32">
        <v>17.606999999999999</v>
      </c>
      <c r="AC42" s="31">
        <f t="shared" si="12"/>
        <v>15.065</v>
      </c>
      <c r="AD42" s="4">
        <v>8.8320000000000007</v>
      </c>
      <c r="AE42" s="31">
        <v>0.108</v>
      </c>
      <c r="AF42" s="31">
        <f t="shared" si="19"/>
        <v>6.3980000000000006</v>
      </c>
      <c r="AG42" s="31">
        <f t="shared" si="20"/>
        <v>135.46420756486398</v>
      </c>
      <c r="AH42" s="31">
        <f t="shared" si="21"/>
        <v>42.469299701294396</v>
      </c>
      <c r="AI42" s="31">
        <f t="shared" si="22"/>
        <v>57.530700298705604</v>
      </c>
      <c r="AJ42" s="31">
        <f t="shared" si="23"/>
        <v>4.3276216395618983</v>
      </c>
      <c r="AK42" s="24">
        <v>43026</v>
      </c>
      <c r="AL42" s="24">
        <v>43028</v>
      </c>
    </row>
    <row r="43" spans="1:39">
      <c r="A43" s="6" t="s">
        <v>154</v>
      </c>
      <c r="B43" s="6" t="s">
        <v>548</v>
      </c>
      <c r="C43" s="6" t="s">
        <v>12</v>
      </c>
      <c r="D43" s="6">
        <v>1</v>
      </c>
      <c r="E43" s="6">
        <v>5</v>
      </c>
      <c r="F43" s="6" t="s">
        <v>1099</v>
      </c>
      <c r="T43" s="219">
        <v>14.22</v>
      </c>
      <c r="V43" s="24">
        <v>43014</v>
      </c>
      <c r="X43" s="31">
        <v>6.4619999999999997</v>
      </c>
      <c r="Y43" s="67">
        <v>43026</v>
      </c>
      <c r="AA43">
        <v>2.464</v>
      </c>
      <c r="AB43" s="31">
        <v>14.909000000000001</v>
      </c>
      <c r="AC43" s="31">
        <f t="shared" si="12"/>
        <v>12.445</v>
      </c>
      <c r="AD43">
        <v>8.4079999999999995</v>
      </c>
      <c r="AE43" s="31">
        <v>0.108</v>
      </c>
      <c r="AF43" s="31">
        <f t="shared" si="19"/>
        <v>6.0519999999999987</v>
      </c>
      <c r="AG43" s="31">
        <f t="shared" si="20"/>
        <v>105.63450099140785</v>
      </c>
      <c r="AH43" s="31">
        <f t="shared" si="21"/>
        <v>48.62997187625551</v>
      </c>
      <c r="AI43" s="31">
        <f t="shared" si="22"/>
        <v>51.37002812374449</v>
      </c>
      <c r="AJ43" s="31">
        <f t="shared" si="23"/>
        <v>6.9151820008035338</v>
      </c>
      <c r="AK43" s="24">
        <v>43026</v>
      </c>
      <c r="AL43" s="24">
        <v>43028</v>
      </c>
    </row>
    <row r="44" spans="1:39">
      <c r="A44" s="6" t="s">
        <v>158</v>
      </c>
      <c r="B44" s="6" t="s">
        <v>548</v>
      </c>
      <c r="C44" s="6" t="s">
        <v>12</v>
      </c>
      <c r="D44" s="6">
        <v>2</v>
      </c>
      <c r="E44" s="6">
        <v>5</v>
      </c>
      <c r="F44" s="6" t="s">
        <v>1099</v>
      </c>
      <c r="T44" s="219">
        <v>0</v>
      </c>
      <c r="V44" s="24">
        <v>43014</v>
      </c>
      <c r="X44" s="31">
        <v>5.2089999999999996</v>
      </c>
      <c r="Y44" s="67">
        <v>43026</v>
      </c>
      <c r="Z44" s="4" t="s">
        <v>1110</v>
      </c>
      <c r="AA44">
        <v>2.5070000000000001</v>
      </c>
      <c r="AB44" s="31">
        <v>16.459</v>
      </c>
      <c r="AC44" s="31">
        <f t="shared" si="12"/>
        <v>13.952</v>
      </c>
      <c r="AD44">
        <v>7.585</v>
      </c>
      <c r="AE44" s="31">
        <v>0.108</v>
      </c>
      <c r="AF44" s="31">
        <f t="shared" si="19"/>
        <v>5.1859999999999991</v>
      </c>
      <c r="AG44" s="31">
        <f t="shared" si="20"/>
        <v>169.03200925568845</v>
      </c>
      <c r="AH44" s="31">
        <f t="shared" si="21"/>
        <v>37.170298165137609</v>
      </c>
      <c r="AI44" s="31">
        <f t="shared" si="22"/>
        <v>62.829701834862391</v>
      </c>
      <c r="AJ44" s="31">
        <f t="shared" si="23"/>
        <v>0</v>
      </c>
      <c r="AK44" s="24">
        <v>43026</v>
      </c>
      <c r="AL44" s="24">
        <v>43028</v>
      </c>
    </row>
    <row r="45" spans="1:39">
      <c r="A45" s="6" t="s">
        <v>162</v>
      </c>
      <c r="B45" s="6" t="s">
        <v>548</v>
      </c>
      <c r="C45" s="6" t="s">
        <v>12</v>
      </c>
      <c r="D45" s="6">
        <v>3</v>
      </c>
      <c r="E45" s="6">
        <v>5</v>
      </c>
      <c r="F45" s="6" t="s">
        <v>1099</v>
      </c>
      <c r="T45" s="219">
        <v>2.89</v>
      </c>
      <c r="V45" s="24">
        <v>43014</v>
      </c>
      <c r="X45" s="31" t="s">
        <v>469</v>
      </c>
      <c r="Y45" s="67">
        <v>43026</v>
      </c>
      <c r="Z45" s="4" t="s">
        <v>1111</v>
      </c>
      <c r="AA45">
        <v>2.4529999999999998</v>
      </c>
      <c r="AB45" s="31">
        <v>15.372999999999999</v>
      </c>
      <c r="AC45" s="31">
        <f t="shared" si="12"/>
        <v>12.92</v>
      </c>
      <c r="AD45">
        <v>9.2409999999999997</v>
      </c>
      <c r="AE45" s="31">
        <v>0.108</v>
      </c>
      <c r="AF45" s="31">
        <f t="shared" si="19"/>
        <v>6.8959999999999999</v>
      </c>
      <c r="AG45" s="31">
        <f t="shared" si="20"/>
        <v>87.354988399071928</v>
      </c>
      <c r="AH45" s="31">
        <f t="shared" si="21"/>
        <v>53.374613003095973</v>
      </c>
      <c r="AI45" s="31">
        <f t="shared" si="22"/>
        <v>46.625386996904027</v>
      </c>
      <c r="AJ45" s="31">
        <f t="shared" si="23"/>
        <v>1.5425263157894737</v>
      </c>
      <c r="AK45" s="24">
        <v>43026</v>
      </c>
      <c r="AL45" s="24">
        <v>43028</v>
      </c>
    </row>
    <row r="46" spans="1:39">
      <c r="A46" s="6" t="s">
        <v>163</v>
      </c>
      <c r="B46" s="6" t="s">
        <v>548</v>
      </c>
      <c r="C46" s="6" t="s">
        <v>12</v>
      </c>
      <c r="D46" s="6">
        <v>3</v>
      </c>
      <c r="E46" s="6">
        <v>10</v>
      </c>
      <c r="F46" s="6" t="s">
        <v>1099</v>
      </c>
      <c r="T46" s="219">
        <v>2.12</v>
      </c>
      <c r="V46" s="24">
        <v>43014</v>
      </c>
      <c r="X46" s="31">
        <v>5.6749999999999998</v>
      </c>
      <c r="Y46" s="67">
        <v>43026</v>
      </c>
      <c r="Z46" s="4" t="s">
        <v>1110</v>
      </c>
      <c r="AA46">
        <v>2.4620000000000002</v>
      </c>
      <c r="AB46" s="31">
        <v>30.266999999999999</v>
      </c>
      <c r="AC46" s="31">
        <f t="shared" si="12"/>
        <v>27.805</v>
      </c>
      <c r="AD46">
        <v>10.414999999999999</v>
      </c>
      <c r="AE46" s="31">
        <v>0.108</v>
      </c>
      <c r="AF46" s="31">
        <f t="shared" si="19"/>
        <v>8.0609999999999999</v>
      </c>
      <c r="AG46" s="31">
        <f t="shared" si="20"/>
        <v>244.93239052226772</v>
      </c>
      <c r="AH46" s="31">
        <f t="shared" si="21"/>
        <v>28.991188635137565</v>
      </c>
      <c r="AI46" s="31">
        <f t="shared" si="22"/>
        <v>71.008811364862439</v>
      </c>
      <c r="AJ46" s="31">
        <f t="shared" si="23"/>
        <v>0.6146131990649164</v>
      </c>
      <c r="AK46" s="24">
        <v>43026</v>
      </c>
      <c r="AL46" s="24">
        <v>43028</v>
      </c>
    </row>
    <row r="47" spans="1:39">
      <c r="A47" s="6" t="s">
        <v>170</v>
      </c>
      <c r="B47" s="6" t="s">
        <v>548</v>
      </c>
      <c r="C47" s="6" t="s">
        <v>12</v>
      </c>
      <c r="D47" s="6">
        <v>5</v>
      </c>
      <c r="E47" s="6">
        <v>5</v>
      </c>
      <c r="F47" s="6" t="s">
        <v>1099</v>
      </c>
      <c r="T47" s="219">
        <v>3.62</v>
      </c>
      <c r="V47" s="24">
        <v>43014</v>
      </c>
      <c r="X47" s="31">
        <v>5.3890000000000002</v>
      </c>
      <c r="Y47" s="67">
        <v>43026</v>
      </c>
      <c r="Z47" s="4" t="s">
        <v>1110</v>
      </c>
      <c r="AA47">
        <v>2.4729999999999999</v>
      </c>
      <c r="AB47" s="31">
        <v>15.871</v>
      </c>
      <c r="AC47" s="31">
        <f t="shared" si="12"/>
        <v>13.398</v>
      </c>
      <c r="AD47">
        <v>8.1289999999999996</v>
      </c>
      <c r="AE47" s="31">
        <v>0.108</v>
      </c>
      <c r="AF47" s="31">
        <f t="shared" si="19"/>
        <v>5.7639999999999993</v>
      </c>
      <c r="AG47" s="31">
        <f t="shared" si="20"/>
        <v>132.44274809160308</v>
      </c>
      <c r="AH47" s="31">
        <f t="shared" si="21"/>
        <v>43.02134646962233</v>
      </c>
      <c r="AI47" s="31">
        <f t="shared" si="22"/>
        <v>56.97865353037767</v>
      </c>
      <c r="AJ47" s="31">
        <f t="shared" si="23"/>
        <v>1.5573727422003283</v>
      </c>
      <c r="AK47" s="24">
        <v>43026</v>
      </c>
      <c r="AL47" s="24">
        <v>43028</v>
      </c>
    </row>
    <row r="48" spans="1:39" s="4" customFormat="1">
      <c r="A48" s="7" t="s">
        <v>174</v>
      </c>
      <c r="B48" s="7" t="s">
        <v>548</v>
      </c>
      <c r="C48" s="7" t="s">
        <v>12</v>
      </c>
      <c r="D48" s="7">
        <v>6</v>
      </c>
      <c r="E48" s="7">
        <v>5</v>
      </c>
      <c r="F48" s="7" t="s">
        <v>1099</v>
      </c>
      <c r="T48" s="219">
        <v>3.19</v>
      </c>
      <c r="V48" s="24">
        <v>43014</v>
      </c>
      <c r="X48" s="32">
        <v>4.5350000000000001</v>
      </c>
      <c r="Y48" s="67">
        <v>43026</v>
      </c>
      <c r="Z48" s="4" t="s">
        <v>1110</v>
      </c>
      <c r="AA48" s="4">
        <v>2.4950000000000001</v>
      </c>
      <c r="AB48" s="32">
        <v>16.763999999999999</v>
      </c>
      <c r="AC48" s="31">
        <f t="shared" si="12"/>
        <v>14.268999999999998</v>
      </c>
      <c r="AD48" s="4">
        <v>7.4489999999999998</v>
      </c>
      <c r="AE48" s="31">
        <v>0.108</v>
      </c>
      <c r="AF48" s="31">
        <f t="shared" si="19"/>
        <v>5.0619999999999994</v>
      </c>
      <c r="AG48" s="31">
        <f t="shared" si="20"/>
        <v>181.8846305807981</v>
      </c>
      <c r="AH48" s="31">
        <f t="shared" si="21"/>
        <v>35.47550634242063</v>
      </c>
      <c r="AI48" s="31">
        <f t="shared" si="22"/>
        <v>64.52449365757937</v>
      </c>
      <c r="AJ48" s="31">
        <f t="shared" si="23"/>
        <v>1.1316686523232182</v>
      </c>
      <c r="AK48" s="24">
        <v>43026</v>
      </c>
      <c r="AL48" s="24">
        <v>43028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9"/>
  <sheetViews>
    <sheetView workbookViewId="0">
      <selection activeCell="D13" sqref="D13"/>
    </sheetView>
  </sheetViews>
  <sheetFormatPr baseColWidth="10" defaultColWidth="8.83203125" defaultRowHeight="16"/>
  <cols>
    <col min="1" max="1" width="22.5" bestFit="1" customWidth="1"/>
    <col min="2" max="2" width="12.5" bestFit="1" customWidth="1"/>
    <col min="3" max="3" width="14.5" bestFit="1" customWidth="1"/>
    <col min="4" max="4" width="31.6640625" bestFit="1" customWidth="1"/>
  </cols>
  <sheetData>
    <row r="1" spans="1:4">
      <c r="A1" s="1" t="s">
        <v>274</v>
      </c>
    </row>
    <row r="3" spans="1:4">
      <c r="A3" s="1" t="s">
        <v>275</v>
      </c>
      <c r="B3" s="1" t="s">
        <v>280</v>
      </c>
      <c r="C3" s="1" t="s">
        <v>281</v>
      </c>
      <c r="D3" s="1" t="s">
        <v>282</v>
      </c>
    </row>
    <row r="4" spans="1:4">
      <c r="A4" t="s">
        <v>276</v>
      </c>
      <c r="B4" t="s">
        <v>306</v>
      </c>
      <c r="C4" t="s">
        <v>283</v>
      </c>
      <c r="D4" t="s">
        <v>290</v>
      </c>
    </row>
    <row r="5" spans="1:4">
      <c r="A5" t="s">
        <v>273</v>
      </c>
      <c r="B5" t="s">
        <v>307</v>
      </c>
      <c r="C5" t="s">
        <v>284</v>
      </c>
      <c r="D5" t="s">
        <v>291</v>
      </c>
    </row>
    <row r="6" spans="1:4">
      <c r="A6" t="s">
        <v>277</v>
      </c>
      <c r="B6" t="s">
        <v>308</v>
      </c>
      <c r="C6" t="s">
        <v>285</v>
      </c>
      <c r="D6" t="s">
        <v>293</v>
      </c>
    </row>
    <row r="7" spans="1:4">
      <c r="A7" t="s">
        <v>278</v>
      </c>
      <c r="B7" t="s">
        <v>309</v>
      </c>
      <c r="C7" t="s">
        <v>286</v>
      </c>
      <c r="D7" t="s">
        <v>292</v>
      </c>
    </row>
    <row r="8" spans="1:4">
      <c r="A8" t="s">
        <v>279</v>
      </c>
      <c r="B8" t="s">
        <v>310</v>
      </c>
      <c r="C8" t="s">
        <v>287</v>
      </c>
      <c r="D8" t="s">
        <v>295</v>
      </c>
    </row>
    <row r="9" spans="1:4">
      <c r="A9" t="s">
        <v>288</v>
      </c>
      <c r="B9" t="s">
        <v>311</v>
      </c>
      <c r="C9" t="s">
        <v>289</v>
      </c>
      <c r="D9" t="s">
        <v>294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C192"/>
  <sheetViews>
    <sheetView zoomScale="90" zoomScaleNormal="90" zoomScalePageLayoutView="90" workbookViewId="0">
      <pane xSplit="4" topLeftCell="E1" activePane="topRight" state="frozen"/>
      <selection pane="topRight" activeCell="K28" sqref="K28"/>
    </sheetView>
  </sheetViews>
  <sheetFormatPr baseColWidth="10" defaultRowHeight="16"/>
  <cols>
    <col min="6" max="6" width="10.83203125" style="8"/>
    <col min="9" max="9" width="10.83203125" style="3"/>
    <col min="11" max="11" width="10.83203125" style="8"/>
    <col min="13" max="13" width="10.83203125" style="3"/>
    <col min="17" max="17" width="10.83203125" style="3"/>
    <col min="32" max="39" width="10.83203125" style="31"/>
  </cols>
  <sheetData>
    <row r="1" spans="1:55">
      <c r="R1" t="s">
        <v>1075</v>
      </c>
      <c r="S1" t="s">
        <v>1070</v>
      </c>
      <c r="W1" t="s">
        <v>1071</v>
      </c>
      <c r="AA1" t="s">
        <v>1072</v>
      </c>
    </row>
    <row r="2" spans="1:55">
      <c r="S2" t="s">
        <v>12</v>
      </c>
      <c r="T2" t="s">
        <v>816</v>
      </c>
      <c r="U2" t="s">
        <v>13</v>
      </c>
      <c r="V2" t="s">
        <v>816</v>
      </c>
      <c r="W2" t="s">
        <v>12</v>
      </c>
      <c r="X2" t="s">
        <v>816</v>
      </c>
      <c r="Y2" t="s">
        <v>13</v>
      </c>
      <c r="Z2" t="s">
        <v>816</v>
      </c>
      <c r="AA2" t="s">
        <v>12</v>
      </c>
      <c r="AB2" t="s">
        <v>816</v>
      </c>
      <c r="AC2" t="s">
        <v>13</v>
      </c>
      <c r="AD2" t="s">
        <v>816</v>
      </c>
      <c r="AG2" s="30" t="s">
        <v>1078</v>
      </c>
    </row>
    <row r="3" spans="1:55">
      <c r="A3" s="70" t="s">
        <v>10</v>
      </c>
      <c r="B3" s="71" t="s">
        <v>8</v>
      </c>
      <c r="C3" s="71" t="s">
        <v>11</v>
      </c>
      <c r="D3" s="72" t="s">
        <v>212</v>
      </c>
      <c r="E3" s="198" t="s">
        <v>1068</v>
      </c>
      <c r="F3" s="198" t="s">
        <v>1069</v>
      </c>
      <c r="G3" s="198" t="s">
        <v>1067</v>
      </c>
      <c r="H3" s="198" t="s">
        <v>1066</v>
      </c>
      <c r="I3" s="199" t="s">
        <v>1065</v>
      </c>
      <c r="J3" s="198" t="s">
        <v>1073</v>
      </c>
      <c r="N3" s="198" t="s">
        <v>1074</v>
      </c>
      <c r="R3" t="s">
        <v>548</v>
      </c>
      <c r="S3">
        <f>AVERAGE(E$52:E$57)/1000</f>
        <v>3.4212439941866668</v>
      </c>
      <c r="T3">
        <f>STDEVA(E$52:E$57)/1000</f>
        <v>0.77769998124266682</v>
      </c>
      <c r="U3">
        <f>AVERAGE(E$58:E$63)/1000</f>
        <v>0.55482481474003331</v>
      </c>
      <c r="V3">
        <f>STDEVA(E$58:E$63)/1000</f>
        <v>0.46972018751186984</v>
      </c>
      <c r="X3">
        <f>STDEVA(F52:F57)</f>
        <v>151.81528203222055</v>
      </c>
      <c r="Y3">
        <f>AVERAGE(F58:F63)</f>
        <v>138.52822253383331</v>
      </c>
      <c r="Z3">
        <f>STDEVA(F58:F63)</f>
        <v>67.181126637424924</v>
      </c>
      <c r="AA3">
        <f>AVERAGE(I52:I57)</f>
        <v>97.749828405333346</v>
      </c>
      <c r="AB3">
        <f>STDEVA(I52:I57)</f>
        <v>22.219999464076171</v>
      </c>
      <c r="AC3">
        <f>AVERAGE(I58:I63)</f>
        <v>13.514687425876668</v>
      </c>
      <c r="AD3">
        <f>STDEVA(I58:I63)</f>
        <v>7.3541117529499145</v>
      </c>
      <c r="AF3" s="30" t="s">
        <v>1077</v>
      </c>
      <c r="AH3" s="31" t="s">
        <v>1078</v>
      </c>
      <c r="AI3" s="31" t="s">
        <v>1079</v>
      </c>
      <c r="AJ3" s="30" t="s">
        <v>1081</v>
      </c>
      <c r="AL3" s="31" t="s">
        <v>1078</v>
      </c>
      <c r="AM3" s="31" t="s">
        <v>1079</v>
      </c>
      <c r="AO3" s="30" t="s">
        <v>1082</v>
      </c>
      <c r="AQ3" s="31" t="s">
        <v>1078</v>
      </c>
      <c r="AR3" s="31" t="s">
        <v>1079</v>
      </c>
      <c r="AS3" s="30" t="s">
        <v>1083</v>
      </c>
      <c r="AT3" s="31"/>
      <c r="AU3" s="31" t="s">
        <v>1078</v>
      </c>
      <c r="AV3" s="31" t="s">
        <v>1079</v>
      </c>
      <c r="AY3" s="203" t="s">
        <v>1075</v>
      </c>
      <c r="AZ3" s="203" t="s">
        <v>887</v>
      </c>
      <c r="BA3" s="203" t="s">
        <v>888</v>
      </c>
      <c r="BB3" s="203" t="s">
        <v>1085</v>
      </c>
      <c r="BC3" s="203" t="s">
        <v>1086</v>
      </c>
    </row>
    <row r="4" spans="1:55">
      <c r="A4" s="15" t="s">
        <v>213</v>
      </c>
      <c r="B4" t="s">
        <v>9</v>
      </c>
      <c r="C4" t="s">
        <v>12</v>
      </c>
      <c r="D4" s="3">
        <v>1</v>
      </c>
      <c r="E4">
        <v>4127.9310651899996</v>
      </c>
      <c r="F4" s="8">
        <v>332.61794499000001</v>
      </c>
      <c r="G4">
        <v>4127.9310651899996</v>
      </c>
      <c r="H4">
        <v>35</v>
      </c>
      <c r="I4" s="3">
        <f t="shared" ref="I4:I41" si="0">G4/H4</f>
        <v>117.94088757685714</v>
      </c>
      <c r="J4">
        <v>21.347924628200001</v>
      </c>
      <c r="N4">
        <v>55.789874179500003</v>
      </c>
      <c r="R4" t="s">
        <v>198</v>
      </c>
      <c r="S4">
        <f>AVERAGE(E$40:E$45)/1000</f>
        <v>2.4691752345738802</v>
      </c>
      <c r="T4">
        <f>STDEVA(E$40:E$45)/1000</f>
        <v>1.8218763230018664</v>
      </c>
      <c r="U4">
        <f>AVERAGE(E$46:E$51)/1000</f>
        <v>0.30770653343813337</v>
      </c>
      <c r="V4">
        <f>STDEVA(E$46:E$51)/1000</f>
        <v>0.1626319879111742</v>
      </c>
      <c r="X4">
        <f>STDEVA(F40:F45)</f>
        <v>117.8483272448771</v>
      </c>
      <c r="Y4">
        <f>AVERAGE(F46:F51)</f>
        <v>143.32455768006665</v>
      </c>
      <c r="Z4">
        <f>STDEVA(F46:F51)</f>
        <v>69.000222510701505</v>
      </c>
      <c r="AA4">
        <f>AVERAGE(I40:I45)</f>
        <v>82.664854837961713</v>
      </c>
      <c r="AB4">
        <f>STDEVA(I40:I45)</f>
        <v>51.939956515572767</v>
      </c>
      <c r="AC4">
        <f>AVERAGE(I46:I51)</f>
        <v>13.150725534283334</v>
      </c>
      <c r="AD4">
        <f>STDEVA(I46:I51)</f>
        <v>6.5784302111865669</v>
      </c>
      <c r="AF4" s="31">
        <v>0.132034609443</v>
      </c>
      <c r="AG4" s="31" t="s">
        <v>1075</v>
      </c>
      <c r="AH4" s="31">
        <v>0.38802641999999998</v>
      </c>
      <c r="AI4" s="31">
        <v>0.63323689000000005</v>
      </c>
      <c r="AJ4" s="31">
        <v>0.186002911873</v>
      </c>
      <c r="AK4" s="31" t="s">
        <v>1075</v>
      </c>
      <c r="AL4">
        <v>0.33717517228400001</v>
      </c>
      <c r="AM4" s="31">
        <v>0.197603899602</v>
      </c>
      <c r="AO4">
        <v>0.13313812828400001</v>
      </c>
      <c r="AP4" s="31" t="s">
        <v>1075</v>
      </c>
      <c r="AQ4">
        <v>0.26337815639899997</v>
      </c>
      <c r="AR4">
        <v>0.48838381865399999</v>
      </c>
      <c r="AS4">
        <v>0.15732330169299999</v>
      </c>
      <c r="AT4" s="31" t="s">
        <v>1075</v>
      </c>
      <c r="AU4">
        <v>0.341756712904</v>
      </c>
      <c r="AV4">
        <v>0.21567967700499999</v>
      </c>
      <c r="AX4" s="1" t="s">
        <v>9</v>
      </c>
      <c r="AY4" s="202">
        <v>0.21567967700499999</v>
      </c>
      <c r="AZ4" s="202">
        <v>-0.28878600280400002</v>
      </c>
      <c r="BA4" s="202">
        <v>0.49553432019100002</v>
      </c>
      <c r="BB4">
        <v>51.83994817749209</v>
      </c>
      <c r="BC4" s="167">
        <v>21.342845350919813</v>
      </c>
    </row>
    <row r="5" spans="1:55">
      <c r="A5" s="15" t="s">
        <v>214</v>
      </c>
      <c r="B5" t="s">
        <v>9</v>
      </c>
      <c r="C5" t="s">
        <v>12</v>
      </c>
      <c r="D5" s="3">
        <v>2</v>
      </c>
      <c r="E5">
        <v>3185.68791508</v>
      </c>
      <c r="F5" s="8">
        <v>330.59799926099998</v>
      </c>
      <c r="G5">
        <v>3185.68791508</v>
      </c>
      <c r="H5">
        <v>35</v>
      </c>
      <c r="I5" s="3">
        <f t="shared" si="0"/>
        <v>91.019654716571424</v>
      </c>
      <c r="J5">
        <v>21.651696065599999</v>
      </c>
      <c r="N5">
        <v>94.422522663300001</v>
      </c>
      <c r="R5" t="s">
        <v>197</v>
      </c>
      <c r="S5">
        <f>AVERAGE(E$28:E$33)/1000</f>
        <v>3.9898215656433336</v>
      </c>
      <c r="T5">
        <f>STDEVA(E$28:E$33)/1000</f>
        <v>1.4309850705573115</v>
      </c>
      <c r="U5">
        <f>AVERAGE(E$34:E$39)/1000</f>
        <v>0.45113248591016669</v>
      </c>
      <c r="V5">
        <f>STDEVA(E$34:E$39)/1000</f>
        <v>0.44130019609110177</v>
      </c>
      <c r="W5">
        <f>AVERAGE(F28:F33)</f>
        <v>964.26019933816667</v>
      </c>
      <c r="X5">
        <f>STDEVA(F28:F33)</f>
        <v>509.81023059579672</v>
      </c>
      <c r="Y5">
        <f>AVERAGE(F34:F39)</f>
        <v>74.359938317133327</v>
      </c>
      <c r="Z5">
        <f>STDEVA(F34:F39)</f>
        <v>37.318952762874872</v>
      </c>
      <c r="AA5">
        <f>AVERAGE(I28:I33)</f>
        <v>169.60036547773811</v>
      </c>
      <c r="AB5">
        <f>STDEVA(I28:I33)</f>
        <v>80.695503834879901</v>
      </c>
      <c r="AC5">
        <f>AVERAGE(I34:I39)</f>
        <v>7.4484059659933335</v>
      </c>
      <c r="AD5">
        <f>STDEVA(I34:I39)</f>
        <v>4.2564957050331156</v>
      </c>
      <c r="AF5" s="31">
        <v>0.146441047352</v>
      </c>
      <c r="AG5" s="31" t="s">
        <v>887</v>
      </c>
      <c r="AH5" s="31">
        <v>7.2737910000000003E-2</v>
      </c>
      <c r="AI5" s="31">
        <v>0.11870410000000001</v>
      </c>
      <c r="AJ5" s="31">
        <v>0.234972858984</v>
      </c>
      <c r="AK5" s="31" t="s">
        <v>887</v>
      </c>
      <c r="AL5">
        <v>-0.48634343260399998</v>
      </c>
      <c r="AM5" s="31">
        <v>-0.28502501586099999</v>
      </c>
      <c r="AO5">
        <v>0.147628203545</v>
      </c>
      <c r="AP5" s="31" t="s">
        <v>887</v>
      </c>
      <c r="AQ5">
        <v>8.9749787492800007E-2</v>
      </c>
      <c r="AR5">
        <v>0.16642361135200001</v>
      </c>
      <c r="AS5">
        <v>0.20026448648</v>
      </c>
      <c r="AT5" s="31" t="s">
        <v>887</v>
      </c>
      <c r="AU5">
        <v>-0.45759784334600001</v>
      </c>
      <c r="AV5">
        <v>-0.28878600280400002</v>
      </c>
      <c r="AX5" s="1" t="s">
        <v>196</v>
      </c>
      <c r="AY5" s="202">
        <v>-2.0041533083799998E-2</v>
      </c>
      <c r="AZ5" s="202">
        <v>0.67319021595299999</v>
      </c>
      <c r="BA5" s="202">
        <v>0.30676825096299998</v>
      </c>
      <c r="BB5">
        <v>35.310399367338874</v>
      </c>
      <c r="BC5" s="167">
        <v>8.898195196515168</v>
      </c>
    </row>
    <row r="6" spans="1:55">
      <c r="A6" s="15" t="s">
        <v>215</v>
      </c>
      <c r="B6" t="s">
        <v>9</v>
      </c>
      <c r="C6" t="s">
        <v>12</v>
      </c>
      <c r="D6" s="3">
        <v>3</v>
      </c>
      <c r="E6">
        <v>5214.33699514</v>
      </c>
      <c r="F6" s="8">
        <v>614.36204911000004</v>
      </c>
      <c r="G6">
        <v>5214.33699514</v>
      </c>
      <c r="H6">
        <v>35</v>
      </c>
      <c r="I6" s="3">
        <f t="shared" si="0"/>
        <v>148.98105700400001</v>
      </c>
      <c r="J6">
        <v>82.821461594100001</v>
      </c>
      <c r="N6">
        <v>115.552746445</v>
      </c>
      <c r="R6" t="s">
        <v>196</v>
      </c>
      <c r="S6">
        <f>AVERAGE(E$16:E$21)/1000</f>
        <v>2.0126263168265335</v>
      </c>
      <c r="T6">
        <f>STDEVA(E$16:E$21)/1000</f>
        <v>1.6045320107707948</v>
      </c>
      <c r="U6">
        <f>AVERAGE(E$22:E$27)/1000</f>
        <v>0.90004035630250023</v>
      </c>
      <c r="V6">
        <f>STDEVA(E$22:E$27)/1000</f>
        <v>0.74274282535863978</v>
      </c>
      <c r="W6">
        <f>AVERAGE(F16:F21)</f>
        <v>491.03746831336667</v>
      </c>
      <c r="X6">
        <f>STDEVA(F16:F21)</f>
        <v>345.4017310448321</v>
      </c>
      <c r="Y6">
        <f>AVERAGE(F22:F27)</f>
        <v>181.70798048510002</v>
      </c>
      <c r="Z6">
        <f>STDEVA(F22:F27)</f>
        <v>92.049662125422103</v>
      </c>
      <c r="AA6">
        <f>AVERAGE(I16:I21)</f>
        <v>81.571531232485242</v>
      </c>
      <c r="AB6">
        <f>STDEVA(I16:I21)</f>
        <v>48.305858354082041</v>
      </c>
      <c r="AC6">
        <f>AVERAGE(I22:I27)</f>
        <v>15.527189939486668</v>
      </c>
      <c r="AD6">
        <f>STDEVA(I22:I27)</f>
        <v>11.275872132596678</v>
      </c>
      <c r="AF6" s="31">
        <v>0.151619565486</v>
      </c>
      <c r="AG6" s="31" t="s">
        <v>888</v>
      </c>
      <c r="AH6" s="31">
        <v>0.15200226999999999</v>
      </c>
      <c r="AI6" s="31">
        <v>0.24805901</v>
      </c>
      <c r="AJ6" s="31">
        <v>0.20267515749199999</v>
      </c>
      <c r="AK6" s="31" t="s">
        <v>888</v>
      </c>
      <c r="AL6">
        <v>0.88279980767199995</v>
      </c>
      <c r="AM6" s="31">
        <v>0.51737108453699998</v>
      </c>
      <c r="AO6">
        <v>0.17095932326900001</v>
      </c>
      <c r="AP6" s="31" t="s">
        <v>888</v>
      </c>
      <c r="AQ6">
        <v>0.18615723784300001</v>
      </c>
      <c r="AR6">
        <v>0.345192569994</v>
      </c>
      <c r="AS6">
        <v>0.21104235042399999</v>
      </c>
      <c r="AT6" s="31" t="s">
        <v>888</v>
      </c>
      <c r="AU6">
        <v>0.78520230905099997</v>
      </c>
      <c r="AV6">
        <v>0.49553432019100002</v>
      </c>
      <c r="AX6" s="1" t="s">
        <v>1084</v>
      </c>
      <c r="AY6" s="202">
        <v>0.36843281097300001</v>
      </c>
      <c r="AZ6" s="202">
        <v>0.51760299508300001</v>
      </c>
      <c r="BA6" s="202">
        <v>-0.11396419394399999</v>
      </c>
      <c r="BB6">
        <v>33.8028877958984</v>
      </c>
      <c r="BC6" s="167">
        <v>7.9833446834800927</v>
      </c>
    </row>
    <row r="7" spans="1:55">
      <c r="A7" s="15" t="s">
        <v>216</v>
      </c>
      <c r="B7" t="s">
        <v>9</v>
      </c>
      <c r="C7" t="s">
        <v>12</v>
      </c>
      <c r="D7" s="3">
        <v>4</v>
      </c>
      <c r="E7">
        <v>5583.5125627799998</v>
      </c>
      <c r="F7" s="8">
        <v>1550.7550699200001</v>
      </c>
      <c r="G7">
        <v>5583.5125627799998</v>
      </c>
      <c r="H7">
        <v>35</v>
      </c>
      <c r="I7" s="3">
        <f t="shared" si="0"/>
        <v>159.52893036514286</v>
      </c>
      <c r="J7">
        <v>40.504237510099998</v>
      </c>
      <c r="N7">
        <v>27.974263649400001</v>
      </c>
      <c r="R7" t="s">
        <v>9</v>
      </c>
      <c r="S7">
        <f>AVERAGE(E$4:E$9)/1000</f>
        <v>5.0095973107549989</v>
      </c>
      <c r="T7">
        <f>STDEVA(E$4:E$9)/1000</f>
        <v>1.3850370183377343</v>
      </c>
      <c r="U7">
        <f>AVERAGE(E$10:E$15)/1000</f>
        <v>1.1652800044001166</v>
      </c>
      <c r="V7">
        <f>STDEVA(E$10:E$15)/1000</f>
        <v>1.0520366419248453</v>
      </c>
      <c r="W7">
        <f>AVERAGE(F4:F9)</f>
        <v>849.99901488516673</v>
      </c>
      <c r="X7">
        <f>STDEVA(F4:F9)</f>
        <v>504.18572103050116</v>
      </c>
      <c r="Y7">
        <f>AVERAGE(F10:F15)</f>
        <v>205.63435015297833</v>
      </c>
      <c r="Z7">
        <f>STDEVA(F10:F15)</f>
        <v>221.99396398970256</v>
      </c>
      <c r="AA7">
        <f>AVERAGE(I4:I9)</f>
        <v>143.13135173585715</v>
      </c>
      <c r="AB7">
        <f>STDEVA(I4:I9)</f>
        <v>39.572486238220939</v>
      </c>
      <c r="AC7">
        <f>AVERAGE(I10:I15)</f>
        <v>19.528382866186664</v>
      </c>
      <c r="AD7">
        <f>STDEVA(I10:I15)</f>
        <v>22.482198776660571</v>
      </c>
      <c r="AF7" s="31">
        <v>0.17969006772099999</v>
      </c>
      <c r="AG7" s="31" t="s">
        <v>1080</v>
      </c>
      <c r="AH7" s="31">
        <v>0.417339024457</v>
      </c>
      <c r="AJ7" s="31">
        <v>0.12307800628899999</v>
      </c>
      <c r="AK7" s="31" t="s">
        <v>1080</v>
      </c>
      <c r="AL7">
        <v>0.70395327533200003</v>
      </c>
      <c r="AO7">
        <v>0.20796161280200001</v>
      </c>
      <c r="AP7" s="31" t="s">
        <v>1080</v>
      </c>
      <c r="AQ7">
        <v>0.36870128053899998</v>
      </c>
      <c r="AS7">
        <v>0.136040091694</v>
      </c>
      <c r="AT7" s="31" t="s">
        <v>1080</v>
      </c>
      <c r="AU7">
        <v>0.56846551134900003</v>
      </c>
      <c r="AX7" s="1" t="s">
        <v>198</v>
      </c>
      <c r="AY7" s="202">
        <v>0.41322362266599999</v>
      </c>
      <c r="AZ7" s="202">
        <v>-0.57781350777999996</v>
      </c>
      <c r="BA7" s="202">
        <v>8.9628695538099996E-3</v>
      </c>
      <c r="BB7">
        <v>56.590347374996604</v>
      </c>
      <c r="BC7" s="168">
        <v>24.382651874926836</v>
      </c>
    </row>
    <row r="8" spans="1:55">
      <c r="A8" s="15" t="s">
        <v>217</v>
      </c>
      <c r="B8" t="s">
        <v>9</v>
      </c>
      <c r="C8" t="s">
        <v>12</v>
      </c>
      <c r="D8" s="3">
        <v>5</v>
      </c>
      <c r="E8">
        <v>7249.7424524600001</v>
      </c>
      <c r="F8" s="8">
        <v>1027.26601379</v>
      </c>
      <c r="G8">
        <v>7249.7424524600001</v>
      </c>
      <c r="H8">
        <v>35</v>
      </c>
      <c r="I8" s="3">
        <f t="shared" si="0"/>
        <v>207.13549864171429</v>
      </c>
      <c r="J8">
        <v>61.464267911</v>
      </c>
      <c r="N8">
        <v>53.249124605299997</v>
      </c>
      <c r="AF8" s="31">
        <v>0.23392537914</v>
      </c>
      <c r="AJ8" s="31">
        <v>0.139064879748</v>
      </c>
      <c r="AO8">
        <v>0.19247413914799999</v>
      </c>
      <c r="AS8">
        <v>0.116889543869</v>
      </c>
      <c r="AX8" s="1" t="s">
        <v>548</v>
      </c>
      <c r="AY8" s="202">
        <v>0.24792534197999999</v>
      </c>
      <c r="AZ8" s="202">
        <v>0.65872176277100003</v>
      </c>
      <c r="BA8" s="202">
        <v>-9.3352895248900003E-2</v>
      </c>
      <c r="BB8">
        <v>46.050957832583393</v>
      </c>
      <c r="BC8" s="167">
        <v>13.100938120380754</v>
      </c>
    </row>
    <row r="9" spans="1:55">
      <c r="A9" s="15" t="s">
        <v>218</v>
      </c>
      <c r="B9" t="s">
        <v>9</v>
      </c>
      <c r="C9" t="s">
        <v>12</v>
      </c>
      <c r="D9" s="3">
        <v>6</v>
      </c>
      <c r="E9">
        <v>4696.37287388</v>
      </c>
      <c r="F9" s="8">
        <v>1244.3950122399999</v>
      </c>
      <c r="G9">
        <v>4696.37287388</v>
      </c>
      <c r="H9">
        <v>35</v>
      </c>
      <c r="I9" s="3">
        <f t="shared" si="0"/>
        <v>134.18208211085715</v>
      </c>
      <c r="J9">
        <v>7.9200900324500001</v>
      </c>
      <c r="N9">
        <v>63.4590803898</v>
      </c>
      <c r="AF9" s="31">
        <v>0.21452937430899999</v>
      </c>
      <c r="AJ9" s="31">
        <v>0.26911341971199998</v>
      </c>
      <c r="AO9">
        <v>0.183607181482</v>
      </c>
      <c r="AS9">
        <v>0.24734715564199999</v>
      </c>
      <c r="BB9">
        <v>38.556503339284532</v>
      </c>
      <c r="BC9" s="167">
        <v>10.672006932737009</v>
      </c>
    </row>
    <row r="10" spans="1:55">
      <c r="A10" s="15" t="s">
        <v>219</v>
      </c>
      <c r="B10" t="s">
        <v>9</v>
      </c>
      <c r="C10" t="s">
        <v>13</v>
      </c>
      <c r="D10" s="3">
        <v>1</v>
      </c>
      <c r="E10">
        <v>1572.98674957</v>
      </c>
      <c r="F10" s="8">
        <v>433.56400377</v>
      </c>
      <c r="G10">
        <v>217.082435898</v>
      </c>
      <c r="H10">
        <v>5</v>
      </c>
      <c r="I10" s="3">
        <f t="shared" si="0"/>
        <v>43.416487179599997</v>
      </c>
      <c r="J10">
        <v>11.1085948838</v>
      </c>
      <c r="N10">
        <v>44.094912191699997</v>
      </c>
      <c r="AF10" s="31">
        <v>0.100840023012</v>
      </c>
      <c r="AJ10" s="31">
        <v>0.13447484791</v>
      </c>
      <c r="AO10">
        <v>0.13442651998899999</v>
      </c>
      <c r="AS10">
        <v>0.18067341783300001</v>
      </c>
      <c r="BB10">
        <v>51.468681104915056</v>
      </c>
      <c r="BC10" s="167">
        <v>18.068839595395207</v>
      </c>
    </row>
    <row r="11" spans="1:55">
      <c r="A11" s="15" t="s">
        <v>220</v>
      </c>
      <c r="B11" t="s">
        <v>9</v>
      </c>
      <c r="C11" t="s">
        <v>13</v>
      </c>
      <c r="D11" s="3">
        <v>2</v>
      </c>
      <c r="E11">
        <v>1445.2757048999999</v>
      </c>
      <c r="F11" s="8">
        <v>147.61353219099999</v>
      </c>
      <c r="G11">
        <v>66.837137004900001</v>
      </c>
      <c r="H11">
        <v>5</v>
      </c>
      <c r="I11" s="3">
        <f t="shared" si="0"/>
        <v>13.36742740098</v>
      </c>
      <c r="J11">
        <v>5.05527231683</v>
      </c>
      <c r="N11">
        <v>15.1548357323</v>
      </c>
      <c r="AF11" s="31">
        <v>7.8777248739300004E-2</v>
      </c>
      <c r="AJ11" s="31">
        <v>8.4840699474200004E-2</v>
      </c>
      <c r="AO11">
        <v>9.8322854744599994E-2</v>
      </c>
      <c r="AS11">
        <v>8.3505700535000005E-2</v>
      </c>
      <c r="BB11">
        <v>40.462620988283248</v>
      </c>
      <c r="BC11" s="167">
        <v>11.660403730108877</v>
      </c>
    </row>
    <row r="12" spans="1:55">
      <c r="A12" s="15" t="s">
        <v>221</v>
      </c>
      <c r="B12" t="s">
        <v>9</v>
      </c>
      <c r="C12" t="s">
        <v>13</v>
      </c>
      <c r="D12" s="3">
        <v>3</v>
      </c>
      <c r="E12">
        <v>1152.7857383200001</v>
      </c>
      <c r="F12" s="8">
        <v>127.004272469</v>
      </c>
      <c r="G12">
        <v>43.2362220037</v>
      </c>
      <c r="H12">
        <v>5</v>
      </c>
      <c r="I12" s="3">
        <f t="shared" si="0"/>
        <v>8.64724440074</v>
      </c>
      <c r="J12">
        <v>7.0551539590300001</v>
      </c>
      <c r="N12">
        <v>17.342280998100001</v>
      </c>
      <c r="AF12" s="31">
        <v>8.1121787754800001E-2</v>
      </c>
      <c r="AJ12" s="31">
        <v>9.8456195122199996E-2</v>
      </c>
      <c r="AO12">
        <v>0.102476513302</v>
      </c>
      <c r="AS12">
        <v>0.107180615093</v>
      </c>
      <c r="BB12">
        <v>40.434640686988402</v>
      </c>
      <c r="BC12" s="167">
        <v>11.359928283802818</v>
      </c>
    </row>
    <row r="13" spans="1:55">
      <c r="A13" s="15" t="s">
        <v>222</v>
      </c>
      <c r="B13" t="s">
        <v>9</v>
      </c>
      <c r="C13" t="s">
        <v>13</v>
      </c>
      <c r="D13" s="3">
        <v>4</v>
      </c>
      <c r="E13">
        <v>2790.7441665400002</v>
      </c>
      <c r="F13" s="8">
        <v>523.65834816500001</v>
      </c>
      <c r="G13">
        <v>258.69569107900003</v>
      </c>
      <c r="H13">
        <v>5</v>
      </c>
      <c r="I13" s="3">
        <f t="shared" si="0"/>
        <v>51.739138215800004</v>
      </c>
      <c r="J13">
        <v>22.934057349900002</v>
      </c>
      <c r="N13">
        <v>34.677007126100001</v>
      </c>
      <c r="AF13" s="31">
        <v>9.7906408585099997E-2</v>
      </c>
      <c r="AJ13" s="31">
        <v>9.7937122265099999E-2</v>
      </c>
      <c r="AO13">
        <v>0.142230192816</v>
      </c>
      <c r="AS13">
        <v>0.120679680904</v>
      </c>
      <c r="BB13">
        <v>19.71971971971972</v>
      </c>
      <c r="BC13" s="167">
        <v>7.6348795967370346</v>
      </c>
    </row>
    <row r="14" spans="1:55">
      <c r="A14" s="15" t="s">
        <v>223</v>
      </c>
      <c r="B14" t="s">
        <v>9</v>
      </c>
      <c r="C14" t="s">
        <v>13</v>
      </c>
      <c r="D14" s="3">
        <v>5</v>
      </c>
      <c r="E14">
        <v>29.887667070700001</v>
      </c>
      <c r="F14" s="8">
        <v>1.96594432287</v>
      </c>
      <c r="G14">
        <v>0</v>
      </c>
      <c r="H14">
        <v>5</v>
      </c>
      <c r="I14" s="3">
        <f t="shared" si="0"/>
        <v>0</v>
      </c>
      <c r="J14">
        <v>2.73912345971</v>
      </c>
      <c r="N14">
        <v>43.223615075399998</v>
      </c>
      <c r="AF14" s="31">
        <v>7.7284289662100006E-2</v>
      </c>
      <c r="AJ14" s="31">
        <v>0.116093532464</v>
      </c>
      <c r="AO14">
        <v>0.100634143491</v>
      </c>
      <c r="AS14">
        <v>0.14184960809200001</v>
      </c>
      <c r="BB14">
        <v>19.224187665620391</v>
      </c>
      <c r="BC14" s="167">
        <v>7.431687141252481</v>
      </c>
    </row>
    <row r="15" spans="1:55">
      <c r="A15" s="16" t="s">
        <v>224</v>
      </c>
      <c r="B15" s="4" t="s">
        <v>9</v>
      </c>
      <c r="C15" s="4" t="s">
        <v>13</v>
      </c>
      <c r="D15" s="5">
        <v>6</v>
      </c>
      <c r="E15">
        <v>0</v>
      </c>
      <c r="F15" s="8">
        <v>0</v>
      </c>
      <c r="G15">
        <v>0</v>
      </c>
      <c r="H15">
        <v>5</v>
      </c>
      <c r="I15" s="3">
        <f t="shared" si="0"/>
        <v>0</v>
      </c>
      <c r="J15">
        <v>22.9284193887</v>
      </c>
      <c r="N15">
        <v>27.149703002100001</v>
      </c>
      <c r="AF15" s="31">
        <v>8.0731490539E-2</v>
      </c>
      <c r="AJ15" s="31">
        <v>5.5757231572700003E-2</v>
      </c>
      <c r="AO15">
        <v>9.7195255443400005E-2</v>
      </c>
      <c r="AS15">
        <v>3.9670910645600001E-2</v>
      </c>
      <c r="BB15">
        <v>26.864209827357243</v>
      </c>
      <c r="BC15" s="167">
        <v>9.6305978017838463</v>
      </c>
    </row>
    <row r="16" spans="1:55">
      <c r="A16" s="15" t="s">
        <v>225</v>
      </c>
      <c r="B16" s="6" t="s">
        <v>196</v>
      </c>
      <c r="C16" t="s">
        <v>12</v>
      </c>
      <c r="D16" s="3">
        <v>1</v>
      </c>
      <c r="E16">
        <v>2788.4881096700001</v>
      </c>
      <c r="F16" s="8">
        <v>550.49381964999998</v>
      </c>
      <c r="G16">
        <v>2788.4881096700001</v>
      </c>
      <c r="H16">
        <v>35</v>
      </c>
      <c r="I16" s="3">
        <f t="shared" si="0"/>
        <v>79.671088847714287</v>
      </c>
      <c r="J16">
        <v>63.018477925399999</v>
      </c>
      <c r="N16">
        <v>61.779341113800001</v>
      </c>
      <c r="AF16" s="31">
        <v>0.10665272547599999</v>
      </c>
      <c r="AJ16" s="31">
        <v>0.11582381642800001</v>
      </c>
      <c r="AK16" s="31" t="s">
        <v>1075</v>
      </c>
      <c r="AL16">
        <v>-8.1059721590600001E-2</v>
      </c>
      <c r="AM16">
        <v>-8.9284456014399993E-2</v>
      </c>
      <c r="AO16">
        <v>0.151165464237</v>
      </c>
      <c r="AS16">
        <v>0.15458199168</v>
      </c>
      <c r="AT16">
        <v>0.341756712904</v>
      </c>
      <c r="AU16">
        <v>-2.0041533083799998E-2</v>
      </c>
      <c r="BB16">
        <v>23.913359499927324</v>
      </c>
      <c r="BC16" s="167">
        <v>9.5558938471559589</v>
      </c>
    </row>
    <row r="17" spans="1:55">
      <c r="A17" s="15" t="s">
        <v>226</v>
      </c>
      <c r="B17" s="6" t="s">
        <v>196</v>
      </c>
      <c r="C17" t="s">
        <v>12</v>
      </c>
      <c r="D17" s="3">
        <v>2</v>
      </c>
      <c r="E17">
        <v>4242.0525703800004</v>
      </c>
      <c r="F17" s="8">
        <v>1072.3557495699999</v>
      </c>
      <c r="G17">
        <v>4242.0525703800004</v>
      </c>
      <c r="H17">
        <v>35</v>
      </c>
      <c r="I17" s="3">
        <f t="shared" si="0"/>
        <v>121.20150201085715</v>
      </c>
      <c r="J17">
        <v>69.643719383100006</v>
      </c>
      <c r="N17">
        <v>61.422949187</v>
      </c>
      <c r="AF17" s="31">
        <v>0.196668394862</v>
      </c>
      <c r="AJ17" s="31">
        <v>0.20824778075700001</v>
      </c>
      <c r="AK17" s="31" t="s">
        <v>887</v>
      </c>
      <c r="AL17">
        <v>0.70789505516499995</v>
      </c>
      <c r="AM17">
        <v>0.77972171228099996</v>
      </c>
      <c r="AO17">
        <v>0.20597506309700001</v>
      </c>
      <c r="AS17">
        <v>0.20476388204000001</v>
      </c>
      <c r="AT17">
        <v>0.482227235724</v>
      </c>
      <c r="AU17">
        <v>0.67319021595299999</v>
      </c>
      <c r="BB17">
        <v>30.12855730139546</v>
      </c>
      <c r="BC17" s="167">
        <v>12.230286179329394</v>
      </c>
    </row>
    <row r="18" spans="1:55">
      <c r="A18" s="15" t="s">
        <v>227</v>
      </c>
      <c r="B18" s="6" t="s">
        <v>196</v>
      </c>
      <c r="C18" t="s">
        <v>12</v>
      </c>
      <c r="D18" s="3">
        <v>3</v>
      </c>
      <c r="E18">
        <v>78.266744129200006</v>
      </c>
      <c r="F18" s="8">
        <v>78.266744129200006</v>
      </c>
      <c r="G18">
        <v>78.266744129200006</v>
      </c>
      <c r="H18">
        <v>5</v>
      </c>
      <c r="I18" s="3">
        <f t="shared" si="0"/>
        <v>15.653348825840002</v>
      </c>
      <c r="J18">
        <v>1.7608301309600001</v>
      </c>
      <c r="N18">
        <v>7.7731023635499996</v>
      </c>
      <c r="AK18" s="31" t="s">
        <v>888</v>
      </c>
      <c r="AL18">
        <v>0.11892689950800001</v>
      </c>
      <c r="AM18">
        <v>0.130993831704</v>
      </c>
      <c r="AT18">
        <v>0.21974770601800001</v>
      </c>
      <c r="AU18">
        <v>0.30676825096299998</v>
      </c>
      <c r="BB18">
        <v>24.311723491261432</v>
      </c>
      <c r="BC18" s="167">
        <v>8.85660659893915</v>
      </c>
    </row>
    <row r="19" spans="1:55">
      <c r="A19" s="15" t="s">
        <v>228</v>
      </c>
      <c r="B19" s="6" t="s">
        <v>196</v>
      </c>
      <c r="C19" t="s">
        <v>12</v>
      </c>
      <c r="D19" s="3">
        <v>4</v>
      </c>
      <c r="E19">
        <v>2993.5812870200002</v>
      </c>
      <c r="F19" s="8">
        <v>585.32599980999998</v>
      </c>
      <c r="G19">
        <v>2993.5812870200002</v>
      </c>
      <c r="H19">
        <v>20</v>
      </c>
      <c r="I19" s="3">
        <f t="shared" si="0"/>
        <v>149.67906435100002</v>
      </c>
      <c r="J19">
        <v>51.242846323099997</v>
      </c>
      <c r="N19">
        <v>103.243815154</v>
      </c>
      <c r="AF19" s="31">
        <v>0.14160637212999999</v>
      </c>
      <c r="AJ19" s="31">
        <v>0.11536129704</v>
      </c>
      <c r="AK19" s="31" t="s">
        <v>1080</v>
      </c>
      <c r="AL19">
        <v>0.54534309646199997</v>
      </c>
      <c r="AO19">
        <v>0.17665647335500001</v>
      </c>
      <c r="AS19">
        <v>0.150146204103</v>
      </c>
      <c r="AT19">
        <v>0.67615695340899995</v>
      </c>
      <c r="BB19">
        <v>17.966511209754444</v>
      </c>
      <c r="BC19" s="167">
        <v>10.153687340928851</v>
      </c>
    </row>
    <row r="20" spans="1:55">
      <c r="A20" s="15" t="s">
        <v>229</v>
      </c>
      <c r="B20" s="6" t="s">
        <v>196</v>
      </c>
      <c r="C20" t="s">
        <v>12</v>
      </c>
      <c r="D20" s="3">
        <v>5</v>
      </c>
      <c r="E20">
        <v>491.11447743000002</v>
      </c>
      <c r="F20" s="8">
        <v>220.71347846</v>
      </c>
      <c r="G20">
        <v>491.11447743000002</v>
      </c>
      <c r="H20">
        <v>10</v>
      </c>
      <c r="I20" s="3">
        <f t="shared" si="0"/>
        <v>49.111447742999999</v>
      </c>
      <c r="J20">
        <v>17.0311565463</v>
      </c>
      <c r="N20">
        <v>70.739318699699993</v>
      </c>
      <c r="AF20" s="31">
        <v>0.121662969461</v>
      </c>
      <c r="AJ20" s="31">
        <v>0.119604858211</v>
      </c>
      <c r="AO20">
        <v>0.13789202203000001</v>
      </c>
      <c r="AS20">
        <v>0.12622834408299999</v>
      </c>
      <c r="BB20">
        <v>26.399663646720569</v>
      </c>
      <c r="BC20" s="167">
        <v>10.331501981247753</v>
      </c>
    </row>
    <row r="21" spans="1:55">
      <c r="A21" s="15" t="s">
        <v>230</v>
      </c>
      <c r="B21" s="6" t="s">
        <v>196</v>
      </c>
      <c r="C21" t="s">
        <v>12</v>
      </c>
      <c r="D21" s="3">
        <v>6</v>
      </c>
      <c r="E21">
        <v>1482.2547123300001</v>
      </c>
      <c r="F21" s="8">
        <v>439.069018261</v>
      </c>
      <c r="G21">
        <v>1482.2547123300001</v>
      </c>
      <c r="H21">
        <v>20</v>
      </c>
      <c r="I21" s="3">
        <f t="shared" si="0"/>
        <v>74.112735616500004</v>
      </c>
      <c r="J21">
        <v>33.412430975600003</v>
      </c>
      <c r="N21">
        <v>50.919744155899998</v>
      </c>
      <c r="AF21" s="31">
        <v>0.14420291392099999</v>
      </c>
      <c r="AJ21" s="31">
        <v>0.180172283376</v>
      </c>
      <c r="AO21">
        <v>0.15029746500899999</v>
      </c>
      <c r="AS21">
        <v>0.159740987591</v>
      </c>
      <c r="BB21">
        <v>23.354021205068534</v>
      </c>
      <c r="BC21" s="167">
        <v>6.4947494854456833</v>
      </c>
    </row>
    <row r="22" spans="1:55">
      <c r="A22" s="15" t="s">
        <v>231</v>
      </c>
      <c r="B22" s="6" t="s">
        <v>196</v>
      </c>
      <c r="C22" t="s">
        <v>13</v>
      </c>
      <c r="D22" s="3">
        <v>1</v>
      </c>
      <c r="E22">
        <v>641.77824550900004</v>
      </c>
      <c r="F22" s="8">
        <v>306.90392794100001</v>
      </c>
      <c r="G22">
        <v>169.42317677200001</v>
      </c>
      <c r="H22">
        <v>5</v>
      </c>
      <c r="I22" s="3">
        <f t="shared" si="0"/>
        <v>33.884635354400004</v>
      </c>
      <c r="J22">
        <v>1.7787444614200001</v>
      </c>
      <c r="N22">
        <v>11.679786694400001</v>
      </c>
      <c r="AF22" s="31">
        <v>8.5744116870600004E-2</v>
      </c>
      <c r="AJ22" s="31">
        <v>6.0222308451800002E-2</v>
      </c>
      <c r="AO22">
        <v>0.10839882983099999</v>
      </c>
      <c r="AS22">
        <v>5.69473450874E-2</v>
      </c>
      <c r="BB22">
        <v>33.358267755802245</v>
      </c>
      <c r="BC22" s="167">
        <v>10.766089904485666</v>
      </c>
    </row>
    <row r="23" spans="1:55">
      <c r="A23" s="15" t="s">
        <v>232</v>
      </c>
      <c r="B23" s="6" t="s">
        <v>196</v>
      </c>
      <c r="C23" t="s">
        <v>13</v>
      </c>
      <c r="D23" s="3">
        <v>2</v>
      </c>
      <c r="E23">
        <v>1769.7556256299999</v>
      </c>
      <c r="F23" s="8">
        <v>193.95409006899999</v>
      </c>
      <c r="G23">
        <v>28.070060203400001</v>
      </c>
      <c r="H23">
        <v>5</v>
      </c>
      <c r="I23" s="3">
        <f t="shared" si="0"/>
        <v>5.6140120406800005</v>
      </c>
      <c r="J23">
        <v>0.40350499047100002</v>
      </c>
      <c r="N23">
        <v>7.76835329741</v>
      </c>
      <c r="AF23" s="31">
        <v>0.100041652955</v>
      </c>
      <c r="AJ23" s="31">
        <v>6.1949458822200001E-2</v>
      </c>
      <c r="AO23">
        <v>9.67561142767E-2</v>
      </c>
      <c r="AS23">
        <v>4.8456881959100001E-2</v>
      </c>
      <c r="BB23">
        <v>32.963661141985128</v>
      </c>
      <c r="BC23" s="167">
        <v>8.8483916091999912</v>
      </c>
    </row>
    <row r="24" spans="1:55">
      <c r="A24" s="15" t="s">
        <v>233</v>
      </c>
      <c r="B24" s="6" t="s">
        <v>196</v>
      </c>
      <c r="C24" t="s">
        <v>13</v>
      </c>
      <c r="D24" s="3">
        <v>3</v>
      </c>
      <c r="E24">
        <v>142.38294799499999</v>
      </c>
      <c r="F24" s="8">
        <v>76.556496768599999</v>
      </c>
      <c r="G24">
        <v>35.397401674400001</v>
      </c>
      <c r="H24">
        <v>5</v>
      </c>
      <c r="I24" s="3">
        <f t="shared" si="0"/>
        <v>7.0794803348800004</v>
      </c>
      <c r="J24">
        <v>6.7643833955100003</v>
      </c>
      <c r="N24">
        <v>52.038621987799999</v>
      </c>
      <c r="R24" t="s">
        <v>887</v>
      </c>
      <c r="S24" t="s">
        <v>1070</v>
      </c>
      <c r="AF24" s="31">
        <v>0.12932995679600001</v>
      </c>
      <c r="AJ24" s="31">
        <v>0.101688095194</v>
      </c>
      <c r="AO24">
        <v>0.11937475195400001</v>
      </c>
      <c r="AS24">
        <v>9.0815233184499994E-2</v>
      </c>
      <c r="BB24">
        <v>15.897995995300263</v>
      </c>
      <c r="BC24" s="167">
        <v>3.3110032927722104</v>
      </c>
    </row>
    <row r="25" spans="1:55">
      <c r="A25" s="15" t="s">
        <v>234</v>
      </c>
      <c r="B25" s="6" t="s">
        <v>196</v>
      </c>
      <c r="C25" t="s">
        <v>13</v>
      </c>
      <c r="D25" s="3">
        <v>4</v>
      </c>
      <c r="E25">
        <v>326.802585497</v>
      </c>
      <c r="F25" s="8">
        <v>133.94928166700001</v>
      </c>
      <c r="G25">
        <v>71.519204489200007</v>
      </c>
      <c r="H25">
        <v>5</v>
      </c>
      <c r="I25" s="3">
        <f t="shared" si="0"/>
        <v>14.303840897840001</v>
      </c>
      <c r="J25">
        <v>4.3116807488499997</v>
      </c>
      <c r="N25">
        <v>82.748727060199997</v>
      </c>
      <c r="S25" t="s">
        <v>12</v>
      </c>
      <c r="T25" t="s">
        <v>816</v>
      </c>
      <c r="U25" t="s">
        <v>13</v>
      </c>
      <c r="V25" t="s">
        <v>816</v>
      </c>
      <c r="AF25" s="31">
        <v>0.14469701999000001</v>
      </c>
      <c r="AJ25" s="31">
        <v>0.107318977681</v>
      </c>
      <c r="AO25">
        <v>0.13415554641800001</v>
      </c>
      <c r="AS25">
        <v>0.10137581558600001</v>
      </c>
      <c r="BB25">
        <v>24.292523086088764</v>
      </c>
      <c r="BC25" s="167">
        <v>9.2017358821994222</v>
      </c>
    </row>
    <row r="26" spans="1:55">
      <c r="A26" s="15" t="s">
        <v>235</v>
      </c>
      <c r="B26" s="6" t="s">
        <v>196</v>
      </c>
      <c r="C26" t="s">
        <v>13</v>
      </c>
      <c r="D26" s="3">
        <v>5</v>
      </c>
      <c r="E26">
        <v>1881.7685429200001</v>
      </c>
      <c r="F26" s="8">
        <v>270.325755233</v>
      </c>
      <c r="G26">
        <v>120.52231269799999</v>
      </c>
      <c r="H26">
        <v>5</v>
      </c>
      <c r="I26" s="3">
        <f t="shared" si="0"/>
        <v>24.1044625396</v>
      </c>
      <c r="J26">
        <v>5.4134941434700004</v>
      </c>
      <c r="N26">
        <v>84.452753819600005</v>
      </c>
      <c r="R26" t="s">
        <v>548</v>
      </c>
      <c r="S26">
        <f>AVERAGE(J$52:J$57)</f>
        <v>45.922580864049998</v>
      </c>
      <c r="T26">
        <f>STDEVA(J$52:J$57)</f>
        <v>38.537588641788538</v>
      </c>
      <c r="U26">
        <f>AVERAGE(J$58:J$63)</f>
        <v>3.8227676800299997</v>
      </c>
      <c r="V26">
        <f>STDEVA(J$58:J$63)</f>
        <v>1.7097486035019323</v>
      </c>
      <c r="AF26" s="31">
        <v>0.13681694268799999</v>
      </c>
      <c r="AJ26" s="31">
        <v>9.7057967553000002E-2</v>
      </c>
      <c r="AO26">
        <v>0.14092810335100001</v>
      </c>
      <c r="AS26">
        <v>0.10267310733</v>
      </c>
      <c r="BB26">
        <v>7.204853095972382</v>
      </c>
      <c r="BC26" s="167">
        <v>2.4314584590010835</v>
      </c>
    </row>
    <row r="27" spans="1:55">
      <c r="A27" s="16" t="s">
        <v>236</v>
      </c>
      <c r="B27" s="7" t="s">
        <v>196</v>
      </c>
      <c r="C27" s="4" t="s">
        <v>13</v>
      </c>
      <c r="D27" s="5">
        <v>6</v>
      </c>
      <c r="E27">
        <v>637.75419026400004</v>
      </c>
      <c r="F27" s="8">
        <v>108.558331232</v>
      </c>
      <c r="G27">
        <v>40.883542347599999</v>
      </c>
      <c r="H27">
        <v>5</v>
      </c>
      <c r="I27" s="3">
        <f t="shared" si="0"/>
        <v>8.1767084695199994</v>
      </c>
      <c r="J27">
        <v>0.61032981343899995</v>
      </c>
      <c r="N27">
        <v>6.5966350125600002</v>
      </c>
      <c r="R27" t="s">
        <v>198</v>
      </c>
      <c r="S27">
        <f>AVERAGE(J$40:J$45)</f>
        <v>8.5455419580644012</v>
      </c>
      <c r="T27">
        <f>STDEVA(J$40:J$45)</f>
        <v>5.881219917273377</v>
      </c>
      <c r="U27">
        <f>AVERAGE(J$46:J$51)</f>
        <v>2.4452711690700002</v>
      </c>
      <c r="V27">
        <f>STDEVA(J$46:J$51)</f>
        <v>1.1611543394783066</v>
      </c>
      <c r="AF27" s="31">
        <v>8.1008857342100005E-2</v>
      </c>
      <c r="AJ27" s="31">
        <v>5.8688526161499999E-2</v>
      </c>
      <c r="AO27">
        <v>8.9745390710100001E-2</v>
      </c>
      <c r="AS27">
        <v>4.6608296364600003E-2</v>
      </c>
      <c r="BB27">
        <v>4.569532844150757</v>
      </c>
      <c r="BC27" s="167">
        <v>2.0047423090870713</v>
      </c>
    </row>
    <row r="28" spans="1:55">
      <c r="A28" s="17" t="s">
        <v>237</v>
      </c>
      <c r="B28" s="6" t="s">
        <v>197</v>
      </c>
      <c r="C28" t="s">
        <v>12</v>
      </c>
      <c r="D28" s="3">
        <v>1</v>
      </c>
      <c r="E28">
        <v>3278.5927164099999</v>
      </c>
      <c r="F28" s="8">
        <v>799.39597174999994</v>
      </c>
      <c r="G28">
        <v>3278.5927164099999</v>
      </c>
      <c r="H28">
        <v>20</v>
      </c>
      <c r="I28" s="3">
        <f t="shared" si="0"/>
        <v>163.92963582049998</v>
      </c>
      <c r="J28">
        <v>27.368249793299999</v>
      </c>
      <c r="N28">
        <v>123.59761555999999</v>
      </c>
      <c r="R28" t="s">
        <v>197</v>
      </c>
      <c r="S28">
        <f>AVERAGE(J$28:J$33)</f>
        <v>52.541753676149995</v>
      </c>
      <c r="T28">
        <f>STDEVA(J$28:J$33)</f>
        <v>40.305660436734108</v>
      </c>
      <c r="U28">
        <f>AVERAGE(J$34:J$39)</f>
        <v>3.6359256082909996</v>
      </c>
      <c r="V28">
        <f>STDEVA(J$34:J$39)</f>
        <v>3.5109875337779783</v>
      </c>
      <c r="AF28" s="31">
        <v>0.20640797587599999</v>
      </c>
      <c r="AJ28" s="31">
        <v>0.145578990824</v>
      </c>
      <c r="AK28" s="31" t="s">
        <v>1075</v>
      </c>
      <c r="AL28">
        <v>0.33799501431599999</v>
      </c>
      <c r="AM28">
        <v>0.371973925072</v>
      </c>
      <c r="AO28">
        <v>0.186789060402</v>
      </c>
      <c r="AS28">
        <v>0.14770433219599999</v>
      </c>
      <c r="AT28">
        <v>0.22843524946900001</v>
      </c>
      <c r="AU28">
        <v>0.36843281097300001</v>
      </c>
      <c r="BB28">
        <v>38.961340367226349</v>
      </c>
      <c r="BC28" s="167">
        <v>15.011370255794892</v>
      </c>
    </row>
    <row r="29" spans="1:55">
      <c r="A29" s="17" t="s">
        <v>238</v>
      </c>
      <c r="B29" s="6" t="s">
        <v>197</v>
      </c>
      <c r="C29" t="s">
        <v>12</v>
      </c>
      <c r="D29" s="3">
        <v>2</v>
      </c>
      <c r="E29">
        <v>1942.4868980900001</v>
      </c>
      <c r="F29" s="8">
        <v>634.24553031599999</v>
      </c>
      <c r="G29">
        <v>1942.4868980900001</v>
      </c>
      <c r="H29">
        <v>20</v>
      </c>
      <c r="I29" s="3">
        <f t="shared" si="0"/>
        <v>97.124344904500006</v>
      </c>
      <c r="J29">
        <v>27.264504846299999</v>
      </c>
      <c r="N29">
        <v>44.659842542900002</v>
      </c>
      <c r="R29" t="s">
        <v>196</v>
      </c>
      <c r="S29">
        <f>AVERAGE(J$16:J$21)</f>
        <v>39.35157688074333</v>
      </c>
      <c r="T29">
        <f>STDEVA(J$16:J$21)</f>
        <v>26.704596048570153</v>
      </c>
      <c r="U29">
        <f>AVERAGE(J$22:J$27)</f>
        <v>3.2136895921933335</v>
      </c>
      <c r="V29">
        <f>STDEVA(J$22:J$27)</f>
        <v>2.6602946562570238</v>
      </c>
      <c r="AF29" s="31">
        <v>0.15302768696499999</v>
      </c>
      <c r="AJ29" s="31">
        <v>0.16445396537900001</v>
      </c>
      <c r="AK29" s="31" t="s">
        <v>887</v>
      </c>
      <c r="AL29">
        <v>0.33650122952</v>
      </c>
      <c r="AM29">
        <v>0.37032996888800002</v>
      </c>
      <c r="AO29">
        <v>0.159774835827</v>
      </c>
      <c r="AS29">
        <v>0.171234341718</v>
      </c>
      <c r="AT29">
        <v>0.32092355997100003</v>
      </c>
      <c r="AU29">
        <v>0.51760299508300001</v>
      </c>
      <c r="BB29">
        <v>25.085684636689848</v>
      </c>
      <c r="BC29" s="167">
        <v>6.7925150504880278</v>
      </c>
    </row>
    <row r="30" spans="1:55">
      <c r="A30" s="17" t="s">
        <v>239</v>
      </c>
      <c r="B30" s="6" t="s">
        <v>197</v>
      </c>
      <c r="C30" t="s">
        <v>12</v>
      </c>
      <c r="D30" s="3">
        <v>3</v>
      </c>
      <c r="E30">
        <v>3904.6553668299998</v>
      </c>
      <c r="F30" s="8">
        <v>436.69460122599997</v>
      </c>
      <c r="G30">
        <v>3904.6553668299998</v>
      </c>
      <c r="H30">
        <v>35</v>
      </c>
      <c r="I30" s="3">
        <f t="shared" si="0"/>
        <v>111.56158190942857</v>
      </c>
      <c r="J30">
        <v>118.09416175699999</v>
      </c>
      <c r="N30">
        <v>106.87136606599999</v>
      </c>
      <c r="R30" t="s">
        <v>9</v>
      </c>
      <c r="S30">
        <f>AVERAGE(J$4:J$9)</f>
        <v>39.28494629024167</v>
      </c>
      <c r="T30">
        <f>STDEVA(J$4:J$9)</f>
        <v>28.302860672024877</v>
      </c>
      <c r="U30">
        <f>AVERAGE(J$10:J$15)</f>
        <v>11.970103559661666</v>
      </c>
      <c r="V30">
        <f>STDEVA(J$10:J$15)</f>
        <v>8.9243238401720131</v>
      </c>
      <c r="AF30" s="31">
        <v>0.21006163750000001</v>
      </c>
      <c r="AJ30" s="31">
        <v>0.22351174347700001</v>
      </c>
      <c r="AK30" s="31" t="s">
        <v>888</v>
      </c>
      <c r="AL30">
        <v>-0.23415619531199999</v>
      </c>
      <c r="AM30">
        <v>-0.25769610603900001</v>
      </c>
      <c r="AO30">
        <v>0.18918453392699999</v>
      </c>
      <c r="AS30">
        <v>0.21546365209599999</v>
      </c>
      <c r="AT30">
        <v>-7.0659936625699998E-2</v>
      </c>
      <c r="AU30">
        <v>-0.11396419394399999</v>
      </c>
      <c r="BB30">
        <v>12.993623570800352</v>
      </c>
      <c r="BC30" s="167">
        <v>2.5699564684938618</v>
      </c>
    </row>
    <row r="31" spans="1:55">
      <c r="A31" s="17" t="s">
        <v>240</v>
      </c>
      <c r="B31" s="6" t="s">
        <v>197</v>
      </c>
      <c r="C31" t="s">
        <v>12</v>
      </c>
      <c r="D31" s="3">
        <v>4</v>
      </c>
      <c r="E31">
        <v>6292.8710164300001</v>
      </c>
      <c r="F31" s="8">
        <v>1830.3346521599999</v>
      </c>
      <c r="G31">
        <v>6292.8710164300001</v>
      </c>
      <c r="H31">
        <v>20</v>
      </c>
      <c r="I31" s="3">
        <f t="shared" si="0"/>
        <v>314.64355082150001</v>
      </c>
      <c r="J31">
        <v>10.366923916699999</v>
      </c>
      <c r="N31">
        <v>0.958490388084</v>
      </c>
      <c r="AF31" s="31">
        <v>0.23790257106400001</v>
      </c>
      <c r="AJ31" s="31">
        <v>0.24366927618600001</v>
      </c>
      <c r="AK31" s="31" t="s">
        <v>1080</v>
      </c>
      <c r="AL31">
        <v>0.61333557915000003</v>
      </c>
      <c r="AO31">
        <v>0.203001882134</v>
      </c>
      <c r="AS31">
        <v>0.205685962518</v>
      </c>
      <c r="AT31">
        <v>0.76184108525700001</v>
      </c>
      <c r="BB31">
        <v>31.336607433974564</v>
      </c>
      <c r="BC31" s="167">
        <v>10.213646488060503</v>
      </c>
    </row>
    <row r="32" spans="1:55">
      <c r="A32" s="17" t="s">
        <v>241</v>
      </c>
      <c r="B32" s="6" t="s">
        <v>197</v>
      </c>
      <c r="C32" t="s">
        <v>12</v>
      </c>
      <c r="D32" s="3">
        <v>5</v>
      </c>
      <c r="E32">
        <v>4055.5791776900001</v>
      </c>
      <c r="F32" s="8">
        <v>1290.2417574399999</v>
      </c>
      <c r="G32">
        <v>4055.5791776900001</v>
      </c>
      <c r="H32">
        <v>20</v>
      </c>
      <c r="I32" s="3">
        <f t="shared" si="0"/>
        <v>202.77895888450001</v>
      </c>
      <c r="J32">
        <v>51.7994429134</v>
      </c>
      <c r="N32">
        <v>148.28947518699999</v>
      </c>
      <c r="AF32" s="31">
        <v>0.26237325478099999</v>
      </c>
      <c r="AJ32" s="31">
        <v>0.21965638196500001</v>
      </c>
      <c r="AO32">
        <v>0.27436594733800002</v>
      </c>
      <c r="AS32">
        <v>0.24858465026500001</v>
      </c>
      <c r="BB32">
        <v>28.042969491239532</v>
      </c>
      <c r="BC32" s="167">
        <v>7.3273457173151035</v>
      </c>
    </row>
    <row r="33" spans="1:55">
      <c r="A33" s="17" t="s">
        <v>242</v>
      </c>
      <c r="B33" s="6" t="s">
        <v>197</v>
      </c>
      <c r="C33" t="s">
        <v>12</v>
      </c>
      <c r="D33" s="3">
        <v>6</v>
      </c>
      <c r="E33">
        <v>4464.74421841</v>
      </c>
      <c r="F33" s="8">
        <v>794.64868313700003</v>
      </c>
      <c r="G33">
        <v>4464.74421841</v>
      </c>
      <c r="H33">
        <v>35</v>
      </c>
      <c r="I33" s="3">
        <f t="shared" si="0"/>
        <v>127.564120526</v>
      </c>
      <c r="J33">
        <v>80.357238830200004</v>
      </c>
      <c r="N33">
        <v>87.731562950400004</v>
      </c>
      <c r="AF33" s="31">
        <v>0.202944996993</v>
      </c>
      <c r="AJ33" s="31">
        <v>0.229981804569</v>
      </c>
      <c r="AO33">
        <v>0.23476499324799999</v>
      </c>
      <c r="AS33">
        <v>0.27281788836800003</v>
      </c>
      <c r="BB33">
        <v>20.867556468172495</v>
      </c>
      <c r="BC33" s="167">
        <v>5.7020851715413743</v>
      </c>
    </row>
    <row r="34" spans="1:55">
      <c r="A34" s="17" t="s">
        <v>243</v>
      </c>
      <c r="B34" s="6" t="s">
        <v>197</v>
      </c>
      <c r="C34" t="s">
        <v>13</v>
      </c>
      <c r="D34" s="3">
        <v>1</v>
      </c>
      <c r="E34">
        <v>84.905270886300002</v>
      </c>
      <c r="F34" s="8">
        <v>45.991441015500001</v>
      </c>
      <c r="G34">
        <v>30.525292709399999</v>
      </c>
      <c r="H34">
        <v>5</v>
      </c>
      <c r="I34" s="3">
        <f t="shared" si="0"/>
        <v>6.1050585418800001</v>
      </c>
      <c r="J34">
        <v>1.9306867587500001</v>
      </c>
      <c r="N34">
        <v>8.0435310646399998</v>
      </c>
      <c r="AF34" s="31">
        <v>9.1241123271899996E-2</v>
      </c>
      <c r="AJ34" s="31">
        <v>8.5933549055199995E-2</v>
      </c>
      <c r="AO34">
        <v>8.7453983673100005E-2</v>
      </c>
      <c r="AS34">
        <v>8.7385655196500003E-2</v>
      </c>
      <c r="BB34">
        <v>20.799024851364479</v>
      </c>
      <c r="BC34" s="167">
        <v>6.6830325664053838</v>
      </c>
    </row>
    <row r="35" spans="1:55">
      <c r="A35" s="17" t="s">
        <v>244</v>
      </c>
      <c r="B35" s="6" t="s">
        <v>197</v>
      </c>
      <c r="C35" t="s">
        <v>13</v>
      </c>
      <c r="D35" s="3">
        <v>2</v>
      </c>
      <c r="E35">
        <v>76.553948766700003</v>
      </c>
      <c r="F35" s="8">
        <v>48.817941792900001</v>
      </c>
      <c r="G35">
        <v>23.329143397599999</v>
      </c>
      <c r="H35">
        <v>5</v>
      </c>
      <c r="I35" s="3">
        <f t="shared" si="0"/>
        <v>4.6658286795199997</v>
      </c>
      <c r="J35">
        <v>3.8166110654900001</v>
      </c>
      <c r="N35">
        <v>13.8309737539</v>
      </c>
      <c r="AF35" s="31">
        <v>8.2472871590799995E-2</v>
      </c>
      <c r="AJ35" s="31">
        <v>8.7446170101999995E-2</v>
      </c>
      <c r="AO35">
        <v>8.78369047022E-2</v>
      </c>
      <c r="AS35">
        <v>8.8880620346100003E-2</v>
      </c>
      <c r="BB35">
        <v>22.938810303950561</v>
      </c>
      <c r="BC35" s="167">
        <v>8.3810318675350555</v>
      </c>
    </row>
    <row r="36" spans="1:55">
      <c r="A36" s="17" t="s">
        <v>245</v>
      </c>
      <c r="B36" s="6" t="s">
        <v>197</v>
      </c>
      <c r="C36" t="s">
        <v>13</v>
      </c>
      <c r="D36" s="3">
        <v>3</v>
      </c>
      <c r="E36">
        <v>703.65383829400002</v>
      </c>
      <c r="F36" s="8">
        <v>122.537441288</v>
      </c>
      <c r="G36">
        <v>64.917799663500006</v>
      </c>
      <c r="H36">
        <v>5</v>
      </c>
      <c r="I36" s="3">
        <f t="shared" si="0"/>
        <v>12.9835599327</v>
      </c>
      <c r="J36">
        <v>10.4846729289</v>
      </c>
      <c r="N36">
        <v>11.0172734326</v>
      </c>
      <c r="AF36" s="31">
        <v>0.100960406973</v>
      </c>
      <c r="AJ36" s="31">
        <v>0.11543495358899999</v>
      </c>
      <c r="AO36">
        <v>9.3831612965400005E-2</v>
      </c>
      <c r="AS36">
        <v>0.10112206314</v>
      </c>
      <c r="BB36">
        <v>39.21445074564167</v>
      </c>
      <c r="BC36" s="167">
        <v>16.464980202529969</v>
      </c>
    </row>
    <row r="37" spans="1:55">
      <c r="A37" s="17" t="s">
        <v>246</v>
      </c>
      <c r="B37" s="6" t="s">
        <v>197</v>
      </c>
      <c r="C37" t="s">
        <v>13</v>
      </c>
      <c r="D37" s="3">
        <v>4</v>
      </c>
      <c r="E37">
        <v>514.77656388000003</v>
      </c>
      <c r="F37" s="8">
        <v>30.926381295199999</v>
      </c>
      <c r="G37">
        <v>12.327278829100001</v>
      </c>
      <c r="H37">
        <v>5</v>
      </c>
      <c r="I37" s="3">
        <f t="shared" si="0"/>
        <v>2.4654557658200003</v>
      </c>
      <c r="J37">
        <v>1.73811104638</v>
      </c>
      <c r="N37">
        <v>2.8542365642299998</v>
      </c>
      <c r="AF37" s="31">
        <v>8.7465332891299999E-2</v>
      </c>
      <c r="AJ37" s="31">
        <v>9.6748850437900005E-2</v>
      </c>
      <c r="AO37">
        <v>8.1361813026900001E-2</v>
      </c>
      <c r="AS37">
        <v>8.7188049133900006E-2</v>
      </c>
      <c r="BB37">
        <v>9.2379489690683272</v>
      </c>
      <c r="BC37" s="167">
        <v>2.4603266777309387</v>
      </c>
    </row>
    <row r="38" spans="1:55">
      <c r="A38" s="17" t="s">
        <v>247</v>
      </c>
      <c r="B38" s="6" t="s">
        <v>197</v>
      </c>
      <c r="C38" t="s">
        <v>13</v>
      </c>
      <c r="D38" s="3">
        <v>5</v>
      </c>
      <c r="E38">
        <v>143.202438594</v>
      </c>
      <c r="F38" s="8">
        <v>105.65646660199999</v>
      </c>
      <c r="G38">
        <v>61.663422359099997</v>
      </c>
      <c r="H38">
        <v>5</v>
      </c>
      <c r="I38" s="3">
        <f t="shared" si="0"/>
        <v>12.332684471819999</v>
      </c>
      <c r="J38">
        <v>2.9992123041499998</v>
      </c>
      <c r="N38">
        <v>7.1263279347599999</v>
      </c>
      <c r="AF38" s="31">
        <v>8.4054021860200001E-2</v>
      </c>
      <c r="AJ38" s="31">
        <v>9.6358722313399994E-2</v>
      </c>
      <c r="AO38">
        <v>8.6885639199100001E-2</v>
      </c>
      <c r="AS38">
        <v>9.1441791241800005E-2</v>
      </c>
      <c r="BB38">
        <v>5.424792995195304</v>
      </c>
      <c r="BC38" s="167">
        <v>1.2920798445790174</v>
      </c>
    </row>
    <row r="39" spans="1:55">
      <c r="A39" s="16" t="s">
        <v>248</v>
      </c>
      <c r="B39" s="7" t="s">
        <v>197</v>
      </c>
      <c r="C39" s="4" t="s">
        <v>13</v>
      </c>
      <c r="D39" s="5">
        <v>6</v>
      </c>
      <c r="E39">
        <v>1183.70285504</v>
      </c>
      <c r="F39" s="8">
        <v>92.229957909199996</v>
      </c>
      <c r="G39">
        <v>30.6892420211</v>
      </c>
      <c r="H39">
        <v>5</v>
      </c>
      <c r="I39" s="3">
        <f t="shared" si="0"/>
        <v>6.1378484042199997</v>
      </c>
      <c r="J39">
        <v>0.84625954607599996</v>
      </c>
      <c r="N39">
        <v>1.3004352136899999</v>
      </c>
      <c r="AF39" s="31">
        <v>8.5504144297600004E-2</v>
      </c>
      <c r="AJ39" s="31">
        <v>9.9334348181799995E-2</v>
      </c>
      <c r="AO39">
        <v>8.49842885618E-2</v>
      </c>
      <c r="AS39">
        <v>9.0599749859599996E-2</v>
      </c>
      <c r="BB39">
        <v>54.319289953686727</v>
      </c>
      <c r="BC39" s="167">
        <v>29.234540200054205</v>
      </c>
    </row>
    <row r="40" spans="1:55">
      <c r="A40" s="17" t="s">
        <v>249</v>
      </c>
      <c r="B40" s="6" t="s">
        <v>198</v>
      </c>
      <c r="C40" t="s">
        <v>12</v>
      </c>
      <c r="D40" s="3">
        <v>1</v>
      </c>
      <c r="E40">
        <v>1882.31967777</v>
      </c>
      <c r="F40" s="8">
        <v>381.42665236599998</v>
      </c>
      <c r="G40">
        <v>1882.31967777</v>
      </c>
      <c r="H40">
        <v>35</v>
      </c>
      <c r="I40" s="3">
        <f t="shared" si="0"/>
        <v>53.780562222</v>
      </c>
      <c r="J40">
        <v>15.187186408300001</v>
      </c>
      <c r="N40">
        <v>50.233191946399998</v>
      </c>
      <c r="AF40" s="31">
        <v>0.105945398304</v>
      </c>
      <c r="AJ40" s="31">
        <v>0.13841001038799999</v>
      </c>
      <c r="AK40" s="31" t="s">
        <v>1075</v>
      </c>
      <c r="AL40">
        <v>1.6106840006200001</v>
      </c>
      <c r="AM40">
        <v>0.52440384980900001</v>
      </c>
      <c r="AO40">
        <v>0.122392250058</v>
      </c>
      <c r="AS40">
        <v>0.15598446114799999</v>
      </c>
      <c r="AT40">
        <v>2.9964510236400002</v>
      </c>
      <c r="AU40">
        <v>0.41322362266599999</v>
      </c>
      <c r="BB40">
        <v>53.840209867404319</v>
      </c>
      <c r="BC40" s="167">
        <v>30.883360492930549</v>
      </c>
    </row>
    <row r="41" spans="1:55">
      <c r="A41" s="17" t="s">
        <v>250</v>
      </c>
      <c r="B41" s="6" t="s">
        <v>198</v>
      </c>
      <c r="C41" t="s">
        <v>12</v>
      </c>
      <c r="D41" s="3">
        <v>2</v>
      </c>
      <c r="E41">
        <v>63.1457154394</v>
      </c>
      <c r="F41" s="8">
        <v>63.1457154394</v>
      </c>
      <c r="G41">
        <v>63.1457154394</v>
      </c>
      <c r="H41">
        <v>5</v>
      </c>
      <c r="I41" s="3">
        <f t="shared" si="0"/>
        <v>12.629143087879999</v>
      </c>
      <c r="J41">
        <v>0.46616413208200003</v>
      </c>
      <c r="N41">
        <v>3.2055403179500002</v>
      </c>
      <c r="AF41" s="31">
        <v>0.104897828215</v>
      </c>
      <c r="AJ41" s="31">
        <v>0.13301478043000001</v>
      </c>
      <c r="AK41" s="31" t="s">
        <v>887</v>
      </c>
      <c r="AL41">
        <v>0.75531899362900001</v>
      </c>
      <c r="AM41">
        <v>0.245915516601</v>
      </c>
      <c r="AO41">
        <v>8.5871011169099995E-2</v>
      </c>
      <c r="AS41">
        <v>5.7200287268700002E-2</v>
      </c>
      <c r="AT41">
        <v>-4.1899586129499999</v>
      </c>
      <c r="AU41">
        <v>-0.57781350777999996</v>
      </c>
      <c r="BB41">
        <v>37.717382042403536</v>
      </c>
      <c r="BC41" s="167">
        <v>14.388433624073874</v>
      </c>
    </row>
    <row r="42" spans="1:55">
      <c r="A42" s="17" t="s">
        <v>251</v>
      </c>
      <c r="B42" s="6" t="s">
        <v>198</v>
      </c>
      <c r="C42" t="s">
        <v>12</v>
      </c>
      <c r="D42" s="3">
        <v>3</v>
      </c>
      <c r="G42" t="s">
        <v>469</v>
      </c>
      <c r="H42" t="s">
        <v>469</v>
      </c>
      <c r="AK42" s="31" t="s">
        <v>888</v>
      </c>
      <c r="AL42">
        <v>0.70545424467999995</v>
      </c>
      <c r="AM42">
        <v>0.22968063358999999</v>
      </c>
      <c r="AT42">
        <v>6.49933793137E-2</v>
      </c>
      <c r="AU42">
        <v>8.9628695538099996E-3</v>
      </c>
      <c r="BB42">
        <v>22.258302388665044</v>
      </c>
      <c r="BC42" s="167">
        <v>6.4566292159905707</v>
      </c>
    </row>
    <row r="43" spans="1:55">
      <c r="A43" s="17" t="s">
        <v>252</v>
      </c>
      <c r="B43" s="6" t="s">
        <v>198</v>
      </c>
      <c r="C43" t="s">
        <v>12</v>
      </c>
      <c r="D43" s="3">
        <v>4</v>
      </c>
      <c r="E43">
        <v>5086.1254159199998</v>
      </c>
      <c r="F43" s="8">
        <v>221.825642974</v>
      </c>
      <c r="G43">
        <v>5086.1254159199998</v>
      </c>
      <c r="H43">
        <v>35</v>
      </c>
      <c r="I43" s="3">
        <f t="shared" ref="I43:I63" si="1">G43/H43</f>
        <v>145.31786902628571</v>
      </c>
      <c r="J43">
        <v>13.3641049688</v>
      </c>
      <c r="N43">
        <v>40.122375445199999</v>
      </c>
      <c r="AF43" s="31">
        <v>0.11002926134300001</v>
      </c>
      <c r="AJ43" s="31">
        <v>0.155203954363</v>
      </c>
      <c r="AK43" s="31" t="s">
        <v>1080</v>
      </c>
      <c r="AL43">
        <v>0.72575652062399998</v>
      </c>
      <c r="AO43">
        <v>0.101269240089</v>
      </c>
      <c r="AS43">
        <v>0.126469498771</v>
      </c>
      <c r="AT43">
        <v>0.57587886927300003</v>
      </c>
      <c r="BB43">
        <v>33.122337908187419</v>
      </c>
      <c r="BC43" s="167">
        <v>16.365113988675365</v>
      </c>
    </row>
    <row r="44" spans="1:55">
      <c r="A44" s="17" t="s">
        <v>253</v>
      </c>
      <c r="B44" s="6" t="s">
        <v>198</v>
      </c>
      <c r="C44" t="s">
        <v>12</v>
      </c>
      <c r="D44" s="3">
        <v>5</v>
      </c>
      <c r="E44">
        <v>2322.13217485</v>
      </c>
      <c r="F44" s="8">
        <v>302.96416407499999</v>
      </c>
      <c r="G44">
        <v>2322.13217485</v>
      </c>
      <c r="H44">
        <v>20</v>
      </c>
      <c r="I44" s="3">
        <f t="shared" si="1"/>
        <v>116.1066087425</v>
      </c>
      <c r="J44">
        <v>6.9848379808500001</v>
      </c>
      <c r="N44">
        <v>11.2543684525</v>
      </c>
      <c r="AF44" s="31">
        <v>0.118876037795</v>
      </c>
      <c r="AJ44" s="31">
        <v>0.191209189429</v>
      </c>
      <c r="AO44">
        <v>0.102670195957</v>
      </c>
      <c r="AS44">
        <v>0.200360804113</v>
      </c>
      <c r="BB44">
        <v>34.155279290386659</v>
      </c>
      <c r="BC44" s="167">
        <v>13.514844722905393</v>
      </c>
    </row>
    <row r="45" spans="1:55">
      <c r="A45" s="17" t="s">
        <v>254</v>
      </c>
      <c r="B45" s="6" t="s">
        <v>198</v>
      </c>
      <c r="C45" t="s">
        <v>12</v>
      </c>
      <c r="D45" s="3">
        <v>6</v>
      </c>
      <c r="E45">
        <v>2992.1531888899999</v>
      </c>
      <c r="F45" s="8">
        <v>243.51119486600001</v>
      </c>
      <c r="G45">
        <v>2992.1531888899999</v>
      </c>
      <c r="H45">
        <v>35</v>
      </c>
      <c r="I45" s="3">
        <f t="shared" si="1"/>
        <v>85.49009111114286</v>
      </c>
      <c r="J45">
        <v>6.72541630029</v>
      </c>
      <c r="N45">
        <v>24.140408553299999</v>
      </c>
      <c r="AF45" s="31">
        <v>0.11357765148600001</v>
      </c>
      <c r="AJ45" s="31">
        <v>0.169093114796</v>
      </c>
      <c r="AO45">
        <v>0.10026893790999999</v>
      </c>
      <c r="AS45">
        <v>0.15803105193799999</v>
      </c>
      <c r="BB45">
        <v>37.199898198682249</v>
      </c>
      <c r="BC45" s="167">
        <v>15.47836462479669</v>
      </c>
    </row>
    <row r="46" spans="1:55">
      <c r="A46" s="17" t="s">
        <v>255</v>
      </c>
      <c r="B46" s="6" t="s">
        <v>198</v>
      </c>
      <c r="C46" t="s">
        <v>13</v>
      </c>
      <c r="D46" s="3">
        <v>1</v>
      </c>
      <c r="E46">
        <v>341.23181940699999</v>
      </c>
      <c r="F46" s="8">
        <v>170.15365864</v>
      </c>
      <c r="G46">
        <v>57.164116481999997</v>
      </c>
      <c r="H46">
        <v>5</v>
      </c>
      <c r="I46" s="3">
        <f t="shared" si="1"/>
        <v>11.432823296399999</v>
      </c>
      <c r="J46">
        <v>2.9214680712100001</v>
      </c>
      <c r="N46">
        <v>2.8381398874099999E-2</v>
      </c>
      <c r="R46" t="s">
        <v>1076</v>
      </c>
      <c r="S46" t="s">
        <v>1070</v>
      </c>
      <c r="AF46" s="31">
        <v>9.5296948029900005E-2</v>
      </c>
      <c r="AJ46" s="31">
        <v>9.2592867007499996E-2</v>
      </c>
      <c r="AO46">
        <v>9.0968482543700005E-2</v>
      </c>
      <c r="AS46">
        <v>7.0756899854300004E-2</v>
      </c>
      <c r="BB46">
        <v>36.87918801734331</v>
      </c>
      <c r="BC46" s="167">
        <v>14.738119019934889</v>
      </c>
    </row>
    <row r="47" spans="1:55">
      <c r="A47" s="17" t="s">
        <v>256</v>
      </c>
      <c r="B47" s="6" t="s">
        <v>198</v>
      </c>
      <c r="C47" t="s">
        <v>13</v>
      </c>
      <c r="D47" s="3">
        <v>2</v>
      </c>
      <c r="E47">
        <v>481.04939965599999</v>
      </c>
      <c r="F47" s="8">
        <v>103.46289871899999</v>
      </c>
      <c r="G47">
        <v>51.141657949799999</v>
      </c>
      <c r="H47">
        <v>5</v>
      </c>
      <c r="I47" s="3">
        <f t="shared" si="1"/>
        <v>10.22833158996</v>
      </c>
      <c r="J47">
        <v>4.2709864805800004</v>
      </c>
      <c r="N47">
        <v>2.7168187078999999</v>
      </c>
      <c r="S47" t="s">
        <v>12</v>
      </c>
      <c r="T47" t="s">
        <v>816</v>
      </c>
      <c r="U47" t="s">
        <v>13</v>
      </c>
      <c r="V47" t="s">
        <v>816</v>
      </c>
      <c r="AF47" s="31">
        <v>8.2797905755799997E-2</v>
      </c>
      <c r="AJ47" s="31">
        <v>3.2695559967999999E-2</v>
      </c>
      <c r="AO47">
        <v>8.5736692675400003E-2</v>
      </c>
      <c r="AS47">
        <v>6.3585014245900004E-2</v>
      </c>
      <c r="BB47">
        <v>42.123745819397996</v>
      </c>
      <c r="BC47" s="169"/>
    </row>
    <row r="48" spans="1:55">
      <c r="A48" s="17" t="s">
        <v>257</v>
      </c>
      <c r="B48" s="6" t="s">
        <v>198</v>
      </c>
      <c r="C48" t="s">
        <v>13</v>
      </c>
      <c r="D48" s="3">
        <v>3</v>
      </c>
      <c r="E48">
        <v>222.763023186</v>
      </c>
      <c r="F48" s="8">
        <v>222.763023186</v>
      </c>
      <c r="G48">
        <v>111.381511593</v>
      </c>
      <c r="H48">
        <v>5</v>
      </c>
      <c r="I48" s="3">
        <f t="shared" si="1"/>
        <v>22.276302318599999</v>
      </c>
      <c r="J48">
        <v>2.0753122350200002</v>
      </c>
      <c r="N48">
        <v>0.88872137322</v>
      </c>
      <c r="R48" t="s">
        <v>548</v>
      </c>
      <c r="S48">
        <f>AVERAGE(N$52:N$57)</f>
        <v>40.795441869650006</v>
      </c>
      <c r="T48">
        <f>STDEVA(N$52:N$57)</f>
        <v>9.1863879345191393</v>
      </c>
      <c r="U48">
        <f>AVERAGE(N$58:N$63)</f>
        <v>16.214114022038334</v>
      </c>
      <c r="V48">
        <f>STDEVA(N$58:N$63)</f>
        <v>11.489699131875808</v>
      </c>
      <c r="AF48" s="31">
        <v>9.2516141497899995E-2</v>
      </c>
      <c r="AJ48" s="31">
        <v>7.7950354835500002E-2</v>
      </c>
      <c r="AO48">
        <v>9.5745725453599995E-2</v>
      </c>
      <c r="AS48">
        <v>8.7307457858700005E-2</v>
      </c>
      <c r="BB48">
        <v>71.923783287419639</v>
      </c>
      <c r="BC48" s="168">
        <v>33.802669544292655</v>
      </c>
    </row>
    <row r="49" spans="1:55">
      <c r="A49" s="17" t="s">
        <v>258</v>
      </c>
      <c r="B49" s="6" t="s">
        <v>198</v>
      </c>
      <c r="C49" t="s">
        <v>13</v>
      </c>
      <c r="D49" s="3">
        <v>4</v>
      </c>
      <c r="E49">
        <v>69.558773039800002</v>
      </c>
      <c r="F49" s="8">
        <v>43.548615266399999</v>
      </c>
      <c r="G49">
        <v>20.399514166700001</v>
      </c>
      <c r="H49">
        <v>5</v>
      </c>
      <c r="I49" s="3">
        <f t="shared" si="1"/>
        <v>4.0799028333400003</v>
      </c>
      <c r="J49">
        <v>1.05670167167</v>
      </c>
      <c r="N49">
        <v>0.60989489483299997</v>
      </c>
      <c r="R49" t="s">
        <v>198</v>
      </c>
      <c r="S49">
        <f>AVERAGE(N$40:N$45)</f>
        <v>25.791176943070003</v>
      </c>
      <c r="T49">
        <f>STDEVA(N$40:N$45)</f>
        <v>19.538104866264508</v>
      </c>
      <c r="U49">
        <f>AVERAGE(N$46:N$51)</f>
        <v>3.9550512133011835</v>
      </c>
      <c r="V49">
        <f>STDEVA(N$46:N$51)</f>
        <v>5.2302682134616001</v>
      </c>
      <c r="AF49" s="31">
        <v>9.0000760131699997E-2</v>
      </c>
      <c r="AJ49" s="31">
        <v>6.4692969226699995E-2</v>
      </c>
      <c r="AO49">
        <v>8.1802215944900003E-2</v>
      </c>
      <c r="AS49">
        <v>4.0687086027400003E-2</v>
      </c>
      <c r="BB49">
        <v>34.90387488793705</v>
      </c>
      <c r="BC49" s="167">
        <v>7.6725436887277718</v>
      </c>
    </row>
    <row r="50" spans="1:55">
      <c r="A50" s="17" t="s">
        <v>259</v>
      </c>
      <c r="B50" s="6" t="s">
        <v>198</v>
      </c>
      <c r="C50" t="s">
        <v>13</v>
      </c>
      <c r="D50" s="3">
        <v>5</v>
      </c>
      <c r="E50">
        <v>242.54915691900001</v>
      </c>
      <c r="F50" s="8">
        <v>111.667497615</v>
      </c>
      <c r="G50">
        <v>58.238029730900003</v>
      </c>
      <c r="H50">
        <v>5</v>
      </c>
      <c r="I50" s="3">
        <f t="shared" si="1"/>
        <v>11.647605946180001</v>
      </c>
      <c r="J50">
        <v>2.8695567498700001</v>
      </c>
      <c r="N50">
        <v>13.757453828399999</v>
      </c>
      <c r="R50" t="s">
        <v>197</v>
      </c>
      <c r="S50">
        <f>AVERAGE(N$28:N$33)</f>
        <v>85.351392115730661</v>
      </c>
      <c r="T50">
        <f>STDEVA(N$28:N$33)</f>
        <v>54.167729265879011</v>
      </c>
      <c r="U50">
        <f>AVERAGE(N$34:N$39)</f>
        <v>7.3621296606366657</v>
      </c>
      <c r="V50">
        <f>STDEVA(N$34:N$39)</f>
        <v>4.7495509253138746</v>
      </c>
      <c r="AF50" s="31">
        <v>9.5078787298699993E-2</v>
      </c>
      <c r="AJ50" s="31">
        <v>8.7137926192699999E-2</v>
      </c>
      <c r="AO50">
        <v>8.8274358822999999E-2</v>
      </c>
      <c r="AS50">
        <v>7.8984494156999999E-2</v>
      </c>
      <c r="BB50">
        <v>35.312016760612565</v>
      </c>
      <c r="BC50" s="167">
        <v>7.4818177204334226</v>
      </c>
    </row>
    <row r="51" spans="1:55">
      <c r="A51" s="16" t="s">
        <v>260</v>
      </c>
      <c r="B51" s="7" t="s">
        <v>198</v>
      </c>
      <c r="C51" s="4" t="s">
        <v>13</v>
      </c>
      <c r="D51" s="5">
        <v>6</v>
      </c>
      <c r="E51">
        <v>489.08702842100001</v>
      </c>
      <c r="F51" s="8">
        <v>208.35165265399999</v>
      </c>
      <c r="G51">
        <v>96.196936106099997</v>
      </c>
      <c r="H51">
        <v>5</v>
      </c>
      <c r="I51" s="3">
        <f t="shared" si="1"/>
        <v>19.239387221219999</v>
      </c>
      <c r="J51">
        <v>1.47760180607</v>
      </c>
      <c r="N51">
        <v>5.7290370765800001</v>
      </c>
      <c r="R51" t="s">
        <v>196</v>
      </c>
      <c r="S51">
        <f>AVERAGE(N$16:N$21)</f>
        <v>59.313045112325</v>
      </c>
      <c r="T51">
        <f>STDEVA(N$16:N$21)</f>
        <v>30.976829389759775</v>
      </c>
      <c r="U51">
        <f>AVERAGE(N$22:N$27)</f>
        <v>40.880812978661673</v>
      </c>
      <c r="V51">
        <f>STDEVA(N$22:N$27)</f>
        <v>37.149623796420073</v>
      </c>
      <c r="AF51" s="31">
        <v>0.106780157978</v>
      </c>
      <c r="AJ51" s="31">
        <v>0.131743564979</v>
      </c>
      <c r="AO51">
        <v>9.5468927115099994E-2</v>
      </c>
      <c r="AS51">
        <v>0.16882095514100001</v>
      </c>
      <c r="BB51">
        <v>67.661898810350408</v>
      </c>
      <c r="BC51" s="169"/>
    </row>
    <row r="52" spans="1:55">
      <c r="A52" s="17" t="s">
        <v>261</v>
      </c>
      <c r="B52" s="6" t="s">
        <v>548</v>
      </c>
      <c r="C52" t="s">
        <v>12</v>
      </c>
      <c r="D52" s="3">
        <v>1</v>
      </c>
      <c r="E52">
        <v>4590.5539141199997</v>
      </c>
      <c r="F52" s="8">
        <v>426.96568145100002</v>
      </c>
      <c r="G52">
        <v>4590.5539141199997</v>
      </c>
      <c r="H52">
        <v>35</v>
      </c>
      <c r="I52" s="3">
        <f t="shared" si="1"/>
        <v>131.15868326057142</v>
      </c>
      <c r="J52">
        <v>55.517226326500001</v>
      </c>
      <c r="N52">
        <v>50.0733451977</v>
      </c>
      <c r="R52" t="s">
        <v>9</v>
      </c>
      <c r="S52">
        <f>AVERAGE(N$4:N$9)</f>
        <v>68.407935322049994</v>
      </c>
      <c r="T52">
        <f>STDEVA(N$4:N$9)</f>
        <v>31.457177081771516</v>
      </c>
      <c r="U52">
        <f>AVERAGE(N$10:N$15)</f>
        <v>30.273725687616672</v>
      </c>
      <c r="V52">
        <f>STDEVA(N$10:N$15)</f>
        <v>12.519395607948452</v>
      </c>
      <c r="AF52" s="31">
        <v>0.15362256875999999</v>
      </c>
      <c r="AJ52" s="31">
        <v>0.17839214826499999</v>
      </c>
      <c r="AK52" s="31" t="s">
        <v>1075</v>
      </c>
      <c r="AL52">
        <v>0.32112437508899999</v>
      </c>
      <c r="AM52">
        <v>0.238597757671</v>
      </c>
      <c r="AO52">
        <v>0.12400831053</v>
      </c>
      <c r="AS52">
        <v>0.20183595532599999</v>
      </c>
      <c r="AT52">
        <v>0.490939411815</v>
      </c>
      <c r="AU52">
        <v>0.24792534197999999</v>
      </c>
      <c r="BB52">
        <v>63.375347773685213</v>
      </c>
      <c r="BC52" s="167">
        <v>26.476788925467226</v>
      </c>
    </row>
    <row r="53" spans="1:55">
      <c r="A53" s="17" t="s">
        <v>262</v>
      </c>
      <c r="B53" s="6" t="s">
        <v>548</v>
      </c>
      <c r="C53" t="s">
        <v>12</v>
      </c>
      <c r="D53" s="3">
        <v>2</v>
      </c>
      <c r="E53">
        <v>4115.7693136400003</v>
      </c>
      <c r="F53" s="8">
        <v>313.86584935000002</v>
      </c>
      <c r="G53">
        <v>4115.7693136400003</v>
      </c>
      <c r="H53">
        <v>35</v>
      </c>
      <c r="I53" s="3">
        <f t="shared" si="1"/>
        <v>117.59340896114287</v>
      </c>
      <c r="J53">
        <v>83.821476765499995</v>
      </c>
      <c r="N53">
        <v>37.7487692602</v>
      </c>
      <c r="AF53" s="31">
        <v>0.14889643015599999</v>
      </c>
      <c r="AJ53" s="31">
        <v>0.151404390285</v>
      </c>
      <c r="AK53" s="31" t="s">
        <v>887</v>
      </c>
      <c r="AL53">
        <v>0.93395474420500002</v>
      </c>
      <c r="AM53">
        <v>0.69393520087399996</v>
      </c>
      <c r="AO53">
        <v>0.106168090815</v>
      </c>
      <c r="AS53">
        <v>0.12577931601</v>
      </c>
      <c r="AT53">
        <v>1.30439458985</v>
      </c>
      <c r="AU53">
        <v>0.65872176277100003</v>
      </c>
      <c r="BB53">
        <v>47.795270651696661</v>
      </c>
      <c r="BC53" s="167">
        <v>21.653342019810832</v>
      </c>
    </row>
    <row r="54" spans="1:55">
      <c r="A54" s="17" t="s">
        <v>263</v>
      </c>
      <c r="B54" s="6" t="s">
        <v>548</v>
      </c>
      <c r="C54" t="s">
        <v>12</v>
      </c>
      <c r="D54" s="3">
        <v>3</v>
      </c>
      <c r="E54">
        <v>2573.0328998</v>
      </c>
      <c r="F54" s="8">
        <v>33.1358705126</v>
      </c>
      <c r="G54">
        <v>2573.0328998</v>
      </c>
      <c r="H54">
        <v>35</v>
      </c>
      <c r="I54" s="3">
        <f t="shared" si="1"/>
        <v>73.515225708571435</v>
      </c>
      <c r="J54">
        <v>12.056597658499999</v>
      </c>
      <c r="N54">
        <v>28.954528559900002</v>
      </c>
      <c r="AF54" s="31">
        <v>0.14693603261800001</v>
      </c>
      <c r="AJ54" s="31">
        <v>0.15073608712299999</v>
      </c>
      <c r="AK54" s="31" t="s">
        <v>888</v>
      </c>
      <c r="AL54">
        <v>9.0802661926899994E-2</v>
      </c>
      <c r="AM54">
        <v>6.7467041454799995E-2</v>
      </c>
      <c r="AO54">
        <v>8.19681694632E-2</v>
      </c>
      <c r="AS54">
        <v>6.5933308159999995E-2</v>
      </c>
      <c r="AT54">
        <v>-0.18485651817099999</v>
      </c>
      <c r="AU54">
        <v>-9.3352895248900003E-2</v>
      </c>
      <c r="BB54">
        <v>46.925639860669385</v>
      </c>
      <c r="BC54" s="167">
        <v>24.330403280311018</v>
      </c>
    </row>
    <row r="55" spans="1:55">
      <c r="A55" s="17" t="s">
        <v>264</v>
      </c>
      <c r="B55" s="6" t="s">
        <v>548</v>
      </c>
      <c r="C55" t="s">
        <v>12</v>
      </c>
      <c r="D55" s="3">
        <v>4</v>
      </c>
      <c r="E55">
        <v>3341.6442730899998</v>
      </c>
      <c r="F55" s="8">
        <v>396.57233033300002</v>
      </c>
      <c r="G55">
        <v>3341.6442730899998</v>
      </c>
      <c r="H55">
        <v>35</v>
      </c>
      <c r="I55" s="3">
        <f t="shared" si="1"/>
        <v>95.475550659714287</v>
      </c>
      <c r="J55">
        <v>10.9136832443</v>
      </c>
      <c r="N55">
        <v>31.847774624300001</v>
      </c>
      <c r="AF55" s="31">
        <v>0.141855885244</v>
      </c>
      <c r="AJ55" s="31">
        <v>0.139306877316</v>
      </c>
      <c r="AK55" s="31" t="s">
        <v>1080</v>
      </c>
      <c r="AL55">
        <v>0.59549228760499995</v>
      </c>
      <c r="AO55">
        <v>0.123015258852</v>
      </c>
      <c r="AS55">
        <v>0.13688345104999999</v>
      </c>
      <c r="AT55">
        <v>0.39123332777199998</v>
      </c>
      <c r="BB55">
        <v>39.236199278858372</v>
      </c>
      <c r="BC55" s="167">
        <v>18.080926743535986</v>
      </c>
    </row>
    <row r="56" spans="1:55">
      <c r="A56" s="17" t="s">
        <v>265</v>
      </c>
      <c r="B56" s="6" t="s">
        <v>548</v>
      </c>
      <c r="C56" t="s">
        <v>12</v>
      </c>
      <c r="D56" s="3">
        <v>5</v>
      </c>
      <c r="E56">
        <v>2880.5469880999999</v>
      </c>
      <c r="F56" s="8">
        <v>334.309988788</v>
      </c>
      <c r="G56">
        <v>2880.5469880999999</v>
      </c>
      <c r="H56">
        <v>35</v>
      </c>
      <c r="I56" s="3">
        <f t="shared" si="1"/>
        <v>82.301342517142857</v>
      </c>
      <c r="J56">
        <v>16.016227366999999</v>
      </c>
      <c r="N56">
        <v>48.498803725499997</v>
      </c>
      <c r="AF56" s="31">
        <v>0.147881340375</v>
      </c>
      <c r="AJ56" s="31">
        <v>0.15034572825299999</v>
      </c>
      <c r="AO56">
        <v>0.11120586037500001</v>
      </c>
      <c r="AS56">
        <v>0.13066520457399999</v>
      </c>
      <c r="BB56">
        <v>41.360773021672671</v>
      </c>
      <c r="BC56" s="167">
        <v>7.2983951196194985</v>
      </c>
    </row>
    <row r="57" spans="1:55">
      <c r="A57" s="17" t="s">
        <v>266</v>
      </c>
      <c r="B57" s="6" t="s">
        <v>548</v>
      </c>
      <c r="C57" t="s">
        <v>12</v>
      </c>
      <c r="D57" s="3">
        <v>6</v>
      </c>
      <c r="E57">
        <v>3025.9165763699998</v>
      </c>
      <c r="F57" s="8">
        <v>157.25479548199999</v>
      </c>
      <c r="G57">
        <v>3025.9165763699998</v>
      </c>
      <c r="H57">
        <v>35</v>
      </c>
      <c r="I57" s="3">
        <f t="shared" si="1"/>
        <v>86.454759324857136</v>
      </c>
      <c r="J57">
        <v>97.2102738225</v>
      </c>
      <c r="N57">
        <v>47.649429850300002</v>
      </c>
      <c r="AF57" s="31">
        <v>0.14658679932900001</v>
      </c>
      <c r="AJ57" s="31">
        <v>0.187682422135</v>
      </c>
      <c r="AO57">
        <v>0.10114910301500001</v>
      </c>
      <c r="AS57">
        <v>0.16511140599099999</v>
      </c>
      <c r="BB57">
        <v>24.356101243692123</v>
      </c>
      <c r="BC57" s="167">
        <v>2.6547999899020112</v>
      </c>
    </row>
    <row r="58" spans="1:55">
      <c r="A58" s="17" t="s">
        <v>267</v>
      </c>
      <c r="B58" s="6" t="s">
        <v>548</v>
      </c>
      <c r="C58" t="s">
        <v>13</v>
      </c>
      <c r="D58" s="3">
        <v>1</v>
      </c>
      <c r="E58">
        <v>1302.58117973</v>
      </c>
      <c r="F58" s="8">
        <v>252.43839154099999</v>
      </c>
      <c r="G58">
        <v>130.047241531</v>
      </c>
      <c r="H58">
        <v>5</v>
      </c>
      <c r="I58" s="3">
        <f t="shared" si="1"/>
        <v>26.009448306199999</v>
      </c>
      <c r="J58">
        <v>6.5392658345000001</v>
      </c>
      <c r="N58">
        <v>1.34512736502</v>
      </c>
      <c r="AF58" s="31">
        <v>9.7975750712299997E-2</v>
      </c>
      <c r="AJ58" s="31">
        <v>7.8086006958399998E-2</v>
      </c>
      <c r="AO58">
        <v>9.5998169684099993E-2</v>
      </c>
      <c r="AS58">
        <v>0.11183823974900001</v>
      </c>
      <c r="BB58">
        <v>20.015135343741136</v>
      </c>
      <c r="BC58" s="167">
        <v>2.3502495752989003</v>
      </c>
    </row>
    <row r="59" spans="1:55">
      <c r="A59" s="17" t="s">
        <v>268</v>
      </c>
      <c r="B59" s="6" t="s">
        <v>548</v>
      </c>
      <c r="C59" t="s">
        <v>13</v>
      </c>
      <c r="D59" s="3">
        <v>2</v>
      </c>
      <c r="E59">
        <v>705.46982455099999</v>
      </c>
      <c r="F59" s="8">
        <v>156.977820786</v>
      </c>
      <c r="G59">
        <v>89.735459848199994</v>
      </c>
      <c r="H59">
        <v>5</v>
      </c>
      <c r="I59" s="3">
        <f t="shared" si="1"/>
        <v>17.947091969639999</v>
      </c>
      <c r="J59">
        <v>4.5918299232399997</v>
      </c>
      <c r="N59">
        <v>20.3703591459</v>
      </c>
      <c r="AF59" s="31">
        <v>8.6412606354200006E-2</v>
      </c>
      <c r="AJ59" s="31">
        <v>6.7969156685000004E-2</v>
      </c>
      <c r="AO59">
        <v>0.10205917399099999</v>
      </c>
      <c r="AS59">
        <v>9.6839796503399994E-2</v>
      </c>
      <c r="BB59">
        <v>71.131349611368449</v>
      </c>
      <c r="BC59" s="167">
        <v>41.456542247715895</v>
      </c>
    </row>
    <row r="60" spans="1:55">
      <c r="A60" s="17" t="s">
        <v>269</v>
      </c>
      <c r="B60" s="6" t="s">
        <v>548</v>
      </c>
      <c r="C60" t="s">
        <v>13</v>
      </c>
      <c r="D60" s="3">
        <v>3</v>
      </c>
      <c r="E60">
        <v>91.774631037199995</v>
      </c>
      <c r="F60" s="8">
        <v>91.774631037199995</v>
      </c>
      <c r="G60">
        <v>45.887315518599998</v>
      </c>
      <c r="H60">
        <v>5</v>
      </c>
      <c r="I60" s="3">
        <f t="shared" si="1"/>
        <v>9.1774631037199992</v>
      </c>
      <c r="J60">
        <v>1.6310877126700001</v>
      </c>
      <c r="N60">
        <v>9.4688063277100003</v>
      </c>
      <c r="AF60" s="31">
        <v>7.9055577085399995E-2</v>
      </c>
      <c r="AJ60" s="31">
        <v>5.9127556527899999E-2</v>
      </c>
      <c r="AO60">
        <v>9.5370514525099995E-2</v>
      </c>
      <c r="AS60">
        <v>8.68110587553E-2</v>
      </c>
      <c r="BB60">
        <v>27.568803918156291</v>
      </c>
      <c r="BC60" s="167">
        <v>5.82746440664702</v>
      </c>
    </row>
    <row r="61" spans="1:55">
      <c r="A61" s="17" t="s">
        <v>270</v>
      </c>
      <c r="B61" s="6" t="s">
        <v>548</v>
      </c>
      <c r="C61" t="s">
        <v>13</v>
      </c>
      <c r="D61" s="3">
        <v>4</v>
      </c>
      <c r="E61">
        <v>79.598783940999994</v>
      </c>
      <c r="F61" s="8">
        <v>60.622213740799999</v>
      </c>
      <c r="G61">
        <v>40.235982571299999</v>
      </c>
      <c r="H61">
        <v>5</v>
      </c>
      <c r="I61" s="3">
        <f t="shared" si="1"/>
        <v>8.0471965142599995</v>
      </c>
      <c r="J61">
        <v>2.7620047033000001</v>
      </c>
      <c r="N61">
        <v>11.713436524800001</v>
      </c>
      <c r="AF61" s="31">
        <v>8.2655688523700005E-2</v>
      </c>
      <c r="AJ61" s="31">
        <v>6.1504530641399997E-2</v>
      </c>
      <c r="AO61">
        <v>8.4932079837900007E-2</v>
      </c>
      <c r="AS61">
        <v>7.1682766559200001E-2</v>
      </c>
      <c r="BB61">
        <v>14.65932829824844</v>
      </c>
      <c r="BC61" s="167">
        <v>1.5935556505177777</v>
      </c>
    </row>
    <row r="62" spans="1:55">
      <c r="A62" s="17" t="s">
        <v>271</v>
      </c>
      <c r="B62" s="6" t="s">
        <v>548</v>
      </c>
      <c r="C62" t="s">
        <v>13</v>
      </c>
      <c r="D62" s="3">
        <v>5</v>
      </c>
      <c r="E62">
        <v>775.13877765400002</v>
      </c>
      <c r="F62" s="8">
        <v>156.65214406499999</v>
      </c>
      <c r="G62">
        <v>65.806294956900004</v>
      </c>
      <c r="H62">
        <v>5</v>
      </c>
      <c r="I62" s="3">
        <f t="shared" si="1"/>
        <v>13.16125899138</v>
      </c>
      <c r="J62">
        <v>4.29337649023</v>
      </c>
      <c r="N62">
        <v>34.771626216999998</v>
      </c>
      <c r="AF62" s="31">
        <v>9.3504850046300006E-2</v>
      </c>
      <c r="AJ62" s="31">
        <v>7.0039327099900003E-2</v>
      </c>
      <c r="AO62">
        <v>0.110229124991</v>
      </c>
      <c r="AS62">
        <v>7.8472851860100001E-2</v>
      </c>
      <c r="BB62">
        <v>70.30807660283098</v>
      </c>
      <c r="BC62" s="169"/>
    </row>
    <row r="63" spans="1:55">
      <c r="A63" s="16" t="s">
        <v>272</v>
      </c>
      <c r="B63" s="7" t="s">
        <v>548</v>
      </c>
      <c r="C63" s="4" t="s">
        <v>13</v>
      </c>
      <c r="D63" s="5">
        <v>6</v>
      </c>
      <c r="E63">
        <v>374.38569152700001</v>
      </c>
      <c r="F63" s="8">
        <v>112.704134033</v>
      </c>
      <c r="G63">
        <v>33.728328350300004</v>
      </c>
      <c r="H63">
        <v>5</v>
      </c>
      <c r="I63" s="3">
        <f t="shared" si="1"/>
        <v>6.7456656700600011</v>
      </c>
      <c r="J63">
        <v>3.11904141624</v>
      </c>
      <c r="N63">
        <v>19.615328551800001</v>
      </c>
      <c r="AF63" s="31">
        <v>7.8804796356599996E-2</v>
      </c>
      <c r="AJ63" s="31">
        <v>5.4291163691600003E-2</v>
      </c>
      <c r="AO63">
        <v>9.0212917003700002E-2</v>
      </c>
      <c r="AS63">
        <v>7.7032040443200001E-2</v>
      </c>
      <c r="BB63">
        <v>56.453444360333094</v>
      </c>
      <c r="BC63" s="167">
        <v>17.93219670805976</v>
      </c>
    </row>
    <row r="64" spans="1:55">
      <c r="BB64">
        <v>57.865545194124465</v>
      </c>
      <c r="BC64" s="167">
        <v>18.414557637631152</v>
      </c>
    </row>
    <row r="65" spans="54:55">
      <c r="BB65">
        <v>53.513241980755879</v>
      </c>
      <c r="BC65" s="170">
        <v>18.150088325846106</v>
      </c>
    </row>
    <row r="66" spans="54:55">
      <c r="BB66">
        <v>63.362233961108558</v>
      </c>
      <c r="BC66" s="170">
        <v>29.062861292441216</v>
      </c>
    </row>
    <row r="67" spans="54:55">
      <c r="BB67">
        <v>50.809288831014555</v>
      </c>
      <c r="BC67" s="170">
        <v>16.293242555878752</v>
      </c>
    </row>
    <row r="68" spans="54:55">
      <c r="BB68">
        <v>61.336511934748714</v>
      </c>
      <c r="BC68" s="171">
        <v>42.694149847401533</v>
      </c>
    </row>
    <row r="69" spans="54:55">
      <c r="BB69">
        <v>56.545039010166285</v>
      </c>
      <c r="BC69" s="171">
        <v>31.054743894348853</v>
      </c>
    </row>
    <row r="70" spans="54:55">
      <c r="BB70">
        <v>49.310814111735354</v>
      </c>
      <c r="BC70" s="171">
        <v>18.963716670144397</v>
      </c>
    </row>
    <row r="71" spans="54:55">
      <c r="BB71">
        <v>41.881209272513622</v>
      </c>
      <c r="BC71" s="171">
        <v>13.089966233506223</v>
      </c>
    </row>
    <row r="72" spans="54:55">
      <c r="BB72">
        <v>4.8487332950725772</v>
      </c>
      <c r="BC72" s="171">
        <v>0.68595529592606952</v>
      </c>
    </row>
    <row r="73" spans="54:55">
      <c r="BB73">
        <v>14.362458820005983</v>
      </c>
      <c r="BC73" s="171">
        <v>2.0877210192207727</v>
      </c>
    </row>
    <row r="74" spans="54:55">
      <c r="BB74">
        <v>6.7426265503531084</v>
      </c>
      <c r="BC74" s="171">
        <v>0.48143153182388482</v>
      </c>
    </row>
    <row r="75" spans="54:55">
      <c r="BB75">
        <v>11.379576353354977</v>
      </c>
      <c r="BC75" s="171">
        <v>0.37742708717570689</v>
      </c>
    </row>
    <row r="76" spans="54:55">
      <c r="BB76">
        <v>12.792625861849032</v>
      </c>
      <c r="BC76" s="171">
        <v>0.40952898113973835</v>
      </c>
    </row>
    <row r="77" spans="54:55">
      <c r="BB77">
        <v>49.504449838187703</v>
      </c>
      <c r="BC77" s="171">
        <v>22.771826059765683</v>
      </c>
    </row>
    <row r="78" spans="54:55">
      <c r="BB78">
        <v>45.441202475685238</v>
      </c>
      <c r="BC78" s="170">
        <v>22.583354219489078</v>
      </c>
    </row>
    <row r="79" spans="54:55">
      <c r="BB79">
        <v>38.325520190805165</v>
      </c>
      <c r="BC79" s="170">
        <v>20.448709195313981</v>
      </c>
    </row>
    <row r="80" spans="54:55">
      <c r="BB80">
        <v>50.630361185535968</v>
      </c>
      <c r="BC80" s="170">
        <v>29.17283413284752</v>
      </c>
    </row>
    <row r="81" spans="54:55">
      <c r="BB81">
        <v>50.240985485630638</v>
      </c>
      <c r="BC81" s="170">
        <v>26.930287135241919</v>
      </c>
    </row>
    <row r="82" spans="54:55">
      <c r="BB82">
        <v>52.188973890280508</v>
      </c>
      <c r="BC82" s="171">
        <v>30.400524508805475</v>
      </c>
    </row>
    <row r="83" spans="54:55">
      <c r="BB83">
        <v>56.208094493659885</v>
      </c>
      <c r="BC83" s="172"/>
    </row>
    <row r="84" spans="54:55">
      <c r="BB84">
        <v>4.8402972040910015</v>
      </c>
      <c r="BC84" s="170">
        <v>1.5470339548258305</v>
      </c>
    </row>
    <row r="85" spans="54:55">
      <c r="BB85">
        <v>10.278152242293515</v>
      </c>
      <c r="BC85" s="170">
        <v>3.8540838176275245</v>
      </c>
    </row>
    <row r="86" spans="54:55">
      <c r="BB86">
        <v>4.1207299880105808</v>
      </c>
      <c r="BC86" s="170">
        <v>1.9029283360532723</v>
      </c>
    </row>
    <row r="87" spans="54:55">
      <c r="BB87">
        <v>24.479821254014794</v>
      </c>
      <c r="BC87" s="170">
        <v>16.554162550124019</v>
      </c>
    </row>
    <row r="88" spans="54:55">
      <c r="BB88">
        <v>23.085438379556024</v>
      </c>
      <c r="BC88" s="170">
        <v>16.96771462109924</v>
      </c>
    </row>
    <row r="89" spans="54:55">
      <c r="BB89">
        <v>25.649091613667977</v>
      </c>
      <c r="BC89" s="170">
        <v>16.979492068976885</v>
      </c>
    </row>
    <row r="90" spans="54:55">
      <c r="BB90">
        <v>50.209609803289261</v>
      </c>
      <c r="BC90" s="172">
        <v>31.971066433307822</v>
      </c>
    </row>
    <row r="91" spans="54:55">
      <c r="BB91">
        <v>38.737410955539175</v>
      </c>
      <c r="BC91" s="171">
        <v>26.937577256002932</v>
      </c>
    </row>
    <row r="92" spans="54:55">
      <c r="BB92">
        <v>36.701097482246617</v>
      </c>
      <c r="BC92" s="171">
        <v>24.890053975453398</v>
      </c>
    </row>
    <row r="93" spans="54:55">
      <c r="BB93">
        <v>47.736790519468954</v>
      </c>
      <c r="BC93" s="171">
        <v>25.357904929210235</v>
      </c>
    </row>
    <row r="94" spans="54:55">
      <c r="BB94">
        <v>41.588825887931137</v>
      </c>
      <c r="BC94" s="171">
        <v>22.735635419203405</v>
      </c>
    </row>
    <row r="95" spans="54:55">
      <c r="BB95">
        <v>48.472782942578121</v>
      </c>
      <c r="BC95" s="171">
        <v>29.083237838707156</v>
      </c>
    </row>
    <row r="96" spans="54:55">
      <c r="BB96">
        <v>46.051624653718413</v>
      </c>
      <c r="BC96" s="170">
        <v>18.856157113541279</v>
      </c>
    </row>
    <row r="97" spans="54:55">
      <c r="BB97">
        <v>52.349699188018</v>
      </c>
      <c r="BC97" s="172"/>
    </row>
    <row r="98" spans="54:55">
      <c r="BB98">
        <v>43.478017048003593</v>
      </c>
      <c r="BC98" s="172"/>
    </row>
    <row r="99" spans="54:55">
      <c r="BB99">
        <v>41.112284406898993</v>
      </c>
      <c r="BC99" s="171">
        <v>33.468133771636083</v>
      </c>
    </row>
    <row r="100" spans="54:55">
      <c r="BB100">
        <v>40.304523063143762</v>
      </c>
      <c r="BC100" s="171">
        <v>39.767405757520486</v>
      </c>
    </row>
    <row r="101" spans="54:55">
      <c r="BB101">
        <v>34.817893903404595</v>
      </c>
      <c r="BC101" s="171">
        <v>31.919423865457507</v>
      </c>
    </row>
    <row r="102" spans="54:55">
      <c r="BB102">
        <v>40.18157195164769</v>
      </c>
      <c r="BC102" s="171">
        <v>32.427923272274484</v>
      </c>
    </row>
    <row r="103" spans="54:55">
      <c r="BB103">
        <v>29.900060461642425</v>
      </c>
      <c r="BC103" s="170">
        <v>18.257654811034321</v>
      </c>
    </row>
    <row r="104" spans="54:55">
      <c r="BB104">
        <v>52.81546144469349</v>
      </c>
      <c r="BC104" s="172"/>
    </row>
    <row r="105" spans="54:55">
      <c r="BB105">
        <v>43.640177037917823</v>
      </c>
      <c r="BC105" s="172"/>
    </row>
    <row r="106" spans="54:55">
      <c r="BB106">
        <v>28.680868260016155</v>
      </c>
      <c r="BC106" s="170">
        <v>22.299807436953532</v>
      </c>
    </row>
    <row r="107" spans="54:55">
      <c r="BB107">
        <v>37.949638448242375</v>
      </c>
      <c r="BC107" s="170">
        <v>24.258317796842487</v>
      </c>
    </row>
    <row r="108" spans="54:55">
      <c r="BB108">
        <v>61.633946830265849</v>
      </c>
      <c r="BC108" s="170">
        <v>48.92082858712746</v>
      </c>
    </row>
    <row r="109" spans="54:55">
      <c r="BB109">
        <v>54.55797549171043</v>
      </c>
      <c r="BC109" s="172"/>
    </row>
    <row r="110" spans="54:55">
      <c r="BB110">
        <v>31.504231075363421</v>
      </c>
      <c r="BC110" s="170">
        <v>12.567751500019595</v>
      </c>
    </row>
    <row r="111" spans="54:55">
      <c r="BB111">
        <v>27.93028778988544</v>
      </c>
      <c r="BC111" s="170">
        <v>8.3422197019740327</v>
      </c>
    </row>
    <row r="112" spans="54:55">
      <c r="BB112">
        <v>57.117488961412946</v>
      </c>
      <c r="BC112" s="171">
        <v>34.421058322803475</v>
      </c>
    </row>
    <row r="113" spans="54:55">
      <c r="BB113">
        <v>59.252651153440226</v>
      </c>
      <c r="BC113" s="170">
        <v>30.561626457225877</v>
      </c>
    </row>
    <row r="114" spans="54:55">
      <c r="BB114">
        <v>46.238360121700126</v>
      </c>
      <c r="BC114" s="170">
        <v>18.177282197394913</v>
      </c>
    </row>
    <row r="115" spans="54:55">
      <c r="BB115">
        <v>20.66047626179423</v>
      </c>
      <c r="BC115" s="170">
        <v>4.8692397817565682</v>
      </c>
    </row>
    <row r="116" spans="54:55">
      <c r="BB116">
        <v>58.436213991769542</v>
      </c>
      <c r="BC116" s="170">
        <v>49.428588994869166</v>
      </c>
    </row>
    <row r="117" spans="54:55">
      <c r="BB117">
        <v>53.23012454894657</v>
      </c>
      <c r="BC117" s="171">
        <v>34.045638427281425</v>
      </c>
    </row>
    <row r="118" spans="54:55">
      <c r="BB118">
        <v>5.0617903869221834</v>
      </c>
      <c r="BC118" s="171">
        <v>0.73989061407369894</v>
      </c>
    </row>
    <row r="119" spans="54:55">
      <c r="BB119">
        <v>62.346345265935128</v>
      </c>
      <c r="BC119" s="172"/>
    </row>
    <row r="120" spans="54:55">
      <c r="BB120">
        <v>45.36172906493038</v>
      </c>
      <c r="BC120" s="170">
        <v>22.18793239577515</v>
      </c>
    </row>
    <row r="121" spans="54:55">
      <c r="BB121">
        <v>45.365474047404753</v>
      </c>
      <c r="BC121" s="170">
        <v>20.058776067914561</v>
      </c>
    </row>
    <row r="122" spans="54:55">
      <c r="BB122">
        <v>43.033363481057187</v>
      </c>
      <c r="BC122" s="170">
        <v>17.083057958769707</v>
      </c>
    </row>
    <row r="123" spans="54:55">
      <c r="BB123">
        <v>43.772476320721267</v>
      </c>
      <c r="BC123" s="172"/>
    </row>
    <row r="124" spans="54:55">
      <c r="BC124" s="173"/>
    </row>
    <row r="125" spans="54:55">
      <c r="BB125">
        <v>61.731697768497973</v>
      </c>
      <c r="BC125" s="172"/>
    </row>
    <row r="126" spans="54:55">
      <c r="BB126">
        <v>49.902152641878658</v>
      </c>
      <c r="BC126" s="170">
        <v>25.564902711427035</v>
      </c>
    </row>
    <row r="127" spans="54:55">
      <c r="BB127">
        <v>48.100158547919733</v>
      </c>
      <c r="BC127" s="178">
        <v>18.053031206233833</v>
      </c>
    </row>
    <row r="128" spans="54:55">
      <c r="BB128">
        <v>43.06312413631268</v>
      </c>
      <c r="BC128" s="178">
        <v>12.746892202799867</v>
      </c>
    </row>
    <row r="129" spans="54:55">
      <c r="BB129">
        <v>39.105476574331909</v>
      </c>
      <c r="BC129" s="179"/>
    </row>
    <row r="130" spans="54:55">
      <c r="BB130">
        <v>23.277092909876032</v>
      </c>
      <c r="BC130" s="178">
        <v>18.956337916624712</v>
      </c>
    </row>
    <row r="131" spans="54:55">
      <c r="BB131">
        <v>21.383000493541829</v>
      </c>
      <c r="BC131" s="178">
        <v>15.339094083534754</v>
      </c>
    </row>
    <row r="132" spans="54:55">
      <c r="BB132">
        <v>51.738998982371569</v>
      </c>
    </row>
    <row r="133" spans="54:55">
      <c r="BB133">
        <v>36.963593035189334</v>
      </c>
      <c r="BC133" s="178">
        <v>16.203516569856504</v>
      </c>
    </row>
    <row r="134" spans="54:55">
      <c r="BB134">
        <v>42.532828566787863</v>
      </c>
      <c r="BC134" s="178">
        <v>21.900253863023583</v>
      </c>
    </row>
    <row r="135" spans="54:55">
      <c r="BB135">
        <v>34.756945970092417</v>
      </c>
      <c r="BC135" s="178">
        <v>18.228519509400183</v>
      </c>
    </row>
    <row r="136" spans="54:55">
      <c r="BB136">
        <v>65.926701570680621</v>
      </c>
      <c r="BC136" s="178">
        <v>50.474601830968879</v>
      </c>
    </row>
    <row r="137" spans="54:55">
      <c r="BB137">
        <v>62.240331025164664</v>
      </c>
      <c r="BC137" s="178">
        <v>32.825771092268567</v>
      </c>
    </row>
    <row r="138" spans="54:55">
      <c r="BB138">
        <v>70.657114908797979</v>
      </c>
      <c r="BC138" s="180">
        <v>48.963276973066684</v>
      </c>
    </row>
    <row r="139" spans="54:55">
      <c r="BB139">
        <v>69.286025662894943</v>
      </c>
      <c r="BC139" s="178">
        <v>33.476530600952628</v>
      </c>
    </row>
    <row r="140" spans="54:55">
      <c r="BB140">
        <v>57.934772706568289</v>
      </c>
      <c r="BC140" s="178">
        <v>24.775191699756853</v>
      </c>
    </row>
    <row r="141" spans="54:55">
      <c r="BB141">
        <v>75.647574538999379</v>
      </c>
      <c r="BC141" s="178">
        <v>44.206883780306143</v>
      </c>
    </row>
    <row r="142" spans="54:55">
      <c r="BB142">
        <v>61.840171809652986</v>
      </c>
      <c r="BC142" s="178">
        <v>48.529963451450939</v>
      </c>
    </row>
    <row r="143" spans="54:55">
      <c r="BB143">
        <v>53.635161331231778</v>
      </c>
      <c r="BC143" s="178">
        <v>27.967754735085322</v>
      </c>
    </row>
    <row r="144" spans="54:55">
      <c r="BB144">
        <v>65.479920763551235</v>
      </c>
      <c r="BC144" s="178">
        <v>50.838349124467221</v>
      </c>
    </row>
    <row r="145" spans="54:55">
      <c r="BB145">
        <v>62.997446733579849</v>
      </c>
      <c r="BC145" s="178">
        <v>49.089313305035461</v>
      </c>
    </row>
    <row r="146" spans="54:55">
      <c r="BB146">
        <v>68.922319885808719</v>
      </c>
      <c r="BC146" s="178">
        <v>47.042545135286652</v>
      </c>
    </row>
    <row r="147" spans="54:55">
      <c r="BB147">
        <v>59.183464215491135</v>
      </c>
      <c r="BC147" s="178">
        <v>25.969110507865285</v>
      </c>
    </row>
    <row r="148" spans="54:55">
      <c r="BB148">
        <v>60.500940263273712</v>
      </c>
      <c r="BC148" s="178">
        <v>49.76862787242397</v>
      </c>
    </row>
    <row r="149" spans="54:55">
      <c r="BB149">
        <v>65.829736211031161</v>
      </c>
      <c r="BC149" s="178">
        <v>49.507403145789922</v>
      </c>
    </row>
    <row r="150" spans="54:55">
      <c r="BB150">
        <v>69.143716365938587</v>
      </c>
      <c r="BC150" s="179"/>
    </row>
    <row r="151" spans="54:55">
      <c r="BB151">
        <v>57.280952380952378</v>
      </c>
      <c r="BC151" s="179"/>
    </row>
    <row r="152" spans="54:55">
      <c r="BB152">
        <v>49.916035422178737</v>
      </c>
      <c r="BC152" s="178">
        <v>22.912620991627374</v>
      </c>
    </row>
    <row r="153" spans="54:55">
      <c r="BB153">
        <v>45.319577775007282</v>
      </c>
      <c r="BC153" s="179"/>
    </row>
    <row r="154" spans="54:55">
      <c r="BB154">
        <v>36.979651137038125</v>
      </c>
      <c r="BC154" s="178">
        <v>17.562776019537225</v>
      </c>
    </row>
    <row r="155" spans="54:55">
      <c r="BB155">
        <v>51.704022046507511</v>
      </c>
    </row>
    <row r="156" spans="54:55">
      <c r="BB156">
        <v>47.158506102043816</v>
      </c>
      <c r="BC156" s="178">
        <v>18.98616339257153</v>
      </c>
    </row>
    <row r="157" spans="54:55">
      <c r="BB157">
        <v>51.532737293764924</v>
      </c>
      <c r="BC157" s="178">
        <v>25.932472927853734</v>
      </c>
    </row>
    <row r="158" spans="54:55">
      <c r="BB158">
        <v>50.034210284779768</v>
      </c>
      <c r="BC158" s="178">
        <v>25.355119409907022</v>
      </c>
    </row>
    <row r="159" spans="54:55">
      <c r="BB159">
        <v>51.704022046507511</v>
      </c>
    </row>
    <row r="160" spans="54:55">
      <c r="BB160">
        <v>47.966577905300298</v>
      </c>
    </row>
    <row r="161" spans="54:55">
      <c r="BB161">
        <v>50.427220159249195</v>
      </c>
      <c r="BC161" s="178">
        <v>20.538439378034333</v>
      </c>
    </row>
    <row r="162" spans="54:55">
      <c r="BB162">
        <v>45.975911396792391</v>
      </c>
      <c r="BC162" s="178">
        <v>18.596693866131382</v>
      </c>
    </row>
    <row r="163" spans="54:55">
      <c r="BB163">
        <v>43.902661735835267</v>
      </c>
      <c r="BC163" s="178">
        <v>26.237743224203381</v>
      </c>
    </row>
    <row r="164" spans="54:55">
      <c r="BB164">
        <v>40.339431441126358</v>
      </c>
      <c r="BC164" s="178">
        <v>24.037547221081585</v>
      </c>
    </row>
    <row r="165" spans="54:55">
      <c r="BB165">
        <v>44.746602396732939</v>
      </c>
      <c r="BC165" s="178">
        <v>21.381642267147239</v>
      </c>
    </row>
    <row r="166" spans="54:55">
      <c r="BB166">
        <v>42.611956761526585</v>
      </c>
      <c r="BC166" s="178">
        <v>16.775728516128073</v>
      </c>
    </row>
    <row r="167" spans="54:55">
      <c r="BB167">
        <v>51.704022046507511</v>
      </c>
    </row>
    <row r="168" spans="54:55">
      <c r="BB168">
        <v>43.024206738632657</v>
      </c>
      <c r="BC168" s="178">
        <v>20.519350606121424</v>
      </c>
    </row>
    <row r="169" spans="54:55">
      <c r="BB169">
        <v>48.732731917972359</v>
      </c>
      <c r="BC169" s="178">
        <v>18.374596845145732</v>
      </c>
    </row>
    <row r="170" spans="54:55">
      <c r="BB170">
        <v>43.071921018594338</v>
      </c>
      <c r="BC170" s="178">
        <v>23.486868504750298</v>
      </c>
    </row>
    <row r="171" spans="54:55">
      <c r="BB171">
        <v>53.928452022734888</v>
      </c>
      <c r="BC171" s="179"/>
    </row>
    <row r="172" spans="54:55">
      <c r="BB172">
        <v>59.394709822519928</v>
      </c>
      <c r="BC172" s="179"/>
    </row>
    <row r="173" spans="54:55">
      <c r="BB173">
        <v>44.686927637910166</v>
      </c>
      <c r="BC173" s="178">
        <v>17.166614037421567</v>
      </c>
    </row>
    <row r="174" spans="54:55">
      <c r="BB174">
        <v>51.499450463181034</v>
      </c>
      <c r="BC174" s="178">
        <v>24.181863158266523</v>
      </c>
    </row>
    <row r="175" spans="54:55">
      <c r="BB175">
        <v>70.674185463659143</v>
      </c>
      <c r="BC175" s="178">
        <v>48.940953139707759</v>
      </c>
    </row>
    <row r="176" spans="54:55">
      <c r="BB176">
        <v>60.473469063777429</v>
      </c>
      <c r="BC176" s="178">
        <v>35.442431596466996</v>
      </c>
    </row>
    <row r="177" spans="54:55">
      <c r="BB177">
        <v>67.254267858778434</v>
      </c>
      <c r="BC177" s="180">
        <v>45.363775562632789</v>
      </c>
    </row>
    <row r="178" spans="54:55">
      <c r="BB178">
        <v>72.623959618302194</v>
      </c>
      <c r="BC178" s="179"/>
    </row>
    <row r="179" spans="54:55">
      <c r="BB179">
        <v>70.357532233598789</v>
      </c>
      <c r="BC179" s="179"/>
    </row>
    <row r="180" spans="54:55">
      <c r="BB180">
        <v>64.451867275917252</v>
      </c>
      <c r="BC180" s="178">
        <v>44.207433669674138</v>
      </c>
    </row>
    <row r="181" spans="54:55">
      <c r="BB181">
        <v>75.270899831623751</v>
      </c>
      <c r="BC181" s="179"/>
    </row>
    <row r="182" spans="54:55">
      <c r="BB182">
        <v>66.770049488170287</v>
      </c>
      <c r="BC182" s="178">
        <v>49.915005283463373</v>
      </c>
    </row>
    <row r="183" spans="54:55">
      <c r="BB183">
        <v>71.101377153422149</v>
      </c>
      <c r="BC183" s="179"/>
    </row>
    <row r="184" spans="54:55">
      <c r="BB184">
        <v>65.489436956313924</v>
      </c>
      <c r="BC184" s="178">
        <v>37.257641343658612</v>
      </c>
    </row>
    <row r="185" spans="54:55">
      <c r="BB185">
        <v>77.7972709551657</v>
      </c>
      <c r="BC185" s="179"/>
    </row>
    <row r="186" spans="54:55">
      <c r="BB186">
        <v>74.33870724375268</v>
      </c>
      <c r="BC186" s="178">
        <v>38.529215312246521</v>
      </c>
    </row>
    <row r="187" spans="54:55">
      <c r="BB187">
        <v>56.240624062406241</v>
      </c>
      <c r="BC187" s="178">
        <v>22.847911851500903</v>
      </c>
    </row>
    <row r="188" spans="54:55">
      <c r="BB188">
        <v>61.319359506279433</v>
      </c>
      <c r="BC188" s="178">
        <v>36.025574862409165</v>
      </c>
    </row>
    <row r="189" spans="54:55">
      <c r="BB189">
        <v>75.149192548952314</v>
      </c>
      <c r="BC189" s="178">
        <v>48.400797671526149</v>
      </c>
    </row>
    <row r="190" spans="54:55">
      <c r="BB190">
        <v>74.670737860361527</v>
      </c>
      <c r="BC190" s="180">
        <v>46.979295687120491</v>
      </c>
    </row>
    <row r="191" spans="54:55">
      <c r="BB191">
        <v>68.268659743043784</v>
      </c>
      <c r="BC191" s="180">
        <v>43.167140652202555</v>
      </c>
    </row>
    <row r="192" spans="54:55">
      <c r="BB192">
        <v>45.210290980071719</v>
      </c>
      <c r="BC192" s="178">
        <v>16.156991968216634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92"/>
  <sheetViews>
    <sheetView workbookViewId="0">
      <pane xSplit="1" ySplit="3" topLeftCell="B38" activePane="bottomRight" state="frozen"/>
      <selection pane="topRight" activeCell="B1" sqref="B1"/>
      <selection pane="bottomLeft" activeCell="A2" sqref="A2"/>
      <selection pane="bottomRight" activeCell="G44" sqref="G44"/>
    </sheetView>
  </sheetViews>
  <sheetFormatPr baseColWidth="10" defaultColWidth="8.83203125" defaultRowHeight="16"/>
  <cols>
    <col min="5" max="5" width="10.33203125" bestFit="1" customWidth="1"/>
    <col min="7" max="7" width="8.83203125" style="54"/>
    <col min="8" max="9" width="8.83203125" style="55"/>
    <col min="10" max="10" width="10.83203125" style="3" bestFit="1" customWidth="1"/>
    <col min="11" max="11" width="8.83203125" style="54"/>
    <col min="12" max="13" width="8.83203125" style="55"/>
    <col min="14" max="14" width="10.1640625" style="3" bestFit="1" customWidth="1"/>
    <col min="15" max="16" width="10.6640625" style="104" bestFit="1" customWidth="1"/>
    <col min="17" max="17" width="9.6640625" style="104" bestFit="1" customWidth="1"/>
    <col min="18" max="19" width="11" style="104" bestFit="1" customWidth="1"/>
    <col min="20" max="20" width="10.1640625" style="104" bestFit="1" customWidth="1"/>
    <col min="21" max="21" width="8.83203125" style="3"/>
    <col min="24" max="24" width="8.83203125" style="3"/>
    <col min="25" max="25" width="8.83203125" style="31"/>
  </cols>
  <sheetData>
    <row r="1" spans="1:26" ht="19">
      <c r="G1" s="97" t="s">
        <v>547</v>
      </c>
    </row>
    <row r="2" spans="1:26">
      <c r="V2" s="1" t="s">
        <v>773</v>
      </c>
    </row>
    <row r="3" spans="1:26" s="4" customFormat="1">
      <c r="A3" s="56" t="s">
        <v>10</v>
      </c>
      <c r="B3" s="56" t="s">
        <v>8</v>
      </c>
      <c r="C3" s="56" t="s">
        <v>11</v>
      </c>
      <c r="D3" s="56" t="s">
        <v>212</v>
      </c>
      <c r="E3" s="56" t="s">
        <v>20</v>
      </c>
      <c r="F3" s="56" t="s">
        <v>375</v>
      </c>
      <c r="G3" s="98" t="s">
        <v>545</v>
      </c>
      <c r="H3" s="99" t="s">
        <v>546</v>
      </c>
      <c r="I3" s="99" t="s">
        <v>531</v>
      </c>
      <c r="J3" s="57" t="s">
        <v>532</v>
      </c>
      <c r="K3" s="98" t="s">
        <v>533</v>
      </c>
      <c r="L3" s="99" t="s">
        <v>534</v>
      </c>
      <c r="M3" s="99" t="s">
        <v>535</v>
      </c>
      <c r="N3" s="57" t="s">
        <v>536</v>
      </c>
      <c r="O3" s="99" t="s">
        <v>537</v>
      </c>
      <c r="P3" s="99" t="s">
        <v>538</v>
      </c>
      <c r="Q3" s="99" t="s">
        <v>539</v>
      </c>
      <c r="R3" s="99" t="s">
        <v>540</v>
      </c>
      <c r="S3" s="99" t="s">
        <v>541</v>
      </c>
      <c r="T3" s="99" t="s">
        <v>542</v>
      </c>
      <c r="U3" s="57" t="s">
        <v>274</v>
      </c>
      <c r="V3" s="98" t="s">
        <v>774</v>
      </c>
      <c r="W3" s="99" t="s">
        <v>775</v>
      </c>
      <c r="X3" s="190" t="s">
        <v>776</v>
      </c>
      <c r="Y3" s="32" t="s">
        <v>1058</v>
      </c>
      <c r="Z3" s="4" t="s">
        <v>1059</v>
      </c>
    </row>
    <row r="4" spans="1:26">
      <c r="A4" t="s">
        <v>0</v>
      </c>
      <c r="B4" t="s">
        <v>9</v>
      </c>
      <c r="C4" t="s">
        <v>12</v>
      </c>
      <c r="D4" s="8">
        <v>1</v>
      </c>
      <c r="E4">
        <v>5</v>
      </c>
      <c r="F4" t="s">
        <v>386</v>
      </c>
      <c r="G4" s="54">
        <v>1.2234</v>
      </c>
      <c r="H4" s="55">
        <v>5.4300000000000001E-2</v>
      </c>
      <c r="I4" s="55">
        <v>1.1451</v>
      </c>
      <c r="J4" s="25">
        <v>42777</v>
      </c>
      <c r="K4" s="54">
        <v>0.1895</v>
      </c>
      <c r="L4" s="100">
        <v>1.6899999999999998E-2</v>
      </c>
      <c r="M4" s="100">
        <v>0.3695</v>
      </c>
      <c r="N4" s="25">
        <v>42780</v>
      </c>
      <c r="O4" s="104">
        <f>G4-K4</f>
        <v>1.0339</v>
      </c>
      <c r="P4" s="104">
        <f>H4-L4</f>
        <v>3.7400000000000003E-2</v>
      </c>
      <c r="Q4" s="104">
        <f>I4-M4</f>
        <v>0.77560000000000007</v>
      </c>
      <c r="R4" s="104">
        <f>IF(K4&gt;0,O4/K4*100,0)</f>
        <v>545.59366754617417</v>
      </c>
      <c r="S4" s="104">
        <f>IF(L4&gt;0,P4/L4*100,0)</f>
        <v>221.30177514792902</v>
      </c>
      <c r="T4" s="104">
        <f>IF(M4&gt;0,Q4/M4*100,0)</f>
        <v>209.90527740189449</v>
      </c>
      <c r="V4">
        <f>K4/'Soil samples'!AK4*1000</f>
        <v>12.261752665687258</v>
      </c>
      <c r="W4">
        <f>L4/'Soil samples'!AK4*1000</f>
        <v>1.0935283379953278</v>
      </c>
      <c r="X4" s="3">
        <f>M4/'Soil samples'!AK4*1000</f>
        <v>23.908800052619746</v>
      </c>
      <c r="Y4" s="31">
        <f>SUM(K4:L4)</f>
        <v>0.2064</v>
      </c>
      <c r="Z4" s="104">
        <f>SUM(K4:M4)</f>
        <v>0.57589999999999997</v>
      </c>
    </row>
    <row r="5" spans="1:26">
      <c r="A5" t="s">
        <v>1</v>
      </c>
      <c r="B5" t="s">
        <v>9</v>
      </c>
      <c r="C5" t="s">
        <v>12</v>
      </c>
      <c r="D5" s="8">
        <v>1</v>
      </c>
      <c r="E5">
        <v>20</v>
      </c>
      <c r="F5" t="s">
        <v>386</v>
      </c>
      <c r="G5" s="54">
        <v>0.39589999999999997</v>
      </c>
      <c r="H5" s="55">
        <v>7.7799999999999994E-2</v>
      </c>
      <c r="I5" s="55">
        <v>1.1575</v>
      </c>
      <c r="J5" s="25">
        <v>42777</v>
      </c>
      <c r="K5" s="54">
        <v>7.9399999999999998E-2</v>
      </c>
      <c r="L5" s="100">
        <v>2.0899999999999998E-2</v>
      </c>
      <c r="M5" s="100">
        <v>0.3296</v>
      </c>
      <c r="N5" s="25">
        <v>42780</v>
      </c>
      <c r="O5" s="104">
        <f t="shared" ref="O5:Q20" si="0">G5-K5</f>
        <v>0.3165</v>
      </c>
      <c r="P5" s="104">
        <f t="shared" si="0"/>
        <v>5.6899999999999992E-2</v>
      </c>
      <c r="Q5" s="104">
        <f t="shared" si="0"/>
        <v>0.82789999999999997</v>
      </c>
      <c r="R5" s="104">
        <f t="shared" ref="R5:T20" si="1">IF(K5&gt;0,O5/K5*100,0)</f>
        <v>398.61460957178844</v>
      </c>
      <c r="S5" s="104">
        <f t="shared" si="1"/>
        <v>272.24880382775115</v>
      </c>
      <c r="T5" s="104">
        <f t="shared" si="1"/>
        <v>251.18325242718447</v>
      </c>
      <c r="V5">
        <f>K5/'Soil samples'!AK5*1000</f>
        <v>1.4802216057660675</v>
      </c>
      <c r="W5">
        <f>L5/'Soil samples'!AK5*1000</f>
        <v>0.3896301204094561</v>
      </c>
      <c r="X5" s="3">
        <f>M5/'Soil samples'!AK5*1000</f>
        <v>6.1445974969835762</v>
      </c>
      <c r="Y5" s="31">
        <f t="shared" ref="Y5:Y68" si="2">SUM(K5:L5)</f>
        <v>0.1003</v>
      </c>
      <c r="Z5" s="104">
        <f t="shared" ref="Z5:Z68" si="3">SUM(K5:M5)</f>
        <v>0.4299</v>
      </c>
    </row>
    <row r="6" spans="1:26">
      <c r="A6" t="s">
        <v>2</v>
      </c>
      <c r="B6" t="s">
        <v>9</v>
      </c>
      <c r="C6" t="s">
        <v>12</v>
      </c>
      <c r="D6" s="8">
        <v>1</v>
      </c>
      <c r="E6">
        <v>30</v>
      </c>
      <c r="F6" t="s">
        <v>386</v>
      </c>
      <c r="G6" s="54">
        <v>0.26929999999999998</v>
      </c>
      <c r="H6" s="55">
        <v>0.1348</v>
      </c>
      <c r="I6" s="55">
        <v>0.78200000000000003</v>
      </c>
      <c r="J6" s="25">
        <v>42777</v>
      </c>
      <c r="K6" s="54">
        <v>5.0700000000000002E-2</v>
      </c>
      <c r="L6" s="100">
        <v>3.0499999999999999E-2</v>
      </c>
      <c r="M6" s="100">
        <v>0.1817</v>
      </c>
      <c r="N6" s="25">
        <v>42780</v>
      </c>
      <c r="O6" s="104">
        <f t="shared" si="0"/>
        <v>0.21859999999999999</v>
      </c>
      <c r="P6" s="104">
        <f t="shared" si="0"/>
        <v>0.1043</v>
      </c>
      <c r="Q6" s="104">
        <f t="shared" si="0"/>
        <v>0.60030000000000006</v>
      </c>
      <c r="R6" s="104">
        <f t="shared" si="1"/>
        <v>431.16370808678494</v>
      </c>
      <c r="S6" s="104">
        <f t="shared" si="1"/>
        <v>341.96721311475409</v>
      </c>
      <c r="T6" s="104">
        <f t="shared" si="1"/>
        <v>330.37974683544309</v>
      </c>
      <c r="V6">
        <f>K6/'Soil samples'!AK6*1000</f>
        <v>0.75021494491434959</v>
      </c>
      <c r="W6">
        <f>L6/'Soil samples'!AK6*1000</f>
        <v>0.4513127380648454</v>
      </c>
      <c r="X6" s="3">
        <f>M6/'Soil samples'!AK6*1000</f>
        <v>2.6886401477502431</v>
      </c>
      <c r="Y6" s="31">
        <f t="shared" si="2"/>
        <v>8.1199999999999994E-2</v>
      </c>
      <c r="Z6" s="104">
        <f t="shared" si="3"/>
        <v>0.26290000000000002</v>
      </c>
    </row>
    <row r="7" spans="1:26">
      <c r="A7" t="s">
        <v>3</v>
      </c>
      <c r="B7" t="s">
        <v>9</v>
      </c>
      <c r="C7" t="s">
        <v>12</v>
      </c>
      <c r="D7" s="8">
        <v>2</v>
      </c>
      <c r="E7">
        <v>5</v>
      </c>
      <c r="F7" t="s">
        <v>386</v>
      </c>
      <c r="G7" s="54">
        <v>0.9214</v>
      </c>
      <c r="H7" s="55" t="s">
        <v>469</v>
      </c>
      <c r="I7" s="100">
        <v>1.2922</v>
      </c>
      <c r="J7" s="25">
        <v>42791</v>
      </c>
      <c r="K7" s="54">
        <v>0.1681</v>
      </c>
      <c r="L7" s="55">
        <v>0</v>
      </c>
      <c r="M7" s="100">
        <v>0.41099999999999998</v>
      </c>
      <c r="N7" s="25">
        <v>42794</v>
      </c>
      <c r="O7" s="104">
        <f t="shared" si="0"/>
        <v>0.75329999999999997</v>
      </c>
      <c r="P7" s="104" t="e">
        <f t="shared" si="0"/>
        <v>#VALUE!</v>
      </c>
      <c r="Q7" s="104">
        <f t="shared" si="0"/>
        <v>0.88119999999999998</v>
      </c>
      <c r="R7" s="104">
        <f t="shared" si="1"/>
        <v>448.12611540749555</v>
      </c>
      <c r="S7" s="104">
        <f t="shared" si="1"/>
        <v>0</v>
      </c>
      <c r="T7" s="104">
        <f t="shared" si="1"/>
        <v>214.40389294403892</v>
      </c>
      <c r="V7">
        <f>K7/'Soil samples'!AK7*1000</f>
        <v>11.985176799095555</v>
      </c>
      <c r="W7">
        <f>L7/'Soil samples'!AK7*1000</f>
        <v>0</v>
      </c>
      <c r="X7" s="3">
        <f>M7/'Soil samples'!AK7*1000</f>
        <v>29.303436433243743</v>
      </c>
      <c r="Y7" s="31">
        <f t="shared" si="2"/>
        <v>0.1681</v>
      </c>
      <c r="Z7" s="104">
        <f t="shared" si="3"/>
        <v>0.57909999999999995</v>
      </c>
    </row>
    <row r="8" spans="1:26">
      <c r="A8" t="s">
        <v>21</v>
      </c>
      <c r="B8" t="s">
        <v>9</v>
      </c>
      <c r="C8" t="s">
        <v>12</v>
      </c>
      <c r="D8" s="8">
        <v>2</v>
      </c>
      <c r="E8">
        <v>20</v>
      </c>
      <c r="F8" t="s">
        <v>386</v>
      </c>
      <c r="G8" s="54">
        <v>0.4335</v>
      </c>
      <c r="H8" s="100">
        <v>0.3493</v>
      </c>
      <c r="I8" s="100">
        <v>1.3980999999999999</v>
      </c>
      <c r="J8" s="25">
        <v>42791</v>
      </c>
      <c r="K8" s="54">
        <v>8.7599999999999997E-2</v>
      </c>
      <c r="L8" s="100">
        <v>0.10199999999999999</v>
      </c>
      <c r="M8" s="100">
        <v>0.379</v>
      </c>
      <c r="N8" s="25">
        <v>42794</v>
      </c>
      <c r="O8" s="104">
        <f t="shared" si="0"/>
        <v>0.34589999999999999</v>
      </c>
      <c r="P8" s="104">
        <f t="shared" si="0"/>
        <v>0.24730000000000002</v>
      </c>
      <c r="Q8" s="104">
        <f t="shared" si="0"/>
        <v>1.0190999999999999</v>
      </c>
      <c r="R8" s="104">
        <f t="shared" si="1"/>
        <v>394.86301369863014</v>
      </c>
      <c r="S8" s="104">
        <f t="shared" si="1"/>
        <v>242.45098039215688</v>
      </c>
      <c r="T8" s="104">
        <f t="shared" si="1"/>
        <v>268.89182058047487</v>
      </c>
      <c r="U8" s="3" t="s">
        <v>687</v>
      </c>
      <c r="V8">
        <f>K8/'Soil samples'!AK8*1000</f>
        <v>2.1673178059059772</v>
      </c>
      <c r="W8">
        <f>L8/'Soil samples'!AK8*1000</f>
        <v>2.5235892260549044</v>
      </c>
      <c r="X8" s="3">
        <f>M8/'Soil samples'!AK8*1000</f>
        <v>9.3768658497530275</v>
      </c>
      <c r="Y8" s="31">
        <f t="shared" si="2"/>
        <v>0.18959999999999999</v>
      </c>
      <c r="Z8" s="104">
        <f t="shared" si="3"/>
        <v>0.56859999999999999</v>
      </c>
    </row>
    <row r="9" spans="1:26">
      <c r="A9" t="s">
        <v>22</v>
      </c>
      <c r="B9" t="s">
        <v>9</v>
      </c>
      <c r="C9" t="s">
        <v>12</v>
      </c>
      <c r="D9" s="8">
        <v>2</v>
      </c>
      <c r="E9">
        <v>30</v>
      </c>
      <c r="F9" t="s">
        <v>386</v>
      </c>
      <c r="G9" s="54">
        <v>0.39450000000000002</v>
      </c>
      <c r="H9" s="100">
        <v>0.22670000000000001</v>
      </c>
      <c r="I9" s="100">
        <v>0.83260000000000001</v>
      </c>
      <c r="J9" s="25">
        <v>42791</v>
      </c>
      <c r="K9" s="54">
        <v>6.9500000000000006E-2</v>
      </c>
      <c r="L9" s="100">
        <v>7.6499999999999999E-2</v>
      </c>
      <c r="M9" s="100">
        <v>0.16889999999999999</v>
      </c>
      <c r="N9" s="25">
        <v>42794</v>
      </c>
      <c r="O9" s="104">
        <f t="shared" si="0"/>
        <v>0.32500000000000001</v>
      </c>
      <c r="P9" s="104">
        <f t="shared" si="0"/>
        <v>0.1502</v>
      </c>
      <c r="Q9" s="104">
        <f t="shared" si="0"/>
        <v>0.66369999999999996</v>
      </c>
      <c r="R9" s="104">
        <f t="shared" si="1"/>
        <v>467.62589928057548</v>
      </c>
      <c r="S9" s="104">
        <f t="shared" si="1"/>
        <v>196.33986928104576</v>
      </c>
      <c r="T9" s="104">
        <f t="shared" si="1"/>
        <v>392.9544108940201</v>
      </c>
      <c r="U9" s="3" t="s">
        <v>687</v>
      </c>
      <c r="V9">
        <f>K9/'Soil samples'!AK9*1000</f>
        <v>1.0792104968357175</v>
      </c>
      <c r="W9">
        <f>L9/'Soil samples'!AK9*1000</f>
        <v>1.1879079569486675</v>
      </c>
      <c r="X9" s="3">
        <f>M9/'Soil samples'!AK9*1000</f>
        <v>2.6227144304396068</v>
      </c>
      <c r="Y9" s="31">
        <f t="shared" si="2"/>
        <v>0.14600000000000002</v>
      </c>
      <c r="Z9" s="104">
        <f t="shared" si="3"/>
        <v>0.31490000000000001</v>
      </c>
    </row>
    <row r="10" spans="1:26">
      <c r="A10" t="s">
        <v>23</v>
      </c>
      <c r="B10" t="s">
        <v>9</v>
      </c>
      <c r="C10" t="s">
        <v>12</v>
      </c>
      <c r="D10" s="8">
        <v>3</v>
      </c>
      <c r="E10">
        <v>5</v>
      </c>
      <c r="F10" t="s">
        <v>386</v>
      </c>
      <c r="G10" s="54">
        <v>0.4355</v>
      </c>
      <c r="H10" s="55" t="s">
        <v>469</v>
      </c>
      <c r="I10" s="55">
        <v>0.18229999999999999</v>
      </c>
      <c r="J10" s="25">
        <v>42748</v>
      </c>
      <c r="K10" s="54">
        <v>5.7799999999999997E-2</v>
      </c>
      <c r="L10" s="55">
        <v>0</v>
      </c>
      <c r="M10" s="55">
        <v>5.5599999999999997E-2</v>
      </c>
      <c r="N10" s="25">
        <v>42751</v>
      </c>
      <c r="O10" s="104">
        <f t="shared" si="0"/>
        <v>0.37769999999999998</v>
      </c>
      <c r="P10" s="104" t="e">
        <f t="shared" si="0"/>
        <v>#VALUE!</v>
      </c>
      <c r="Q10" s="104">
        <f t="shared" si="0"/>
        <v>0.12669999999999998</v>
      </c>
      <c r="R10" s="104">
        <f t="shared" si="1"/>
        <v>653.46020761245677</v>
      </c>
      <c r="S10" s="104">
        <f t="shared" si="1"/>
        <v>0</v>
      </c>
      <c r="T10" s="104">
        <f t="shared" si="1"/>
        <v>227.87769784172662</v>
      </c>
      <c r="V10">
        <f>K10/'Soil samples'!AK10*1000</f>
        <v>2.6384215756130835</v>
      </c>
      <c r="W10">
        <f>L10/'Soil samples'!AK10*1000</f>
        <v>0</v>
      </c>
      <c r="X10" s="3">
        <f>M10/'Soil samples'!AK10*1000</f>
        <v>2.5379972249842115</v>
      </c>
      <c r="Y10" s="31">
        <f t="shared" si="2"/>
        <v>5.7799999999999997E-2</v>
      </c>
      <c r="Z10" s="104">
        <f t="shared" si="3"/>
        <v>0.1134</v>
      </c>
    </row>
    <row r="11" spans="1:26">
      <c r="A11" t="s">
        <v>14</v>
      </c>
      <c r="B11" t="s">
        <v>9</v>
      </c>
      <c r="C11" t="s">
        <v>12</v>
      </c>
      <c r="D11" s="8">
        <v>3</v>
      </c>
      <c r="E11">
        <v>20</v>
      </c>
      <c r="F11" t="s">
        <v>386</v>
      </c>
      <c r="G11" s="54">
        <v>0.1522</v>
      </c>
      <c r="H11" s="55">
        <v>3.2099999999999997E-2</v>
      </c>
      <c r="I11" s="55">
        <v>0.46660000000000001</v>
      </c>
      <c r="J11" s="25">
        <v>42748</v>
      </c>
      <c r="K11" s="54">
        <v>3.2199999999999999E-2</v>
      </c>
      <c r="L11" s="100">
        <v>1.2E-2</v>
      </c>
      <c r="M11" s="55">
        <v>0.1368</v>
      </c>
      <c r="N11" s="25">
        <v>42751</v>
      </c>
      <c r="O11" s="104">
        <f t="shared" si="0"/>
        <v>0.12</v>
      </c>
      <c r="P11" s="104">
        <f t="shared" si="0"/>
        <v>2.0099999999999996E-2</v>
      </c>
      <c r="Q11" s="104">
        <f t="shared" si="0"/>
        <v>0.32979999999999998</v>
      </c>
      <c r="R11" s="104">
        <f t="shared" si="1"/>
        <v>372.67080745341616</v>
      </c>
      <c r="S11" s="104">
        <f t="shared" si="1"/>
        <v>167.49999999999997</v>
      </c>
      <c r="T11" s="104">
        <f t="shared" si="1"/>
        <v>241.08187134502921</v>
      </c>
      <c r="V11">
        <f>K11/'Soil samples'!AK11*1000</f>
        <v>0.68695123442629213</v>
      </c>
      <c r="W11">
        <f>L11/'Soil samples'!AK11*1000</f>
        <v>0.25600667121476728</v>
      </c>
      <c r="X11" s="3">
        <f>M11/'Soil samples'!AK11*1000</f>
        <v>2.918476051848347</v>
      </c>
      <c r="Y11" s="31">
        <f t="shared" si="2"/>
        <v>4.4200000000000003E-2</v>
      </c>
      <c r="Z11" s="104">
        <f t="shared" si="3"/>
        <v>0.18099999999999999</v>
      </c>
    </row>
    <row r="12" spans="1:26">
      <c r="A12" t="s">
        <v>15</v>
      </c>
      <c r="B12" t="s">
        <v>9</v>
      </c>
      <c r="C12" t="s">
        <v>12</v>
      </c>
      <c r="D12" s="8">
        <v>3</v>
      </c>
      <c r="E12">
        <v>30</v>
      </c>
      <c r="F12" t="s">
        <v>386</v>
      </c>
      <c r="G12" s="54">
        <v>7.7600000000000002E-2</v>
      </c>
      <c r="H12" s="55" t="s">
        <v>469</v>
      </c>
      <c r="I12" s="55">
        <v>0.37469999999999998</v>
      </c>
      <c r="J12" s="25">
        <v>42748</v>
      </c>
      <c r="K12" s="54">
        <v>2.18E-2</v>
      </c>
      <c r="L12" s="55">
        <v>0</v>
      </c>
      <c r="M12" s="55">
        <v>0.1208</v>
      </c>
      <c r="N12" s="25">
        <v>42751</v>
      </c>
      <c r="O12" s="104">
        <f t="shared" si="0"/>
        <v>5.5800000000000002E-2</v>
      </c>
      <c r="P12" s="104" t="e">
        <f t="shared" si="0"/>
        <v>#VALUE!</v>
      </c>
      <c r="Q12" s="104">
        <f t="shared" si="0"/>
        <v>0.25389999999999996</v>
      </c>
      <c r="R12" s="104">
        <f t="shared" si="1"/>
        <v>255.96330275229357</v>
      </c>
      <c r="S12" s="104">
        <f t="shared" si="1"/>
        <v>0</v>
      </c>
      <c r="T12" s="104">
        <f t="shared" si="1"/>
        <v>210.18211920529799</v>
      </c>
      <c r="V12">
        <f>K12/'Soil samples'!AK12*1000</f>
        <v>0.40810050117658186</v>
      </c>
      <c r="W12">
        <f>L12/'Soil samples'!AK12*1000</f>
        <v>0</v>
      </c>
      <c r="X12" s="3">
        <f>M12/'Soil samples'!AK12*1000</f>
        <v>2.2614009422995909</v>
      </c>
      <c r="Y12" s="31">
        <f t="shared" si="2"/>
        <v>2.18E-2</v>
      </c>
      <c r="Z12" s="104">
        <f t="shared" si="3"/>
        <v>0.1426</v>
      </c>
    </row>
    <row r="13" spans="1:26">
      <c r="A13" t="s">
        <v>16</v>
      </c>
      <c r="B13" t="s">
        <v>9</v>
      </c>
      <c r="C13" t="s">
        <v>12</v>
      </c>
      <c r="D13" s="8">
        <v>4</v>
      </c>
      <c r="E13">
        <v>5</v>
      </c>
      <c r="F13" t="s">
        <v>386</v>
      </c>
      <c r="G13" s="54">
        <v>1.7126999999999999</v>
      </c>
      <c r="H13" s="55">
        <v>0.74</v>
      </c>
      <c r="I13" s="100">
        <v>0.32169999999999999</v>
      </c>
      <c r="J13" s="25">
        <v>42790</v>
      </c>
      <c r="K13" s="54">
        <v>0.42880000000000001</v>
      </c>
      <c r="L13" s="100">
        <v>3.0300000000000001E-2</v>
      </c>
      <c r="M13" s="100">
        <v>0.10050000000000001</v>
      </c>
      <c r="N13" s="25">
        <v>42794</v>
      </c>
      <c r="O13" s="104">
        <f t="shared" si="0"/>
        <v>1.2838999999999998</v>
      </c>
      <c r="P13" s="104">
        <f t="shared" si="0"/>
        <v>0.7097</v>
      </c>
      <c r="Q13" s="104">
        <f t="shared" si="0"/>
        <v>0.22119999999999998</v>
      </c>
      <c r="R13" s="104">
        <f t="shared" si="1"/>
        <v>299.41697761194024</v>
      </c>
      <c r="S13" s="104">
        <f t="shared" si="1"/>
        <v>2342.2442244224421</v>
      </c>
      <c r="T13" s="104">
        <f t="shared" si="1"/>
        <v>220.09950248756215</v>
      </c>
      <c r="V13">
        <f>K13/'Soil samples'!AK13*1000</f>
        <v>8.0538099864933574</v>
      </c>
      <c r="W13">
        <f>L13/'Soil samples'!AK13*1000</f>
        <v>0.5691008455940969</v>
      </c>
      <c r="X13" s="3">
        <f>M13/'Soil samples'!AK13*1000</f>
        <v>1.8876117155843808</v>
      </c>
      <c r="Y13" s="31">
        <f t="shared" si="2"/>
        <v>0.45910000000000001</v>
      </c>
      <c r="Z13" s="104">
        <f t="shared" si="3"/>
        <v>0.55959999999999999</v>
      </c>
    </row>
    <row r="14" spans="1:26">
      <c r="A14" t="s">
        <v>24</v>
      </c>
      <c r="B14" t="s">
        <v>9</v>
      </c>
      <c r="C14" t="s">
        <v>12</v>
      </c>
      <c r="D14" s="8">
        <v>4</v>
      </c>
      <c r="E14">
        <v>20</v>
      </c>
      <c r="F14" t="s">
        <v>386</v>
      </c>
      <c r="G14" s="54">
        <v>0.96050000000000002</v>
      </c>
      <c r="H14" s="55">
        <v>7.6700000000000004E-2</v>
      </c>
      <c r="I14" s="100">
        <v>0.4173</v>
      </c>
      <c r="J14" s="25">
        <v>42790</v>
      </c>
      <c r="K14" s="54">
        <v>0.24709999999999999</v>
      </c>
      <c r="L14" s="100">
        <v>8.8000000000000005E-3</v>
      </c>
      <c r="M14" s="100">
        <v>0.1298</v>
      </c>
      <c r="N14" s="25">
        <v>42794</v>
      </c>
      <c r="O14" s="104">
        <f t="shared" si="0"/>
        <v>0.71340000000000003</v>
      </c>
      <c r="P14" s="104">
        <f t="shared" si="0"/>
        <v>6.7900000000000002E-2</v>
      </c>
      <c r="Q14" s="104">
        <f t="shared" si="0"/>
        <v>0.28749999999999998</v>
      </c>
      <c r="R14" s="104">
        <f t="shared" si="1"/>
        <v>288.70902468636183</v>
      </c>
      <c r="S14" s="104">
        <f t="shared" si="1"/>
        <v>771.59090909090912</v>
      </c>
      <c r="T14" s="104">
        <f t="shared" si="1"/>
        <v>221.49460708782743</v>
      </c>
      <c r="V14">
        <f>K14/'Soil samples'!AK14*1000</f>
        <v>4.0885913668441924</v>
      </c>
      <c r="W14">
        <f>L14/'Soil samples'!AK14*1000</f>
        <v>0.14560746268000363</v>
      </c>
      <c r="X14" s="3">
        <f>M14/'Soil samples'!AK14*1000</f>
        <v>2.1477100745300532</v>
      </c>
      <c r="Y14" s="31">
        <f t="shared" si="2"/>
        <v>0.25589999999999996</v>
      </c>
      <c r="Z14" s="104">
        <f t="shared" si="3"/>
        <v>0.38569999999999993</v>
      </c>
    </row>
    <row r="15" spans="1:26">
      <c r="A15" t="s">
        <v>25</v>
      </c>
      <c r="B15" t="s">
        <v>9</v>
      </c>
      <c r="C15" t="s">
        <v>12</v>
      </c>
      <c r="D15" s="8">
        <v>4</v>
      </c>
      <c r="E15">
        <v>30</v>
      </c>
      <c r="F15" t="s">
        <v>386</v>
      </c>
      <c r="G15" s="54">
        <v>0.48249999999999998</v>
      </c>
      <c r="H15" s="55" t="s">
        <v>469</v>
      </c>
      <c r="I15" s="100">
        <v>0.41089999999999999</v>
      </c>
      <c r="J15" s="25">
        <v>42790</v>
      </c>
      <c r="K15" s="54">
        <v>0.1234</v>
      </c>
      <c r="L15" s="55">
        <v>0</v>
      </c>
      <c r="M15" s="100">
        <v>0.15379999999999999</v>
      </c>
      <c r="N15" s="25">
        <v>42794</v>
      </c>
      <c r="O15" s="104">
        <f t="shared" si="0"/>
        <v>0.35909999999999997</v>
      </c>
      <c r="P15" s="104" t="e">
        <f t="shared" si="0"/>
        <v>#VALUE!</v>
      </c>
      <c r="Q15" s="104">
        <f t="shared" si="0"/>
        <v>0.2571</v>
      </c>
      <c r="R15" s="104">
        <f t="shared" si="1"/>
        <v>291.00486223662887</v>
      </c>
      <c r="S15" s="104">
        <f t="shared" si="1"/>
        <v>0</v>
      </c>
      <c r="T15" s="104">
        <f t="shared" si="1"/>
        <v>167.16514954486345</v>
      </c>
      <c r="V15">
        <f>K15/'Soil samples'!AK15*1000</f>
        <v>2.967937374005118</v>
      </c>
      <c r="W15">
        <f>L15/'Soil samples'!AK15*1000</f>
        <v>0</v>
      </c>
      <c r="X15" s="3">
        <f>M15/'Soil samples'!AK15*1000</f>
        <v>3.6990986071473837</v>
      </c>
      <c r="Y15" s="31">
        <f t="shared" si="2"/>
        <v>0.1234</v>
      </c>
      <c r="Z15" s="104">
        <f t="shared" si="3"/>
        <v>0.2772</v>
      </c>
    </row>
    <row r="16" spans="1:26">
      <c r="A16" t="s">
        <v>26</v>
      </c>
      <c r="B16" t="s">
        <v>9</v>
      </c>
      <c r="C16" t="s">
        <v>12</v>
      </c>
      <c r="D16" s="8">
        <v>5</v>
      </c>
      <c r="E16">
        <v>5</v>
      </c>
      <c r="F16" t="s">
        <v>386</v>
      </c>
      <c r="G16" s="54">
        <v>1.6406000000000001</v>
      </c>
      <c r="H16" s="55">
        <v>0.1852</v>
      </c>
      <c r="I16" s="55" t="s">
        <v>469</v>
      </c>
      <c r="J16" s="25">
        <v>42798</v>
      </c>
      <c r="K16" s="54">
        <v>0.36770000000000003</v>
      </c>
      <c r="L16" s="55">
        <v>2.4299999999999999E-2</v>
      </c>
      <c r="M16" s="55">
        <v>0</v>
      </c>
      <c r="N16" s="25">
        <v>42801</v>
      </c>
      <c r="O16" s="104">
        <f t="shared" si="0"/>
        <v>1.2728999999999999</v>
      </c>
      <c r="P16" s="104">
        <f t="shared" si="0"/>
        <v>0.16090000000000002</v>
      </c>
      <c r="Q16" s="104" t="e">
        <f t="shared" si="0"/>
        <v>#VALUE!</v>
      </c>
      <c r="R16" s="104">
        <f t="shared" si="1"/>
        <v>346.17895023116665</v>
      </c>
      <c r="S16" s="104">
        <f t="shared" si="1"/>
        <v>662.1399176954734</v>
      </c>
      <c r="T16" s="104">
        <f t="shared" si="1"/>
        <v>0</v>
      </c>
      <c r="U16" s="3" t="s">
        <v>696</v>
      </c>
      <c r="V16">
        <f>K16/'Soil samples'!AK16*1000</f>
        <v>14.747173156804729</v>
      </c>
      <c r="W16">
        <f>L16/'Soil samples'!AK16*1000</f>
        <v>0.97458881618263504</v>
      </c>
      <c r="X16" s="3">
        <f>M16/'Soil samples'!AK16*1000</f>
        <v>0</v>
      </c>
      <c r="Y16" s="31">
        <f t="shared" si="2"/>
        <v>0.39200000000000002</v>
      </c>
      <c r="Z16" s="104">
        <f t="shared" si="3"/>
        <v>0.39200000000000002</v>
      </c>
    </row>
    <row r="17" spans="1:26">
      <c r="A17" t="s">
        <v>27</v>
      </c>
      <c r="B17" t="s">
        <v>9</v>
      </c>
      <c r="C17" t="s">
        <v>12</v>
      </c>
      <c r="D17" s="8">
        <v>5</v>
      </c>
      <c r="E17">
        <v>20</v>
      </c>
      <c r="F17" t="s">
        <v>386</v>
      </c>
      <c r="G17" s="54">
        <v>0.9345</v>
      </c>
      <c r="H17" s="55">
        <v>7.8200000000000006E-2</v>
      </c>
      <c r="I17" s="55" t="s">
        <v>469</v>
      </c>
      <c r="J17" s="25">
        <v>42798</v>
      </c>
      <c r="K17" s="54">
        <v>0.2114</v>
      </c>
      <c r="L17" s="55">
        <v>7.7000000000000002E-3</v>
      </c>
      <c r="M17" s="55">
        <v>0</v>
      </c>
      <c r="N17" s="25">
        <v>42801</v>
      </c>
      <c r="O17" s="104">
        <f t="shared" si="0"/>
        <v>0.72309999999999997</v>
      </c>
      <c r="P17" s="104">
        <f t="shared" si="0"/>
        <v>7.0500000000000007E-2</v>
      </c>
      <c r="Q17" s="104" t="e">
        <f t="shared" si="0"/>
        <v>#VALUE!</v>
      </c>
      <c r="R17" s="104">
        <f t="shared" si="1"/>
        <v>342.05298013245027</v>
      </c>
      <c r="S17" s="104">
        <f t="shared" si="1"/>
        <v>915.58441558441575</v>
      </c>
      <c r="T17" s="104">
        <f t="shared" si="1"/>
        <v>0</v>
      </c>
      <c r="U17" s="3" t="s">
        <v>698</v>
      </c>
      <c r="V17">
        <f>K17/'Soil samples'!AK17*1000</f>
        <v>4.7534273904889792</v>
      </c>
      <c r="W17">
        <f>L17/'Soil samples'!AK17*1000</f>
        <v>0.17313808375953235</v>
      </c>
      <c r="X17" s="3">
        <f>M17/'Soil samples'!AK17*1000</f>
        <v>0</v>
      </c>
      <c r="Y17" s="31">
        <f t="shared" si="2"/>
        <v>0.21910000000000002</v>
      </c>
      <c r="Z17" s="104">
        <f t="shared" si="3"/>
        <v>0.21910000000000002</v>
      </c>
    </row>
    <row r="18" spans="1:26">
      <c r="A18" t="s">
        <v>28</v>
      </c>
      <c r="B18" t="s">
        <v>9</v>
      </c>
      <c r="C18" t="s">
        <v>12</v>
      </c>
      <c r="D18" s="8">
        <v>5</v>
      </c>
      <c r="E18">
        <v>30</v>
      </c>
      <c r="F18" t="s">
        <v>386</v>
      </c>
      <c r="G18" s="54">
        <v>0.79890000000000005</v>
      </c>
      <c r="H18" s="55" t="s">
        <v>469</v>
      </c>
      <c r="I18" s="55" t="s">
        <v>469</v>
      </c>
      <c r="J18" s="25">
        <v>42798</v>
      </c>
      <c r="K18" s="54">
        <v>0.2039</v>
      </c>
      <c r="L18" s="55">
        <v>0</v>
      </c>
      <c r="M18" s="55">
        <v>0</v>
      </c>
      <c r="N18" s="25">
        <v>42801</v>
      </c>
      <c r="O18" s="104">
        <f t="shared" si="0"/>
        <v>0.59500000000000008</v>
      </c>
      <c r="P18" s="104" t="e">
        <f t="shared" si="0"/>
        <v>#VALUE!</v>
      </c>
      <c r="Q18" s="104" t="e">
        <f t="shared" si="0"/>
        <v>#VALUE!</v>
      </c>
      <c r="R18" s="104">
        <f t="shared" si="1"/>
        <v>291.80971064247183</v>
      </c>
      <c r="S18" s="104">
        <f t="shared" si="1"/>
        <v>0</v>
      </c>
      <c r="T18" s="104">
        <f t="shared" si="1"/>
        <v>0</v>
      </c>
      <c r="U18" s="3" t="s">
        <v>696</v>
      </c>
      <c r="V18">
        <f>K18/'Soil samples'!AK18*1000</f>
        <v>3.4648801103066837</v>
      </c>
      <c r="W18">
        <f>L18/'Soil samples'!AK18*1000</f>
        <v>0</v>
      </c>
      <c r="X18" s="3">
        <f>M18/'Soil samples'!AK18*1000</f>
        <v>0</v>
      </c>
      <c r="Y18" s="31">
        <f t="shared" si="2"/>
        <v>0.2039</v>
      </c>
      <c r="Z18" s="104">
        <f t="shared" si="3"/>
        <v>0.2039</v>
      </c>
    </row>
    <row r="19" spans="1:26">
      <c r="A19" t="s">
        <v>17</v>
      </c>
      <c r="B19" t="s">
        <v>9</v>
      </c>
      <c r="C19" t="s">
        <v>12</v>
      </c>
      <c r="D19" s="8">
        <v>6</v>
      </c>
      <c r="E19">
        <v>5</v>
      </c>
      <c r="F19" t="s">
        <v>386</v>
      </c>
      <c r="G19" s="54">
        <v>5.7244999999999999</v>
      </c>
      <c r="H19" s="55">
        <v>0.45029999999999998</v>
      </c>
      <c r="I19" s="55" t="s">
        <v>469</v>
      </c>
      <c r="J19" s="25">
        <v>42748</v>
      </c>
      <c r="K19" s="54">
        <v>0.79390000000000005</v>
      </c>
      <c r="L19" s="100">
        <v>0.1074</v>
      </c>
      <c r="M19" s="55">
        <v>0</v>
      </c>
      <c r="N19" s="25">
        <v>42751</v>
      </c>
      <c r="O19" s="104">
        <f t="shared" si="0"/>
        <v>4.9306000000000001</v>
      </c>
      <c r="P19" s="104">
        <f t="shared" si="0"/>
        <v>0.34289999999999998</v>
      </c>
      <c r="Q19" s="104" t="e">
        <f t="shared" si="0"/>
        <v>#VALUE!</v>
      </c>
      <c r="R19" s="104">
        <f t="shared" si="1"/>
        <v>621.0605869756896</v>
      </c>
      <c r="S19" s="104">
        <f t="shared" si="1"/>
        <v>319.27374301675979</v>
      </c>
      <c r="T19" s="104">
        <f t="shared" si="1"/>
        <v>0</v>
      </c>
      <c r="V19">
        <f>K19/'Soil samples'!AK19*1000</f>
        <v>24.612804992659729</v>
      </c>
      <c r="W19">
        <f>L19/'Soil samples'!AK19*1000</f>
        <v>3.3296577103056491</v>
      </c>
      <c r="X19" s="3">
        <f>M19/'Soil samples'!AK19*1000</f>
        <v>0</v>
      </c>
      <c r="Y19" s="31">
        <f t="shared" si="2"/>
        <v>0.90129999999999999</v>
      </c>
      <c r="Z19" s="104">
        <f t="shared" si="3"/>
        <v>0.90129999999999999</v>
      </c>
    </row>
    <row r="20" spans="1:26">
      <c r="A20" t="s">
        <v>18</v>
      </c>
      <c r="B20" t="s">
        <v>9</v>
      </c>
      <c r="C20" t="s">
        <v>12</v>
      </c>
      <c r="D20" s="8">
        <v>6</v>
      </c>
      <c r="E20">
        <v>20</v>
      </c>
      <c r="F20" t="s">
        <v>386</v>
      </c>
      <c r="G20" s="54">
        <v>4.5740999999999996</v>
      </c>
      <c r="H20" s="55">
        <v>6.3200000000000006E-2</v>
      </c>
      <c r="I20" s="55" t="s">
        <v>469</v>
      </c>
      <c r="J20" s="25">
        <v>42748</v>
      </c>
      <c r="K20" s="54">
        <v>0.3216</v>
      </c>
      <c r="L20" s="100">
        <v>0.14899999999999999</v>
      </c>
      <c r="M20" s="55">
        <v>0</v>
      </c>
      <c r="N20" s="25">
        <v>42751</v>
      </c>
      <c r="O20" s="104">
        <f t="shared" si="0"/>
        <v>4.2524999999999995</v>
      </c>
      <c r="P20" s="104">
        <f t="shared" si="0"/>
        <v>-8.5799999999999987E-2</v>
      </c>
      <c r="Q20" s="104" t="e">
        <f t="shared" si="0"/>
        <v>#VALUE!</v>
      </c>
      <c r="R20" s="104">
        <f t="shared" si="1"/>
        <v>1322.2947761194027</v>
      </c>
      <c r="S20" s="104">
        <f t="shared" si="1"/>
        <v>-57.583892617449663</v>
      </c>
      <c r="T20" s="104">
        <f t="shared" si="1"/>
        <v>0</v>
      </c>
      <c r="V20">
        <f>K20/'Soil samples'!AK20*1000</f>
        <v>6.4580922975074824</v>
      </c>
      <c r="W20">
        <f>L20/'Soil samples'!AK20*1000</f>
        <v>2.99208878211634</v>
      </c>
      <c r="X20" s="3">
        <f>M20/'Soil samples'!AK20*1000</f>
        <v>0</v>
      </c>
      <c r="Y20" s="31">
        <f t="shared" si="2"/>
        <v>0.47060000000000002</v>
      </c>
      <c r="Z20" s="104">
        <f t="shared" si="3"/>
        <v>0.47060000000000002</v>
      </c>
    </row>
    <row r="21" spans="1:26">
      <c r="A21" t="s">
        <v>19</v>
      </c>
      <c r="B21" t="s">
        <v>9</v>
      </c>
      <c r="C21" t="s">
        <v>12</v>
      </c>
      <c r="D21" s="8">
        <v>6</v>
      </c>
      <c r="E21">
        <v>30</v>
      </c>
      <c r="F21" t="s">
        <v>386</v>
      </c>
      <c r="G21" s="54">
        <v>1.1919999999999999</v>
      </c>
      <c r="H21" s="55">
        <v>0.153</v>
      </c>
      <c r="I21" s="55">
        <v>0.191</v>
      </c>
      <c r="J21" s="25">
        <v>42748</v>
      </c>
      <c r="K21" s="54">
        <v>0.16919999999999999</v>
      </c>
      <c r="L21" s="100">
        <v>2.9399999999999999E-2</v>
      </c>
      <c r="M21" s="55">
        <v>4.4600000000000001E-2</v>
      </c>
      <c r="N21" s="25">
        <v>42751</v>
      </c>
      <c r="O21" s="104">
        <f t="shared" ref="O21:Q84" si="4">G21-K21</f>
        <v>1.0227999999999999</v>
      </c>
      <c r="P21" s="104">
        <f t="shared" si="4"/>
        <v>0.1236</v>
      </c>
      <c r="Q21" s="104">
        <f t="shared" si="4"/>
        <v>0.1464</v>
      </c>
      <c r="R21" s="104">
        <f t="shared" ref="R21:T84" si="5">IF(K21&gt;0,O21/K21*100,0)</f>
        <v>604.49172576832154</v>
      </c>
      <c r="S21" s="104">
        <f t="shared" si="5"/>
        <v>420.40816326530609</v>
      </c>
      <c r="T21" s="104">
        <f t="shared" si="5"/>
        <v>328.25112107623318</v>
      </c>
      <c r="V21">
        <f>K21/'Soil samples'!AK21*1000</f>
        <v>4.7720540674731469</v>
      </c>
      <c r="W21">
        <f>L21/'Soil samples'!AK21*1000</f>
        <v>0.82918669966731995</v>
      </c>
      <c r="X21" s="3">
        <f>M21/'Soil samples'!AK21*1000</f>
        <v>1.2578818641211724</v>
      </c>
      <c r="Y21" s="31">
        <f t="shared" si="2"/>
        <v>0.1986</v>
      </c>
      <c r="Z21" s="104">
        <f t="shared" si="3"/>
        <v>0.2432</v>
      </c>
    </row>
    <row r="22" spans="1:26">
      <c r="A22" t="s">
        <v>4</v>
      </c>
      <c r="B22" t="s">
        <v>9</v>
      </c>
      <c r="C22" t="s">
        <v>13</v>
      </c>
      <c r="D22" s="8">
        <v>1</v>
      </c>
      <c r="E22">
        <v>5</v>
      </c>
      <c r="F22" t="s">
        <v>386</v>
      </c>
      <c r="G22" s="54">
        <v>1.1576</v>
      </c>
      <c r="H22" s="55" t="s">
        <v>469</v>
      </c>
      <c r="I22" s="55" t="s">
        <v>469</v>
      </c>
      <c r="J22" s="25">
        <v>42777</v>
      </c>
      <c r="K22" s="54">
        <v>0.30640000000000001</v>
      </c>
      <c r="L22" s="55">
        <v>0</v>
      </c>
      <c r="M22" s="55">
        <v>0</v>
      </c>
      <c r="N22" s="25">
        <v>42780</v>
      </c>
      <c r="O22" s="104">
        <f t="shared" si="4"/>
        <v>0.85119999999999996</v>
      </c>
      <c r="P22" s="104" t="e">
        <f t="shared" si="4"/>
        <v>#VALUE!</v>
      </c>
      <c r="Q22" s="104" t="e">
        <f t="shared" si="4"/>
        <v>#VALUE!</v>
      </c>
      <c r="R22" s="104">
        <f t="shared" si="5"/>
        <v>277.80678851174929</v>
      </c>
      <c r="S22" s="104">
        <f t="shared" si="5"/>
        <v>0</v>
      </c>
      <c r="T22" s="104">
        <f t="shared" si="5"/>
        <v>0</v>
      </c>
      <c r="V22">
        <f>K22/'Soil samples'!AK22*1000</f>
        <v>5.5696179554837331</v>
      </c>
      <c r="W22">
        <f>L22/'Soil samples'!AK22*1000</f>
        <v>0</v>
      </c>
      <c r="X22" s="3">
        <f>M22/'Soil samples'!AK22*1000</f>
        <v>0</v>
      </c>
      <c r="Y22" s="31">
        <f t="shared" si="2"/>
        <v>0.30640000000000001</v>
      </c>
      <c r="Z22" s="104">
        <f t="shared" si="3"/>
        <v>0.30640000000000001</v>
      </c>
    </row>
    <row r="23" spans="1:26">
      <c r="A23" t="s">
        <v>5</v>
      </c>
      <c r="B23" t="s">
        <v>9</v>
      </c>
      <c r="C23" t="s">
        <v>13</v>
      </c>
      <c r="D23" s="8">
        <v>1</v>
      </c>
      <c r="E23">
        <v>20</v>
      </c>
      <c r="F23" t="s">
        <v>386</v>
      </c>
      <c r="G23" s="54">
        <v>0.85319999999999996</v>
      </c>
      <c r="H23" s="55" t="s">
        <v>469</v>
      </c>
      <c r="I23" s="100" t="s">
        <v>469</v>
      </c>
      <c r="J23" s="25">
        <v>42777</v>
      </c>
      <c r="K23" s="54">
        <v>0.26590000000000003</v>
      </c>
      <c r="L23" s="55">
        <v>0</v>
      </c>
      <c r="M23" s="55">
        <v>0</v>
      </c>
      <c r="N23" s="25">
        <v>42780</v>
      </c>
      <c r="O23" s="104">
        <f t="shared" si="4"/>
        <v>0.58729999999999993</v>
      </c>
      <c r="P23" s="104" t="e">
        <f t="shared" si="4"/>
        <v>#VALUE!</v>
      </c>
      <c r="Q23" s="104" t="e">
        <f t="shared" si="4"/>
        <v>#VALUE!</v>
      </c>
      <c r="R23" s="104">
        <f t="shared" si="5"/>
        <v>220.87250846182772</v>
      </c>
      <c r="S23" s="104">
        <f t="shared" si="5"/>
        <v>0</v>
      </c>
      <c r="T23" s="104">
        <f t="shared" si="5"/>
        <v>0</v>
      </c>
      <c r="V23">
        <f>K23/'Soil samples'!AK23*1000</f>
        <v>4.7276584014995775</v>
      </c>
      <c r="W23">
        <f>L23/'Soil samples'!AK23*1000</f>
        <v>0</v>
      </c>
      <c r="X23" s="3">
        <f>M23/'Soil samples'!AK23*1000</f>
        <v>0</v>
      </c>
      <c r="Y23" s="31">
        <f t="shared" si="2"/>
        <v>0.26590000000000003</v>
      </c>
      <c r="Z23" s="104">
        <f t="shared" si="3"/>
        <v>0.26590000000000003</v>
      </c>
    </row>
    <row r="24" spans="1:26">
      <c r="A24" t="s">
        <v>6</v>
      </c>
      <c r="B24" t="s">
        <v>9</v>
      </c>
      <c r="C24" t="s">
        <v>13</v>
      </c>
      <c r="D24" s="8">
        <v>1</v>
      </c>
      <c r="E24">
        <v>30</v>
      </c>
      <c r="F24" t="s">
        <v>386</v>
      </c>
      <c r="G24" s="54">
        <v>0.41060000000000002</v>
      </c>
      <c r="H24" s="55" t="s">
        <v>469</v>
      </c>
      <c r="I24" s="100" t="s">
        <v>469</v>
      </c>
      <c r="J24" s="25">
        <v>42777</v>
      </c>
      <c r="K24" s="54">
        <v>0.11509999999999999</v>
      </c>
      <c r="L24" s="55">
        <v>0</v>
      </c>
      <c r="M24" s="55">
        <v>0</v>
      </c>
      <c r="N24" s="25">
        <v>42780</v>
      </c>
      <c r="O24" s="104">
        <f t="shared" si="4"/>
        <v>0.29550000000000004</v>
      </c>
      <c r="P24" s="104" t="e">
        <f t="shared" si="4"/>
        <v>#VALUE!</v>
      </c>
      <c r="Q24" s="104" t="e">
        <f t="shared" si="4"/>
        <v>#VALUE!</v>
      </c>
      <c r="R24" s="104">
        <f t="shared" si="5"/>
        <v>256.73327541268469</v>
      </c>
      <c r="S24" s="104">
        <f t="shared" si="5"/>
        <v>0</v>
      </c>
      <c r="T24" s="104">
        <f t="shared" si="5"/>
        <v>0</v>
      </c>
      <c r="V24">
        <f>K24/'Soil samples'!AK24*1000</f>
        <v>1.6621037010904338</v>
      </c>
      <c r="W24">
        <f>L24/'Soil samples'!AK24*1000</f>
        <v>0</v>
      </c>
      <c r="X24" s="3">
        <f>M24/'Soil samples'!AK24*1000</f>
        <v>0</v>
      </c>
      <c r="Y24" s="31">
        <f t="shared" si="2"/>
        <v>0.11509999999999999</v>
      </c>
      <c r="Z24" s="104">
        <f t="shared" si="3"/>
        <v>0.11509999999999999</v>
      </c>
    </row>
    <row r="25" spans="1:26">
      <c r="A25" t="s">
        <v>7</v>
      </c>
      <c r="B25" t="s">
        <v>9</v>
      </c>
      <c r="C25" t="s">
        <v>13</v>
      </c>
      <c r="D25" s="8">
        <v>2</v>
      </c>
      <c r="E25">
        <v>5</v>
      </c>
      <c r="F25" t="s">
        <v>386</v>
      </c>
      <c r="G25" s="54">
        <v>0.60019999999999996</v>
      </c>
      <c r="H25" s="55">
        <v>9.4100000000000003E-2</v>
      </c>
      <c r="I25" s="55">
        <v>0.1072</v>
      </c>
      <c r="J25" s="25">
        <v>42748</v>
      </c>
      <c r="K25" s="54">
        <v>0.121</v>
      </c>
      <c r="L25" s="100">
        <v>3.3799999999999997E-2</v>
      </c>
      <c r="M25" s="55">
        <v>4.5499999999999999E-2</v>
      </c>
      <c r="N25" s="25">
        <v>42751</v>
      </c>
      <c r="O25" s="104">
        <f t="shared" si="4"/>
        <v>0.47919999999999996</v>
      </c>
      <c r="P25" s="104">
        <f t="shared" si="4"/>
        <v>6.0300000000000006E-2</v>
      </c>
      <c r="Q25" s="104">
        <f t="shared" si="4"/>
        <v>6.1700000000000005E-2</v>
      </c>
      <c r="R25" s="104">
        <f t="shared" si="5"/>
        <v>396.03305785123968</v>
      </c>
      <c r="S25" s="104">
        <f t="shared" si="5"/>
        <v>178.40236686390537</v>
      </c>
      <c r="T25" s="104">
        <f t="shared" si="5"/>
        <v>135.60439560439562</v>
      </c>
      <c r="V25">
        <f>K25/'Soil samples'!AK25*1000</f>
        <v>1.6814907258084961</v>
      </c>
      <c r="W25">
        <f>L25/'Soil samples'!AK25*1000</f>
        <v>0.46970567382088563</v>
      </c>
      <c r="X25" s="3">
        <f>M25/'Soil samples'!AK25*1000</f>
        <v>0.63229609937426923</v>
      </c>
      <c r="Y25" s="31">
        <f t="shared" si="2"/>
        <v>0.15479999999999999</v>
      </c>
      <c r="Z25" s="104">
        <f t="shared" si="3"/>
        <v>0.20029999999999998</v>
      </c>
    </row>
    <row r="26" spans="1:26">
      <c r="A26" t="s">
        <v>29</v>
      </c>
      <c r="B26" t="s">
        <v>9</v>
      </c>
      <c r="C26" t="s">
        <v>13</v>
      </c>
      <c r="D26" s="8">
        <v>2</v>
      </c>
      <c r="E26">
        <v>20</v>
      </c>
      <c r="F26" t="s">
        <v>386</v>
      </c>
      <c r="G26" s="54">
        <v>0.26200000000000001</v>
      </c>
      <c r="H26" s="55">
        <v>3.5000000000000003E-2</v>
      </c>
      <c r="I26" s="55">
        <v>3.8800000000000001E-2</v>
      </c>
      <c r="J26" s="25">
        <v>42748</v>
      </c>
      <c r="K26" s="54">
        <v>6.7599999999999993E-2</v>
      </c>
      <c r="L26" s="100">
        <v>0.115</v>
      </c>
      <c r="M26" s="55">
        <v>1.8200000000000001E-2</v>
      </c>
      <c r="N26" s="25">
        <v>42751</v>
      </c>
      <c r="O26" s="104">
        <f t="shared" si="4"/>
        <v>0.19440000000000002</v>
      </c>
      <c r="P26" s="104">
        <f t="shared" si="4"/>
        <v>-0.08</v>
      </c>
      <c r="Q26" s="104">
        <f t="shared" si="4"/>
        <v>2.06E-2</v>
      </c>
      <c r="R26" s="104">
        <f t="shared" si="5"/>
        <v>287.57396449704146</v>
      </c>
      <c r="S26" s="104">
        <f t="shared" si="5"/>
        <v>-69.565217391304344</v>
      </c>
      <c r="T26" s="104">
        <f t="shared" si="5"/>
        <v>113.18681318681318</v>
      </c>
      <c r="V26">
        <f>K26/'Soil samples'!AK26*1000</f>
        <v>0.73428724221221253</v>
      </c>
      <c r="W26">
        <f>L26/'Soil samples'!AK26*1000</f>
        <v>1.2491572907456279</v>
      </c>
      <c r="X26" s="3">
        <f>M26/'Soil samples'!AK26*1000</f>
        <v>0.19769271905713418</v>
      </c>
      <c r="Y26" s="31">
        <f t="shared" si="2"/>
        <v>0.18259999999999998</v>
      </c>
      <c r="Z26" s="104">
        <f t="shared" si="3"/>
        <v>0.20079999999999998</v>
      </c>
    </row>
    <row r="27" spans="1:26">
      <c r="A27" t="s">
        <v>30</v>
      </c>
      <c r="B27" t="s">
        <v>9</v>
      </c>
      <c r="C27" t="s">
        <v>13</v>
      </c>
      <c r="D27" s="8">
        <v>2</v>
      </c>
      <c r="E27">
        <v>30</v>
      </c>
      <c r="F27" t="s">
        <v>386</v>
      </c>
      <c r="G27" s="54">
        <v>0.20100000000000001</v>
      </c>
      <c r="H27" s="55">
        <v>4.02E-2</v>
      </c>
      <c r="I27" s="55">
        <v>7.1199999999999999E-2</v>
      </c>
      <c r="J27" s="25">
        <v>42748</v>
      </c>
      <c r="K27" s="54">
        <v>4.4299999999999999E-2</v>
      </c>
      <c r="L27" s="100">
        <v>1.6199999999999999E-2</v>
      </c>
      <c r="M27" s="55">
        <v>2.06E-2</v>
      </c>
      <c r="N27" s="25">
        <v>42751</v>
      </c>
      <c r="O27" s="104">
        <f t="shared" si="4"/>
        <v>0.15670000000000001</v>
      </c>
      <c r="P27" s="104">
        <f t="shared" si="4"/>
        <v>2.4E-2</v>
      </c>
      <c r="Q27" s="104">
        <f t="shared" si="4"/>
        <v>5.0599999999999999E-2</v>
      </c>
      <c r="R27" s="104">
        <f t="shared" si="5"/>
        <v>353.72460496613996</v>
      </c>
      <c r="S27" s="104">
        <f t="shared" si="5"/>
        <v>148.14814814814815</v>
      </c>
      <c r="T27" s="104">
        <f t="shared" si="5"/>
        <v>245.63106796116503</v>
      </c>
      <c r="V27">
        <f>K27/'Soil samples'!AK27*1000</f>
        <v>0.32892534196832929</v>
      </c>
      <c r="W27">
        <f>L27/'Soil samples'!AK27*1000</f>
        <v>0.12028421083266219</v>
      </c>
      <c r="X27" s="3">
        <f>M27/'Soil samples'!AK27*1000</f>
        <v>0.15295399649091612</v>
      </c>
      <c r="Y27" s="31">
        <f t="shared" si="2"/>
        <v>6.0499999999999998E-2</v>
      </c>
      <c r="Z27" s="104">
        <f t="shared" si="3"/>
        <v>8.1100000000000005E-2</v>
      </c>
    </row>
    <row r="28" spans="1:26">
      <c r="A28" t="s">
        <v>31</v>
      </c>
      <c r="B28" t="s">
        <v>9</v>
      </c>
      <c r="C28" t="s">
        <v>13</v>
      </c>
      <c r="D28" s="8">
        <v>3</v>
      </c>
      <c r="E28">
        <v>5</v>
      </c>
      <c r="F28" t="s">
        <v>386</v>
      </c>
      <c r="G28" s="54">
        <v>2.7728000000000002</v>
      </c>
      <c r="H28" s="55" t="s">
        <v>469</v>
      </c>
      <c r="I28" s="55" t="s">
        <v>469</v>
      </c>
      <c r="J28" s="25">
        <v>42791</v>
      </c>
      <c r="K28" s="54">
        <v>0.41499999999999998</v>
      </c>
      <c r="L28" s="55">
        <v>0</v>
      </c>
      <c r="M28" s="55">
        <v>0</v>
      </c>
      <c r="N28" s="25">
        <v>42794</v>
      </c>
      <c r="O28" s="104">
        <f t="shared" si="4"/>
        <v>2.3578000000000001</v>
      </c>
      <c r="P28" s="104" t="e">
        <f t="shared" si="4"/>
        <v>#VALUE!</v>
      </c>
      <c r="Q28" s="104" t="e">
        <f t="shared" si="4"/>
        <v>#VALUE!</v>
      </c>
      <c r="R28" s="104">
        <f t="shared" si="5"/>
        <v>568.14457831325308</v>
      </c>
      <c r="S28" s="104">
        <f t="shared" si="5"/>
        <v>0</v>
      </c>
      <c r="T28" s="104">
        <f t="shared" si="5"/>
        <v>0</v>
      </c>
      <c r="V28">
        <f>K28/'Soil samples'!AK28*1000</f>
        <v>8.6666280982247077</v>
      </c>
      <c r="W28">
        <f>L28/'Soil samples'!AK28*1000</f>
        <v>0</v>
      </c>
      <c r="X28" s="3">
        <f>M28/'Soil samples'!AK28*1000</f>
        <v>0</v>
      </c>
      <c r="Y28" s="31">
        <f t="shared" si="2"/>
        <v>0.41499999999999998</v>
      </c>
      <c r="Z28" s="104">
        <f t="shared" si="3"/>
        <v>0.41499999999999998</v>
      </c>
    </row>
    <row r="29" spans="1:26">
      <c r="A29" t="s">
        <v>32</v>
      </c>
      <c r="B29" t="s">
        <v>9</v>
      </c>
      <c r="C29" t="s">
        <v>13</v>
      </c>
      <c r="D29" s="8">
        <v>3</v>
      </c>
      <c r="E29">
        <v>20</v>
      </c>
      <c r="F29" t="s">
        <v>386</v>
      </c>
      <c r="G29" s="54">
        <v>1.1944999999999999</v>
      </c>
      <c r="H29" s="55" t="s">
        <v>469</v>
      </c>
      <c r="I29" s="55" t="s">
        <v>469</v>
      </c>
      <c r="J29" s="25">
        <v>42791</v>
      </c>
      <c r="K29" s="54">
        <v>0.16919999999999999</v>
      </c>
      <c r="L29" s="55">
        <v>0</v>
      </c>
      <c r="M29" s="55">
        <v>0</v>
      </c>
      <c r="N29" s="25">
        <v>42794</v>
      </c>
      <c r="O29" s="104">
        <f t="shared" si="4"/>
        <v>1.0252999999999999</v>
      </c>
      <c r="P29" s="104" t="e">
        <f t="shared" si="4"/>
        <v>#VALUE!</v>
      </c>
      <c r="Q29" s="104" t="e">
        <f t="shared" si="4"/>
        <v>#VALUE!</v>
      </c>
      <c r="R29" s="104">
        <f t="shared" si="5"/>
        <v>605.96926713947983</v>
      </c>
      <c r="S29" s="104">
        <f t="shared" si="5"/>
        <v>0</v>
      </c>
      <c r="T29" s="104">
        <f t="shared" si="5"/>
        <v>0</v>
      </c>
      <c r="V29">
        <f>K29/'Soil samples'!AK29*1000</f>
        <v>2.246226098273139</v>
      </c>
      <c r="W29">
        <f>L29/'Soil samples'!AK29*1000</f>
        <v>0</v>
      </c>
      <c r="X29" s="3">
        <f>M29/'Soil samples'!AK29*1000</f>
        <v>0</v>
      </c>
      <c r="Y29" s="31">
        <f t="shared" si="2"/>
        <v>0.16919999999999999</v>
      </c>
      <c r="Z29" s="104">
        <f t="shared" si="3"/>
        <v>0.16919999999999999</v>
      </c>
    </row>
    <row r="30" spans="1:26">
      <c r="A30" t="s">
        <v>33</v>
      </c>
      <c r="B30" t="s">
        <v>9</v>
      </c>
      <c r="C30" t="s">
        <v>13</v>
      </c>
      <c r="D30" s="8">
        <v>3</v>
      </c>
      <c r="E30">
        <v>30</v>
      </c>
      <c r="F30" t="s">
        <v>386</v>
      </c>
      <c r="G30" s="54">
        <v>0.45540000000000003</v>
      </c>
      <c r="H30" s="100">
        <v>0.11609999999999999</v>
      </c>
      <c r="I30" s="55" t="s">
        <v>469</v>
      </c>
      <c r="J30" s="25">
        <v>42791</v>
      </c>
      <c r="K30" s="54">
        <v>8.1299999999999997E-2</v>
      </c>
      <c r="L30" s="100">
        <v>2.75E-2</v>
      </c>
      <c r="M30" s="55">
        <v>0</v>
      </c>
      <c r="N30" s="25">
        <v>42794</v>
      </c>
      <c r="O30" s="104">
        <f t="shared" si="4"/>
        <v>0.37410000000000004</v>
      </c>
      <c r="P30" s="104">
        <f t="shared" si="4"/>
        <v>8.8599999999999998E-2</v>
      </c>
      <c r="Q30" s="104" t="e">
        <f t="shared" si="4"/>
        <v>#VALUE!</v>
      </c>
      <c r="R30" s="104">
        <f t="shared" si="5"/>
        <v>460.14760147601487</v>
      </c>
      <c r="S30" s="104">
        <f t="shared" si="5"/>
        <v>322.18181818181819</v>
      </c>
      <c r="T30" s="104">
        <f t="shared" si="5"/>
        <v>0</v>
      </c>
      <c r="V30">
        <f>K30/'Soil samples'!AK30*1000</f>
        <v>0.74615848699123188</v>
      </c>
      <c r="W30">
        <f>L30/'Soil samples'!AK30*1000</f>
        <v>0.25239063213110552</v>
      </c>
      <c r="X30" s="3">
        <f>M30/'Soil samples'!AK30*1000</f>
        <v>0</v>
      </c>
      <c r="Y30" s="31">
        <f t="shared" si="2"/>
        <v>0.10879999999999999</v>
      </c>
      <c r="Z30" s="104">
        <f t="shared" si="3"/>
        <v>0.10879999999999999</v>
      </c>
    </row>
    <row r="31" spans="1:26">
      <c r="A31" t="s">
        <v>34</v>
      </c>
      <c r="B31" t="s">
        <v>9</v>
      </c>
      <c r="C31" t="s">
        <v>13</v>
      </c>
      <c r="D31" s="8">
        <v>4</v>
      </c>
      <c r="E31">
        <v>5</v>
      </c>
      <c r="F31" t="s">
        <v>386</v>
      </c>
      <c r="G31" s="54">
        <v>0.58040000000000003</v>
      </c>
      <c r="H31" s="55" t="s">
        <v>469</v>
      </c>
      <c r="I31" s="55" t="s">
        <v>469</v>
      </c>
      <c r="J31" s="25">
        <v>42748</v>
      </c>
      <c r="K31" s="54">
        <v>0.123</v>
      </c>
      <c r="L31" s="55">
        <v>0</v>
      </c>
      <c r="M31" s="55">
        <v>0</v>
      </c>
      <c r="N31" s="25">
        <v>42751</v>
      </c>
      <c r="O31" s="104">
        <f t="shared" si="4"/>
        <v>0.45740000000000003</v>
      </c>
      <c r="P31" s="104" t="e">
        <f t="shared" si="4"/>
        <v>#VALUE!</v>
      </c>
      <c r="Q31" s="104" t="e">
        <f t="shared" si="4"/>
        <v>#VALUE!</v>
      </c>
      <c r="R31" s="104">
        <f t="shared" si="5"/>
        <v>371.86991869918705</v>
      </c>
      <c r="S31" s="104">
        <f t="shared" si="5"/>
        <v>0</v>
      </c>
      <c r="T31" s="104">
        <f t="shared" si="5"/>
        <v>0</v>
      </c>
      <c r="V31">
        <f>K31/'Soil samples'!AK31*1000</f>
        <v>1.6628121686654593</v>
      </c>
      <c r="W31">
        <f>L31/'Soil samples'!AK31*1000</f>
        <v>0</v>
      </c>
      <c r="X31" s="3">
        <f>M31/'Soil samples'!AK31*1000</f>
        <v>0</v>
      </c>
      <c r="Y31" s="31">
        <f t="shared" si="2"/>
        <v>0.123</v>
      </c>
      <c r="Z31" s="104">
        <f t="shared" si="3"/>
        <v>0.123</v>
      </c>
    </row>
    <row r="32" spans="1:26">
      <c r="A32" t="s">
        <v>35</v>
      </c>
      <c r="B32" t="s">
        <v>9</v>
      </c>
      <c r="C32" t="s">
        <v>13</v>
      </c>
      <c r="D32" s="8">
        <v>4</v>
      </c>
      <c r="E32">
        <v>20</v>
      </c>
      <c r="F32" t="s">
        <v>386</v>
      </c>
      <c r="G32" s="54">
        <v>0.1124</v>
      </c>
      <c r="H32" s="55" t="s">
        <v>469</v>
      </c>
      <c r="I32" s="55" t="s">
        <v>469</v>
      </c>
      <c r="J32" s="25">
        <v>42748</v>
      </c>
      <c r="K32" s="54">
        <v>3.27E-2</v>
      </c>
      <c r="L32" s="55">
        <v>0</v>
      </c>
      <c r="M32" s="55">
        <v>0</v>
      </c>
      <c r="N32" s="25">
        <v>42751</v>
      </c>
      <c r="O32" s="104">
        <f t="shared" si="4"/>
        <v>7.9699999999999993E-2</v>
      </c>
      <c r="P32" s="104" t="e">
        <f t="shared" si="4"/>
        <v>#VALUE!</v>
      </c>
      <c r="Q32" s="104" t="e">
        <f t="shared" si="4"/>
        <v>#VALUE!</v>
      </c>
      <c r="R32" s="104">
        <f t="shared" si="5"/>
        <v>243.73088685015287</v>
      </c>
      <c r="S32" s="104">
        <f t="shared" si="5"/>
        <v>0</v>
      </c>
      <c r="T32" s="104">
        <f t="shared" si="5"/>
        <v>0</v>
      </c>
      <c r="V32">
        <f>K32/'Soil samples'!AK32*1000</f>
        <v>0.46989750233038358</v>
      </c>
      <c r="W32">
        <f>L32/'Soil samples'!AK32*1000</f>
        <v>0</v>
      </c>
      <c r="X32" s="3">
        <f>M32/'Soil samples'!AK32*1000</f>
        <v>0</v>
      </c>
      <c r="Y32" s="31">
        <f t="shared" si="2"/>
        <v>3.27E-2</v>
      </c>
      <c r="Z32" s="104">
        <f t="shared" si="3"/>
        <v>3.27E-2</v>
      </c>
    </row>
    <row r="33" spans="1:26">
      <c r="A33" t="s">
        <v>36</v>
      </c>
      <c r="B33" t="s">
        <v>9</v>
      </c>
      <c r="C33" t="s">
        <v>13</v>
      </c>
      <c r="D33" s="8">
        <v>4</v>
      </c>
      <c r="E33">
        <v>30</v>
      </c>
      <c r="F33" t="s">
        <v>386</v>
      </c>
      <c r="G33" s="54">
        <v>0.12089999999999999</v>
      </c>
      <c r="H33" s="55" t="s">
        <v>469</v>
      </c>
      <c r="I33" s="55" t="s">
        <v>469</v>
      </c>
      <c r="J33" s="25">
        <v>42748</v>
      </c>
      <c r="K33" s="54">
        <v>2.3900000000000001E-2</v>
      </c>
      <c r="L33" s="55">
        <v>0</v>
      </c>
      <c r="M33" s="55">
        <v>0</v>
      </c>
      <c r="N33" s="25">
        <v>42751</v>
      </c>
      <c r="O33" s="104">
        <f t="shared" si="4"/>
        <v>9.6999999999999989E-2</v>
      </c>
      <c r="P33" s="104" t="e">
        <f t="shared" si="4"/>
        <v>#VALUE!</v>
      </c>
      <c r="Q33" s="104" t="e">
        <f t="shared" si="4"/>
        <v>#VALUE!</v>
      </c>
      <c r="R33" s="104">
        <f t="shared" si="5"/>
        <v>405.85774058577397</v>
      </c>
      <c r="S33" s="104">
        <f t="shared" si="5"/>
        <v>0</v>
      </c>
      <c r="T33" s="104">
        <f t="shared" si="5"/>
        <v>0</v>
      </c>
      <c r="V33">
        <f>K33/'Soil samples'!AK33*1000</f>
        <v>0.28441971940148414</v>
      </c>
      <c r="W33">
        <f>L33/'Soil samples'!AK33*1000</f>
        <v>0</v>
      </c>
      <c r="X33" s="3">
        <f>M33/'Soil samples'!AK33*1000</f>
        <v>0</v>
      </c>
      <c r="Y33" s="31">
        <f t="shared" si="2"/>
        <v>2.3900000000000001E-2</v>
      </c>
      <c r="Z33" s="104">
        <f t="shared" si="3"/>
        <v>2.3900000000000001E-2</v>
      </c>
    </row>
    <row r="34" spans="1:26">
      <c r="A34" t="s">
        <v>37</v>
      </c>
      <c r="B34" t="s">
        <v>9</v>
      </c>
      <c r="C34" t="s">
        <v>13</v>
      </c>
      <c r="D34" s="8">
        <v>5</v>
      </c>
      <c r="E34">
        <v>5</v>
      </c>
      <c r="F34" t="s">
        <v>386</v>
      </c>
      <c r="G34" s="54">
        <v>1.5390999999999999</v>
      </c>
      <c r="H34" s="55">
        <v>0.17799999999999999</v>
      </c>
      <c r="I34" s="55" t="s">
        <v>469</v>
      </c>
      <c r="J34" s="25">
        <v>42798</v>
      </c>
      <c r="K34" s="54">
        <v>0.28989999999999999</v>
      </c>
      <c r="L34" s="55">
        <v>6.9900000000000004E-2</v>
      </c>
      <c r="M34" s="55">
        <v>0</v>
      </c>
      <c r="N34" s="25">
        <v>42801</v>
      </c>
      <c r="O34" s="104">
        <f t="shared" si="4"/>
        <v>1.2491999999999999</v>
      </c>
      <c r="P34" s="104">
        <f t="shared" si="4"/>
        <v>0.10809999999999999</v>
      </c>
      <c r="Q34" s="104" t="e">
        <f t="shared" si="4"/>
        <v>#VALUE!</v>
      </c>
      <c r="R34" s="104">
        <f t="shared" si="5"/>
        <v>430.9072093825456</v>
      </c>
      <c r="S34" s="104">
        <f t="shared" si="5"/>
        <v>154.64949928469238</v>
      </c>
      <c r="T34" s="104">
        <f t="shared" si="5"/>
        <v>0</v>
      </c>
      <c r="U34" s="3" t="s">
        <v>696</v>
      </c>
      <c r="V34">
        <f>K34/'Soil samples'!AK34*1000</f>
        <v>4.4939330483346662</v>
      </c>
      <c r="W34">
        <f>L34/'Soil samples'!AK34*1000</f>
        <v>1.0835664714680691</v>
      </c>
      <c r="X34" s="3">
        <f>M34/'Soil samples'!AK34*1000</f>
        <v>0</v>
      </c>
      <c r="Y34" s="31">
        <f t="shared" si="2"/>
        <v>0.35980000000000001</v>
      </c>
      <c r="Z34" s="104">
        <f t="shared" si="3"/>
        <v>0.35980000000000001</v>
      </c>
    </row>
    <row r="35" spans="1:26">
      <c r="A35" t="s">
        <v>38</v>
      </c>
      <c r="B35" t="s">
        <v>9</v>
      </c>
      <c r="C35" t="s">
        <v>13</v>
      </c>
      <c r="D35" s="8">
        <v>5</v>
      </c>
      <c r="E35">
        <v>20</v>
      </c>
      <c r="F35" t="s">
        <v>386</v>
      </c>
      <c r="G35" s="54">
        <v>1.5212000000000001</v>
      </c>
      <c r="H35" s="55">
        <v>3.2399999999999998E-2</v>
      </c>
      <c r="I35" s="55" t="s">
        <v>469</v>
      </c>
      <c r="J35" s="25">
        <v>42798</v>
      </c>
      <c r="K35" s="54">
        <v>0.28891</v>
      </c>
      <c r="L35" s="55">
        <v>1.29E-2</v>
      </c>
      <c r="M35" s="55">
        <v>0</v>
      </c>
      <c r="N35" s="25">
        <v>42801</v>
      </c>
      <c r="O35" s="104">
        <f t="shared" si="4"/>
        <v>1.2322900000000001</v>
      </c>
      <c r="P35" s="104">
        <f t="shared" si="4"/>
        <v>1.9499999999999997E-2</v>
      </c>
      <c r="Q35" s="104" t="e">
        <f t="shared" si="4"/>
        <v>#VALUE!</v>
      </c>
      <c r="R35" s="104">
        <f t="shared" si="5"/>
        <v>426.53075352185806</v>
      </c>
      <c r="S35" s="104">
        <f t="shared" si="5"/>
        <v>151.16279069767441</v>
      </c>
      <c r="T35" s="104">
        <f t="shared" si="5"/>
        <v>0</v>
      </c>
      <c r="U35" s="3" t="s">
        <v>696</v>
      </c>
      <c r="V35">
        <f>K35/'Soil samples'!AK35*1000</f>
        <v>4.6647985824480465</v>
      </c>
      <c r="W35">
        <f>L35/'Soil samples'!AK35*1000</f>
        <v>0.20828597734097057</v>
      </c>
      <c r="X35" s="3">
        <f>M35/'Soil samples'!AK35*1000</f>
        <v>0</v>
      </c>
      <c r="Y35" s="31">
        <f t="shared" si="2"/>
        <v>0.30181000000000002</v>
      </c>
      <c r="Z35" s="104">
        <f t="shared" si="3"/>
        <v>0.30181000000000002</v>
      </c>
    </row>
    <row r="36" spans="1:26">
      <c r="A36" t="s">
        <v>39</v>
      </c>
      <c r="B36" t="s">
        <v>9</v>
      </c>
      <c r="C36" t="s">
        <v>13</v>
      </c>
      <c r="D36" s="8">
        <v>6</v>
      </c>
      <c r="E36">
        <v>5</v>
      </c>
      <c r="F36" t="s">
        <v>386</v>
      </c>
      <c r="G36" s="54">
        <v>1.0361</v>
      </c>
      <c r="H36" s="55">
        <v>2.6499999999999999E-2</v>
      </c>
      <c r="I36" s="100" t="s">
        <v>469</v>
      </c>
      <c r="J36" s="25">
        <v>42790</v>
      </c>
      <c r="K36" s="54">
        <v>0.33289999999999997</v>
      </c>
      <c r="L36" s="100">
        <v>6.1000000000000004E-3</v>
      </c>
      <c r="M36" s="55">
        <v>0</v>
      </c>
      <c r="N36" s="25">
        <v>42794</v>
      </c>
      <c r="O36" s="104">
        <f t="shared" si="4"/>
        <v>0.70320000000000005</v>
      </c>
      <c r="P36" s="104">
        <f t="shared" si="4"/>
        <v>2.0399999999999998E-2</v>
      </c>
      <c r="Q36" s="104" t="e">
        <f t="shared" si="4"/>
        <v>#VALUE!</v>
      </c>
      <c r="R36" s="104">
        <f t="shared" si="5"/>
        <v>211.23460498648248</v>
      </c>
      <c r="S36" s="104">
        <f t="shared" si="5"/>
        <v>334.42622950819663</v>
      </c>
      <c r="T36" s="104">
        <f t="shared" si="5"/>
        <v>0</v>
      </c>
      <c r="V36">
        <f>K36/'Soil samples'!AK36*1000</f>
        <v>11.532176489925567</v>
      </c>
      <c r="W36">
        <f>L36/'Soil samples'!AK36*1000</f>
        <v>0.21131353736421138</v>
      </c>
      <c r="X36" s="3">
        <f>M36/'Soil samples'!AK36*1000</f>
        <v>0</v>
      </c>
      <c r="Y36" s="31">
        <f t="shared" si="2"/>
        <v>0.33899999999999997</v>
      </c>
      <c r="Z36" s="104">
        <f t="shared" si="3"/>
        <v>0.33899999999999997</v>
      </c>
    </row>
    <row r="37" spans="1:26">
      <c r="A37" t="s">
        <v>40</v>
      </c>
      <c r="B37" t="s">
        <v>9</v>
      </c>
      <c r="C37" t="s">
        <v>13</v>
      </c>
      <c r="D37" s="8">
        <v>6</v>
      </c>
      <c r="E37">
        <v>20</v>
      </c>
      <c r="F37" t="s">
        <v>386</v>
      </c>
      <c r="G37" s="54">
        <v>1.0489999999999999</v>
      </c>
      <c r="H37" s="55" t="s">
        <v>469</v>
      </c>
      <c r="I37" s="100" t="s">
        <v>469</v>
      </c>
      <c r="J37" s="25">
        <v>42790</v>
      </c>
      <c r="K37" s="54">
        <v>0.2482</v>
      </c>
      <c r="L37" s="100">
        <v>0</v>
      </c>
      <c r="M37" s="55">
        <v>0</v>
      </c>
      <c r="N37" s="25">
        <v>42794</v>
      </c>
      <c r="O37" s="104">
        <f t="shared" si="4"/>
        <v>0.80079999999999996</v>
      </c>
      <c r="P37" s="104" t="e">
        <f t="shared" si="4"/>
        <v>#VALUE!</v>
      </c>
      <c r="Q37" s="104" t="e">
        <f t="shared" si="4"/>
        <v>#VALUE!</v>
      </c>
      <c r="R37" s="104">
        <f t="shared" si="5"/>
        <v>322.64302981466557</v>
      </c>
      <c r="S37" s="104">
        <f t="shared" si="5"/>
        <v>0</v>
      </c>
      <c r="T37" s="104">
        <f t="shared" si="5"/>
        <v>0</v>
      </c>
      <c r="V37">
        <f>K37/'Soil samples'!AK37*1000</f>
        <v>2.816875860215994</v>
      </c>
      <c r="W37">
        <f>L37/'Soil samples'!AK37*1000</f>
        <v>0</v>
      </c>
      <c r="X37" s="3">
        <f>M37/'Soil samples'!AK37*1000</f>
        <v>0</v>
      </c>
      <c r="Y37" s="31">
        <f t="shared" si="2"/>
        <v>0.2482</v>
      </c>
      <c r="Z37" s="104">
        <f t="shared" si="3"/>
        <v>0.2482</v>
      </c>
    </row>
    <row r="38" spans="1:26" s="4" customFormat="1">
      <c r="A38" s="4" t="s">
        <v>41</v>
      </c>
      <c r="B38" s="4" t="s">
        <v>9</v>
      </c>
      <c r="C38" s="4" t="s">
        <v>13</v>
      </c>
      <c r="D38" s="4">
        <v>6</v>
      </c>
      <c r="E38" s="4">
        <v>30</v>
      </c>
      <c r="F38" s="4" t="s">
        <v>386</v>
      </c>
      <c r="G38" s="101">
        <v>0.54369999999999996</v>
      </c>
      <c r="H38" s="102" t="s">
        <v>469</v>
      </c>
      <c r="I38" s="102" t="s">
        <v>469</v>
      </c>
      <c r="J38" s="27">
        <v>42790</v>
      </c>
      <c r="K38" s="101">
        <v>0.16189999999999999</v>
      </c>
      <c r="L38" s="100">
        <v>0</v>
      </c>
      <c r="M38" s="55">
        <v>0</v>
      </c>
      <c r="N38" s="25">
        <v>42794</v>
      </c>
      <c r="O38" s="102">
        <f t="shared" si="4"/>
        <v>0.38179999999999997</v>
      </c>
      <c r="P38" s="102" t="e">
        <f t="shared" si="4"/>
        <v>#VALUE!</v>
      </c>
      <c r="Q38" s="102" t="e">
        <f t="shared" si="4"/>
        <v>#VALUE!</v>
      </c>
      <c r="R38" s="102">
        <f t="shared" si="5"/>
        <v>235.82458307597284</v>
      </c>
      <c r="S38" s="102">
        <f t="shared" si="5"/>
        <v>0</v>
      </c>
      <c r="T38" s="102">
        <f t="shared" si="5"/>
        <v>0</v>
      </c>
      <c r="U38" s="5"/>
      <c r="V38">
        <f>K38/'Soil samples'!AK38*1000</f>
        <v>1.2267917014572818</v>
      </c>
      <c r="W38">
        <f>L38/'Soil samples'!AK38*1000</f>
        <v>0</v>
      </c>
      <c r="X38" s="3">
        <f>M38/'Soil samples'!AK38*1000</f>
        <v>0</v>
      </c>
      <c r="Y38" s="31">
        <f t="shared" si="2"/>
        <v>0.16189999999999999</v>
      </c>
      <c r="Z38" s="104">
        <f t="shared" si="3"/>
        <v>0.16189999999999999</v>
      </c>
    </row>
    <row r="39" spans="1:26">
      <c r="A39" s="6" t="s">
        <v>43</v>
      </c>
      <c r="B39" s="6" t="s">
        <v>196</v>
      </c>
      <c r="C39" t="s">
        <v>12</v>
      </c>
      <c r="D39" s="8">
        <v>1</v>
      </c>
      <c r="E39">
        <v>5</v>
      </c>
      <c r="F39" t="s">
        <v>376</v>
      </c>
      <c r="G39" s="54">
        <v>2.8313000000000001</v>
      </c>
      <c r="H39" s="55">
        <v>0.18690000000000001</v>
      </c>
      <c r="I39" s="55" t="s">
        <v>469</v>
      </c>
      <c r="J39" s="25">
        <v>42769</v>
      </c>
      <c r="K39" s="100">
        <v>0.54200000000000004</v>
      </c>
      <c r="L39" s="100">
        <v>3.5099999999999999E-2</v>
      </c>
      <c r="M39" s="55">
        <v>0</v>
      </c>
      <c r="N39" s="25">
        <v>42772</v>
      </c>
      <c r="O39" s="104">
        <f t="shared" si="4"/>
        <v>2.2892999999999999</v>
      </c>
      <c r="P39" s="104">
        <f t="shared" si="4"/>
        <v>0.15180000000000002</v>
      </c>
      <c r="Q39" s="104" t="e">
        <f t="shared" si="4"/>
        <v>#VALUE!</v>
      </c>
      <c r="R39" s="104">
        <f t="shared" si="5"/>
        <v>422.38007380073793</v>
      </c>
      <c r="S39" s="104">
        <f t="shared" si="5"/>
        <v>432.47863247863256</v>
      </c>
      <c r="T39" s="104">
        <f t="shared" si="5"/>
        <v>0</v>
      </c>
      <c r="V39">
        <f>K39/'Soil samples'!AK39*1000</f>
        <v>11.94860466623957</v>
      </c>
      <c r="W39">
        <f>L39/'Soil samples'!AK39*1000</f>
        <v>0.77379340181735945</v>
      </c>
      <c r="X39" s="3">
        <f>M39/'Soil samples'!AK39*1000</f>
        <v>0</v>
      </c>
      <c r="Y39" s="31">
        <f t="shared" si="2"/>
        <v>0.57710000000000006</v>
      </c>
      <c r="Z39" s="104">
        <f t="shared" si="3"/>
        <v>0.57710000000000006</v>
      </c>
    </row>
    <row r="40" spans="1:26">
      <c r="A40" s="6" t="s">
        <v>44</v>
      </c>
      <c r="B40" s="6" t="s">
        <v>196</v>
      </c>
      <c r="C40" t="s">
        <v>12</v>
      </c>
      <c r="D40" s="8">
        <v>1</v>
      </c>
      <c r="E40">
        <v>10</v>
      </c>
      <c r="G40" s="54">
        <v>1.3594999999999999</v>
      </c>
      <c r="H40" s="55">
        <v>0.2117</v>
      </c>
      <c r="I40" s="55" t="s">
        <v>469</v>
      </c>
      <c r="J40" s="25">
        <v>42769</v>
      </c>
      <c r="K40" s="54">
        <v>0.32669999999999999</v>
      </c>
      <c r="L40" s="100">
        <v>7.3800000000000004E-2</v>
      </c>
      <c r="M40" s="55">
        <v>0</v>
      </c>
      <c r="N40" s="25">
        <v>42772</v>
      </c>
      <c r="O40" s="104">
        <f t="shared" si="4"/>
        <v>1.0327999999999999</v>
      </c>
      <c r="P40" s="104">
        <f t="shared" si="4"/>
        <v>0.13789999999999999</v>
      </c>
      <c r="Q40" s="104" t="e">
        <f t="shared" si="4"/>
        <v>#VALUE!</v>
      </c>
      <c r="R40" s="104">
        <f t="shared" si="5"/>
        <v>316.13100704009798</v>
      </c>
      <c r="S40" s="104">
        <f t="shared" si="5"/>
        <v>186.85636856368561</v>
      </c>
      <c r="T40" s="104">
        <f t="shared" si="5"/>
        <v>0</v>
      </c>
      <c r="V40">
        <f>K40/'Soil samples'!AK40*1000</f>
        <v>13.286255874276721</v>
      </c>
      <c r="W40">
        <f>L40/'Soil samples'!AK40*1000</f>
        <v>3.0013029798641635</v>
      </c>
      <c r="X40" s="3">
        <f>M40/'Soil samples'!AK40*1000</f>
        <v>0</v>
      </c>
      <c r="Y40" s="31">
        <f t="shared" si="2"/>
        <v>0.40049999999999997</v>
      </c>
      <c r="Z40" s="104">
        <f t="shared" si="3"/>
        <v>0.40049999999999997</v>
      </c>
    </row>
    <row r="41" spans="1:26">
      <c r="A41" s="6" t="s">
        <v>45</v>
      </c>
      <c r="B41" s="6" t="s">
        <v>196</v>
      </c>
      <c r="C41" t="s">
        <v>12</v>
      </c>
      <c r="D41" s="8">
        <v>1</v>
      </c>
      <c r="E41">
        <v>20</v>
      </c>
      <c r="G41" s="54">
        <v>0.57099999999999995</v>
      </c>
      <c r="H41" s="55">
        <v>1.7399999999999999E-2</v>
      </c>
      <c r="I41" s="55" t="s">
        <v>469</v>
      </c>
      <c r="J41" s="25">
        <v>42769</v>
      </c>
      <c r="K41" s="54">
        <v>0.1351</v>
      </c>
      <c r="L41" s="100">
        <v>6.1000000000000004E-3</v>
      </c>
      <c r="M41" s="55">
        <v>0</v>
      </c>
      <c r="N41" s="25">
        <v>42772</v>
      </c>
      <c r="O41" s="104">
        <f t="shared" si="4"/>
        <v>0.43589999999999995</v>
      </c>
      <c r="P41" s="104">
        <f t="shared" si="4"/>
        <v>1.1299999999999998E-2</v>
      </c>
      <c r="Q41" s="104" t="e">
        <f t="shared" si="4"/>
        <v>#VALUE!</v>
      </c>
      <c r="R41" s="104">
        <f t="shared" si="5"/>
        <v>322.64988897113244</v>
      </c>
      <c r="S41" s="104">
        <f t="shared" si="5"/>
        <v>185.2459016393442</v>
      </c>
      <c r="T41" s="104">
        <f t="shared" si="5"/>
        <v>0</v>
      </c>
      <c r="V41">
        <f>K41/'Soil samples'!AK41*1000</f>
        <v>2.4793056681769636</v>
      </c>
      <c r="W41">
        <f>L41/'Soil samples'!AK41*1000</f>
        <v>0.11194496355203168</v>
      </c>
      <c r="X41" s="3">
        <f>M41/'Soil samples'!AK41*1000</f>
        <v>0</v>
      </c>
      <c r="Y41" s="31">
        <f t="shared" si="2"/>
        <v>0.14119999999999999</v>
      </c>
      <c r="Z41" s="104">
        <f t="shared" si="3"/>
        <v>0.14119999999999999</v>
      </c>
    </row>
    <row r="42" spans="1:26">
      <c r="A42" s="6" t="s">
        <v>46</v>
      </c>
      <c r="B42" s="6" t="s">
        <v>196</v>
      </c>
      <c r="C42" t="s">
        <v>12</v>
      </c>
      <c r="D42" s="8">
        <v>1</v>
      </c>
      <c r="E42">
        <v>30</v>
      </c>
      <c r="G42" s="54">
        <v>0.5534</v>
      </c>
      <c r="H42" s="55" t="s">
        <v>469</v>
      </c>
      <c r="I42" s="55" t="s">
        <v>469</v>
      </c>
      <c r="J42" s="25">
        <v>42769</v>
      </c>
      <c r="K42" s="54">
        <v>0.1512</v>
      </c>
      <c r="L42" s="55">
        <v>0</v>
      </c>
      <c r="M42" s="55">
        <v>0</v>
      </c>
      <c r="N42" s="25">
        <v>42772</v>
      </c>
      <c r="O42" s="104">
        <f t="shared" si="4"/>
        <v>0.4022</v>
      </c>
      <c r="P42" s="104" t="e">
        <f t="shared" si="4"/>
        <v>#VALUE!</v>
      </c>
      <c r="Q42" s="104" t="e">
        <f t="shared" si="4"/>
        <v>#VALUE!</v>
      </c>
      <c r="R42" s="104">
        <f t="shared" si="5"/>
        <v>266.00529100529104</v>
      </c>
      <c r="S42" s="104">
        <f t="shared" si="5"/>
        <v>0</v>
      </c>
      <c r="T42" s="104">
        <f t="shared" si="5"/>
        <v>0</v>
      </c>
      <c r="V42">
        <f>K42/'Soil samples'!AK42*1000</f>
        <v>1.4825079781355091</v>
      </c>
      <c r="W42">
        <f>L42/'Soil samples'!AK42*1000</f>
        <v>0</v>
      </c>
      <c r="X42" s="3">
        <f>M42/'Soil samples'!AK42*1000</f>
        <v>0</v>
      </c>
      <c r="Y42" s="31">
        <f t="shared" si="2"/>
        <v>0.1512</v>
      </c>
      <c r="Z42" s="104">
        <f t="shared" si="3"/>
        <v>0.1512</v>
      </c>
    </row>
    <row r="43" spans="1:26">
      <c r="A43" s="6" t="s">
        <v>47</v>
      </c>
      <c r="B43" s="6" t="s">
        <v>196</v>
      </c>
      <c r="C43" t="s">
        <v>12</v>
      </c>
      <c r="D43" s="8">
        <v>2</v>
      </c>
      <c r="E43">
        <v>5</v>
      </c>
      <c r="G43" s="54">
        <v>2.3839000000000001</v>
      </c>
      <c r="H43" s="55">
        <v>0.24079999999999999</v>
      </c>
      <c r="I43" s="55" t="s">
        <v>469</v>
      </c>
      <c r="J43" s="25">
        <v>42798</v>
      </c>
      <c r="K43" s="54">
        <v>0.46550000000000002</v>
      </c>
      <c r="L43" s="55">
        <v>4.8099999999999997E-2</v>
      </c>
      <c r="M43" s="55">
        <v>0</v>
      </c>
      <c r="N43" s="25">
        <v>42801</v>
      </c>
      <c r="O43" s="104">
        <f t="shared" si="4"/>
        <v>1.9184000000000001</v>
      </c>
      <c r="P43" s="104">
        <f t="shared" si="4"/>
        <v>0.19269999999999998</v>
      </c>
      <c r="Q43" s="104" t="e">
        <f t="shared" si="4"/>
        <v>#VALUE!</v>
      </c>
      <c r="R43" s="104">
        <f t="shared" si="5"/>
        <v>412.11600429645546</v>
      </c>
      <c r="S43" s="104">
        <f t="shared" si="5"/>
        <v>400.62370062370059</v>
      </c>
      <c r="T43" s="104">
        <f t="shared" si="5"/>
        <v>0</v>
      </c>
      <c r="U43" s="3" t="s">
        <v>696</v>
      </c>
      <c r="V43">
        <f>K43/'Soil samples'!AK43*1000</f>
        <v>15.543703859391002</v>
      </c>
      <c r="W43">
        <f>L43/'Soil samples'!AK43*1000</f>
        <v>1.6061270797781033</v>
      </c>
      <c r="X43" s="3">
        <f>M43/'Soil samples'!AK43*1000</f>
        <v>0</v>
      </c>
      <c r="Y43" s="31">
        <f t="shared" si="2"/>
        <v>0.51360000000000006</v>
      </c>
      <c r="Z43" s="104">
        <f t="shared" si="3"/>
        <v>0.51360000000000006</v>
      </c>
    </row>
    <row r="44" spans="1:26">
      <c r="A44" s="6" t="s">
        <v>48</v>
      </c>
      <c r="B44" s="6" t="s">
        <v>196</v>
      </c>
      <c r="C44" t="s">
        <v>12</v>
      </c>
      <c r="D44" s="8">
        <v>2</v>
      </c>
      <c r="E44">
        <v>10</v>
      </c>
      <c r="G44" s="54">
        <v>0.3518</v>
      </c>
      <c r="H44" s="55" t="s">
        <v>469</v>
      </c>
      <c r="I44" s="55" t="s">
        <v>469</v>
      </c>
      <c r="J44" s="25">
        <v>42798</v>
      </c>
      <c r="K44" s="54">
        <v>7.0699999999999999E-2</v>
      </c>
      <c r="L44" s="55">
        <v>0</v>
      </c>
      <c r="M44" s="55">
        <v>0</v>
      </c>
      <c r="N44" s="25">
        <v>42801</v>
      </c>
      <c r="O44" s="104">
        <f t="shared" si="4"/>
        <v>0.28110000000000002</v>
      </c>
      <c r="P44" s="104" t="e">
        <f t="shared" si="4"/>
        <v>#VALUE!</v>
      </c>
      <c r="Q44" s="104" t="e">
        <f t="shared" si="4"/>
        <v>#VALUE!</v>
      </c>
      <c r="R44" s="104">
        <f t="shared" si="5"/>
        <v>397.59547383309763</v>
      </c>
      <c r="S44" s="104">
        <f t="shared" si="5"/>
        <v>0</v>
      </c>
      <c r="T44" s="104">
        <f t="shared" si="5"/>
        <v>0</v>
      </c>
      <c r="U44" s="3" t="s">
        <v>696</v>
      </c>
      <c r="V44">
        <f>K44/'Soil samples'!AK44*1000</f>
        <v>1.67405413642677</v>
      </c>
      <c r="W44">
        <f>L44/'Soil samples'!AK44*1000</f>
        <v>0</v>
      </c>
      <c r="X44" s="3">
        <f>M44/'Soil samples'!AK44*1000</f>
        <v>0</v>
      </c>
      <c r="Y44" s="31">
        <f t="shared" si="2"/>
        <v>7.0699999999999999E-2</v>
      </c>
      <c r="Z44" s="104">
        <f t="shared" si="3"/>
        <v>7.0699999999999999E-2</v>
      </c>
    </row>
    <row r="45" spans="1:26">
      <c r="A45" s="6" t="s">
        <v>49</v>
      </c>
      <c r="B45" s="6" t="s">
        <v>196</v>
      </c>
      <c r="C45" t="s">
        <v>12</v>
      </c>
      <c r="D45" s="8">
        <v>2</v>
      </c>
      <c r="E45">
        <v>20</v>
      </c>
      <c r="G45" s="54">
        <v>0.2036</v>
      </c>
      <c r="H45" s="55" t="s">
        <v>469</v>
      </c>
      <c r="I45" s="55" t="s">
        <v>469</v>
      </c>
      <c r="J45" s="25">
        <v>42798</v>
      </c>
      <c r="K45" s="54">
        <v>4.41E-2</v>
      </c>
      <c r="L45" s="55">
        <v>0</v>
      </c>
      <c r="M45" s="55">
        <v>0</v>
      </c>
      <c r="N45" s="25">
        <v>42801</v>
      </c>
      <c r="O45" s="104">
        <f t="shared" si="4"/>
        <v>0.1595</v>
      </c>
      <c r="P45" s="104" t="e">
        <f t="shared" si="4"/>
        <v>#VALUE!</v>
      </c>
      <c r="Q45" s="104" t="e">
        <f t="shared" si="4"/>
        <v>#VALUE!</v>
      </c>
      <c r="R45" s="104">
        <f t="shared" si="5"/>
        <v>361.67800453514741</v>
      </c>
      <c r="S45" s="104">
        <f t="shared" si="5"/>
        <v>0</v>
      </c>
      <c r="T45" s="104">
        <f t="shared" si="5"/>
        <v>0</v>
      </c>
      <c r="U45" s="3" t="s">
        <v>696</v>
      </c>
      <c r="V45">
        <f>K45/'Soil samples'!AK45*1000</f>
        <v>0.92459270707446339</v>
      </c>
      <c r="W45">
        <f>L45/'Soil samples'!AK45*1000</f>
        <v>0</v>
      </c>
      <c r="X45" s="3">
        <f>M45/'Soil samples'!AK45*1000</f>
        <v>0</v>
      </c>
      <c r="Y45" s="31">
        <f t="shared" si="2"/>
        <v>4.41E-2</v>
      </c>
      <c r="Z45" s="104">
        <f t="shared" si="3"/>
        <v>4.41E-2</v>
      </c>
    </row>
    <row r="46" spans="1:26">
      <c r="A46" s="6" t="s">
        <v>50</v>
      </c>
      <c r="B46" s="6" t="s">
        <v>196</v>
      </c>
      <c r="C46" t="s">
        <v>12</v>
      </c>
      <c r="D46" s="8">
        <v>2</v>
      </c>
      <c r="E46">
        <v>30</v>
      </c>
      <c r="G46" s="54">
        <v>7.6200000000000004E-2</v>
      </c>
      <c r="H46" s="55">
        <v>1.8100000000000002E-2</v>
      </c>
      <c r="I46" s="55" t="s">
        <v>469</v>
      </c>
      <c r="J46" s="25">
        <v>42798</v>
      </c>
      <c r="K46" s="54">
        <v>1.9800000000000002E-2</v>
      </c>
      <c r="L46" s="55">
        <v>2.5999999999999999E-3</v>
      </c>
      <c r="M46" s="55">
        <v>0</v>
      </c>
      <c r="N46" s="25">
        <v>42801</v>
      </c>
      <c r="O46" s="104">
        <f t="shared" si="4"/>
        <v>5.6400000000000006E-2</v>
      </c>
      <c r="P46" s="104">
        <f t="shared" si="4"/>
        <v>1.5500000000000002E-2</v>
      </c>
      <c r="Q46" s="104" t="e">
        <f t="shared" si="4"/>
        <v>#VALUE!</v>
      </c>
      <c r="R46" s="104">
        <f t="shared" si="5"/>
        <v>284.84848484848487</v>
      </c>
      <c r="S46" s="104">
        <f t="shared" si="5"/>
        <v>596.1538461538463</v>
      </c>
      <c r="T46" s="104">
        <f t="shared" si="5"/>
        <v>0</v>
      </c>
      <c r="U46" s="3" t="s">
        <v>699</v>
      </c>
      <c r="V46">
        <f>K46/'Soil samples'!AK46*1000</f>
        <v>0.382728376842147</v>
      </c>
      <c r="W46">
        <f>L46/'Soil samples'!AK46*1000</f>
        <v>5.0257261605534446E-2</v>
      </c>
      <c r="X46" s="3">
        <f>M46/'Soil samples'!AK46*1000</f>
        <v>0</v>
      </c>
      <c r="Y46" s="31">
        <f t="shared" si="2"/>
        <v>2.2400000000000003E-2</v>
      </c>
      <c r="Z46" s="104">
        <f t="shared" si="3"/>
        <v>2.2400000000000003E-2</v>
      </c>
    </row>
    <row r="47" spans="1:26">
      <c r="A47" s="6" t="s">
        <v>51</v>
      </c>
      <c r="B47" s="6" t="s">
        <v>196</v>
      </c>
      <c r="C47" t="s">
        <v>12</v>
      </c>
      <c r="D47" s="8">
        <v>3</v>
      </c>
      <c r="E47">
        <v>5</v>
      </c>
      <c r="F47" t="s">
        <v>376</v>
      </c>
      <c r="G47" s="54">
        <v>15.5739</v>
      </c>
      <c r="H47" s="55" t="s">
        <v>469</v>
      </c>
      <c r="I47" s="55" t="s">
        <v>469</v>
      </c>
      <c r="J47" s="25">
        <v>42822</v>
      </c>
      <c r="K47" s="54">
        <v>1.617</v>
      </c>
      <c r="L47" s="55">
        <v>0</v>
      </c>
      <c r="M47" s="55">
        <v>0</v>
      </c>
      <c r="N47" s="25">
        <v>42825</v>
      </c>
      <c r="O47" s="104">
        <f t="shared" si="4"/>
        <v>13.956900000000001</v>
      </c>
      <c r="P47" s="104" t="e">
        <f t="shared" si="4"/>
        <v>#VALUE!</v>
      </c>
      <c r="Q47" s="104" t="e">
        <f t="shared" si="4"/>
        <v>#VALUE!</v>
      </c>
      <c r="R47" s="104">
        <f t="shared" si="5"/>
        <v>863.13543599257889</v>
      </c>
      <c r="S47" s="104">
        <f t="shared" si="5"/>
        <v>0</v>
      </c>
      <c r="T47" s="104">
        <f t="shared" si="5"/>
        <v>0</v>
      </c>
      <c r="V47">
        <f>K47/'Soil samples'!AK47*1000</f>
        <v>449.90208353397918</v>
      </c>
      <c r="W47">
        <f>L47/'Soil samples'!AK47*1000</f>
        <v>0</v>
      </c>
      <c r="X47" s="3">
        <f>M47/'Soil samples'!AK47*1000</f>
        <v>0</v>
      </c>
      <c r="Y47" s="31">
        <f t="shared" si="2"/>
        <v>1.617</v>
      </c>
      <c r="Z47" s="104">
        <f t="shared" si="3"/>
        <v>1.617</v>
      </c>
    </row>
    <row r="48" spans="1:26">
      <c r="A48" s="6" t="s">
        <v>52</v>
      </c>
      <c r="B48" s="6" t="s">
        <v>196</v>
      </c>
      <c r="C48" t="s">
        <v>12</v>
      </c>
      <c r="D48" s="8">
        <v>4</v>
      </c>
      <c r="E48">
        <v>5</v>
      </c>
      <c r="F48" t="s">
        <v>543</v>
      </c>
      <c r="G48" s="54">
        <v>2.0447000000000002</v>
      </c>
      <c r="H48" s="55" t="s">
        <v>469</v>
      </c>
      <c r="I48" s="55" t="s">
        <v>469</v>
      </c>
      <c r="J48" s="25">
        <v>42767</v>
      </c>
      <c r="K48" s="54">
        <v>0.40050000000000002</v>
      </c>
      <c r="L48" s="55">
        <v>0</v>
      </c>
      <c r="M48" s="55">
        <v>0</v>
      </c>
      <c r="N48" s="25">
        <v>42770</v>
      </c>
      <c r="O48" s="104">
        <f t="shared" si="4"/>
        <v>1.6442000000000001</v>
      </c>
      <c r="P48" s="104" t="e">
        <f t="shared" si="4"/>
        <v>#VALUE!</v>
      </c>
      <c r="Q48" s="104" t="e">
        <f t="shared" si="4"/>
        <v>#VALUE!</v>
      </c>
      <c r="R48" s="104">
        <f t="shared" si="5"/>
        <v>410.53682896379524</v>
      </c>
      <c r="S48" s="104">
        <f t="shared" si="5"/>
        <v>0</v>
      </c>
      <c r="T48" s="104">
        <f t="shared" si="5"/>
        <v>0</v>
      </c>
      <c r="V48">
        <f>K48/'Soil samples'!AK48*1000</f>
        <v>31.89077227058177</v>
      </c>
      <c r="W48">
        <f>L48/'Soil samples'!AK48*1000</f>
        <v>0</v>
      </c>
      <c r="X48" s="3">
        <f>M48/'Soil samples'!AK48*1000</f>
        <v>0</v>
      </c>
      <c r="Y48" s="31">
        <f t="shared" si="2"/>
        <v>0.40050000000000002</v>
      </c>
      <c r="Z48" s="104">
        <f t="shared" si="3"/>
        <v>0.40050000000000002</v>
      </c>
    </row>
    <row r="49" spans="1:26">
      <c r="A49" s="6" t="s">
        <v>53</v>
      </c>
      <c r="B49" s="6" t="s">
        <v>196</v>
      </c>
      <c r="C49" t="s">
        <v>12</v>
      </c>
      <c r="D49" s="8">
        <v>4</v>
      </c>
      <c r="E49">
        <v>10</v>
      </c>
      <c r="F49" t="s">
        <v>543</v>
      </c>
      <c r="G49" s="54">
        <v>0.1615</v>
      </c>
      <c r="H49" s="55" t="s">
        <v>469</v>
      </c>
      <c r="I49" s="55" t="s">
        <v>469</v>
      </c>
      <c r="J49" s="25">
        <v>42767</v>
      </c>
      <c r="K49" s="54">
        <v>3.2399999999999998E-2</v>
      </c>
      <c r="L49" s="55">
        <v>0</v>
      </c>
      <c r="M49" s="55">
        <v>0</v>
      </c>
      <c r="N49" s="25">
        <v>42770</v>
      </c>
      <c r="O49" s="104">
        <f t="shared" si="4"/>
        <v>0.12909999999999999</v>
      </c>
      <c r="P49" s="104" t="e">
        <f t="shared" si="4"/>
        <v>#VALUE!</v>
      </c>
      <c r="Q49" s="104" t="e">
        <f t="shared" si="4"/>
        <v>#VALUE!</v>
      </c>
      <c r="R49" s="104">
        <f t="shared" si="5"/>
        <v>398.45679012345681</v>
      </c>
      <c r="S49" s="104">
        <f t="shared" si="5"/>
        <v>0</v>
      </c>
      <c r="T49" s="104">
        <f t="shared" si="5"/>
        <v>0</v>
      </c>
      <c r="V49">
        <f>K49/'Soil samples'!AK49*1000</f>
        <v>0.547492551088261</v>
      </c>
      <c r="W49">
        <f>L49/'Soil samples'!AK49*1000</f>
        <v>0</v>
      </c>
      <c r="X49" s="3">
        <f>M49/'Soil samples'!AK49*1000</f>
        <v>0</v>
      </c>
      <c r="Y49" s="31">
        <f t="shared" si="2"/>
        <v>3.2399999999999998E-2</v>
      </c>
      <c r="Z49" s="104">
        <f t="shared" si="3"/>
        <v>3.2399999999999998E-2</v>
      </c>
    </row>
    <row r="50" spans="1:26">
      <c r="A50" s="6" t="s">
        <v>54</v>
      </c>
      <c r="B50" s="6" t="s">
        <v>196</v>
      </c>
      <c r="C50" t="s">
        <v>12</v>
      </c>
      <c r="D50" s="8">
        <v>4</v>
      </c>
      <c r="E50">
        <v>20</v>
      </c>
      <c r="F50" t="s">
        <v>543</v>
      </c>
      <c r="G50" s="54">
        <v>7.9399999999999998E-2</v>
      </c>
      <c r="H50" s="55" t="s">
        <v>469</v>
      </c>
      <c r="I50" s="55" t="s">
        <v>469</v>
      </c>
      <c r="J50" s="25">
        <v>42767</v>
      </c>
      <c r="K50" s="54">
        <v>1.7600000000000001E-2</v>
      </c>
      <c r="L50" s="55">
        <v>0</v>
      </c>
      <c r="M50" s="55">
        <v>0</v>
      </c>
      <c r="N50" s="25">
        <v>42770</v>
      </c>
      <c r="O50" s="104">
        <f t="shared" si="4"/>
        <v>6.1799999999999994E-2</v>
      </c>
      <c r="P50" s="104" t="e">
        <f t="shared" si="4"/>
        <v>#VALUE!</v>
      </c>
      <c r="Q50" s="104" t="e">
        <f t="shared" si="4"/>
        <v>#VALUE!</v>
      </c>
      <c r="R50" s="104">
        <f t="shared" si="5"/>
        <v>351.13636363636357</v>
      </c>
      <c r="S50" s="104">
        <f t="shared" si="5"/>
        <v>0</v>
      </c>
      <c r="T50" s="104">
        <f t="shared" si="5"/>
        <v>0</v>
      </c>
      <c r="V50">
        <f>K50/'Soil samples'!AK50*1000</f>
        <v>0.2258448262503836</v>
      </c>
      <c r="W50">
        <f>L50/'Soil samples'!AK50*1000</f>
        <v>0</v>
      </c>
      <c r="X50" s="3">
        <f>M50/'Soil samples'!AK50*1000</f>
        <v>0</v>
      </c>
      <c r="Y50" s="31">
        <f t="shared" si="2"/>
        <v>1.7600000000000001E-2</v>
      </c>
      <c r="Z50" s="104">
        <f t="shared" si="3"/>
        <v>1.7600000000000001E-2</v>
      </c>
    </row>
    <row r="51" spans="1:26">
      <c r="A51" s="6" t="s">
        <v>55</v>
      </c>
      <c r="B51" s="6" t="s">
        <v>196</v>
      </c>
      <c r="C51" t="s">
        <v>12</v>
      </c>
      <c r="D51" s="8">
        <v>5</v>
      </c>
      <c r="E51">
        <v>5</v>
      </c>
      <c r="G51" s="54">
        <v>2.6568000000000001</v>
      </c>
      <c r="H51" s="55">
        <v>0.2072</v>
      </c>
      <c r="I51" s="55">
        <v>0.12479999999999999</v>
      </c>
      <c r="J51" s="25">
        <v>42418</v>
      </c>
      <c r="K51" s="54">
        <v>0.47149999999999997</v>
      </c>
      <c r="L51" s="100">
        <v>6.2899999999999998E-2</v>
      </c>
      <c r="M51" s="100">
        <v>2.6800000000000001E-2</v>
      </c>
      <c r="N51" s="25">
        <v>42421</v>
      </c>
      <c r="O51" s="104">
        <f t="shared" si="4"/>
        <v>2.1853000000000002</v>
      </c>
      <c r="P51" s="104">
        <f t="shared" si="4"/>
        <v>0.14429999999999998</v>
      </c>
      <c r="Q51" s="104">
        <f t="shared" si="4"/>
        <v>9.799999999999999E-2</v>
      </c>
      <c r="R51" s="104">
        <f t="shared" si="5"/>
        <v>463.47826086956525</v>
      </c>
      <c r="S51" s="104">
        <f t="shared" si="5"/>
        <v>229.41176470588235</v>
      </c>
      <c r="T51" s="104">
        <f t="shared" si="5"/>
        <v>365.67164179104475</v>
      </c>
      <c r="V51">
        <f>K51/'Soil samples'!AK51*1000</f>
        <v>49.559225764338301</v>
      </c>
      <c r="W51">
        <f>L51/'Soil samples'!AK51*1000</f>
        <v>6.6114004254016523</v>
      </c>
      <c r="X51" s="3">
        <f>M51/'Soil samples'!AK51*1000</f>
        <v>2.8169400858627074</v>
      </c>
      <c r="Y51" s="31">
        <f t="shared" si="2"/>
        <v>0.53439999999999999</v>
      </c>
      <c r="Z51" s="104">
        <f t="shared" si="3"/>
        <v>0.56120000000000003</v>
      </c>
    </row>
    <row r="52" spans="1:26">
      <c r="A52" s="6" t="s">
        <v>56</v>
      </c>
      <c r="B52" s="6" t="s">
        <v>196</v>
      </c>
      <c r="C52" t="s">
        <v>12</v>
      </c>
      <c r="D52" s="8">
        <v>5</v>
      </c>
      <c r="E52">
        <v>10</v>
      </c>
      <c r="G52" s="54">
        <v>0.57240000000000002</v>
      </c>
      <c r="H52" s="100" t="s">
        <v>469</v>
      </c>
      <c r="I52" s="100" t="s">
        <v>469</v>
      </c>
      <c r="J52" s="25">
        <v>42418</v>
      </c>
      <c r="K52" s="54">
        <v>9.9400000000000002E-2</v>
      </c>
      <c r="L52" s="100">
        <v>0</v>
      </c>
      <c r="M52" s="100">
        <v>0</v>
      </c>
      <c r="N52" s="25">
        <v>42421</v>
      </c>
      <c r="O52" s="104">
        <f t="shared" si="4"/>
        <v>0.47300000000000003</v>
      </c>
      <c r="P52" s="104" t="e">
        <f t="shared" si="4"/>
        <v>#VALUE!</v>
      </c>
      <c r="Q52" s="104" t="e">
        <f t="shared" si="4"/>
        <v>#VALUE!</v>
      </c>
      <c r="R52" s="104">
        <f t="shared" si="5"/>
        <v>475.85513078470825</v>
      </c>
      <c r="S52" s="104">
        <f t="shared" si="5"/>
        <v>0</v>
      </c>
      <c r="T52" s="104">
        <f t="shared" si="5"/>
        <v>0</v>
      </c>
      <c r="V52">
        <f>K52/'Soil samples'!AK52*1000</f>
        <v>4.2970534279643156</v>
      </c>
      <c r="W52">
        <f>L52/'Soil samples'!AK52*1000</f>
        <v>0</v>
      </c>
      <c r="X52" s="3">
        <f>M52/'Soil samples'!AK52*1000</f>
        <v>0</v>
      </c>
      <c r="Y52" s="31">
        <f t="shared" si="2"/>
        <v>9.9400000000000002E-2</v>
      </c>
      <c r="Z52" s="104">
        <f t="shared" si="3"/>
        <v>9.9400000000000002E-2</v>
      </c>
    </row>
    <row r="53" spans="1:26">
      <c r="A53" s="6" t="s">
        <v>57</v>
      </c>
      <c r="B53" s="6" t="s">
        <v>196</v>
      </c>
      <c r="C53" t="s">
        <v>12</v>
      </c>
      <c r="D53" s="8">
        <v>6</v>
      </c>
      <c r="E53">
        <v>5</v>
      </c>
      <c r="G53" s="54">
        <v>2.2736000000000001</v>
      </c>
      <c r="H53" s="55">
        <v>6.8400000000000002E-2</v>
      </c>
      <c r="I53" s="55">
        <v>8.5500000000000007E-2</v>
      </c>
      <c r="J53" s="25">
        <v>42767</v>
      </c>
      <c r="K53" s="54">
        <v>0.45250000000000001</v>
      </c>
      <c r="L53" s="100">
        <v>8.8000000000000005E-3</v>
      </c>
      <c r="M53" s="55">
        <v>1.7100000000000001E-2</v>
      </c>
      <c r="N53" s="25">
        <v>42770</v>
      </c>
      <c r="O53" s="104">
        <f t="shared" si="4"/>
        <v>1.8210999999999999</v>
      </c>
      <c r="P53" s="104">
        <f t="shared" si="4"/>
        <v>5.96E-2</v>
      </c>
      <c r="Q53" s="104">
        <f t="shared" si="4"/>
        <v>6.8400000000000002E-2</v>
      </c>
      <c r="R53" s="104">
        <f t="shared" si="5"/>
        <v>402.45303867403311</v>
      </c>
      <c r="S53" s="104">
        <f t="shared" si="5"/>
        <v>677.27272727272725</v>
      </c>
      <c r="T53" s="104">
        <f t="shared" si="5"/>
        <v>400</v>
      </c>
      <c r="V53">
        <f>K53/'Soil samples'!AK53*1000</f>
        <v>20.390018979921837</v>
      </c>
      <c r="W53">
        <f>L53/'Soil samples'!AK53*1000</f>
        <v>0.39653517574212638</v>
      </c>
      <c r="X53" s="3">
        <f>M53/'Soil samples'!AK53*1000</f>
        <v>0.77053994377163193</v>
      </c>
      <c r="Y53" s="31">
        <f t="shared" si="2"/>
        <v>0.46129999999999999</v>
      </c>
      <c r="Z53" s="104">
        <f t="shared" si="3"/>
        <v>0.47839999999999999</v>
      </c>
    </row>
    <row r="54" spans="1:26">
      <c r="A54" s="6" t="s">
        <v>58</v>
      </c>
      <c r="B54" s="6" t="s">
        <v>196</v>
      </c>
      <c r="C54" t="s">
        <v>12</v>
      </c>
      <c r="D54" s="8">
        <v>6</v>
      </c>
      <c r="E54">
        <v>10</v>
      </c>
      <c r="G54" s="54">
        <v>0.99950000000000006</v>
      </c>
      <c r="H54" s="55">
        <v>2.7300000000000001E-2</v>
      </c>
      <c r="I54" s="55" t="s">
        <v>469</v>
      </c>
      <c r="J54" s="25">
        <v>42767</v>
      </c>
      <c r="K54" s="54">
        <v>0.2404</v>
      </c>
      <c r="L54" s="100">
        <v>7.3000000000000001E-3</v>
      </c>
      <c r="M54" s="55">
        <v>0</v>
      </c>
      <c r="N54" s="25">
        <v>42770</v>
      </c>
      <c r="O54" s="104">
        <f t="shared" si="4"/>
        <v>0.75910000000000011</v>
      </c>
      <c r="P54" s="104">
        <f t="shared" si="4"/>
        <v>0.02</v>
      </c>
      <c r="Q54" s="104" t="e">
        <f t="shared" si="4"/>
        <v>#VALUE!</v>
      </c>
      <c r="R54" s="104">
        <f t="shared" si="5"/>
        <v>315.76539101497508</v>
      </c>
      <c r="S54" s="104">
        <f t="shared" si="5"/>
        <v>273.97260273972603</v>
      </c>
      <c r="T54" s="104">
        <f t="shared" si="5"/>
        <v>0</v>
      </c>
      <c r="V54">
        <f>K54/'Soil samples'!AK54*1000</f>
        <v>12.798796493476219</v>
      </c>
      <c r="W54">
        <f>L54/'Soil samples'!AK54*1000</f>
        <v>0.38864897837926954</v>
      </c>
      <c r="X54" s="3">
        <f>M54/'Soil samples'!AK54*1000</f>
        <v>0</v>
      </c>
      <c r="Y54" s="31">
        <f t="shared" si="2"/>
        <v>0.2477</v>
      </c>
      <c r="Z54" s="104">
        <f t="shared" si="3"/>
        <v>0.2477</v>
      </c>
    </row>
    <row r="55" spans="1:26">
      <c r="A55" s="6" t="s">
        <v>59</v>
      </c>
      <c r="B55" s="6" t="s">
        <v>196</v>
      </c>
      <c r="C55" t="s">
        <v>12</v>
      </c>
      <c r="D55" s="8">
        <v>6</v>
      </c>
      <c r="E55">
        <v>20</v>
      </c>
      <c r="G55" s="54">
        <v>0.86219999999999997</v>
      </c>
      <c r="H55" s="55" t="s">
        <v>469</v>
      </c>
      <c r="I55" s="55" t="s">
        <v>469</v>
      </c>
      <c r="J55" s="25">
        <v>42767</v>
      </c>
      <c r="K55" s="54">
        <v>0.15740000000000001</v>
      </c>
      <c r="L55" s="55">
        <v>0</v>
      </c>
      <c r="M55" s="55">
        <v>0</v>
      </c>
      <c r="N55" s="25">
        <v>42770</v>
      </c>
      <c r="O55" s="104">
        <f t="shared" si="4"/>
        <v>0.70479999999999998</v>
      </c>
      <c r="P55" s="104" t="e">
        <f t="shared" si="4"/>
        <v>#VALUE!</v>
      </c>
      <c r="Q55" s="104" t="e">
        <f t="shared" si="4"/>
        <v>#VALUE!</v>
      </c>
      <c r="R55" s="104">
        <f t="shared" si="5"/>
        <v>447.77636594663272</v>
      </c>
      <c r="S55" s="104">
        <f t="shared" si="5"/>
        <v>0</v>
      </c>
      <c r="T55" s="104">
        <f t="shared" si="5"/>
        <v>0</v>
      </c>
      <c r="V55">
        <f>K55/'Soil samples'!AK55*1000</f>
        <v>5.0951181044371854</v>
      </c>
      <c r="W55">
        <f>L55/'Soil samples'!AK55*1000</f>
        <v>0</v>
      </c>
      <c r="X55" s="3">
        <f>M55/'Soil samples'!AK55*1000</f>
        <v>0</v>
      </c>
      <c r="Y55" s="31">
        <f t="shared" si="2"/>
        <v>0.15740000000000001</v>
      </c>
      <c r="Z55" s="104">
        <f t="shared" si="3"/>
        <v>0.15740000000000001</v>
      </c>
    </row>
    <row r="56" spans="1:26">
      <c r="A56" s="6" t="s">
        <v>60</v>
      </c>
      <c r="B56" s="6" t="s">
        <v>196</v>
      </c>
      <c r="C56" t="s">
        <v>13</v>
      </c>
      <c r="D56" s="8">
        <v>1</v>
      </c>
      <c r="E56">
        <v>5</v>
      </c>
      <c r="G56" s="54">
        <v>1.2939000000000001</v>
      </c>
      <c r="H56" s="55">
        <v>0.43909999999999999</v>
      </c>
      <c r="I56" s="55">
        <v>0.44309999999999999</v>
      </c>
      <c r="J56" s="25">
        <v>42769</v>
      </c>
      <c r="K56" s="54">
        <v>0.2661</v>
      </c>
      <c r="L56" s="100">
        <v>0.16839999999999999</v>
      </c>
      <c r="M56" s="100">
        <v>0.16889999999999999</v>
      </c>
      <c r="N56" s="25">
        <v>42772</v>
      </c>
      <c r="O56" s="104">
        <f t="shared" si="4"/>
        <v>1.0278</v>
      </c>
      <c r="P56" s="104">
        <f t="shared" si="4"/>
        <v>0.2707</v>
      </c>
      <c r="Q56" s="104">
        <f t="shared" si="4"/>
        <v>0.2742</v>
      </c>
      <c r="R56" s="104">
        <f t="shared" si="5"/>
        <v>386.24577226606539</v>
      </c>
      <c r="S56" s="104">
        <f t="shared" si="5"/>
        <v>160.74821852731591</v>
      </c>
      <c r="T56" s="104">
        <f t="shared" si="5"/>
        <v>162.34458259325044</v>
      </c>
      <c r="V56">
        <f>K56/'Soil samples'!AK56*1000</f>
        <v>4.9170201954918502</v>
      </c>
      <c r="W56">
        <f>L56/'Soil samples'!AK56*1000</f>
        <v>3.1117106385600435</v>
      </c>
      <c r="X56" s="3">
        <f>M56/'Soil samples'!AK56*1000</f>
        <v>3.1209496843989988</v>
      </c>
      <c r="Y56" s="31">
        <f t="shared" si="2"/>
        <v>0.4345</v>
      </c>
      <c r="Z56" s="104">
        <f t="shared" si="3"/>
        <v>0.60339999999999994</v>
      </c>
    </row>
    <row r="57" spans="1:26">
      <c r="A57" s="6" t="s">
        <v>61</v>
      </c>
      <c r="B57" s="6" t="s">
        <v>196</v>
      </c>
      <c r="C57" t="s">
        <v>13</v>
      </c>
      <c r="D57" s="8">
        <v>1</v>
      </c>
      <c r="E57">
        <v>10</v>
      </c>
      <c r="G57" s="54">
        <v>0.3382</v>
      </c>
      <c r="H57" s="100">
        <v>0.1646</v>
      </c>
      <c r="I57" s="55" t="s">
        <v>469</v>
      </c>
      <c r="J57" s="25">
        <v>42769</v>
      </c>
      <c r="K57" s="54">
        <v>8.4199999999999997E-2</v>
      </c>
      <c r="L57" s="100">
        <v>4.2900000000000001E-2</v>
      </c>
      <c r="M57" s="55">
        <v>0</v>
      </c>
      <c r="N57" s="25">
        <v>42772</v>
      </c>
      <c r="O57" s="104">
        <f t="shared" si="4"/>
        <v>0.254</v>
      </c>
      <c r="P57" s="104">
        <f t="shared" si="4"/>
        <v>0.1217</v>
      </c>
      <c r="Q57" s="104" t="e">
        <f t="shared" si="4"/>
        <v>#VALUE!</v>
      </c>
      <c r="R57" s="104">
        <f t="shared" si="5"/>
        <v>301.66270783847983</v>
      </c>
      <c r="S57" s="104">
        <f t="shared" si="5"/>
        <v>283.68298368298366</v>
      </c>
      <c r="T57" s="104">
        <f t="shared" si="5"/>
        <v>0</v>
      </c>
      <c r="V57">
        <f>K57/'Soil samples'!AK57*1000</f>
        <v>1.0893621672388929</v>
      </c>
      <c r="W57">
        <f>L57/'Soil samples'!AK57*1000</f>
        <v>0.55503131798751193</v>
      </c>
      <c r="X57" s="3">
        <f>M57/'Soil samples'!AK57*1000</f>
        <v>0</v>
      </c>
      <c r="Y57" s="31">
        <f t="shared" si="2"/>
        <v>0.12709999999999999</v>
      </c>
      <c r="Z57" s="104">
        <f t="shared" si="3"/>
        <v>0.12709999999999999</v>
      </c>
    </row>
    <row r="58" spans="1:26">
      <c r="A58" s="6" t="s">
        <v>62</v>
      </c>
      <c r="B58" s="6" t="s">
        <v>196</v>
      </c>
      <c r="C58" t="s">
        <v>13</v>
      </c>
      <c r="D58" s="8">
        <v>1</v>
      </c>
      <c r="E58">
        <v>20</v>
      </c>
      <c r="G58" s="54">
        <v>0.28010000000000002</v>
      </c>
      <c r="H58" s="100">
        <v>3.8199999999999998E-2</v>
      </c>
      <c r="I58" s="55" t="s">
        <v>469</v>
      </c>
      <c r="J58" s="25">
        <v>42769</v>
      </c>
      <c r="K58" s="54">
        <v>6.8699999999999997E-2</v>
      </c>
      <c r="L58" s="100">
        <v>1.0200000000000001E-2</v>
      </c>
      <c r="M58" s="100">
        <v>0</v>
      </c>
      <c r="N58" s="25">
        <v>42772</v>
      </c>
      <c r="O58" s="104">
        <f t="shared" si="4"/>
        <v>0.21140000000000003</v>
      </c>
      <c r="P58" s="104">
        <f t="shared" si="4"/>
        <v>2.7999999999999997E-2</v>
      </c>
      <c r="Q58" s="104" t="e">
        <f t="shared" si="4"/>
        <v>#VALUE!</v>
      </c>
      <c r="R58" s="104">
        <f t="shared" si="5"/>
        <v>307.71470160116456</v>
      </c>
      <c r="S58" s="104">
        <f t="shared" si="5"/>
        <v>274.50980392156856</v>
      </c>
      <c r="T58" s="104">
        <f t="shared" si="5"/>
        <v>0</v>
      </c>
      <c r="V58">
        <f>K58/'Soil samples'!AK58*1000</f>
        <v>0.68872784796647135</v>
      </c>
      <c r="W58">
        <f>L58/'Soil samples'!AK58*1000</f>
        <v>0.10225653637930143</v>
      </c>
      <c r="X58" s="3">
        <f>M58/'Soil samples'!AK58*1000</f>
        <v>0</v>
      </c>
      <c r="Y58" s="31">
        <f t="shared" si="2"/>
        <v>7.8899999999999998E-2</v>
      </c>
      <c r="Z58" s="104">
        <f t="shared" si="3"/>
        <v>7.8899999999999998E-2</v>
      </c>
    </row>
    <row r="59" spans="1:26">
      <c r="A59" s="6" t="s">
        <v>63</v>
      </c>
      <c r="B59" s="6" t="s">
        <v>196</v>
      </c>
      <c r="C59" t="s">
        <v>13</v>
      </c>
      <c r="D59" s="8">
        <v>2</v>
      </c>
      <c r="E59">
        <v>5</v>
      </c>
      <c r="G59" s="54">
        <v>5.9748000000000001</v>
      </c>
      <c r="H59" s="55">
        <v>0.1105</v>
      </c>
      <c r="I59" s="55">
        <v>0.1055</v>
      </c>
      <c r="J59" s="25">
        <v>42767</v>
      </c>
      <c r="K59" s="54">
        <v>1.0938000000000001</v>
      </c>
      <c r="L59" s="100">
        <v>4.9099999999999998E-2</v>
      </c>
      <c r="M59" s="55">
        <v>3.6299999999999999E-2</v>
      </c>
      <c r="N59" s="25">
        <v>42770</v>
      </c>
      <c r="O59" s="104">
        <f t="shared" si="4"/>
        <v>4.8810000000000002</v>
      </c>
      <c r="P59" s="104">
        <f t="shared" si="4"/>
        <v>6.1400000000000003E-2</v>
      </c>
      <c r="Q59" s="104">
        <f t="shared" si="4"/>
        <v>6.9199999999999998E-2</v>
      </c>
      <c r="R59" s="104">
        <f t="shared" si="5"/>
        <v>446.2424574876577</v>
      </c>
      <c r="S59" s="104">
        <f t="shared" si="5"/>
        <v>125.05091649694502</v>
      </c>
      <c r="T59" s="104">
        <f t="shared" si="5"/>
        <v>190.63360881542698</v>
      </c>
      <c r="V59">
        <f>K59/'Soil samples'!AK59*1000</f>
        <v>208.4095227580957</v>
      </c>
      <c r="W59">
        <f>L59/'Soil samples'!AK59*1000</f>
        <v>9.3553735302820424</v>
      </c>
      <c r="X59" s="3">
        <f>M59/'Soil samples'!AK59*1000</f>
        <v>6.9164981496789846</v>
      </c>
      <c r="Y59" s="31">
        <f t="shared" si="2"/>
        <v>1.1429</v>
      </c>
      <c r="Z59" s="104">
        <f t="shared" si="3"/>
        <v>1.1792</v>
      </c>
    </row>
    <row r="60" spans="1:26">
      <c r="A60" s="6" t="s">
        <v>64</v>
      </c>
      <c r="B60" s="6" t="s">
        <v>196</v>
      </c>
      <c r="C60" t="s">
        <v>13</v>
      </c>
      <c r="D60" s="8">
        <v>2</v>
      </c>
      <c r="E60">
        <v>10</v>
      </c>
      <c r="G60" s="54">
        <v>8.4099999999999994E-2</v>
      </c>
      <c r="H60" s="55">
        <v>8.8700000000000001E-2</v>
      </c>
      <c r="I60" s="55">
        <v>8.0399999999999999E-2</v>
      </c>
      <c r="J60" s="25">
        <v>42767</v>
      </c>
      <c r="K60" s="54">
        <v>2.8299999999999999E-2</v>
      </c>
      <c r="L60" s="100">
        <v>2.76E-2</v>
      </c>
      <c r="M60" s="55">
        <v>2.7199999999999998E-2</v>
      </c>
      <c r="N60" s="25">
        <v>42770</v>
      </c>
      <c r="O60" s="104">
        <f t="shared" si="4"/>
        <v>5.5799999999999995E-2</v>
      </c>
      <c r="P60" s="104">
        <f t="shared" si="4"/>
        <v>6.1100000000000002E-2</v>
      </c>
      <c r="Q60" s="104">
        <f t="shared" si="4"/>
        <v>5.3199999999999997E-2</v>
      </c>
      <c r="R60" s="104">
        <f t="shared" si="5"/>
        <v>197.1731448763251</v>
      </c>
      <c r="S60" s="104">
        <f t="shared" si="5"/>
        <v>221.37681159420293</v>
      </c>
      <c r="T60" s="104">
        <f t="shared" si="5"/>
        <v>195.58823529411765</v>
      </c>
      <c r="V60">
        <f>K60/'Soil samples'!AK60*1000</f>
        <v>0.46107578989429082</v>
      </c>
      <c r="W60">
        <f>L60/'Soil samples'!AK60*1000</f>
        <v>0.44967108837747094</v>
      </c>
      <c r="X60" s="3">
        <f>M60/'Soil samples'!AK60*1000</f>
        <v>0.44315411608214522</v>
      </c>
      <c r="Y60" s="31">
        <f t="shared" si="2"/>
        <v>5.5899999999999998E-2</v>
      </c>
      <c r="Z60" s="104">
        <f t="shared" si="3"/>
        <v>8.3099999999999993E-2</v>
      </c>
    </row>
    <row r="61" spans="1:26">
      <c r="A61" s="6" t="s">
        <v>65</v>
      </c>
      <c r="B61" s="6" t="s">
        <v>196</v>
      </c>
      <c r="C61" t="s">
        <v>13</v>
      </c>
      <c r="D61" s="8">
        <v>2</v>
      </c>
      <c r="E61">
        <v>20</v>
      </c>
      <c r="G61" s="54">
        <v>9.2499999999999999E-2</v>
      </c>
      <c r="H61" s="55">
        <v>3.0700000000000002E-2</v>
      </c>
      <c r="I61" s="55">
        <v>0.1817</v>
      </c>
      <c r="J61" s="25">
        <v>42767</v>
      </c>
      <c r="K61" s="54">
        <v>2.7099999999999999E-2</v>
      </c>
      <c r="L61" s="100">
        <v>1.2999999999999999E-2</v>
      </c>
      <c r="M61" s="55">
        <v>5.5199999999999999E-2</v>
      </c>
      <c r="N61" s="25">
        <v>42770</v>
      </c>
      <c r="O61" s="104">
        <f t="shared" si="4"/>
        <v>6.54E-2</v>
      </c>
      <c r="P61" s="104">
        <f t="shared" si="4"/>
        <v>1.77E-2</v>
      </c>
      <c r="Q61" s="104">
        <f t="shared" si="4"/>
        <v>0.1265</v>
      </c>
      <c r="R61" s="104">
        <f t="shared" si="5"/>
        <v>241.32841328413286</v>
      </c>
      <c r="S61" s="104">
        <f t="shared" si="5"/>
        <v>136.15384615384616</v>
      </c>
      <c r="T61" s="104">
        <f t="shared" si="5"/>
        <v>229.16666666666666</v>
      </c>
      <c r="V61">
        <f>K61/'Soil samples'!AK61*1000</f>
        <v>0.21561027752555131</v>
      </c>
      <c r="W61">
        <f>L61/'Soil samples'!AK61*1000</f>
        <v>0.10342928442185119</v>
      </c>
      <c r="X61" s="3">
        <f>M61/'Soil samples'!AK61*1000</f>
        <v>0.43917665385278348</v>
      </c>
      <c r="Y61" s="31">
        <f t="shared" si="2"/>
        <v>4.0099999999999997E-2</v>
      </c>
      <c r="Z61" s="104">
        <f t="shared" si="3"/>
        <v>9.5299999999999996E-2</v>
      </c>
    </row>
    <row r="62" spans="1:26">
      <c r="A62" s="6" t="s">
        <v>66</v>
      </c>
      <c r="B62" s="6" t="s">
        <v>196</v>
      </c>
      <c r="C62" t="s">
        <v>13</v>
      </c>
      <c r="D62" s="8">
        <v>3</v>
      </c>
      <c r="E62">
        <v>5</v>
      </c>
      <c r="G62" s="54">
        <v>4.3296999999999999</v>
      </c>
      <c r="H62" s="55">
        <v>0.249</v>
      </c>
      <c r="I62" s="55" t="s">
        <v>469</v>
      </c>
      <c r="J62" s="25">
        <v>42798</v>
      </c>
      <c r="K62" s="54">
        <v>0.78059999999999996</v>
      </c>
      <c r="L62" s="55">
        <v>8.5999999999999993E-2</v>
      </c>
      <c r="M62" s="55">
        <v>0</v>
      </c>
      <c r="N62" s="25">
        <v>42801</v>
      </c>
      <c r="O62" s="104">
        <f t="shared" si="4"/>
        <v>3.5491000000000001</v>
      </c>
      <c r="P62" s="104">
        <f t="shared" si="4"/>
        <v>0.16300000000000001</v>
      </c>
      <c r="Q62" s="104" t="e">
        <f t="shared" si="4"/>
        <v>#VALUE!</v>
      </c>
      <c r="R62" s="104">
        <f t="shared" si="5"/>
        <v>454.66307968229574</v>
      </c>
      <c r="S62" s="104">
        <f t="shared" si="5"/>
        <v>189.53488372093025</v>
      </c>
      <c r="T62" s="104">
        <f t="shared" si="5"/>
        <v>0</v>
      </c>
      <c r="U62" s="3" t="s">
        <v>697</v>
      </c>
      <c r="V62">
        <f>K62/'Soil samples'!AK62*1000</f>
        <v>117.94516628936809</v>
      </c>
      <c r="W62">
        <f>L62/'Soil samples'!AK62*1000</f>
        <v>12.994215092090258</v>
      </c>
      <c r="X62" s="3">
        <f>M62/'Soil samples'!AK62*1000</f>
        <v>0</v>
      </c>
      <c r="Y62" s="31">
        <f t="shared" si="2"/>
        <v>0.86659999999999993</v>
      </c>
      <c r="Z62" s="104">
        <f t="shared" si="3"/>
        <v>0.86659999999999993</v>
      </c>
    </row>
    <row r="63" spans="1:26">
      <c r="A63" s="6" t="s">
        <v>67</v>
      </c>
      <c r="B63" s="6" t="s">
        <v>196</v>
      </c>
      <c r="C63" t="s">
        <v>13</v>
      </c>
      <c r="D63" s="8">
        <v>3</v>
      </c>
      <c r="E63">
        <v>10</v>
      </c>
      <c r="G63" s="54">
        <v>0.78459999999999996</v>
      </c>
      <c r="H63" s="55">
        <v>9.5399999999999999E-2</v>
      </c>
      <c r="I63" s="55">
        <v>3.95E-2</v>
      </c>
      <c r="J63" s="25">
        <v>42798</v>
      </c>
      <c r="K63" s="54">
        <v>0.15090000000000001</v>
      </c>
      <c r="L63" s="55">
        <v>2.7799999999999998E-2</v>
      </c>
      <c r="M63" s="55">
        <v>9.2999999999999992E-3</v>
      </c>
      <c r="N63" s="25">
        <v>42801</v>
      </c>
      <c r="O63" s="104">
        <f t="shared" si="4"/>
        <v>0.63369999999999993</v>
      </c>
      <c r="P63" s="104">
        <f t="shared" si="4"/>
        <v>6.7599999999999993E-2</v>
      </c>
      <c r="Q63" s="104">
        <f t="shared" si="4"/>
        <v>3.0200000000000001E-2</v>
      </c>
      <c r="R63" s="104">
        <f t="shared" si="5"/>
        <v>419.94698475811794</v>
      </c>
      <c r="S63" s="104">
        <f t="shared" si="5"/>
        <v>243.16546762589928</v>
      </c>
      <c r="T63" s="104">
        <f t="shared" si="5"/>
        <v>324.73118279569894</v>
      </c>
      <c r="U63" s="3" t="s">
        <v>697</v>
      </c>
      <c r="V63">
        <f>K63/'Soil samples'!AK63*1000</f>
        <v>4.006077277283314</v>
      </c>
      <c r="W63">
        <f>L63/'Soil samples'!AK63*1000</f>
        <v>0.73803146659029895</v>
      </c>
      <c r="X63" s="3">
        <f>M63/'Soil samples'!AK63*1000</f>
        <v>0.2468954186794885</v>
      </c>
      <c r="Y63" s="31">
        <f t="shared" si="2"/>
        <v>0.1787</v>
      </c>
      <c r="Z63" s="104">
        <f t="shared" si="3"/>
        <v>0.188</v>
      </c>
    </row>
    <row r="64" spans="1:26">
      <c r="A64" s="6" t="s">
        <v>68</v>
      </c>
      <c r="B64" s="6" t="s">
        <v>196</v>
      </c>
      <c r="C64" t="s">
        <v>13</v>
      </c>
      <c r="D64" s="8">
        <v>3</v>
      </c>
      <c r="E64">
        <v>20</v>
      </c>
      <c r="G64" s="54">
        <v>0.20319999999999999</v>
      </c>
      <c r="H64" s="55">
        <v>3.2399999999999998E-2</v>
      </c>
      <c r="I64" s="55" t="s">
        <v>469</v>
      </c>
      <c r="J64" s="25">
        <v>42798</v>
      </c>
      <c r="K64" s="54">
        <v>5.04E-2</v>
      </c>
      <c r="L64" s="55">
        <v>1.17E-2</v>
      </c>
      <c r="M64" s="55">
        <v>0</v>
      </c>
      <c r="N64" s="25">
        <v>42801</v>
      </c>
      <c r="O64" s="104">
        <f t="shared" si="4"/>
        <v>0.15279999999999999</v>
      </c>
      <c r="P64" s="104">
        <f t="shared" si="4"/>
        <v>2.0699999999999996E-2</v>
      </c>
      <c r="Q64" s="104" t="e">
        <f t="shared" si="4"/>
        <v>#VALUE!</v>
      </c>
      <c r="R64" s="104">
        <f t="shared" si="5"/>
        <v>303.17460317460313</v>
      </c>
      <c r="S64" s="104">
        <f t="shared" si="5"/>
        <v>176.92307692307691</v>
      </c>
      <c r="T64" s="104">
        <f t="shared" si="5"/>
        <v>0</v>
      </c>
      <c r="U64" s="3" t="s">
        <v>697</v>
      </c>
      <c r="V64">
        <f>K64/'Soil samples'!AK64*1000</f>
        <v>1.1976078222841808</v>
      </c>
      <c r="W64">
        <f>L64/'Soil samples'!AK64*1000</f>
        <v>0.27801610160168483</v>
      </c>
      <c r="X64" s="3">
        <f>M64/'Soil samples'!AK64*1000</f>
        <v>0</v>
      </c>
      <c r="Y64" s="31">
        <f t="shared" si="2"/>
        <v>6.2100000000000002E-2</v>
      </c>
      <c r="Z64" s="104">
        <f t="shared" si="3"/>
        <v>6.2100000000000002E-2</v>
      </c>
    </row>
    <row r="65" spans="1:26">
      <c r="A65" s="6" t="s">
        <v>69</v>
      </c>
      <c r="B65" s="6" t="s">
        <v>196</v>
      </c>
      <c r="C65" t="s">
        <v>13</v>
      </c>
      <c r="D65" s="8">
        <v>4</v>
      </c>
      <c r="E65">
        <v>30</v>
      </c>
      <c r="G65" s="54">
        <v>0.626</v>
      </c>
      <c r="H65" s="55">
        <v>9.5000000000000001E-2</v>
      </c>
      <c r="I65" s="55" t="s">
        <v>469</v>
      </c>
      <c r="J65" s="25">
        <v>42769</v>
      </c>
      <c r="K65" s="54">
        <v>0.1444</v>
      </c>
      <c r="L65" s="100">
        <v>3.3399999999999999E-2</v>
      </c>
      <c r="M65" s="55">
        <v>0</v>
      </c>
      <c r="N65" s="25">
        <v>42772</v>
      </c>
      <c r="O65" s="104">
        <f t="shared" si="4"/>
        <v>0.48160000000000003</v>
      </c>
      <c r="P65" s="104">
        <f t="shared" si="4"/>
        <v>6.1600000000000002E-2</v>
      </c>
      <c r="Q65" s="104" t="e">
        <f t="shared" si="4"/>
        <v>#VALUE!</v>
      </c>
      <c r="R65" s="104">
        <f t="shared" si="5"/>
        <v>333.5180055401662</v>
      </c>
      <c r="S65" s="104">
        <f t="shared" si="5"/>
        <v>184.43113772455092</v>
      </c>
      <c r="T65" s="104">
        <f t="shared" si="5"/>
        <v>0</v>
      </c>
      <c r="V65">
        <f>K65/'Soil samples'!AK65*1000</f>
        <v>4.1197094505975711</v>
      </c>
      <c r="W65">
        <f>L65/'Soil samples'!AK65*1000</f>
        <v>0.95289678427949365</v>
      </c>
      <c r="X65" s="3">
        <f>M65/'Soil samples'!AK65*1000</f>
        <v>0</v>
      </c>
      <c r="Y65" s="31">
        <f t="shared" si="2"/>
        <v>0.17780000000000001</v>
      </c>
      <c r="Z65" s="104">
        <f t="shared" si="3"/>
        <v>0.17780000000000001</v>
      </c>
    </row>
    <row r="66" spans="1:26">
      <c r="A66" s="6" t="s">
        <v>70</v>
      </c>
      <c r="B66" s="6" t="s">
        <v>196</v>
      </c>
      <c r="C66" t="s">
        <v>13</v>
      </c>
      <c r="D66" s="8">
        <v>4</v>
      </c>
      <c r="E66">
        <v>10</v>
      </c>
      <c r="G66" s="54">
        <v>1.9361999999999999</v>
      </c>
      <c r="H66" s="55">
        <v>0.13120000000000001</v>
      </c>
      <c r="I66" s="55" t="s">
        <v>469</v>
      </c>
      <c r="J66" s="25">
        <v>42769</v>
      </c>
      <c r="K66" s="54">
        <v>0.38080000000000003</v>
      </c>
      <c r="L66" s="100">
        <v>5.0700000000000002E-2</v>
      </c>
      <c r="M66" s="55">
        <v>0</v>
      </c>
      <c r="N66" s="25">
        <v>42772</v>
      </c>
      <c r="O66" s="104">
        <f t="shared" si="4"/>
        <v>1.5553999999999999</v>
      </c>
      <c r="P66" s="104">
        <f t="shared" si="4"/>
        <v>8.0500000000000016E-2</v>
      </c>
      <c r="Q66" s="104" t="e">
        <f t="shared" si="4"/>
        <v>#VALUE!</v>
      </c>
      <c r="R66" s="104">
        <f t="shared" si="5"/>
        <v>408.4558823529411</v>
      </c>
      <c r="S66" s="104">
        <f t="shared" si="5"/>
        <v>158.7771203155819</v>
      </c>
      <c r="T66" s="104">
        <f t="shared" si="5"/>
        <v>0</v>
      </c>
      <c r="V66">
        <f>K66/'Soil samples'!AK66*1000</f>
        <v>22.390449820860425</v>
      </c>
      <c r="W66">
        <f>L66/'Soil samples'!AK66*1000</f>
        <v>2.9810814231030029</v>
      </c>
      <c r="X66" s="3">
        <f>M66/'Soil samples'!AK66*1000</f>
        <v>0</v>
      </c>
      <c r="Y66" s="31">
        <f t="shared" si="2"/>
        <v>0.43150000000000005</v>
      </c>
      <c r="Z66" s="104">
        <f t="shared" si="3"/>
        <v>0.43150000000000005</v>
      </c>
    </row>
    <row r="67" spans="1:26" s="53" customFormat="1">
      <c r="A67" s="6" t="s">
        <v>71</v>
      </c>
      <c r="B67" s="6" t="s">
        <v>196</v>
      </c>
      <c r="C67" t="s">
        <v>13</v>
      </c>
      <c r="D67" s="8">
        <v>4</v>
      </c>
      <c r="E67">
        <v>20</v>
      </c>
      <c r="F67"/>
      <c r="G67" s="54">
        <v>0.58799999999999997</v>
      </c>
      <c r="H67" s="55">
        <v>0.1236</v>
      </c>
      <c r="I67" s="55" t="s">
        <v>469</v>
      </c>
      <c r="J67" s="25">
        <v>42769</v>
      </c>
      <c r="K67" s="54">
        <v>0.1414</v>
      </c>
      <c r="L67" s="100">
        <v>4.7800000000000002E-2</v>
      </c>
      <c r="M67" s="55">
        <v>0</v>
      </c>
      <c r="N67" s="25">
        <v>42772</v>
      </c>
      <c r="O67" s="104">
        <f t="shared" si="4"/>
        <v>0.4466</v>
      </c>
      <c r="P67" s="104">
        <f t="shared" si="4"/>
        <v>7.5800000000000006E-2</v>
      </c>
      <c r="Q67" s="104" t="e">
        <f t="shared" si="4"/>
        <v>#VALUE!</v>
      </c>
      <c r="R67" s="104">
        <f t="shared" si="5"/>
        <v>315.84158415841586</v>
      </c>
      <c r="S67" s="104">
        <f t="shared" si="5"/>
        <v>158.57740585774059</v>
      </c>
      <c r="T67" s="104">
        <f t="shared" si="5"/>
        <v>0</v>
      </c>
      <c r="U67" s="3"/>
      <c r="V67">
        <f>K67/'Soil samples'!AK67*1000</f>
        <v>4.5062336461730652</v>
      </c>
      <c r="W67">
        <f>L67/'Soil samples'!AK67*1000</f>
        <v>1.523323679540824</v>
      </c>
      <c r="X67" s="3">
        <f>M67/'Soil samples'!AK67*1000</f>
        <v>0</v>
      </c>
      <c r="Y67" s="31">
        <f t="shared" si="2"/>
        <v>0.18920000000000001</v>
      </c>
      <c r="Z67" s="104">
        <f t="shared" si="3"/>
        <v>0.18920000000000001</v>
      </c>
    </row>
    <row r="68" spans="1:26" s="53" customFormat="1">
      <c r="A68" s="6" t="s">
        <v>72</v>
      </c>
      <c r="B68" s="6" t="s">
        <v>196</v>
      </c>
      <c r="C68" t="s">
        <v>13</v>
      </c>
      <c r="D68" s="8">
        <v>4</v>
      </c>
      <c r="E68">
        <v>5</v>
      </c>
      <c r="F68"/>
      <c r="G68" s="54">
        <v>2.3965999999999998</v>
      </c>
      <c r="H68" s="100">
        <v>0.2626</v>
      </c>
      <c r="I68" s="55">
        <v>0.59140000000000004</v>
      </c>
      <c r="J68" s="25">
        <v>42769</v>
      </c>
      <c r="K68" s="54">
        <v>0.51080000000000003</v>
      </c>
      <c r="L68" s="100">
        <v>0.10349999999999999</v>
      </c>
      <c r="M68" s="100">
        <v>0.2356</v>
      </c>
      <c r="N68" s="25">
        <v>42772</v>
      </c>
      <c r="O68" s="104">
        <f t="shared" si="4"/>
        <v>1.8857999999999997</v>
      </c>
      <c r="P68" s="104">
        <f t="shared" si="4"/>
        <v>0.15910000000000002</v>
      </c>
      <c r="Q68" s="104">
        <f t="shared" si="4"/>
        <v>0.35580000000000001</v>
      </c>
      <c r="R68" s="104">
        <f t="shared" si="5"/>
        <v>369.18559122944396</v>
      </c>
      <c r="S68" s="104">
        <f t="shared" si="5"/>
        <v>153.71980676328505</v>
      </c>
      <c r="T68" s="104">
        <f t="shared" si="5"/>
        <v>151.01867572156198</v>
      </c>
      <c r="U68" s="3"/>
      <c r="V68">
        <f>K68/'Soil samples'!AK68*1000</f>
        <v>58.148903503621433</v>
      </c>
      <c r="W68">
        <f>L68/'Soil samples'!AK68*1000</f>
        <v>11.782324809367301</v>
      </c>
      <c r="X68" s="3">
        <f>M68/'Soil samples'!AK68*1000</f>
        <v>26.820441788279577</v>
      </c>
      <c r="Y68" s="31">
        <f t="shared" si="2"/>
        <v>0.61430000000000007</v>
      </c>
      <c r="Z68" s="104">
        <f t="shared" si="3"/>
        <v>0.8499000000000001</v>
      </c>
    </row>
    <row r="69" spans="1:26" s="53" customFormat="1">
      <c r="A69" s="6" t="s">
        <v>73</v>
      </c>
      <c r="B69" s="6" t="s">
        <v>196</v>
      </c>
      <c r="C69" t="s">
        <v>13</v>
      </c>
      <c r="D69" s="8">
        <v>5</v>
      </c>
      <c r="E69">
        <v>5</v>
      </c>
      <c r="F69"/>
      <c r="G69" s="54">
        <v>2.6082999999999998</v>
      </c>
      <c r="H69" s="55">
        <v>0.31380000000000002</v>
      </c>
      <c r="I69" s="55" t="s">
        <v>469</v>
      </c>
      <c r="J69" s="25">
        <v>42821</v>
      </c>
      <c r="K69" s="54">
        <v>0.5242</v>
      </c>
      <c r="L69" s="55">
        <v>0.12770000000000001</v>
      </c>
      <c r="M69" s="55">
        <v>0</v>
      </c>
      <c r="N69" s="25">
        <v>42823</v>
      </c>
      <c r="O69" s="104">
        <f t="shared" si="4"/>
        <v>2.0840999999999998</v>
      </c>
      <c r="P69" s="104">
        <f t="shared" si="4"/>
        <v>0.18610000000000002</v>
      </c>
      <c r="Q69" s="104" t="e">
        <f t="shared" si="4"/>
        <v>#VALUE!</v>
      </c>
      <c r="R69" s="104">
        <f t="shared" si="5"/>
        <v>397.57726058756197</v>
      </c>
      <c r="S69" s="104">
        <f t="shared" si="5"/>
        <v>145.7321848081441</v>
      </c>
      <c r="T69" s="104">
        <f t="shared" si="5"/>
        <v>0</v>
      </c>
      <c r="U69" s="3"/>
      <c r="V69">
        <f>K69/'Soil samples'!AK69*1000</f>
        <v>39.267788290790151</v>
      </c>
      <c r="W69">
        <f>L69/'Soil samples'!AK69*1000</f>
        <v>9.565998788122668</v>
      </c>
      <c r="X69" s="3">
        <f>M69/'Soil samples'!AK69*1000</f>
        <v>0</v>
      </c>
      <c r="Y69" s="31">
        <f t="shared" ref="Y69:Y132" si="6">SUM(K69:L69)</f>
        <v>0.65190000000000003</v>
      </c>
      <c r="Z69" s="104">
        <f t="shared" ref="Z69:Z132" si="7">SUM(K69:M69)</f>
        <v>0.65190000000000003</v>
      </c>
    </row>
    <row r="70" spans="1:26" s="53" customFormat="1">
      <c r="A70" s="6" t="s">
        <v>74</v>
      </c>
      <c r="B70" s="6" t="s">
        <v>196</v>
      </c>
      <c r="C70" t="s">
        <v>13</v>
      </c>
      <c r="D70" s="8">
        <v>5</v>
      </c>
      <c r="E70">
        <v>10</v>
      </c>
      <c r="F70"/>
      <c r="G70" s="54">
        <v>2.3666999999999998</v>
      </c>
      <c r="H70" s="55">
        <v>2.3E-2</v>
      </c>
      <c r="I70" s="55" t="s">
        <v>469</v>
      </c>
      <c r="J70" s="25">
        <v>42821</v>
      </c>
      <c r="K70" s="54">
        <v>0.51039999999999996</v>
      </c>
      <c r="L70" s="55">
        <v>9.2999999999999992E-3</v>
      </c>
      <c r="M70" s="55">
        <v>0</v>
      </c>
      <c r="N70" s="25">
        <v>42823</v>
      </c>
      <c r="O70" s="104">
        <f t="shared" si="4"/>
        <v>1.8562999999999998</v>
      </c>
      <c r="P70" s="104">
        <f t="shared" si="4"/>
        <v>1.37E-2</v>
      </c>
      <c r="Q70" s="104" t="e">
        <f t="shared" si="4"/>
        <v>#VALUE!</v>
      </c>
      <c r="R70" s="104">
        <f t="shared" si="5"/>
        <v>363.69514106583074</v>
      </c>
      <c r="S70" s="104">
        <f t="shared" si="5"/>
        <v>147.31182795698928</v>
      </c>
      <c r="T70" s="104">
        <f t="shared" si="5"/>
        <v>0</v>
      </c>
      <c r="U70" s="3"/>
      <c r="V70">
        <f>K70/'Soil samples'!AK70*1000</f>
        <v>15.960071115643411</v>
      </c>
      <c r="W70">
        <f>L70/'Soil samples'!AK70*1000</f>
        <v>0.29080850582970946</v>
      </c>
      <c r="X70" s="3">
        <f>M70/'Soil samples'!AK70*1000</f>
        <v>0</v>
      </c>
      <c r="Y70" s="31">
        <f t="shared" si="6"/>
        <v>0.51969999999999994</v>
      </c>
      <c r="Z70" s="104">
        <f t="shared" si="7"/>
        <v>0.51969999999999994</v>
      </c>
    </row>
    <row r="71" spans="1:26" s="53" customFormat="1">
      <c r="A71" s="6" t="s">
        <v>75</v>
      </c>
      <c r="B71" s="6" t="s">
        <v>196</v>
      </c>
      <c r="C71" t="s">
        <v>13</v>
      </c>
      <c r="D71" s="8">
        <v>5</v>
      </c>
      <c r="E71">
        <v>20</v>
      </c>
      <c r="F71"/>
      <c r="G71" s="54">
        <v>1.8204</v>
      </c>
      <c r="H71" s="55">
        <v>0.1052</v>
      </c>
      <c r="I71" s="55" t="s">
        <v>469</v>
      </c>
      <c r="J71" s="25">
        <v>42821</v>
      </c>
      <c r="K71" s="54">
        <v>0.4476</v>
      </c>
      <c r="L71" s="55">
        <v>4.4900000000000002E-2</v>
      </c>
      <c r="M71" s="55">
        <v>0</v>
      </c>
      <c r="N71" s="25">
        <v>42823</v>
      </c>
      <c r="O71" s="104">
        <f t="shared" si="4"/>
        <v>1.3728</v>
      </c>
      <c r="P71" s="104">
        <f t="shared" si="4"/>
        <v>6.0299999999999999E-2</v>
      </c>
      <c r="Q71" s="104" t="e">
        <f t="shared" si="4"/>
        <v>#VALUE!</v>
      </c>
      <c r="R71" s="104">
        <f t="shared" si="5"/>
        <v>306.70241286863273</v>
      </c>
      <c r="S71" s="104">
        <f t="shared" si="5"/>
        <v>134.29844097995544</v>
      </c>
      <c r="T71" s="104">
        <f t="shared" si="5"/>
        <v>0</v>
      </c>
      <c r="U71" s="3"/>
      <c r="V71">
        <f>K71/'Soil samples'!AK71*1000</f>
        <v>9.3726029935383526</v>
      </c>
      <c r="W71">
        <f>L71/'Soil samples'!AK71*1000</f>
        <v>0.94019185524993765</v>
      </c>
      <c r="X71" s="3">
        <f>M71/'Soil samples'!AK71*1000</f>
        <v>0</v>
      </c>
      <c r="Y71" s="31">
        <f t="shared" si="6"/>
        <v>0.49249999999999999</v>
      </c>
      <c r="Z71" s="104">
        <f t="shared" si="7"/>
        <v>0.49249999999999999</v>
      </c>
    </row>
    <row r="72" spans="1:26" s="53" customFormat="1">
      <c r="A72" s="6" t="s">
        <v>76</v>
      </c>
      <c r="B72" s="6" t="s">
        <v>196</v>
      </c>
      <c r="C72" t="s">
        <v>13</v>
      </c>
      <c r="D72" s="8">
        <v>5</v>
      </c>
      <c r="E72">
        <v>30</v>
      </c>
      <c r="F72"/>
      <c r="G72" s="54">
        <v>5.6099999999999997E-2</v>
      </c>
      <c r="H72" s="55">
        <v>4.65E-2</v>
      </c>
      <c r="I72" s="55" t="s">
        <v>469</v>
      </c>
      <c r="J72" s="25">
        <v>42821</v>
      </c>
      <c r="K72" s="54">
        <v>1.38E-2</v>
      </c>
      <c r="L72" s="55">
        <v>8.9999999999999993E-3</v>
      </c>
      <c r="M72" s="55">
        <v>0</v>
      </c>
      <c r="N72" s="25">
        <v>42823</v>
      </c>
      <c r="O72" s="104">
        <f t="shared" si="4"/>
        <v>4.2299999999999997E-2</v>
      </c>
      <c r="P72" s="104">
        <f t="shared" si="4"/>
        <v>3.7499999999999999E-2</v>
      </c>
      <c r="Q72" s="104" t="e">
        <f t="shared" si="4"/>
        <v>#VALUE!</v>
      </c>
      <c r="R72" s="104">
        <f t="shared" si="5"/>
        <v>306.52173913043475</v>
      </c>
      <c r="S72" s="104">
        <f t="shared" si="5"/>
        <v>416.66666666666669</v>
      </c>
      <c r="T72" s="104">
        <f t="shared" si="5"/>
        <v>0</v>
      </c>
      <c r="U72" s="3"/>
      <c r="V72">
        <f>K72/'Soil samples'!AK72*1000</f>
        <v>0.11848070077772814</v>
      </c>
      <c r="W72">
        <f>L72/'Soil samples'!AK72*1000</f>
        <v>7.7270022246344439E-2</v>
      </c>
      <c r="X72" s="3">
        <f>M72/'Soil samples'!AK72*1000</f>
        <v>0</v>
      </c>
      <c r="Y72" s="31">
        <f t="shared" si="6"/>
        <v>2.2800000000000001E-2</v>
      </c>
      <c r="Z72" s="104">
        <f t="shared" si="7"/>
        <v>2.2800000000000001E-2</v>
      </c>
    </row>
    <row r="73" spans="1:26" s="53" customFormat="1">
      <c r="A73" s="6" t="s">
        <v>77</v>
      </c>
      <c r="B73" s="6" t="s">
        <v>196</v>
      </c>
      <c r="C73" t="s">
        <v>13</v>
      </c>
      <c r="D73" s="8">
        <v>6</v>
      </c>
      <c r="E73">
        <v>5</v>
      </c>
      <c r="F73"/>
      <c r="G73" s="54">
        <v>5.2374999999999998</v>
      </c>
      <c r="H73" s="55">
        <v>2.0110999999999999</v>
      </c>
      <c r="I73" s="55">
        <v>0.51490000000000002</v>
      </c>
      <c r="J73" s="25">
        <v>42418</v>
      </c>
      <c r="K73" s="54">
        <v>1.0112000000000001</v>
      </c>
      <c r="L73" s="100">
        <v>0.56630000000000003</v>
      </c>
      <c r="M73" s="100">
        <v>0.23369999999999999</v>
      </c>
      <c r="N73" s="25">
        <v>42421</v>
      </c>
      <c r="O73" s="104">
        <f t="shared" si="4"/>
        <v>4.2263000000000002</v>
      </c>
      <c r="P73" s="104">
        <f t="shared" si="4"/>
        <v>1.4447999999999999</v>
      </c>
      <c r="Q73" s="104">
        <f t="shared" si="4"/>
        <v>0.28120000000000001</v>
      </c>
      <c r="R73" s="104">
        <f t="shared" si="5"/>
        <v>417.94897151898726</v>
      </c>
      <c r="S73" s="104">
        <f t="shared" si="5"/>
        <v>255.12978986402965</v>
      </c>
      <c r="T73" s="104">
        <f t="shared" si="5"/>
        <v>120.32520325203254</v>
      </c>
      <c r="U73" s="3"/>
      <c r="V73">
        <f>K73/'Soil samples'!AK73*1000</f>
        <v>27.032750860426756</v>
      </c>
      <c r="W73">
        <f>L73/'Soil samples'!AK73*1000</f>
        <v>15.139089015288441</v>
      </c>
      <c r="X73" s="3">
        <f>M73/'Soil samples'!AK73*1000</f>
        <v>6.2475809692263962</v>
      </c>
      <c r="Y73" s="31">
        <f t="shared" si="6"/>
        <v>1.5775000000000001</v>
      </c>
      <c r="Z73" s="104">
        <f t="shared" si="7"/>
        <v>1.8112000000000001</v>
      </c>
    </row>
    <row r="74" spans="1:26" s="53" customFormat="1">
      <c r="A74" s="6" t="s">
        <v>78</v>
      </c>
      <c r="B74" s="6" t="s">
        <v>196</v>
      </c>
      <c r="C74" t="s">
        <v>13</v>
      </c>
      <c r="D74" s="8">
        <v>6</v>
      </c>
      <c r="E74">
        <v>10</v>
      </c>
      <c r="F74"/>
      <c r="G74" s="54">
        <v>0.68769999999999998</v>
      </c>
      <c r="H74" s="55">
        <v>1.0251999999999999</v>
      </c>
      <c r="I74" s="55" t="s">
        <v>469</v>
      </c>
      <c r="J74" s="25">
        <v>42418</v>
      </c>
      <c r="K74" s="54">
        <v>0.19109999999999999</v>
      </c>
      <c r="L74" s="100">
        <v>0.27829999999999999</v>
      </c>
      <c r="M74" s="55">
        <v>0</v>
      </c>
      <c r="N74" s="25">
        <v>42421</v>
      </c>
      <c r="O74" s="104">
        <f t="shared" si="4"/>
        <v>0.49659999999999999</v>
      </c>
      <c r="P74" s="104">
        <f t="shared" si="4"/>
        <v>0.7468999999999999</v>
      </c>
      <c r="Q74" s="104" t="e">
        <f t="shared" si="4"/>
        <v>#VALUE!</v>
      </c>
      <c r="R74" s="104">
        <f t="shared" si="5"/>
        <v>259.86394557823132</v>
      </c>
      <c r="S74" s="104">
        <f t="shared" si="5"/>
        <v>268.37944664031619</v>
      </c>
      <c r="T74" s="104">
        <f t="shared" si="5"/>
        <v>0</v>
      </c>
      <c r="U74" s="3"/>
      <c r="V74">
        <f>K74/'Soil samples'!AK74*1000</f>
        <v>3.1099828915435066</v>
      </c>
      <c r="W74">
        <f>L74/'Soil samples'!AK74*1000</f>
        <v>4.5290854982551432</v>
      </c>
      <c r="X74" s="3">
        <f>M74/'Soil samples'!AK74*1000</f>
        <v>0</v>
      </c>
      <c r="Y74" s="31">
        <f t="shared" si="6"/>
        <v>0.46939999999999998</v>
      </c>
      <c r="Z74" s="104">
        <f t="shared" si="7"/>
        <v>0.46939999999999998</v>
      </c>
    </row>
    <row r="75" spans="1:26" s="53" customFormat="1">
      <c r="A75" s="6" t="s">
        <v>79</v>
      </c>
      <c r="B75" s="6" t="s">
        <v>196</v>
      </c>
      <c r="C75" t="s">
        <v>13</v>
      </c>
      <c r="D75" s="8">
        <v>6</v>
      </c>
      <c r="E75">
        <v>20</v>
      </c>
      <c r="F75"/>
      <c r="G75" s="54">
        <v>0.34520000000000001</v>
      </c>
      <c r="H75" s="55">
        <v>0.6492</v>
      </c>
      <c r="I75" s="55" t="s">
        <v>469</v>
      </c>
      <c r="J75" s="25">
        <v>42418</v>
      </c>
      <c r="K75" s="54">
        <v>8.7599999999999997E-2</v>
      </c>
      <c r="L75" s="100">
        <v>0.1704</v>
      </c>
      <c r="M75" s="55">
        <v>0</v>
      </c>
      <c r="N75" s="25">
        <v>42421</v>
      </c>
      <c r="O75" s="104">
        <f t="shared" si="4"/>
        <v>0.2576</v>
      </c>
      <c r="P75" s="104">
        <f t="shared" si="4"/>
        <v>0.4788</v>
      </c>
      <c r="Q75" s="104" t="e">
        <f t="shared" si="4"/>
        <v>#VALUE!</v>
      </c>
      <c r="R75" s="104">
        <f t="shared" si="5"/>
        <v>294.06392694063925</v>
      </c>
      <c r="S75" s="104">
        <f t="shared" si="5"/>
        <v>280.98591549295776</v>
      </c>
      <c r="T75" s="104">
        <f t="shared" si="5"/>
        <v>0</v>
      </c>
      <c r="U75" s="3"/>
      <c r="V75">
        <f>K75/'Soil samples'!AK75*1000</f>
        <v>0.84248313079549997</v>
      </c>
      <c r="W75">
        <f>L75/'Soil samples'!AK75*1000</f>
        <v>1.6388028023693286</v>
      </c>
      <c r="X75" s="3">
        <f>M75/'Soil samples'!AK75*1000</f>
        <v>0</v>
      </c>
      <c r="Y75" s="31">
        <f t="shared" si="6"/>
        <v>0.25800000000000001</v>
      </c>
      <c r="Z75" s="104">
        <f t="shared" si="7"/>
        <v>0.25800000000000001</v>
      </c>
    </row>
    <row r="76" spans="1:26" s="58" customFormat="1">
      <c r="A76" s="7" t="s">
        <v>80</v>
      </c>
      <c r="B76" s="7" t="s">
        <v>196</v>
      </c>
      <c r="C76" s="4" t="s">
        <v>13</v>
      </c>
      <c r="D76" s="4">
        <v>6</v>
      </c>
      <c r="E76" s="4">
        <v>30</v>
      </c>
      <c r="F76" s="4"/>
      <c r="G76" s="101">
        <v>0.62970000000000004</v>
      </c>
      <c r="H76" s="102">
        <v>0.80230000000000001</v>
      </c>
      <c r="I76" s="102" t="s">
        <v>469</v>
      </c>
      <c r="J76" s="27">
        <v>42418</v>
      </c>
      <c r="K76" s="101">
        <v>0.15079999999999999</v>
      </c>
      <c r="L76" s="102">
        <v>0.20630000000000001</v>
      </c>
      <c r="M76" s="55">
        <v>0</v>
      </c>
      <c r="N76" s="25">
        <v>42421</v>
      </c>
      <c r="O76" s="102">
        <f t="shared" si="4"/>
        <v>0.47890000000000005</v>
      </c>
      <c r="P76" s="102">
        <f t="shared" si="4"/>
        <v>0.59599999999999997</v>
      </c>
      <c r="Q76" s="102" t="e">
        <f t="shared" si="4"/>
        <v>#VALUE!</v>
      </c>
      <c r="R76" s="102">
        <f t="shared" si="5"/>
        <v>317.57294429708224</v>
      </c>
      <c r="S76" s="102">
        <f t="shared" si="5"/>
        <v>288.89966068831797</v>
      </c>
      <c r="T76" s="102">
        <f t="shared" si="5"/>
        <v>0</v>
      </c>
      <c r="U76" s="5"/>
      <c r="V76">
        <f>K76/'Soil samples'!AK76*1000</f>
        <v>1.6418643809323363</v>
      </c>
      <c r="W76">
        <f>L76/'Soil samples'!AK76*1000</f>
        <v>2.2461314442065055</v>
      </c>
      <c r="X76" s="3">
        <f>M76/'Soil samples'!AK76*1000</f>
        <v>0</v>
      </c>
      <c r="Y76" s="31">
        <f t="shared" si="6"/>
        <v>0.35709999999999997</v>
      </c>
      <c r="Z76" s="104">
        <f t="shared" si="7"/>
        <v>0.35709999999999997</v>
      </c>
    </row>
    <row r="77" spans="1:26" s="53" customFormat="1">
      <c r="A77" s="6" t="s">
        <v>81</v>
      </c>
      <c r="B77" s="6" t="s">
        <v>197</v>
      </c>
      <c r="C77" t="s">
        <v>12</v>
      </c>
      <c r="D77" s="8">
        <v>1</v>
      </c>
      <c r="E77">
        <v>5</v>
      </c>
      <c r="F77" t="s">
        <v>384</v>
      </c>
      <c r="G77" s="54">
        <v>1.0072000000000001</v>
      </c>
      <c r="H77" s="100">
        <v>2.9399999999999999E-2</v>
      </c>
      <c r="I77" s="100" t="s">
        <v>469</v>
      </c>
      <c r="J77" s="25">
        <v>42418</v>
      </c>
      <c r="K77" s="54">
        <v>0.30220000000000002</v>
      </c>
      <c r="L77" s="100">
        <v>4.1999999999999997E-3</v>
      </c>
      <c r="M77" s="55">
        <v>0</v>
      </c>
      <c r="N77" s="25">
        <v>42421</v>
      </c>
      <c r="O77" s="104">
        <f t="shared" si="4"/>
        <v>0.70500000000000007</v>
      </c>
      <c r="P77" s="104">
        <f t="shared" si="4"/>
        <v>2.52E-2</v>
      </c>
      <c r="Q77" s="104" t="e">
        <f t="shared" si="4"/>
        <v>#VALUE!</v>
      </c>
      <c r="R77" s="104">
        <f t="shared" si="5"/>
        <v>233.28921244209133</v>
      </c>
      <c r="S77" s="104">
        <f t="shared" si="5"/>
        <v>600</v>
      </c>
      <c r="T77" s="104">
        <f t="shared" si="5"/>
        <v>0</v>
      </c>
      <c r="U77" s="3"/>
      <c r="V77">
        <f>K77/'Soil samples'!AK77*1000</f>
        <v>17.977427936509756</v>
      </c>
      <c r="W77">
        <f>L77/'Soil samples'!AK77*1000</f>
        <v>0.24985174498127388</v>
      </c>
      <c r="X77" s="3">
        <f>M77/'Soil samples'!AK77*1000</f>
        <v>0</v>
      </c>
      <c r="Y77" s="31">
        <f t="shared" si="6"/>
        <v>0.30640000000000001</v>
      </c>
      <c r="Z77" s="104">
        <f t="shared" si="7"/>
        <v>0.30640000000000001</v>
      </c>
    </row>
    <row r="78" spans="1:26" s="53" customFormat="1">
      <c r="A78" s="6" t="s">
        <v>82</v>
      </c>
      <c r="B78" s="6" t="s">
        <v>197</v>
      </c>
      <c r="C78" t="s">
        <v>12</v>
      </c>
      <c r="D78" s="8">
        <v>1</v>
      </c>
      <c r="E78">
        <v>10</v>
      </c>
      <c r="F78"/>
      <c r="G78" s="54">
        <v>0.78569999999999995</v>
      </c>
      <c r="H78" s="100">
        <v>0.1124</v>
      </c>
      <c r="I78" s="100" t="s">
        <v>469</v>
      </c>
      <c r="J78" s="25">
        <v>42418</v>
      </c>
      <c r="K78" s="54">
        <v>0.19070000000000001</v>
      </c>
      <c r="L78" s="100">
        <v>1.1299999999999999E-2</v>
      </c>
      <c r="M78" s="55">
        <v>0</v>
      </c>
      <c r="N78" s="25">
        <v>42421</v>
      </c>
      <c r="O78" s="104">
        <f t="shared" si="4"/>
        <v>0.59499999999999997</v>
      </c>
      <c r="P78" s="104">
        <f t="shared" si="4"/>
        <v>0.1011</v>
      </c>
      <c r="Q78" s="104" t="e">
        <f t="shared" si="4"/>
        <v>#VALUE!</v>
      </c>
      <c r="R78" s="104">
        <f t="shared" si="5"/>
        <v>312.00839014158362</v>
      </c>
      <c r="S78" s="104">
        <f t="shared" si="5"/>
        <v>894.69026548672571</v>
      </c>
      <c r="T78" s="104">
        <f t="shared" si="5"/>
        <v>0</v>
      </c>
      <c r="U78" s="3"/>
      <c r="V78">
        <f>K78/'Soil samples'!AK78*1000</f>
        <v>8.1647083369835354</v>
      </c>
      <c r="W78">
        <f>L78/'Soil samples'!AK78*1000</f>
        <v>0.48380285373840565</v>
      </c>
      <c r="X78" s="3">
        <f>M78/'Soil samples'!AK78*1000</f>
        <v>0</v>
      </c>
      <c r="Y78" s="31">
        <f t="shared" si="6"/>
        <v>0.20200000000000001</v>
      </c>
      <c r="Z78" s="104">
        <f t="shared" si="7"/>
        <v>0.20200000000000001</v>
      </c>
    </row>
    <row r="79" spans="1:26" s="53" customFormat="1">
      <c r="A79" s="6" t="s">
        <v>83</v>
      </c>
      <c r="B79" s="6" t="s">
        <v>197</v>
      </c>
      <c r="C79" t="s">
        <v>12</v>
      </c>
      <c r="D79" s="8">
        <v>1</v>
      </c>
      <c r="E79">
        <v>20</v>
      </c>
      <c r="F79"/>
      <c r="G79" s="54">
        <v>0.93010000000000004</v>
      </c>
      <c r="H79" s="55" t="s">
        <v>469</v>
      </c>
      <c r="I79" s="100" t="s">
        <v>469</v>
      </c>
      <c r="J79" s="25">
        <v>42418</v>
      </c>
      <c r="K79" s="54">
        <v>0.20030000000000001</v>
      </c>
      <c r="L79" s="55">
        <v>0</v>
      </c>
      <c r="M79" s="55">
        <v>0</v>
      </c>
      <c r="N79" s="25">
        <v>42421</v>
      </c>
      <c r="O79" s="104">
        <f t="shared" si="4"/>
        <v>0.7298</v>
      </c>
      <c r="P79" s="104" t="e">
        <f t="shared" si="4"/>
        <v>#VALUE!</v>
      </c>
      <c r="Q79" s="104" t="e">
        <f t="shared" si="4"/>
        <v>#VALUE!</v>
      </c>
      <c r="R79" s="104">
        <f t="shared" si="5"/>
        <v>364.35346979530703</v>
      </c>
      <c r="S79" s="104">
        <f t="shared" si="5"/>
        <v>0</v>
      </c>
      <c r="T79" s="104">
        <f t="shared" si="5"/>
        <v>0</v>
      </c>
      <c r="U79" s="3"/>
      <c r="V79">
        <f>K79/'Soil samples'!AK79*1000</f>
        <v>6.4540870950254954</v>
      </c>
      <c r="W79">
        <f>L79/'Soil samples'!AK79*1000</f>
        <v>0</v>
      </c>
      <c r="X79" s="3">
        <f>M79/'Soil samples'!AK79*1000</f>
        <v>0</v>
      </c>
      <c r="Y79" s="31">
        <f t="shared" si="6"/>
        <v>0.20030000000000001</v>
      </c>
      <c r="Z79" s="104">
        <f t="shared" si="7"/>
        <v>0.20030000000000001</v>
      </c>
    </row>
    <row r="80" spans="1:26" s="53" customFormat="1">
      <c r="A80" s="6" t="s">
        <v>84</v>
      </c>
      <c r="B80" s="6" t="s">
        <v>197</v>
      </c>
      <c r="C80" t="s">
        <v>12</v>
      </c>
      <c r="D80" s="8">
        <v>2</v>
      </c>
      <c r="E80">
        <v>5</v>
      </c>
      <c r="F80"/>
      <c r="G80" s="54">
        <v>1.5869</v>
      </c>
      <c r="H80" s="100">
        <v>7.0000000000000007E-2</v>
      </c>
      <c r="I80" s="100" t="s">
        <v>469</v>
      </c>
      <c r="J80" s="25">
        <v>42418</v>
      </c>
      <c r="K80" s="54">
        <v>0.66049999999999998</v>
      </c>
      <c r="L80" s="100">
        <v>1.89E-2</v>
      </c>
      <c r="M80" s="55">
        <v>0</v>
      </c>
      <c r="N80" s="25">
        <v>42421</v>
      </c>
      <c r="O80" s="104">
        <f t="shared" si="4"/>
        <v>0.9264</v>
      </c>
      <c r="P80" s="104">
        <f t="shared" si="4"/>
        <v>5.1100000000000007E-2</v>
      </c>
      <c r="Q80" s="104" t="e">
        <f t="shared" si="4"/>
        <v>#VALUE!</v>
      </c>
      <c r="R80" s="104">
        <f t="shared" si="5"/>
        <v>140.25738077214231</v>
      </c>
      <c r="S80" s="104">
        <f t="shared" si="5"/>
        <v>270.37037037037044</v>
      </c>
      <c r="T80" s="104">
        <f t="shared" si="5"/>
        <v>0</v>
      </c>
      <c r="U80" s="3"/>
      <c r="V80">
        <f>K80/'Soil samples'!AK80*1000</f>
        <v>31.800969476219048</v>
      </c>
      <c r="W80">
        <f>L80/'Soil samples'!AK80*1000</f>
        <v>0.90997475109847092</v>
      </c>
      <c r="X80" s="3">
        <f>M80/'Soil samples'!AK80*1000</f>
        <v>0</v>
      </c>
      <c r="Y80" s="31">
        <f t="shared" si="6"/>
        <v>0.6794</v>
      </c>
      <c r="Z80" s="104">
        <f t="shared" si="7"/>
        <v>0.6794</v>
      </c>
    </row>
    <row r="81" spans="1:26" s="53" customFormat="1">
      <c r="A81" s="6" t="s">
        <v>85</v>
      </c>
      <c r="B81" s="6" t="s">
        <v>197</v>
      </c>
      <c r="C81" t="s">
        <v>12</v>
      </c>
      <c r="D81" s="8">
        <v>2</v>
      </c>
      <c r="E81">
        <v>10</v>
      </c>
      <c r="F81"/>
      <c r="G81" s="54">
        <v>3.2669000000000001</v>
      </c>
      <c r="H81" s="100">
        <v>0.44490000000000002</v>
      </c>
      <c r="I81" s="100" t="s">
        <v>469</v>
      </c>
      <c r="J81" s="25">
        <v>42418</v>
      </c>
      <c r="K81" s="54">
        <v>0.38059999999999999</v>
      </c>
      <c r="L81" s="100">
        <v>0.14979999999999999</v>
      </c>
      <c r="M81" s="55">
        <v>0</v>
      </c>
      <c r="N81" s="25">
        <v>42421</v>
      </c>
      <c r="O81" s="104">
        <f t="shared" si="4"/>
        <v>2.8863000000000003</v>
      </c>
      <c r="P81" s="104">
        <f t="shared" si="4"/>
        <v>0.29510000000000003</v>
      </c>
      <c r="Q81" s="104" t="e">
        <f t="shared" si="4"/>
        <v>#VALUE!</v>
      </c>
      <c r="R81" s="104">
        <f t="shared" si="5"/>
        <v>758.35522858644254</v>
      </c>
      <c r="S81" s="104">
        <f t="shared" si="5"/>
        <v>196.99599465954608</v>
      </c>
      <c r="T81" s="104">
        <f t="shared" si="5"/>
        <v>0</v>
      </c>
      <c r="U81" s="3"/>
      <c r="V81">
        <f>K81/'Soil samples'!AK81*1000</f>
        <v>13.685570424811477</v>
      </c>
      <c r="W81">
        <f>L81/'Soil samples'!AK81*1000</f>
        <v>5.3864909344108227</v>
      </c>
      <c r="X81" s="3">
        <f>M81/'Soil samples'!AK81*1000</f>
        <v>0</v>
      </c>
      <c r="Y81" s="31">
        <f t="shared" si="6"/>
        <v>0.53039999999999998</v>
      </c>
      <c r="Z81" s="104">
        <f t="shared" si="7"/>
        <v>0.53039999999999998</v>
      </c>
    </row>
    <row r="82" spans="1:26" s="53" customFormat="1">
      <c r="A82" s="6" t="s">
        <v>86</v>
      </c>
      <c r="B82" s="6" t="s">
        <v>197</v>
      </c>
      <c r="C82" t="s">
        <v>12</v>
      </c>
      <c r="D82" s="8">
        <v>2</v>
      </c>
      <c r="E82">
        <v>20</v>
      </c>
      <c r="F82"/>
      <c r="G82" s="54">
        <v>2.2581000000000002</v>
      </c>
      <c r="H82" s="100">
        <v>0.51170000000000004</v>
      </c>
      <c r="I82" s="100" t="s">
        <v>469</v>
      </c>
      <c r="J82" s="25">
        <v>42418</v>
      </c>
      <c r="K82" s="54">
        <v>0.43969999999999998</v>
      </c>
      <c r="L82" s="100">
        <v>0.19020000000000001</v>
      </c>
      <c r="M82" s="55">
        <v>0</v>
      </c>
      <c r="N82" s="25">
        <v>42421</v>
      </c>
      <c r="O82" s="104">
        <f t="shared" si="4"/>
        <v>1.8184000000000002</v>
      </c>
      <c r="P82" s="104">
        <f t="shared" si="4"/>
        <v>0.32150000000000001</v>
      </c>
      <c r="Q82" s="104" t="e">
        <f t="shared" si="4"/>
        <v>#VALUE!</v>
      </c>
      <c r="R82" s="104">
        <f t="shared" si="5"/>
        <v>413.55469638389815</v>
      </c>
      <c r="S82" s="104">
        <f t="shared" si="5"/>
        <v>169.03259726603574</v>
      </c>
      <c r="T82" s="104">
        <f t="shared" si="5"/>
        <v>0</v>
      </c>
      <c r="U82" s="3"/>
      <c r="V82">
        <f>K82/'Soil samples'!AK82*1000</f>
        <v>13.921621811466196</v>
      </c>
      <c r="W82">
        <f>L82/'Soil samples'!AK82*1000</f>
        <v>6.0220433671614071</v>
      </c>
      <c r="X82" s="3">
        <f>M82/'Soil samples'!AK82*1000</f>
        <v>0</v>
      </c>
      <c r="Y82" s="31">
        <f t="shared" si="6"/>
        <v>0.62990000000000002</v>
      </c>
      <c r="Z82" s="104">
        <f t="shared" si="7"/>
        <v>0.62990000000000002</v>
      </c>
    </row>
    <row r="83" spans="1:26">
      <c r="A83" s="6" t="s">
        <v>87</v>
      </c>
      <c r="B83" s="6" t="s">
        <v>197</v>
      </c>
      <c r="C83" t="s">
        <v>12</v>
      </c>
      <c r="D83" s="8">
        <v>3</v>
      </c>
      <c r="E83">
        <v>5</v>
      </c>
      <c r="G83" s="54">
        <v>1.0583</v>
      </c>
      <c r="H83" s="55" t="s">
        <v>469</v>
      </c>
      <c r="I83" s="55">
        <v>0.76229999999999998</v>
      </c>
      <c r="J83" s="25">
        <v>42769</v>
      </c>
      <c r="K83" s="54">
        <v>0.38990000000000002</v>
      </c>
      <c r="L83" s="55">
        <v>0</v>
      </c>
      <c r="M83" s="100">
        <v>0.1757</v>
      </c>
      <c r="N83" s="25">
        <v>42772</v>
      </c>
      <c r="O83" s="104">
        <f t="shared" si="4"/>
        <v>0.66839999999999999</v>
      </c>
      <c r="P83" s="104" t="e">
        <f t="shared" si="4"/>
        <v>#VALUE!</v>
      </c>
      <c r="Q83" s="104">
        <f t="shared" si="4"/>
        <v>0.58660000000000001</v>
      </c>
      <c r="R83" s="104">
        <f t="shared" si="5"/>
        <v>171.42857142857142</v>
      </c>
      <c r="S83" s="104">
        <f t="shared" si="5"/>
        <v>0</v>
      </c>
      <c r="T83" s="104">
        <f t="shared" si="5"/>
        <v>333.86454183266932</v>
      </c>
      <c r="U83" s="109" t="s">
        <v>777</v>
      </c>
      <c r="V83">
        <f>K83/'Soil samples'!AK83*1000</f>
        <v>43.859467473831188</v>
      </c>
      <c r="W83">
        <f>L83/'Soil samples'!AK83*1000</f>
        <v>0</v>
      </c>
      <c r="X83" s="3">
        <f>M83/'Soil samples'!AK83*1000</f>
        <v>19.764320172229134</v>
      </c>
      <c r="Y83" s="31">
        <f t="shared" si="6"/>
        <v>0.38990000000000002</v>
      </c>
      <c r="Z83" s="104">
        <f t="shared" si="7"/>
        <v>0.56559999999999999</v>
      </c>
    </row>
    <row r="84" spans="1:26">
      <c r="A84" s="6" t="s">
        <v>88</v>
      </c>
      <c r="B84" s="6" t="s">
        <v>197</v>
      </c>
      <c r="C84" t="s">
        <v>12</v>
      </c>
      <c r="D84" s="8">
        <v>3</v>
      </c>
      <c r="E84">
        <v>10</v>
      </c>
      <c r="G84" s="54">
        <v>0.45169999999999999</v>
      </c>
      <c r="H84" s="55" t="s">
        <v>469</v>
      </c>
      <c r="I84" s="55">
        <v>0.32379999999999998</v>
      </c>
      <c r="J84" s="25">
        <v>42769</v>
      </c>
      <c r="K84" s="54">
        <v>0.1565</v>
      </c>
      <c r="L84" s="55">
        <v>0</v>
      </c>
      <c r="M84" s="100">
        <v>8.0600000000000005E-2</v>
      </c>
      <c r="N84" s="25">
        <v>42772</v>
      </c>
      <c r="O84" s="104">
        <f t="shared" si="4"/>
        <v>0.29520000000000002</v>
      </c>
      <c r="P84" s="104" t="e">
        <f t="shared" si="4"/>
        <v>#VALUE!</v>
      </c>
      <c r="Q84" s="104">
        <f t="shared" si="4"/>
        <v>0.24319999999999997</v>
      </c>
      <c r="R84" s="104">
        <f t="shared" si="5"/>
        <v>188.6261980830671</v>
      </c>
      <c r="S84" s="104">
        <f t="shared" si="5"/>
        <v>0</v>
      </c>
      <c r="T84" s="104">
        <f t="shared" si="5"/>
        <v>301.73697270471462</v>
      </c>
      <c r="V84">
        <f>K84/'Soil samples'!AK84*1000</f>
        <v>1.6133055790277886</v>
      </c>
      <c r="W84">
        <f>L84/'Soil samples'!AK84*1000</f>
        <v>0</v>
      </c>
      <c r="X84" s="3">
        <f>M84/'Soil samples'!AK84*1000</f>
        <v>0.8308781448539283</v>
      </c>
      <c r="Y84" s="31">
        <f t="shared" si="6"/>
        <v>0.1565</v>
      </c>
      <c r="Z84" s="104">
        <f t="shared" si="7"/>
        <v>0.23710000000000001</v>
      </c>
    </row>
    <row r="85" spans="1:26">
      <c r="A85" s="6" t="s">
        <v>89</v>
      </c>
      <c r="B85" s="6" t="s">
        <v>197</v>
      </c>
      <c r="C85" t="s">
        <v>12</v>
      </c>
      <c r="D85" s="8">
        <v>3</v>
      </c>
      <c r="E85">
        <v>20</v>
      </c>
      <c r="G85" s="54">
        <v>0.61409999999999998</v>
      </c>
      <c r="H85" s="55" t="s">
        <v>469</v>
      </c>
      <c r="I85" s="55">
        <v>0.43709999999999999</v>
      </c>
      <c r="J85" s="25">
        <v>42769</v>
      </c>
      <c r="K85" s="54">
        <v>0.2286</v>
      </c>
      <c r="L85" s="55">
        <v>0</v>
      </c>
      <c r="M85" s="100">
        <v>0.1192</v>
      </c>
      <c r="N85" s="25">
        <v>42772</v>
      </c>
      <c r="O85" s="104">
        <f t="shared" ref="O85:Q149" si="8">G85-K85</f>
        <v>0.38549999999999995</v>
      </c>
      <c r="P85" s="104" t="e">
        <f t="shared" si="8"/>
        <v>#VALUE!</v>
      </c>
      <c r="Q85" s="104">
        <f t="shared" si="8"/>
        <v>0.31789999999999996</v>
      </c>
      <c r="R85" s="104">
        <f t="shared" ref="R85:T149" si="9">IF(K85&gt;0,O85/K85*100,0)</f>
        <v>168.63517060367451</v>
      </c>
      <c r="S85" s="104">
        <f t="shared" si="9"/>
        <v>0</v>
      </c>
      <c r="T85" s="104">
        <f t="shared" si="9"/>
        <v>266.69463087248317</v>
      </c>
      <c r="V85">
        <f>K85/'Soil samples'!AK85*1000</f>
        <v>3.1323757203026035</v>
      </c>
      <c r="W85">
        <f>L85/'Soil samples'!AK85*1000</f>
        <v>0</v>
      </c>
      <c r="X85" s="3">
        <f>M85/'Soil samples'!AK85*1000</f>
        <v>1.633329771916318</v>
      </c>
      <c r="Y85" s="31">
        <f t="shared" si="6"/>
        <v>0.2286</v>
      </c>
      <c r="Z85" s="104">
        <f t="shared" si="7"/>
        <v>0.3478</v>
      </c>
    </row>
    <row r="86" spans="1:26">
      <c r="A86" s="6" t="s">
        <v>90</v>
      </c>
      <c r="B86" s="6" t="s">
        <v>197</v>
      </c>
      <c r="C86" t="s">
        <v>12</v>
      </c>
      <c r="D86" s="8">
        <v>3</v>
      </c>
      <c r="E86">
        <v>30</v>
      </c>
      <c r="G86" s="54">
        <v>0.16300000000000001</v>
      </c>
      <c r="H86" s="100" t="s">
        <v>469</v>
      </c>
      <c r="I86" s="55" t="s">
        <v>469</v>
      </c>
      <c r="J86" s="25">
        <v>42769</v>
      </c>
      <c r="K86" s="54">
        <v>6.3600000000000004E-2</v>
      </c>
      <c r="L86" s="55">
        <v>0</v>
      </c>
      <c r="M86" s="55">
        <v>0</v>
      </c>
      <c r="N86" s="25">
        <v>42772</v>
      </c>
      <c r="O86" s="104">
        <f t="shared" si="8"/>
        <v>9.9400000000000002E-2</v>
      </c>
      <c r="P86" s="104" t="e">
        <f t="shared" si="8"/>
        <v>#VALUE!</v>
      </c>
      <c r="Q86" s="104" t="e">
        <f t="shared" si="8"/>
        <v>#VALUE!</v>
      </c>
      <c r="R86" s="104">
        <f t="shared" si="9"/>
        <v>156.28930817610063</v>
      </c>
      <c r="S86" s="104">
        <f t="shared" si="9"/>
        <v>0</v>
      </c>
      <c r="T86" s="104">
        <f t="shared" si="9"/>
        <v>0</v>
      </c>
      <c r="V86">
        <f>K86/'Soil samples'!AK86*1000</f>
        <v>0.40845702696169378</v>
      </c>
      <c r="W86">
        <f>L86/'Soil samples'!AK86*1000</f>
        <v>0</v>
      </c>
      <c r="X86" s="3">
        <f>M86/'Soil samples'!AK86*1000</f>
        <v>0</v>
      </c>
      <c r="Y86" s="31">
        <f t="shared" si="6"/>
        <v>6.3600000000000004E-2</v>
      </c>
      <c r="Z86" s="104">
        <f t="shared" si="7"/>
        <v>6.3600000000000004E-2</v>
      </c>
    </row>
    <row r="87" spans="1:26">
      <c r="A87" s="6" t="s">
        <v>91</v>
      </c>
      <c r="B87" s="6" t="s">
        <v>197</v>
      </c>
      <c r="C87" t="s">
        <v>12</v>
      </c>
      <c r="D87" s="8">
        <v>4</v>
      </c>
      <c r="E87">
        <v>5</v>
      </c>
      <c r="G87" s="54">
        <v>1.2897000000000001</v>
      </c>
      <c r="H87" s="55">
        <v>0.14680000000000001</v>
      </c>
      <c r="I87" s="100">
        <v>1.306</v>
      </c>
      <c r="J87" s="25">
        <v>42790</v>
      </c>
      <c r="K87" s="54">
        <v>0.29870000000000002</v>
      </c>
      <c r="L87" s="100">
        <v>4.4499999999999998E-2</v>
      </c>
      <c r="M87" s="100">
        <v>0.52410000000000001</v>
      </c>
      <c r="N87" s="25">
        <v>42794</v>
      </c>
      <c r="O87" s="104">
        <f t="shared" si="8"/>
        <v>0.9910000000000001</v>
      </c>
      <c r="P87" s="104">
        <f t="shared" si="8"/>
        <v>0.10230000000000002</v>
      </c>
      <c r="Q87" s="104">
        <f t="shared" si="8"/>
        <v>0.78190000000000004</v>
      </c>
      <c r="R87" s="104">
        <f t="shared" si="9"/>
        <v>331.77100770003346</v>
      </c>
      <c r="S87" s="104">
        <f t="shared" si="9"/>
        <v>229.88764044943824</v>
      </c>
      <c r="T87" s="104">
        <f t="shared" si="9"/>
        <v>149.18908605228009</v>
      </c>
      <c r="V87">
        <f>K87/'Soil samples'!AK87*1000</f>
        <v>9.6304706173469192</v>
      </c>
      <c r="W87">
        <f>L87/'Soil samples'!AK87*1000</f>
        <v>1.4347370019147567</v>
      </c>
      <c r="X87" s="3">
        <f>M87/'Soil samples'!AK87*1000</f>
        <v>16.897655341652225</v>
      </c>
      <c r="Y87" s="31">
        <f t="shared" si="6"/>
        <v>0.34320000000000001</v>
      </c>
      <c r="Z87" s="104">
        <f t="shared" si="7"/>
        <v>0.86729999999999996</v>
      </c>
    </row>
    <row r="88" spans="1:26">
      <c r="A88" s="6" t="s">
        <v>92</v>
      </c>
      <c r="B88" s="6" t="s">
        <v>197</v>
      </c>
      <c r="C88" t="s">
        <v>12</v>
      </c>
      <c r="D88" s="8">
        <v>4</v>
      </c>
      <c r="E88">
        <v>10</v>
      </c>
      <c r="G88" s="54">
        <v>1.1671</v>
      </c>
      <c r="H88" s="55">
        <v>4.8099999999999997E-2</v>
      </c>
      <c r="I88" s="100">
        <v>0.24329999999999999</v>
      </c>
      <c r="J88" s="25">
        <v>42790</v>
      </c>
      <c r="K88" s="54">
        <v>0.26169999999999999</v>
      </c>
      <c r="L88" s="100">
        <v>1.67E-2</v>
      </c>
      <c r="M88" s="100">
        <v>5.67E-2</v>
      </c>
      <c r="N88" s="25">
        <v>42794</v>
      </c>
      <c r="O88" s="104">
        <f t="shared" si="8"/>
        <v>0.90539999999999998</v>
      </c>
      <c r="P88" s="104">
        <f t="shared" si="8"/>
        <v>3.1399999999999997E-2</v>
      </c>
      <c r="Q88" s="104">
        <f t="shared" si="8"/>
        <v>0.18659999999999999</v>
      </c>
      <c r="R88" s="104">
        <f t="shared" si="9"/>
        <v>345.96866641192207</v>
      </c>
      <c r="S88" s="104">
        <f t="shared" si="9"/>
        <v>188.02395209580837</v>
      </c>
      <c r="T88" s="104">
        <f t="shared" si="9"/>
        <v>329.10052910052906</v>
      </c>
      <c r="V88">
        <f>K88/'Soil samples'!AK88*1000</f>
        <v>5.3097326007162176</v>
      </c>
      <c r="W88">
        <f>L88/'Soil samples'!AK88*1000</f>
        <v>0.33883276435598331</v>
      </c>
      <c r="X88" s="3">
        <f>M88/'Soil samples'!AK88*1000</f>
        <v>1.1504082478433686</v>
      </c>
      <c r="Y88" s="31">
        <f t="shared" si="6"/>
        <v>0.27839999999999998</v>
      </c>
      <c r="Z88" s="104">
        <f t="shared" si="7"/>
        <v>0.33509999999999995</v>
      </c>
    </row>
    <row r="89" spans="1:26">
      <c r="A89" s="6" t="s">
        <v>93</v>
      </c>
      <c r="B89" s="6" t="s">
        <v>197</v>
      </c>
      <c r="C89" t="s">
        <v>12</v>
      </c>
      <c r="D89" s="8">
        <v>4</v>
      </c>
      <c r="E89">
        <v>20</v>
      </c>
      <c r="G89" s="54">
        <v>0.59709999999999996</v>
      </c>
      <c r="H89" s="55">
        <v>4.7600000000000003E-2</v>
      </c>
      <c r="I89" s="100">
        <v>0.78149999999999997</v>
      </c>
      <c r="J89" s="25">
        <v>42790</v>
      </c>
      <c r="K89" s="54">
        <v>0.1022</v>
      </c>
      <c r="L89" s="100">
        <v>1.7299999999999999E-2</v>
      </c>
      <c r="M89" s="100">
        <v>0.27860000000000001</v>
      </c>
      <c r="N89" s="25">
        <v>42794</v>
      </c>
      <c r="O89" s="104">
        <f t="shared" si="8"/>
        <v>0.49489999999999995</v>
      </c>
      <c r="P89" s="104">
        <f t="shared" si="8"/>
        <v>3.0300000000000004E-2</v>
      </c>
      <c r="Q89" s="104">
        <f t="shared" si="8"/>
        <v>0.5028999999999999</v>
      </c>
      <c r="R89" s="104">
        <f t="shared" si="9"/>
        <v>484.24657534246569</v>
      </c>
      <c r="S89" s="104">
        <f t="shared" si="9"/>
        <v>175.14450867052028</v>
      </c>
      <c r="T89" s="104">
        <f t="shared" si="9"/>
        <v>180.50969131371139</v>
      </c>
      <c r="V89">
        <f>K89/'Soil samples'!AK89*1000</f>
        <v>1.9987827492351133</v>
      </c>
      <c r="W89">
        <f>L89/'Soil samples'!AK89*1000</f>
        <v>0.33834580784508278</v>
      </c>
      <c r="X89" s="3">
        <f>M89/'Soil samples'!AK89*1000</f>
        <v>5.4487365355861312</v>
      </c>
      <c r="Y89" s="31">
        <f t="shared" si="6"/>
        <v>0.1195</v>
      </c>
      <c r="Z89" s="104">
        <f t="shared" si="7"/>
        <v>0.39810000000000001</v>
      </c>
    </row>
    <row r="90" spans="1:26">
      <c r="A90" s="6" t="s">
        <v>94</v>
      </c>
      <c r="B90" s="6" t="s">
        <v>197</v>
      </c>
      <c r="C90" t="s">
        <v>12</v>
      </c>
      <c r="D90" s="8">
        <v>5</v>
      </c>
      <c r="E90">
        <v>5</v>
      </c>
      <c r="G90" s="54">
        <v>1.4140999999999999</v>
      </c>
      <c r="H90" s="55">
        <v>0.1963</v>
      </c>
      <c r="I90" s="55">
        <v>0.6552</v>
      </c>
      <c r="J90" s="25">
        <v>42767</v>
      </c>
      <c r="K90" s="54">
        <v>0.34439999999999998</v>
      </c>
      <c r="L90" s="100">
        <v>6.4699999999999994E-2</v>
      </c>
      <c r="M90" s="55">
        <v>0.19450000000000001</v>
      </c>
      <c r="N90" s="25">
        <v>42770</v>
      </c>
      <c r="O90" s="104">
        <f t="shared" si="8"/>
        <v>1.0696999999999999</v>
      </c>
      <c r="P90" s="104">
        <f t="shared" si="8"/>
        <v>0.13159999999999999</v>
      </c>
      <c r="Q90" s="104">
        <f t="shared" si="8"/>
        <v>0.4607</v>
      </c>
      <c r="R90" s="104">
        <f t="shared" si="9"/>
        <v>310.59814169570268</v>
      </c>
      <c r="S90" s="104">
        <f t="shared" si="9"/>
        <v>203.40030911901081</v>
      </c>
      <c r="T90" s="104">
        <f t="shared" si="9"/>
        <v>236.8637532133676</v>
      </c>
      <c r="V90">
        <f>K90/'Soil samples'!AK90*1000</f>
        <v>14.968615904190477</v>
      </c>
      <c r="W90">
        <f>L90/'Soil samples'!AK90*1000</f>
        <v>2.8120483420473978</v>
      </c>
      <c r="X90" s="3">
        <f>M90/'Soil samples'!AK90*1000</f>
        <v>8.4535301781795837</v>
      </c>
      <c r="Y90" s="31">
        <f t="shared" si="6"/>
        <v>0.40909999999999996</v>
      </c>
      <c r="Z90" s="104">
        <f t="shared" si="7"/>
        <v>0.60359999999999991</v>
      </c>
    </row>
    <row r="91" spans="1:26">
      <c r="A91" s="6" t="s">
        <v>95</v>
      </c>
      <c r="B91" s="6" t="s">
        <v>197</v>
      </c>
      <c r="C91" t="s">
        <v>12</v>
      </c>
      <c r="D91" s="8">
        <v>5</v>
      </c>
      <c r="E91">
        <v>10</v>
      </c>
      <c r="G91" s="54">
        <v>1.6163000000000001</v>
      </c>
      <c r="H91" s="55">
        <v>0.1081</v>
      </c>
      <c r="I91" s="55">
        <v>0.57579999999999998</v>
      </c>
      <c r="J91" s="25">
        <v>42767</v>
      </c>
      <c r="K91" s="54">
        <v>0.45610000000000001</v>
      </c>
      <c r="L91" s="100">
        <v>3.3700000000000001E-2</v>
      </c>
      <c r="M91" s="55">
        <v>0.21740000000000001</v>
      </c>
      <c r="N91" s="25">
        <v>42770</v>
      </c>
      <c r="O91" s="104">
        <f t="shared" si="8"/>
        <v>1.1602000000000001</v>
      </c>
      <c r="P91" s="104">
        <f t="shared" si="8"/>
        <v>7.4399999999999994E-2</v>
      </c>
      <c r="Q91" s="104">
        <f t="shared" si="8"/>
        <v>0.35839999999999994</v>
      </c>
      <c r="R91" s="104">
        <f t="shared" si="9"/>
        <v>254.37404078053061</v>
      </c>
      <c r="S91" s="104">
        <f t="shared" si="9"/>
        <v>220.77151335311572</v>
      </c>
      <c r="T91" s="104">
        <f t="shared" si="9"/>
        <v>164.8574057037718</v>
      </c>
      <c r="V91">
        <f>K91/'Soil samples'!AK91*1000</f>
        <v>17.991784439251571</v>
      </c>
      <c r="W91">
        <f>L91/'Soil samples'!AK91*1000</f>
        <v>1.3293644718324444</v>
      </c>
      <c r="X91" s="3">
        <f>M91/'Soil samples'!AK91*1000</f>
        <v>8.5757814889131581</v>
      </c>
      <c r="Y91" s="31">
        <f t="shared" si="6"/>
        <v>0.48980000000000001</v>
      </c>
      <c r="Z91" s="104">
        <f t="shared" si="7"/>
        <v>0.70720000000000005</v>
      </c>
    </row>
    <row r="92" spans="1:26">
      <c r="A92" s="6" t="s">
        <v>96</v>
      </c>
      <c r="B92" s="6" t="s">
        <v>197</v>
      </c>
      <c r="C92" t="s">
        <v>12</v>
      </c>
      <c r="D92" s="8">
        <v>5</v>
      </c>
      <c r="E92">
        <v>20</v>
      </c>
      <c r="G92" s="54">
        <v>0.45590000000000003</v>
      </c>
      <c r="H92" s="55">
        <v>3.8100000000000002E-2</v>
      </c>
      <c r="I92" s="55">
        <v>0.16370000000000001</v>
      </c>
      <c r="J92" s="25">
        <v>42767</v>
      </c>
      <c r="K92" s="54">
        <v>0.11600000000000001</v>
      </c>
      <c r="L92" s="100">
        <v>3.0999999999999999E-3</v>
      </c>
      <c r="M92" s="55">
        <v>5.3499999999999999E-2</v>
      </c>
      <c r="N92" s="25">
        <v>42770</v>
      </c>
      <c r="O92" s="104">
        <f t="shared" si="8"/>
        <v>0.33990000000000004</v>
      </c>
      <c r="P92" s="104">
        <f t="shared" si="8"/>
        <v>3.5000000000000003E-2</v>
      </c>
      <c r="Q92" s="104">
        <f t="shared" si="8"/>
        <v>0.11020000000000002</v>
      </c>
      <c r="R92" s="104">
        <f t="shared" si="9"/>
        <v>293.01724137931035</v>
      </c>
      <c r="S92" s="104">
        <f t="shared" si="9"/>
        <v>1129.0322580645161</v>
      </c>
      <c r="T92" s="104">
        <f t="shared" si="9"/>
        <v>205.98130841121497</v>
      </c>
      <c r="V92">
        <f>K92/'Soil samples'!AK92*1000</f>
        <v>5.2002701950231547</v>
      </c>
      <c r="W92">
        <f>L92/'Soil samples'!AK92*1000</f>
        <v>0.13897273797044637</v>
      </c>
      <c r="X92" s="3">
        <f>M92/'Soil samples'!AK92*1000</f>
        <v>2.3984004778770585</v>
      </c>
      <c r="Y92" s="31">
        <f t="shared" si="6"/>
        <v>0.11910000000000001</v>
      </c>
      <c r="Z92" s="104">
        <f t="shared" si="7"/>
        <v>0.1726</v>
      </c>
    </row>
    <row r="93" spans="1:26">
      <c r="A93" s="6" t="s">
        <v>97</v>
      </c>
      <c r="B93" s="6" t="s">
        <v>197</v>
      </c>
      <c r="C93" t="s">
        <v>12</v>
      </c>
      <c r="D93" s="8">
        <v>6</v>
      </c>
      <c r="E93">
        <v>5</v>
      </c>
      <c r="G93" s="54">
        <v>1.6956</v>
      </c>
      <c r="H93" s="55">
        <v>7.1099999999999997E-2</v>
      </c>
      <c r="I93" s="55">
        <v>2.3347000000000002</v>
      </c>
      <c r="J93" s="25">
        <v>42819</v>
      </c>
      <c r="K93" s="54">
        <v>0.34</v>
      </c>
      <c r="L93" s="55">
        <v>6.4999999999999997E-3</v>
      </c>
      <c r="M93" s="55">
        <v>0.69510000000000005</v>
      </c>
      <c r="N93" s="25">
        <v>42823</v>
      </c>
      <c r="O93" s="104">
        <f t="shared" si="8"/>
        <v>1.3555999999999999</v>
      </c>
      <c r="P93" s="104">
        <f t="shared" si="8"/>
        <v>6.4599999999999991E-2</v>
      </c>
      <c r="Q93" s="104">
        <f t="shared" si="8"/>
        <v>1.6396000000000002</v>
      </c>
      <c r="R93" s="104">
        <f t="shared" si="9"/>
        <v>398.7058823529411</v>
      </c>
      <c r="S93" s="104">
        <f t="shared" si="9"/>
        <v>993.8461538461537</v>
      </c>
      <c r="T93" s="104">
        <f t="shared" si="9"/>
        <v>235.87972953531869</v>
      </c>
      <c r="V93">
        <f>K93/'Soil samples'!AK93*1000</f>
        <v>15.582113413612637</v>
      </c>
      <c r="W93">
        <f>L93/'Soil samples'!AK93*1000</f>
        <v>0.29789334467200623</v>
      </c>
      <c r="X93" s="3">
        <f>M93/'Soil samples'!AK93*1000</f>
        <v>31.85625598177101</v>
      </c>
      <c r="Y93" s="31">
        <f t="shared" si="6"/>
        <v>0.34650000000000003</v>
      </c>
      <c r="Z93" s="104">
        <f t="shared" si="7"/>
        <v>1.0416000000000001</v>
      </c>
    </row>
    <row r="94" spans="1:26">
      <c r="A94" s="6" t="s">
        <v>98</v>
      </c>
      <c r="B94" s="6" t="s">
        <v>197</v>
      </c>
      <c r="C94" t="s">
        <v>12</v>
      </c>
      <c r="D94" s="8">
        <v>6</v>
      </c>
      <c r="E94">
        <v>10</v>
      </c>
      <c r="G94" s="54">
        <v>1.1394</v>
      </c>
      <c r="H94" s="55" t="s">
        <v>469</v>
      </c>
      <c r="I94" s="55">
        <v>0.69669999999999999</v>
      </c>
      <c r="J94" s="25">
        <v>42819</v>
      </c>
      <c r="K94" s="54">
        <v>0.24560000000000001</v>
      </c>
      <c r="L94" s="55">
        <v>0</v>
      </c>
      <c r="M94" s="55">
        <v>0.25240000000000001</v>
      </c>
      <c r="N94" s="25">
        <v>42823</v>
      </c>
      <c r="O94" s="104">
        <f t="shared" si="8"/>
        <v>0.89379999999999993</v>
      </c>
      <c r="P94" s="104" t="e">
        <f t="shared" si="8"/>
        <v>#VALUE!</v>
      </c>
      <c r="Q94" s="104">
        <f t="shared" si="8"/>
        <v>0.44429999999999997</v>
      </c>
      <c r="R94" s="104">
        <f t="shared" si="9"/>
        <v>363.9250814332247</v>
      </c>
      <c r="S94" s="104">
        <f t="shared" si="9"/>
        <v>0</v>
      </c>
      <c r="T94" s="104">
        <f t="shared" si="9"/>
        <v>176.03011093502374</v>
      </c>
      <c r="V94">
        <f>K94/'Soil samples'!AK94*1000</f>
        <v>6.5027450354384895</v>
      </c>
      <c r="W94">
        <f>L94/'Soil samples'!AK94*1000</f>
        <v>0</v>
      </c>
      <c r="X94" s="3">
        <f>M94/'Soil samples'!AK94*1000</f>
        <v>6.6827884647584481</v>
      </c>
      <c r="Y94" s="31">
        <f t="shared" si="6"/>
        <v>0.24560000000000001</v>
      </c>
      <c r="Z94" s="104">
        <f t="shared" si="7"/>
        <v>0.498</v>
      </c>
    </row>
    <row r="95" spans="1:26">
      <c r="A95" s="6" t="s">
        <v>99</v>
      </c>
      <c r="B95" s="6" t="s">
        <v>197</v>
      </c>
      <c r="C95" t="s">
        <v>12</v>
      </c>
      <c r="D95" s="8">
        <v>6</v>
      </c>
      <c r="E95">
        <v>20</v>
      </c>
      <c r="G95" s="54">
        <v>0.44319999999999998</v>
      </c>
      <c r="H95" s="55">
        <v>3.8600000000000002E-2</v>
      </c>
      <c r="I95" s="55">
        <v>0.6119</v>
      </c>
      <c r="J95" s="25">
        <v>42819</v>
      </c>
      <c r="K95" s="54">
        <v>9.7799999999999998E-2</v>
      </c>
      <c r="L95" s="55">
        <v>1.8200000000000001E-2</v>
      </c>
      <c r="M95" s="55">
        <v>0.22420000000000001</v>
      </c>
      <c r="N95" s="25">
        <v>42823</v>
      </c>
      <c r="O95" s="104">
        <f t="shared" si="8"/>
        <v>0.34539999999999998</v>
      </c>
      <c r="P95" s="104">
        <f t="shared" si="8"/>
        <v>2.0400000000000001E-2</v>
      </c>
      <c r="Q95" s="104">
        <f t="shared" si="8"/>
        <v>0.38769999999999999</v>
      </c>
      <c r="R95" s="104">
        <f t="shared" si="9"/>
        <v>353.16973415132924</v>
      </c>
      <c r="S95" s="104">
        <f t="shared" si="9"/>
        <v>112.08791208791209</v>
      </c>
      <c r="T95" s="104">
        <f t="shared" si="9"/>
        <v>172.92595896520962</v>
      </c>
      <c r="V95">
        <f>K95/'Soil samples'!AK95*1000</f>
        <v>2.9564268613297564</v>
      </c>
      <c r="W95">
        <f>L95/'Soil samples'!AK95*1000</f>
        <v>0.55017350589163161</v>
      </c>
      <c r="X95" s="3">
        <f>M95/'Soil samples'!AK95*1000</f>
        <v>6.7774120890606486</v>
      </c>
      <c r="Y95" s="31">
        <f t="shared" si="6"/>
        <v>0.11599999999999999</v>
      </c>
      <c r="Z95" s="104">
        <f t="shared" si="7"/>
        <v>0.3402</v>
      </c>
    </row>
    <row r="96" spans="1:26">
      <c r="A96" s="6" t="s">
        <v>100</v>
      </c>
      <c r="B96" s="6" t="s">
        <v>197</v>
      </c>
      <c r="C96" t="s">
        <v>12</v>
      </c>
      <c r="D96" s="8">
        <v>6</v>
      </c>
      <c r="E96">
        <v>30</v>
      </c>
      <c r="G96" s="54">
        <v>0.36230000000000001</v>
      </c>
      <c r="H96" s="55" t="s">
        <v>469</v>
      </c>
      <c r="I96" s="55">
        <v>0.1106</v>
      </c>
      <c r="J96" s="25">
        <v>42819</v>
      </c>
      <c r="K96" s="54">
        <v>8.1100000000000005E-2</v>
      </c>
      <c r="L96" s="55">
        <v>0</v>
      </c>
      <c r="M96" s="55">
        <v>3.4599999999999999E-2</v>
      </c>
      <c r="N96" s="25">
        <v>42823</v>
      </c>
      <c r="O96" s="104">
        <f t="shared" si="8"/>
        <v>0.28120000000000001</v>
      </c>
      <c r="P96" s="104" t="e">
        <f t="shared" si="8"/>
        <v>#VALUE!</v>
      </c>
      <c r="Q96" s="104">
        <f t="shared" si="8"/>
        <v>7.6000000000000012E-2</v>
      </c>
      <c r="R96" s="104">
        <f t="shared" si="9"/>
        <v>346.7324290998767</v>
      </c>
      <c r="S96" s="104">
        <f t="shared" si="9"/>
        <v>0</v>
      </c>
      <c r="T96" s="104">
        <f t="shared" si="9"/>
        <v>219.6531791907515</v>
      </c>
      <c r="V96">
        <f>K96/'Soil samples'!AK96*1000</f>
        <v>1.6329448341823052</v>
      </c>
      <c r="W96">
        <f>L96/'Soil samples'!AK96*1000</f>
        <v>0</v>
      </c>
      <c r="X96" s="3">
        <f>M96/'Soil samples'!AK96*1000</f>
        <v>0.6966694360383201</v>
      </c>
      <c r="Y96" s="31">
        <f t="shared" si="6"/>
        <v>8.1100000000000005E-2</v>
      </c>
      <c r="Z96" s="104">
        <f t="shared" si="7"/>
        <v>0.1157</v>
      </c>
    </row>
    <row r="97" spans="1:26">
      <c r="A97" s="6" t="s">
        <v>101</v>
      </c>
      <c r="B97" s="6" t="s">
        <v>197</v>
      </c>
      <c r="C97" t="s">
        <v>13</v>
      </c>
      <c r="D97" s="8">
        <v>1</v>
      </c>
      <c r="E97">
        <v>5</v>
      </c>
      <c r="G97" s="54">
        <v>0.88580000000000003</v>
      </c>
      <c r="H97" s="55">
        <v>0.1216</v>
      </c>
      <c r="I97" s="55" t="s">
        <v>469</v>
      </c>
      <c r="J97" s="25">
        <v>42418</v>
      </c>
      <c r="K97" s="54">
        <v>0.24310000000000001</v>
      </c>
      <c r="L97" s="100">
        <v>5.1499999999999997E-2</v>
      </c>
      <c r="M97" s="55">
        <v>0</v>
      </c>
      <c r="N97" s="25">
        <v>42421</v>
      </c>
      <c r="O97" s="104">
        <f t="shared" si="8"/>
        <v>0.64270000000000005</v>
      </c>
      <c r="P97" s="104">
        <f t="shared" si="8"/>
        <v>7.0099999999999996E-2</v>
      </c>
      <c r="Q97" s="104" t="e">
        <f t="shared" si="8"/>
        <v>#VALUE!</v>
      </c>
      <c r="R97" s="104">
        <f t="shared" si="9"/>
        <v>264.37679967091736</v>
      </c>
      <c r="S97" s="104">
        <f t="shared" si="9"/>
        <v>136.11650485436891</v>
      </c>
      <c r="T97" s="104">
        <f t="shared" si="9"/>
        <v>0</v>
      </c>
      <c r="V97">
        <f>K97/'Soil samples'!AK97*1000</f>
        <v>31.905888889367532</v>
      </c>
      <c r="W97">
        <f>L97/'Soil samples'!AK97*1000</f>
        <v>6.7591660954439643</v>
      </c>
      <c r="X97" s="3">
        <f>M97/'Soil samples'!AK97*1000</f>
        <v>0</v>
      </c>
      <c r="Y97" s="31">
        <f t="shared" si="6"/>
        <v>0.29460000000000003</v>
      </c>
      <c r="Z97" s="104">
        <f t="shared" si="7"/>
        <v>0.29460000000000003</v>
      </c>
    </row>
    <row r="98" spans="1:26">
      <c r="A98" s="6" t="s">
        <v>102</v>
      </c>
      <c r="B98" s="6" t="s">
        <v>197</v>
      </c>
      <c r="C98" t="s">
        <v>13</v>
      </c>
      <c r="D98" s="8">
        <v>1</v>
      </c>
      <c r="E98">
        <v>10</v>
      </c>
      <c r="G98" s="54">
        <v>0.90639999999999998</v>
      </c>
      <c r="H98" s="55">
        <v>0.1208</v>
      </c>
      <c r="I98" s="55" t="s">
        <v>469</v>
      </c>
      <c r="J98" s="25">
        <v>42418</v>
      </c>
      <c r="K98" s="54">
        <v>0.21160000000000001</v>
      </c>
      <c r="L98" s="100">
        <v>4.8899999999999999E-2</v>
      </c>
      <c r="M98" s="55">
        <v>0</v>
      </c>
      <c r="N98" s="25">
        <v>42421</v>
      </c>
      <c r="O98" s="104">
        <f t="shared" si="8"/>
        <v>0.69479999999999997</v>
      </c>
      <c r="P98" s="104">
        <f t="shared" si="8"/>
        <v>7.1900000000000006E-2</v>
      </c>
      <c r="Q98" s="104" t="e">
        <f t="shared" si="8"/>
        <v>#VALUE!</v>
      </c>
      <c r="R98" s="104">
        <f t="shared" si="9"/>
        <v>328.35538752362947</v>
      </c>
      <c r="S98" s="104">
        <f t="shared" si="9"/>
        <v>147.03476482617589</v>
      </c>
      <c r="T98" s="104">
        <f t="shared" si="9"/>
        <v>0</v>
      </c>
      <c r="V98">
        <f>K98/'Soil samples'!AK98*1000</f>
        <v>10.69316240602412</v>
      </c>
      <c r="W98">
        <f>L98/'Soil samples'!AK98*1000</f>
        <v>2.4711514255887495</v>
      </c>
      <c r="X98" s="3">
        <f>M98/'Soil samples'!AK98*1000</f>
        <v>0</v>
      </c>
      <c r="Y98" s="31">
        <f t="shared" si="6"/>
        <v>0.26050000000000001</v>
      </c>
      <c r="Z98" s="104">
        <f t="shared" si="7"/>
        <v>0.26050000000000001</v>
      </c>
    </row>
    <row r="99" spans="1:26">
      <c r="A99" s="6" t="s">
        <v>103</v>
      </c>
      <c r="B99" s="6" t="s">
        <v>197</v>
      </c>
      <c r="C99" t="s">
        <v>13</v>
      </c>
      <c r="D99" s="8">
        <v>1</v>
      </c>
      <c r="E99">
        <v>20</v>
      </c>
      <c r="G99" s="54">
        <v>0.56769999999999998</v>
      </c>
      <c r="H99" s="55">
        <v>0.41589999999999999</v>
      </c>
      <c r="I99" s="55" t="s">
        <v>469</v>
      </c>
      <c r="J99" s="25">
        <v>42418</v>
      </c>
      <c r="K99" s="54">
        <v>0.15670000000000001</v>
      </c>
      <c r="L99" s="100">
        <v>0.17269999999999999</v>
      </c>
      <c r="M99" s="55">
        <v>0</v>
      </c>
      <c r="N99" s="25">
        <v>42421</v>
      </c>
      <c r="O99" s="104">
        <f t="shared" si="8"/>
        <v>0.41099999999999998</v>
      </c>
      <c r="P99" s="104">
        <f t="shared" si="8"/>
        <v>0.2432</v>
      </c>
      <c r="Q99" s="104" t="e">
        <f t="shared" si="8"/>
        <v>#VALUE!</v>
      </c>
      <c r="R99" s="104">
        <f t="shared" si="9"/>
        <v>262.28462029355455</v>
      </c>
      <c r="S99" s="104">
        <f t="shared" si="9"/>
        <v>140.82223508975102</v>
      </c>
      <c r="T99" s="104">
        <f t="shared" si="9"/>
        <v>0</v>
      </c>
      <c r="V99">
        <f>K99/'Soil samples'!AK99*1000</f>
        <v>5.3595093930074817</v>
      </c>
      <c r="W99">
        <f>L99/'Soil samples'!AK99*1000</f>
        <v>5.906747110225858</v>
      </c>
      <c r="X99" s="3">
        <f>M99/'Soil samples'!AK99*1000</f>
        <v>0</v>
      </c>
      <c r="Y99" s="31">
        <f t="shared" si="6"/>
        <v>0.32940000000000003</v>
      </c>
      <c r="Z99" s="104">
        <f t="shared" si="7"/>
        <v>0.32940000000000003</v>
      </c>
    </row>
    <row r="100" spans="1:26">
      <c r="A100" s="6" t="s">
        <v>104</v>
      </c>
      <c r="B100" s="6" t="s">
        <v>197</v>
      </c>
      <c r="C100" t="s">
        <v>13</v>
      </c>
      <c r="D100" s="8">
        <v>2</v>
      </c>
      <c r="E100">
        <v>5</v>
      </c>
      <c r="G100" s="54">
        <v>2.3271000000000002</v>
      </c>
      <c r="H100" s="55">
        <v>6.8599999999999994E-2</v>
      </c>
      <c r="I100" s="55" t="s">
        <v>469</v>
      </c>
      <c r="J100" s="25">
        <v>42798</v>
      </c>
      <c r="K100" s="54">
        <v>0.40910000000000002</v>
      </c>
      <c r="L100" s="55">
        <v>3.3099999999999997E-2</v>
      </c>
      <c r="M100" s="55">
        <v>0</v>
      </c>
      <c r="N100" s="25">
        <v>42801</v>
      </c>
      <c r="O100" s="104">
        <f t="shared" si="8"/>
        <v>1.9180000000000001</v>
      </c>
      <c r="P100" s="104">
        <f t="shared" si="8"/>
        <v>3.5499999999999997E-2</v>
      </c>
      <c r="Q100" s="104" t="e">
        <f t="shared" si="8"/>
        <v>#VALUE!</v>
      </c>
      <c r="R100" s="104">
        <f t="shared" si="9"/>
        <v>468.83402591053533</v>
      </c>
      <c r="S100" s="104">
        <f t="shared" si="9"/>
        <v>107.25075528700907</v>
      </c>
      <c r="T100" s="104">
        <f t="shared" si="9"/>
        <v>0</v>
      </c>
      <c r="U100" s="3" t="s">
        <v>696</v>
      </c>
      <c r="V100">
        <f>K100/'Soil samples'!AK100*1000</f>
        <v>25.466798695214532</v>
      </c>
      <c r="W100">
        <f>L100/'Soil samples'!AK100*1000</f>
        <v>2.0605011899574697</v>
      </c>
      <c r="X100" s="3">
        <f>M100/'Soil samples'!AK100*1000</f>
        <v>0</v>
      </c>
      <c r="Y100" s="31">
        <f t="shared" si="6"/>
        <v>0.44220000000000004</v>
      </c>
      <c r="Z100" s="104">
        <f t="shared" si="7"/>
        <v>0.44220000000000004</v>
      </c>
    </row>
    <row r="101" spans="1:26">
      <c r="A101" s="6" t="s">
        <v>105</v>
      </c>
      <c r="B101" s="6" t="s">
        <v>197</v>
      </c>
      <c r="C101" t="s">
        <v>13</v>
      </c>
      <c r="D101" s="8">
        <v>2</v>
      </c>
      <c r="E101">
        <v>10</v>
      </c>
      <c r="G101" s="54">
        <v>1.6074999999999999</v>
      </c>
      <c r="H101" s="55">
        <v>7.46E-2</v>
      </c>
      <c r="I101" s="55" t="s">
        <v>469</v>
      </c>
      <c r="J101" s="25">
        <v>42798</v>
      </c>
      <c r="K101" s="54">
        <v>0.35210000000000002</v>
      </c>
      <c r="L101" s="55">
        <v>3.0499999999999999E-2</v>
      </c>
      <c r="M101" s="55">
        <v>0</v>
      </c>
      <c r="N101" s="25">
        <v>42801</v>
      </c>
      <c r="O101" s="104">
        <f t="shared" si="8"/>
        <v>1.2553999999999998</v>
      </c>
      <c r="P101" s="104">
        <f t="shared" si="8"/>
        <v>4.41E-2</v>
      </c>
      <c r="Q101" s="104" t="e">
        <f t="shared" si="8"/>
        <v>#VALUE!</v>
      </c>
      <c r="R101" s="104">
        <f t="shared" si="9"/>
        <v>356.54643567168409</v>
      </c>
      <c r="S101" s="104">
        <f t="shared" si="9"/>
        <v>144.59016393442624</v>
      </c>
      <c r="T101" s="104">
        <f t="shared" si="9"/>
        <v>0</v>
      </c>
      <c r="U101" s="3" t="s">
        <v>696</v>
      </c>
      <c r="V101">
        <f>K101/'Soil samples'!AK101*1000</f>
        <v>14.347381805907265</v>
      </c>
      <c r="W101">
        <f>L101/'Soil samples'!AK101*1000</f>
        <v>1.2428149533660084</v>
      </c>
      <c r="X101" s="3">
        <f>M101/'Soil samples'!AK101*1000</f>
        <v>0</v>
      </c>
      <c r="Y101" s="31">
        <f t="shared" si="6"/>
        <v>0.38260000000000005</v>
      </c>
      <c r="Z101" s="104">
        <f t="shared" si="7"/>
        <v>0.38260000000000005</v>
      </c>
    </row>
    <row r="102" spans="1:26">
      <c r="A102" s="6" t="s">
        <v>106</v>
      </c>
      <c r="B102" s="6" t="s">
        <v>197</v>
      </c>
      <c r="C102" t="s">
        <v>13</v>
      </c>
      <c r="D102" s="8">
        <v>2</v>
      </c>
      <c r="E102">
        <v>20</v>
      </c>
      <c r="G102" s="54">
        <v>1.3612</v>
      </c>
      <c r="H102" s="55">
        <v>0.2387</v>
      </c>
      <c r="I102" s="55" t="s">
        <v>469</v>
      </c>
      <c r="J102" s="25">
        <v>42798</v>
      </c>
      <c r="K102" s="54">
        <v>0.28639999999999999</v>
      </c>
      <c r="L102" s="55">
        <v>9.9500000000000005E-2</v>
      </c>
      <c r="M102" s="55">
        <v>0</v>
      </c>
      <c r="N102" s="25">
        <v>42801</v>
      </c>
      <c r="O102" s="104">
        <f t="shared" si="8"/>
        <v>1.0748</v>
      </c>
      <c r="P102" s="104">
        <f t="shared" si="8"/>
        <v>0.13919999999999999</v>
      </c>
      <c r="Q102" s="104" t="e">
        <f t="shared" si="8"/>
        <v>#VALUE!</v>
      </c>
      <c r="R102" s="104">
        <f t="shared" si="9"/>
        <v>375.27932960893855</v>
      </c>
      <c r="S102" s="104">
        <f t="shared" si="9"/>
        <v>139.89949748743717</v>
      </c>
      <c r="T102" s="104">
        <f t="shared" si="9"/>
        <v>0</v>
      </c>
      <c r="U102" s="3" t="s">
        <v>696</v>
      </c>
      <c r="V102">
        <f>K102/'Soil samples'!AK102*1000</f>
        <v>10.323031990359988</v>
      </c>
      <c r="W102">
        <f>L102/'Soil samples'!AK102*1000</f>
        <v>3.5863885581034181</v>
      </c>
      <c r="X102" s="3">
        <f>M102/'Soil samples'!AK102*1000</f>
        <v>0</v>
      </c>
      <c r="Y102" s="31">
        <f t="shared" si="6"/>
        <v>0.38590000000000002</v>
      </c>
      <c r="Z102" s="104">
        <f t="shared" si="7"/>
        <v>0.38590000000000002</v>
      </c>
    </row>
    <row r="103" spans="1:26">
      <c r="A103" s="6" t="s">
        <v>107</v>
      </c>
      <c r="B103" s="6" t="s">
        <v>197</v>
      </c>
      <c r="C103" t="s">
        <v>13</v>
      </c>
      <c r="D103" s="8">
        <v>2</v>
      </c>
      <c r="E103">
        <v>30</v>
      </c>
      <c r="G103" s="54">
        <v>0.6744</v>
      </c>
      <c r="H103" s="55">
        <v>0.2084</v>
      </c>
      <c r="I103" s="55" t="s">
        <v>469</v>
      </c>
      <c r="J103" s="25">
        <v>42798</v>
      </c>
      <c r="K103" s="54">
        <v>0.16200000000000001</v>
      </c>
      <c r="L103" s="55">
        <v>7.3099999999999998E-2</v>
      </c>
      <c r="M103" s="55">
        <v>0</v>
      </c>
      <c r="N103" s="25">
        <v>42801</v>
      </c>
      <c r="O103" s="104">
        <f t="shared" si="8"/>
        <v>0.51239999999999997</v>
      </c>
      <c r="P103" s="104">
        <f t="shared" si="8"/>
        <v>0.1353</v>
      </c>
      <c r="Q103" s="104" t="e">
        <f t="shared" si="8"/>
        <v>#VALUE!</v>
      </c>
      <c r="R103" s="104">
        <f t="shared" si="9"/>
        <v>316.29629629629625</v>
      </c>
      <c r="S103" s="104">
        <f t="shared" si="9"/>
        <v>185.08891928864571</v>
      </c>
      <c r="T103" s="104">
        <f t="shared" si="9"/>
        <v>0</v>
      </c>
      <c r="U103" s="3" t="s">
        <v>696</v>
      </c>
      <c r="V103">
        <f>K103/'Soil samples'!AK103*1000</f>
        <v>3.8407616775301028</v>
      </c>
      <c r="W103">
        <f>L103/'Soil samples'!AK103*1000</f>
        <v>1.7330844359719164</v>
      </c>
      <c r="X103" s="3">
        <f>M103/'Soil samples'!AK103*1000</f>
        <v>0</v>
      </c>
      <c r="Y103" s="31">
        <f t="shared" si="6"/>
        <v>0.2351</v>
      </c>
      <c r="Z103" s="104">
        <f t="shared" si="7"/>
        <v>0.2351</v>
      </c>
    </row>
    <row r="104" spans="1:26">
      <c r="A104" s="6" t="s">
        <v>108</v>
      </c>
      <c r="B104" s="6" t="s">
        <v>197</v>
      </c>
      <c r="C104" t="s">
        <v>13</v>
      </c>
      <c r="D104" s="8">
        <v>3</v>
      </c>
      <c r="E104">
        <v>5</v>
      </c>
      <c r="G104" s="54">
        <v>0.9143</v>
      </c>
      <c r="H104" s="55">
        <v>0.10539999999999999</v>
      </c>
      <c r="I104" s="55" t="s">
        <v>469</v>
      </c>
      <c r="J104" s="25">
        <v>42819</v>
      </c>
      <c r="K104" s="54">
        <v>0.19969999999999999</v>
      </c>
      <c r="L104" s="55">
        <v>4.5499999999999999E-2</v>
      </c>
      <c r="M104" s="55">
        <v>0</v>
      </c>
      <c r="N104" s="25">
        <v>42823</v>
      </c>
      <c r="O104" s="104">
        <f t="shared" si="8"/>
        <v>0.71460000000000001</v>
      </c>
      <c r="P104" s="104">
        <f t="shared" si="8"/>
        <v>5.9899999999999995E-2</v>
      </c>
      <c r="Q104" s="104" t="e">
        <f t="shared" si="8"/>
        <v>#VALUE!</v>
      </c>
      <c r="R104" s="104">
        <f t="shared" si="9"/>
        <v>357.83675513269907</v>
      </c>
      <c r="S104" s="104">
        <f t="shared" si="9"/>
        <v>131.64835164835165</v>
      </c>
      <c r="T104" s="104">
        <f t="shared" si="9"/>
        <v>0</v>
      </c>
      <c r="V104">
        <f>K104/'Soil samples'!AK104*1000</f>
        <v>17.964000834499963</v>
      </c>
      <c r="W104">
        <f>L104/'Soil samples'!AK104*1000</f>
        <v>4.0929496142701467</v>
      </c>
      <c r="X104" s="3">
        <f>M104/'Soil samples'!AK104*1000</f>
        <v>0</v>
      </c>
      <c r="Y104" s="31">
        <f t="shared" si="6"/>
        <v>0.24519999999999997</v>
      </c>
      <c r="Z104" s="104">
        <f t="shared" si="7"/>
        <v>0.24519999999999997</v>
      </c>
    </row>
    <row r="105" spans="1:26">
      <c r="A105" s="6" t="s">
        <v>109</v>
      </c>
      <c r="B105" s="6" t="s">
        <v>197</v>
      </c>
      <c r="C105" t="s">
        <v>13</v>
      </c>
      <c r="D105" s="8">
        <v>3</v>
      </c>
      <c r="E105">
        <v>10</v>
      </c>
      <c r="G105" s="54">
        <v>0.27200000000000002</v>
      </c>
      <c r="H105" s="55">
        <v>3.8399999999999997E-2</v>
      </c>
      <c r="I105" s="55" t="s">
        <v>469</v>
      </c>
      <c r="J105" s="25">
        <v>42819</v>
      </c>
      <c r="K105" s="54">
        <v>7.4800000000000005E-2</v>
      </c>
      <c r="L105" s="55">
        <v>1.37E-2</v>
      </c>
      <c r="M105" s="55">
        <v>0</v>
      </c>
      <c r="N105" s="25">
        <v>42823</v>
      </c>
      <c r="O105" s="104">
        <f t="shared" si="8"/>
        <v>0.19720000000000001</v>
      </c>
      <c r="P105" s="104">
        <f t="shared" si="8"/>
        <v>2.4699999999999996E-2</v>
      </c>
      <c r="Q105" s="104" t="e">
        <f t="shared" si="8"/>
        <v>#VALUE!</v>
      </c>
      <c r="R105" s="104">
        <f t="shared" si="9"/>
        <v>263.63636363636363</v>
      </c>
      <c r="S105" s="104">
        <f t="shared" si="9"/>
        <v>180.29197080291968</v>
      </c>
      <c r="T105" s="104">
        <f t="shared" si="9"/>
        <v>0</v>
      </c>
      <c r="V105">
        <f>K105/'Soil samples'!AK105*1000</f>
        <v>6.4301674797490413</v>
      </c>
      <c r="W105">
        <f>L105/'Soil samples'!AK105*1000</f>
        <v>1.1777178405422708</v>
      </c>
      <c r="X105" s="3">
        <f>M105/'Soil samples'!AK105*1000</f>
        <v>0</v>
      </c>
      <c r="Y105" s="31">
        <f t="shared" si="6"/>
        <v>8.8500000000000009E-2</v>
      </c>
      <c r="Z105" s="104">
        <f t="shared" si="7"/>
        <v>8.8500000000000009E-2</v>
      </c>
    </row>
    <row r="106" spans="1:26">
      <c r="A106" s="6" t="s">
        <v>110</v>
      </c>
      <c r="B106" s="6" t="s">
        <v>197</v>
      </c>
      <c r="C106" t="s">
        <v>13</v>
      </c>
      <c r="D106" s="8">
        <v>3</v>
      </c>
      <c r="E106">
        <v>20</v>
      </c>
      <c r="G106" s="54">
        <v>0.68210000000000004</v>
      </c>
      <c r="H106" s="55">
        <v>0.10580000000000001</v>
      </c>
      <c r="I106" s="55" t="s">
        <v>469</v>
      </c>
      <c r="J106" s="25">
        <v>42819</v>
      </c>
      <c r="K106" s="54">
        <v>0.18509999999999999</v>
      </c>
      <c r="L106" s="55">
        <v>4.0399999999999998E-2</v>
      </c>
      <c r="M106" s="55">
        <v>0</v>
      </c>
      <c r="N106" s="25">
        <v>42823</v>
      </c>
      <c r="O106" s="104">
        <f t="shared" si="8"/>
        <v>0.49700000000000005</v>
      </c>
      <c r="P106" s="104">
        <f t="shared" si="8"/>
        <v>6.5400000000000014E-2</v>
      </c>
      <c r="Q106" s="104" t="e">
        <f t="shared" si="8"/>
        <v>#VALUE!</v>
      </c>
      <c r="R106" s="104">
        <f t="shared" si="9"/>
        <v>268.50351161534309</v>
      </c>
      <c r="S106" s="104">
        <f t="shared" si="9"/>
        <v>161.88118811881191</v>
      </c>
      <c r="T106" s="104">
        <f t="shared" si="9"/>
        <v>0</v>
      </c>
      <c r="V106">
        <f>K106/'Soil samples'!AK106*1000</f>
        <v>4.1314494122489904</v>
      </c>
      <c r="W106">
        <f>L106/'Soil samples'!AK106*1000</f>
        <v>0.9017318004044258</v>
      </c>
      <c r="X106" s="3">
        <f>M106/'Soil samples'!AK106*1000</f>
        <v>0</v>
      </c>
      <c r="Y106" s="31">
        <f t="shared" si="6"/>
        <v>0.22549999999999998</v>
      </c>
      <c r="Z106" s="104">
        <f t="shared" si="7"/>
        <v>0.22549999999999998</v>
      </c>
    </row>
    <row r="107" spans="1:26">
      <c r="A107" s="6" t="s">
        <v>111</v>
      </c>
      <c r="B107" s="6" t="s">
        <v>197</v>
      </c>
      <c r="C107" t="s">
        <v>13</v>
      </c>
      <c r="D107" s="8">
        <v>3</v>
      </c>
      <c r="E107">
        <v>30</v>
      </c>
      <c r="G107" s="54">
        <v>0.13930000000000001</v>
      </c>
      <c r="H107" s="100" t="s">
        <v>469</v>
      </c>
      <c r="I107" s="55" t="s">
        <v>469</v>
      </c>
      <c r="J107" s="25">
        <v>42819</v>
      </c>
      <c r="K107" s="54">
        <v>4.65E-2</v>
      </c>
      <c r="L107" s="55">
        <v>0</v>
      </c>
      <c r="M107" s="55">
        <v>0</v>
      </c>
      <c r="N107" s="25">
        <v>42823</v>
      </c>
      <c r="O107" s="104">
        <f t="shared" si="8"/>
        <v>9.2800000000000007E-2</v>
      </c>
      <c r="P107" s="104" t="e">
        <f t="shared" si="8"/>
        <v>#VALUE!</v>
      </c>
      <c r="Q107" s="104" t="e">
        <f t="shared" si="8"/>
        <v>#VALUE!</v>
      </c>
      <c r="R107" s="104">
        <f t="shared" si="9"/>
        <v>199.5698924731183</v>
      </c>
      <c r="S107" s="104">
        <f t="shared" si="9"/>
        <v>0</v>
      </c>
      <c r="T107" s="104">
        <f t="shared" si="9"/>
        <v>0</v>
      </c>
      <c r="V107">
        <f>K107/'Soil samples'!AK107*1000</f>
        <v>1.0607095288486685</v>
      </c>
      <c r="W107">
        <f>L107/'Soil samples'!AK107*1000</f>
        <v>0</v>
      </c>
      <c r="X107" s="3">
        <f>M107/'Soil samples'!AK107*1000</f>
        <v>0</v>
      </c>
      <c r="Y107" s="31">
        <f t="shared" si="6"/>
        <v>4.65E-2</v>
      </c>
      <c r="Z107" s="104">
        <f t="shared" si="7"/>
        <v>4.65E-2</v>
      </c>
    </row>
    <row r="108" spans="1:26">
      <c r="A108" s="6" t="s">
        <v>112</v>
      </c>
      <c r="B108" s="6" t="s">
        <v>197</v>
      </c>
      <c r="C108" t="s">
        <v>13</v>
      </c>
      <c r="D108" s="8">
        <v>4</v>
      </c>
      <c r="E108">
        <v>5</v>
      </c>
      <c r="G108" s="54">
        <v>1.5740000000000001</v>
      </c>
      <c r="H108" s="55" t="s">
        <v>469</v>
      </c>
      <c r="I108" s="55" t="s">
        <v>469</v>
      </c>
      <c r="J108" s="25">
        <v>42769</v>
      </c>
      <c r="K108" s="54">
        <v>0.40239999999999998</v>
      </c>
      <c r="L108" s="55">
        <v>0</v>
      </c>
      <c r="M108" s="55">
        <v>0</v>
      </c>
      <c r="N108" s="25">
        <v>42772</v>
      </c>
      <c r="O108" s="104">
        <f t="shared" si="8"/>
        <v>1.1716000000000002</v>
      </c>
      <c r="P108" s="104" t="e">
        <f t="shared" si="8"/>
        <v>#VALUE!</v>
      </c>
      <c r="Q108" s="104" t="e">
        <f t="shared" si="8"/>
        <v>#VALUE!</v>
      </c>
      <c r="R108" s="104">
        <f t="shared" si="9"/>
        <v>291.15308151093444</v>
      </c>
      <c r="S108" s="104">
        <f t="shared" si="9"/>
        <v>0</v>
      </c>
      <c r="T108" s="104">
        <f t="shared" si="9"/>
        <v>0</v>
      </c>
      <c r="V108">
        <f>K108/'Soil samples'!AK108*1000</f>
        <v>130.77853843617095</v>
      </c>
      <c r="W108">
        <f>L108/'Soil samples'!AK108*1000</f>
        <v>0</v>
      </c>
      <c r="X108" s="3">
        <f>M108/'Soil samples'!AK108*1000</f>
        <v>0</v>
      </c>
      <c r="Y108" s="31">
        <f t="shared" si="6"/>
        <v>0.40239999999999998</v>
      </c>
      <c r="Z108" s="104">
        <f t="shared" si="7"/>
        <v>0.40239999999999998</v>
      </c>
    </row>
    <row r="109" spans="1:26">
      <c r="A109" s="6" t="s">
        <v>113</v>
      </c>
      <c r="B109" s="6" t="s">
        <v>197</v>
      </c>
      <c r="C109" t="s">
        <v>13</v>
      </c>
      <c r="D109" s="8">
        <v>4</v>
      </c>
      <c r="E109">
        <v>10</v>
      </c>
      <c r="G109" s="54">
        <v>1.2035</v>
      </c>
      <c r="H109" s="100">
        <v>7.9500000000000001E-2</v>
      </c>
      <c r="I109" s="55" t="s">
        <v>469</v>
      </c>
      <c r="J109" s="25">
        <v>42769</v>
      </c>
      <c r="K109" s="54">
        <v>0.29930000000000001</v>
      </c>
      <c r="L109" s="100">
        <v>3.5700000000000003E-2</v>
      </c>
      <c r="M109" s="55">
        <v>0</v>
      </c>
      <c r="N109" s="25">
        <v>42772</v>
      </c>
      <c r="O109" s="104">
        <f t="shared" si="8"/>
        <v>0.9042</v>
      </c>
      <c r="P109" s="104">
        <f t="shared" si="8"/>
        <v>4.3799999999999999E-2</v>
      </c>
      <c r="Q109" s="104" t="e">
        <f t="shared" si="8"/>
        <v>#VALUE!</v>
      </c>
      <c r="R109" s="104">
        <f t="shared" si="9"/>
        <v>302.10491146007348</v>
      </c>
      <c r="S109" s="104">
        <f t="shared" si="9"/>
        <v>122.68907563025209</v>
      </c>
      <c r="T109" s="104">
        <f t="shared" si="9"/>
        <v>0</v>
      </c>
      <c r="V109">
        <f>K109/'Soil samples'!AK109*1000</f>
        <v>21.009296009786485</v>
      </c>
      <c r="W109">
        <f>L109/'Soil samples'!AK109*1000</f>
        <v>2.5059534498809803</v>
      </c>
      <c r="X109" s="3">
        <f>M109/'Soil samples'!AK109*1000</f>
        <v>0</v>
      </c>
      <c r="Y109" s="31">
        <f t="shared" si="6"/>
        <v>0.33500000000000002</v>
      </c>
      <c r="Z109" s="104">
        <f t="shared" si="7"/>
        <v>0.33500000000000002</v>
      </c>
    </row>
    <row r="110" spans="1:26">
      <c r="A110" s="6" t="s">
        <v>114</v>
      </c>
      <c r="B110" s="6" t="s">
        <v>197</v>
      </c>
      <c r="C110" t="s">
        <v>13</v>
      </c>
      <c r="D110" s="8">
        <v>4</v>
      </c>
      <c r="E110">
        <v>20</v>
      </c>
      <c r="G110" s="54">
        <v>0.38490000000000002</v>
      </c>
      <c r="H110" s="55">
        <v>9.1499999999999998E-2</v>
      </c>
      <c r="I110" s="55" t="s">
        <v>469</v>
      </c>
      <c r="J110" s="25">
        <v>42769</v>
      </c>
      <c r="K110" s="54">
        <v>0.1242</v>
      </c>
      <c r="L110" s="100">
        <v>4.0599999999999997E-2</v>
      </c>
      <c r="M110" s="55">
        <v>0</v>
      </c>
      <c r="N110" s="25">
        <v>42772</v>
      </c>
      <c r="O110" s="104">
        <f t="shared" si="8"/>
        <v>0.26070000000000004</v>
      </c>
      <c r="P110" s="104">
        <f t="shared" si="8"/>
        <v>5.0900000000000001E-2</v>
      </c>
      <c r="Q110" s="104" t="e">
        <f t="shared" si="8"/>
        <v>#VALUE!</v>
      </c>
      <c r="R110" s="104">
        <f t="shared" si="9"/>
        <v>209.90338164251213</v>
      </c>
      <c r="S110" s="104">
        <f t="shared" si="9"/>
        <v>125.36945812807883</v>
      </c>
      <c r="T110" s="104">
        <f t="shared" si="9"/>
        <v>0</v>
      </c>
      <c r="V110">
        <f>K110/'Soil samples'!AK110*1000</f>
        <v>2.5079539227328511</v>
      </c>
      <c r="W110">
        <f>L110/'Soil samples'!AK110*1000</f>
        <v>0.81983034833296076</v>
      </c>
      <c r="X110" s="3">
        <f>M110/'Soil samples'!AK110*1000</f>
        <v>0</v>
      </c>
      <c r="Y110" s="31">
        <f t="shared" si="6"/>
        <v>0.1648</v>
      </c>
      <c r="Z110" s="104">
        <f t="shared" si="7"/>
        <v>0.1648</v>
      </c>
    </row>
    <row r="111" spans="1:26">
      <c r="A111" s="6" t="s">
        <v>115</v>
      </c>
      <c r="B111" s="6" t="s">
        <v>197</v>
      </c>
      <c r="C111" t="s">
        <v>13</v>
      </c>
      <c r="D111" s="8">
        <v>4</v>
      </c>
      <c r="E111">
        <v>30</v>
      </c>
      <c r="F111" t="s">
        <v>383</v>
      </c>
      <c r="G111" s="54">
        <v>0.31309999999999999</v>
      </c>
      <c r="H111" s="55">
        <v>0.19750000000000001</v>
      </c>
      <c r="I111" s="55" t="s">
        <v>469</v>
      </c>
      <c r="J111" s="25">
        <v>42769</v>
      </c>
      <c r="K111" s="54">
        <v>9.6000000000000002E-2</v>
      </c>
      <c r="L111" s="100">
        <v>8.6499999999999994E-2</v>
      </c>
      <c r="M111" s="55">
        <v>0</v>
      </c>
      <c r="N111" s="25">
        <v>42772</v>
      </c>
      <c r="O111" s="104">
        <f t="shared" si="8"/>
        <v>0.21709999999999999</v>
      </c>
      <c r="P111" s="104">
        <f t="shared" si="8"/>
        <v>0.11100000000000002</v>
      </c>
      <c r="Q111" s="104" t="e">
        <f t="shared" si="8"/>
        <v>#VALUE!</v>
      </c>
      <c r="R111" s="104">
        <f t="shared" si="9"/>
        <v>226.14583333333331</v>
      </c>
      <c r="S111" s="104">
        <f t="shared" si="9"/>
        <v>128.32369942196536</v>
      </c>
      <c r="T111" s="104">
        <f t="shared" si="9"/>
        <v>0</v>
      </c>
      <c r="V111">
        <f>K111/'Soil samples'!AK111*1000</f>
        <v>2.0725744752090631</v>
      </c>
      <c r="W111">
        <f>L111/'Soil samples'!AK111*1000</f>
        <v>1.867475959433166</v>
      </c>
      <c r="X111" s="3">
        <f>M111/'Soil samples'!AK111*1000</f>
        <v>0</v>
      </c>
      <c r="Y111" s="31">
        <f t="shared" si="6"/>
        <v>0.1825</v>
      </c>
      <c r="Z111" s="104">
        <f t="shared" si="7"/>
        <v>0.1825</v>
      </c>
    </row>
    <row r="112" spans="1:26">
      <c r="A112" s="6" t="s">
        <v>116</v>
      </c>
      <c r="B112" s="6" t="s">
        <v>197</v>
      </c>
      <c r="C112" t="s">
        <v>13</v>
      </c>
      <c r="D112" s="8">
        <v>5</v>
      </c>
      <c r="E112">
        <v>5</v>
      </c>
      <c r="G112" s="54">
        <v>0.17380000000000001</v>
      </c>
      <c r="H112" s="55">
        <v>8.6499999999999994E-2</v>
      </c>
      <c r="I112" s="55" t="s">
        <v>469</v>
      </c>
      <c r="J112" s="25">
        <v>42748</v>
      </c>
      <c r="K112" s="54">
        <v>6.0900000000000003E-2</v>
      </c>
      <c r="L112" s="100">
        <v>4.9500000000000002E-2</v>
      </c>
      <c r="M112" s="55">
        <v>0</v>
      </c>
      <c r="N112" s="25">
        <v>42751</v>
      </c>
      <c r="O112" s="104">
        <f t="shared" si="8"/>
        <v>0.1129</v>
      </c>
      <c r="P112" s="104">
        <f t="shared" si="8"/>
        <v>3.6999999999999991E-2</v>
      </c>
      <c r="Q112" s="104" t="e">
        <f t="shared" si="8"/>
        <v>#VALUE!</v>
      </c>
      <c r="R112" s="104">
        <f t="shared" si="9"/>
        <v>185.38587848932676</v>
      </c>
      <c r="S112" s="104">
        <f t="shared" si="9"/>
        <v>74.747474747474726</v>
      </c>
      <c r="T112" s="104">
        <f t="shared" si="9"/>
        <v>0</v>
      </c>
      <c r="V112">
        <f>K112/'Soil samples'!AK112*1000</f>
        <v>4.6685055004972424</v>
      </c>
      <c r="W112">
        <f>L112/'Soil samples'!AK112*1000</f>
        <v>3.7945980669066257</v>
      </c>
      <c r="X112" s="3">
        <f>M112/'Soil samples'!AK112*1000</f>
        <v>0</v>
      </c>
      <c r="Y112" s="31">
        <f t="shared" si="6"/>
        <v>0.1104</v>
      </c>
      <c r="Z112" s="104">
        <f t="shared" si="7"/>
        <v>0.1104</v>
      </c>
    </row>
    <row r="113" spans="1:26">
      <c r="A113" s="6" t="s">
        <v>117</v>
      </c>
      <c r="B113" s="6" t="s">
        <v>197</v>
      </c>
      <c r="C113" t="s">
        <v>13</v>
      </c>
      <c r="D113" s="8">
        <v>5</v>
      </c>
      <c r="E113">
        <v>10</v>
      </c>
      <c r="G113" s="54">
        <v>0.42549999999999999</v>
      </c>
      <c r="H113" s="55">
        <v>9.9099999999999994E-2</v>
      </c>
      <c r="I113" s="55" t="s">
        <v>469</v>
      </c>
      <c r="J113" s="25">
        <v>42748</v>
      </c>
      <c r="K113" s="54">
        <v>0.115</v>
      </c>
      <c r="L113" s="100">
        <v>4.9099999999999998E-2</v>
      </c>
      <c r="M113" s="55">
        <v>0</v>
      </c>
      <c r="N113" s="25">
        <v>42751</v>
      </c>
      <c r="O113" s="104">
        <f t="shared" si="8"/>
        <v>0.3105</v>
      </c>
      <c r="P113" s="104">
        <f t="shared" si="8"/>
        <v>4.9999999999999996E-2</v>
      </c>
      <c r="Q113" s="104" t="e">
        <f t="shared" si="8"/>
        <v>#VALUE!</v>
      </c>
      <c r="R113" s="104">
        <f t="shared" si="9"/>
        <v>270</v>
      </c>
      <c r="S113" s="104">
        <f t="shared" si="9"/>
        <v>101.83299389002036</v>
      </c>
      <c r="T113" s="104">
        <f t="shared" si="9"/>
        <v>0</v>
      </c>
      <c r="V113">
        <f>K113/'Soil samples'!AK113*1000</f>
        <v>5.4790710610485354</v>
      </c>
      <c r="W113">
        <f>L113/'Soil samples'!AK113*1000</f>
        <v>2.3393251225868092</v>
      </c>
      <c r="X113" s="3">
        <f>M113/'Soil samples'!AK113*1000</f>
        <v>0</v>
      </c>
      <c r="Y113" s="31">
        <f t="shared" si="6"/>
        <v>0.1641</v>
      </c>
      <c r="Z113" s="104">
        <f t="shared" si="7"/>
        <v>0.1641</v>
      </c>
    </row>
    <row r="114" spans="1:26">
      <c r="A114" s="6" t="s">
        <v>118</v>
      </c>
      <c r="B114" s="6" t="s">
        <v>197</v>
      </c>
      <c r="C114" t="s">
        <v>13</v>
      </c>
      <c r="D114" s="8">
        <v>5</v>
      </c>
      <c r="E114">
        <v>20</v>
      </c>
      <c r="G114" s="54">
        <v>0.15659999999999999</v>
      </c>
      <c r="H114" s="55">
        <v>5.6500000000000002E-2</v>
      </c>
      <c r="I114" s="55" t="s">
        <v>469</v>
      </c>
      <c r="J114" s="25">
        <v>42748</v>
      </c>
      <c r="K114" s="54">
        <v>5.5E-2</v>
      </c>
      <c r="L114" s="100">
        <v>2.2700000000000001E-2</v>
      </c>
      <c r="M114" s="55">
        <v>0</v>
      </c>
      <c r="N114" s="25">
        <v>42751</v>
      </c>
      <c r="O114" s="104">
        <f t="shared" si="8"/>
        <v>0.1016</v>
      </c>
      <c r="P114" s="104">
        <f t="shared" si="8"/>
        <v>3.3799999999999997E-2</v>
      </c>
      <c r="Q114" s="104" t="e">
        <f t="shared" si="8"/>
        <v>#VALUE!</v>
      </c>
      <c r="R114" s="104">
        <f t="shared" si="9"/>
        <v>184.72727272727272</v>
      </c>
      <c r="S114" s="104">
        <f t="shared" si="9"/>
        <v>148.89867841409691</v>
      </c>
      <c r="T114" s="104">
        <f t="shared" si="9"/>
        <v>0</v>
      </c>
      <c r="V114">
        <f>K114/'Soil samples'!AK114*1000</f>
        <v>1.4459848337408718</v>
      </c>
      <c r="W114">
        <f>L114/'Soil samples'!AK114*1000</f>
        <v>0.596797376834869</v>
      </c>
      <c r="X114" s="3">
        <f>M114/'Soil samples'!AK114*1000</f>
        <v>0</v>
      </c>
      <c r="Y114" s="31">
        <f t="shared" si="6"/>
        <v>7.7700000000000005E-2</v>
      </c>
      <c r="Z114" s="104">
        <f t="shared" si="7"/>
        <v>7.7700000000000005E-2</v>
      </c>
    </row>
    <row r="115" spans="1:26">
      <c r="A115" s="6" t="s">
        <v>119</v>
      </c>
      <c r="B115" s="6" t="s">
        <v>197</v>
      </c>
      <c r="C115" t="s">
        <v>13</v>
      </c>
      <c r="D115" s="8">
        <v>5</v>
      </c>
      <c r="E115">
        <v>30</v>
      </c>
      <c r="F115" t="s">
        <v>383</v>
      </c>
      <c r="G115" s="54">
        <v>7.1800000000000003E-2</v>
      </c>
      <c r="H115" s="55" t="s">
        <v>469</v>
      </c>
      <c r="I115" s="55" t="s">
        <v>469</v>
      </c>
      <c r="J115" s="25">
        <v>42748</v>
      </c>
      <c r="K115" s="54">
        <v>2.2100000000000002E-2</v>
      </c>
      <c r="L115" s="55">
        <v>0</v>
      </c>
      <c r="M115" s="55">
        <v>0</v>
      </c>
      <c r="N115" s="25">
        <v>42751</v>
      </c>
      <c r="O115" s="104">
        <f t="shared" si="8"/>
        <v>4.9700000000000001E-2</v>
      </c>
      <c r="P115" s="104" t="e">
        <f t="shared" si="8"/>
        <v>#VALUE!</v>
      </c>
      <c r="Q115" s="104" t="e">
        <f t="shared" si="8"/>
        <v>#VALUE!</v>
      </c>
      <c r="R115" s="104">
        <f t="shared" si="9"/>
        <v>224.88687782805431</v>
      </c>
      <c r="S115" s="104">
        <f t="shared" si="9"/>
        <v>0</v>
      </c>
      <c r="T115" s="104">
        <f t="shared" si="9"/>
        <v>0</v>
      </c>
      <c r="V115">
        <f>K115/'Soil samples'!AK115*1000</f>
        <v>0.38399461435281762</v>
      </c>
      <c r="W115">
        <f>L115/'Soil samples'!AK115*1000</f>
        <v>0</v>
      </c>
      <c r="X115" s="3">
        <f>M115/'Soil samples'!AK115*1000</f>
        <v>0</v>
      </c>
      <c r="Y115" s="31">
        <f t="shared" si="6"/>
        <v>2.2100000000000002E-2</v>
      </c>
      <c r="Z115" s="104">
        <f t="shared" si="7"/>
        <v>2.2100000000000002E-2</v>
      </c>
    </row>
    <row r="116" spans="1:26">
      <c r="A116" s="6" t="s">
        <v>120</v>
      </c>
      <c r="B116" s="6" t="s">
        <v>197</v>
      </c>
      <c r="C116" t="s">
        <v>13</v>
      </c>
      <c r="D116" s="8">
        <v>6</v>
      </c>
      <c r="E116">
        <v>5</v>
      </c>
      <c r="G116" s="54">
        <v>1.1978</v>
      </c>
      <c r="H116" s="100">
        <v>0.19500000000000001</v>
      </c>
      <c r="I116" s="55" t="s">
        <v>469</v>
      </c>
      <c r="J116" s="25">
        <v>42767</v>
      </c>
      <c r="K116" s="54">
        <v>0.27979999999999999</v>
      </c>
      <c r="L116" s="100">
        <v>9.4500000000000001E-2</v>
      </c>
      <c r="M116" s="55">
        <v>0</v>
      </c>
      <c r="N116" s="25">
        <v>42770</v>
      </c>
      <c r="O116" s="104">
        <f t="shared" si="8"/>
        <v>0.91799999999999993</v>
      </c>
      <c r="P116" s="104">
        <f t="shared" si="8"/>
        <v>0.10050000000000001</v>
      </c>
      <c r="Q116" s="104" t="e">
        <f t="shared" si="8"/>
        <v>#VALUE!</v>
      </c>
      <c r="R116" s="104">
        <f t="shared" si="9"/>
        <v>328.09149392423154</v>
      </c>
      <c r="S116" s="104">
        <f t="shared" si="9"/>
        <v>106.34920634920636</v>
      </c>
      <c r="T116" s="104">
        <f t="shared" si="9"/>
        <v>0</v>
      </c>
      <c r="V116">
        <f>K116/'Soil samples'!AK116*1000</f>
        <v>36.526433978178048</v>
      </c>
      <c r="W116">
        <f>L116/'Soil samples'!AK116*1000</f>
        <v>12.336483241378932</v>
      </c>
      <c r="X116" s="3">
        <f>M116/'Soil samples'!AK116*1000</f>
        <v>0</v>
      </c>
      <c r="Y116" s="31">
        <f t="shared" si="6"/>
        <v>0.37429999999999997</v>
      </c>
      <c r="Z116" s="104">
        <f t="shared" si="7"/>
        <v>0.37429999999999997</v>
      </c>
    </row>
    <row r="117" spans="1:26">
      <c r="A117" s="6" t="s">
        <v>121</v>
      </c>
      <c r="B117" s="6" t="s">
        <v>197</v>
      </c>
      <c r="C117" t="s">
        <v>13</v>
      </c>
      <c r="D117" s="8">
        <v>6</v>
      </c>
      <c r="E117">
        <v>10</v>
      </c>
      <c r="G117" s="54">
        <v>0.32929999999999998</v>
      </c>
      <c r="H117" s="100">
        <v>0.12970000000000001</v>
      </c>
      <c r="I117" s="55" t="s">
        <v>469</v>
      </c>
      <c r="J117" s="25">
        <v>42767</v>
      </c>
      <c r="K117" s="54">
        <v>0.1172</v>
      </c>
      <c r="L117" s="100">
        <v>6.25E-2</v>
      </c>
      <c r="M117" s="55">
        <v>0</v>
      </c>
      <c r="N117" s="25">
        <v>42770</v>
      </c>
      <c r="O117" s="104">
        <f t="shared" si="8"/>
        <v>0.21209999999999998</v>
      </c>
      <c r="P117" s="104">
        <f t="shared" si="8"/>
        <v>6.720000000000001E-2</v>
      </c>
      <c r="Q117" s="104" t="e">
        <f t="shared" si="8"/>
        <v>#VALUE!</v>
      </c>
      <c r="R117" s="104">
        <f t="shared" si="9"/>
        <v>180.97269624573377</v>
      </c>
      <c r="S117" s="104">
        <f t="shared" si="9"/>
        <v>107.52000000000001</v>
      </c>
      <c r="T117" s="104">
        <f t="shared" si="9"/>
        <v>0</v>
      </c>
      <c r="V117">
        <f>K117/'Soil samples'!AK117*1000</f>
        <v>5.2677874935922633</v>
      </c>
      <c r="W117">
        <f>L117/'Soil samples'!AK117*1000</f>
        <v>2.8091870166340991</v>
      </c>
      <c r="X117" s="3">
        <f>M117/'Soil samples'!AK117*1000</f>
        <v>0</v>
      </c>
      <c r="Y117" s="31">
        <f t="shared" si="6"/>
        <v>0.1797</v>
      </c>
      <c r="Z117" s="104">
        <f t="shared" si="7"/>
        <v>0.1797</v>
      </c>
    </row>
    <row r="118" spans="1:26" s="4" customFormat="1">
      <c r="A118" s="7" t="s">
        <v>122</v>
      </c>
      <c r="B118" s="7" t="s">
        <v>197</v>
      </c>
      <c r="C118" s="4" t="s">
        <v>13</v>
      </c>
      <c r="D118" s="4">
        <v>6</v>
      </c>
      <c r="E118" s="4">
        <v>20</v>
      </c>
      <c r="G118" s="101">
        <v>9.7100000000000006E-2</v>
      </c>
      <c r="H118" s="102" t="s">
        <v>469</v>
      </c>
      <c r="I118" s="102" t="s">
        <v>469</v>
      </c>
      <c r="J118" s="27">
        <v>42767</v>
      </c>
      <c r="K118" s="101">
        <v>3.04E-2</v>
      </c>
      <c r="L118" s="102">
        <v>0</v>
      </c>
      <c r="M118" s="55">
        <v>0</v>
      </c>
      <c r="N118" s="27">
        <v>42770</v>
      </c>
      <c r="O118" s="102">
        <f t="shared" si="8"/>
        <v>6.6700000000000009E-2</v>
      </c>
      <c r="P118" s="102" t="e">
        <f t="shared" si="8"/>
        <v>#VALUE!</v>
      </c>
      <c r="Q118" s="102" t="e">
        <f t="shared" si="8"/>
        <v>#VALUE!</v>
      </c>
      <c r="R118" s="102">
        <f t="shared" si="9"/>
        <v>219.40789473684214</v>
      </c>
      <c r="S118" s="102">
        <f t="shared" si="9"/>
        <v>0</v>
      </c>
      <c r="T118" s="102">
        <f t="shared" si="9"/>
        <v>0</v>
      </c>
      <c r="U118" s="5"/>
      <c r="V118">
        <f>K118/'Soil samples'!AK118*1000</f>
        <v>0.25777513404055608</v>
      </c>
      <c r="W118">
        <f>L118/'Soil samples'!AK118*1000</f>
        <v>0</v>
      </c>
      <c r="X118" s="3">
        <f>M118/'Soil samples'!AK118*1000</f>
        <v>0</v>
      </c>
      <c r="Y118" s="31">
        <f t="shared" si="6"/>
        <v>3.04E-2</v>
      </c>
      <c r="Z118" s="104">
        <f t="shared" si="7"/>
        <v>3.04E-2</v>
      </c>
    </row>
    <row r="119" spans="1:26">
      <c r="A119" s="6" t="s">
        <v>123</v>
      </c>
      <c r="B119" s="6" t="s">
        <v>198</v>
      </c>
      <c r="C119" t="s">
        <v>12</v>
      </c>
      <c r="D119" s="8">
        <v>1</v>
      </c>
      <c r="E119">
        <v>5</v>
      </c>
      <c r="F119" s="13" t="s">
        <v>379</v>
      </c>
      <c r="G119" s="54">
        <v>1.6552</v>
      </c>
      <c r="H119" s="55" t="s">
        <v>469</v>
      </c>
      <c r="I119" s="55">
        <v>0.41770000000000002</v>
      </c>
      <c r="J119" s="25">
        <v>42790</v>
      </c>
      <c r="K119" s="54">
        <v>0.2482</v>
      </c>
      <c r="L119" s="55">
        <v>0</v>
      </c>
      <c r="M119" s="100">
        <v>0.15540000000000001</v>
      </c>
      <c r="N119" s="25">
        <v>42794</v>
      </c>
      <c r="O119" s="104">
        <f t="shared" si="8"/>
        <v>1.407</v>
      </c>
      <c r="P119" s="104" t="e">
        <f t="shared" si="8"/>
        <v>#VALUE!</v>
      </c>
      <c r="Q119" s="104">
        <f t="shared" si="8"/>
        <v>0.26229999999999998</v>
      </c>
      <c r="R119" s="104">
        <f t="shared" si="9"/>
        <v>566.88154713940366</v>
      </c>
      <c r="S119" s="104">
        <f t="shared" si="9"/>
        <v>0</v>
      </c>
      <c r="T119" s="104">
        <f t="shared" si="9"/>
        <v>168.79021879021877</v>
      </c>
      <c r="V119">
        <f>K119/'Soil samples'!AK119*1000</f>
        <v>13.313790377806981</v>
      </c>
      <c r="W119">
        <f>L119/'Soil samples'!AK119*1000</f>
        <v>0</v>
      </c>
      <c r="X119" s="3">
        <f>M119/'Soil samples'!AK119*1000</f>
        <v>8.3358703654762483</v>
      </c>
      <c r="Y119" s="31">
        <f t="shared" si="6"/>
        <v>0.2482</v>
      </c>
      <c r="Z119" s="104">
        <f t="shared" si="7"/>
        <v>0.40360000000000001</v>
      </c>
    </row>
    <row r="120" spans="1:26">
      <c r="A120" s="6" t="s">
        <v>124</v>
      </c>
      <c r="B120" s="6" t="s">
        <v>198</v>
      </c>
      <c r="C120" t="s">
        <v>12</v>
      </c>
      <c r="D120" s="8">
        <v>1</v>
      </c>
      <c r="E120">
        <v>10</v>
      </c>
      <c r="F120" s="14" t="s">
        <v>380</v>
      </c>
      <c r="G120" s="54">
        <v>1.3253999999999999</v>
      </c>
      <c r="H120" s="55" t="s">
        <v>469</v>
      </c>
      <c r="I120" s="55">
        <v>0.29509999999999997</v>
      </c>
      <c r="J120" s="25">
        <v>42790</v>
      </c>
      <c r="K120" s="54">
        <v>0.1777</v>
      </c>
      <c r="L120" s="100">
        <v>0</v>
      </c>
      <c r="M120" s="100">
        <v>8.4599999999999995E-2</v>
      </c>
      <c r="N120" s="25">
        <v>42794</v>
      </c>
      <c r="O120" s="104">
        <f t="shared" si="8"/>
        <v>1.1476999999999999</v>
      </c>
      <c r="P120" s="104" t="e">
        <f t="shared" si="8"/>
        <v>#VALUE!</v>
      </c>
      <c r="Q120" s="104">
        <f t="shared" si="8"/>
        <v>0.21049999999999996</v>
      </c>
      <c r="R120" s="104">
        <f t="shared" si="9"/>
        <v>645.86381541924595</v>
      </c>
      <c r="S120" s="104">
        <f t="shared" si="9"/>
        <v>0</v>
      </c>
      <c r="T120" s="104">
        <f t="shared" si="9"/>
        <v>248.81796690307328</v>
      </c>
      <c r="V120">
        <f>K120/'Soil samples'!AK120*1000</f>
        <v>4.1142303747080833</v>
      </c>
      <c r="W120">
        <f>L120/'Soil samples'!AK120*1000</f>
        <v>0</v>
      </c>
      <c r="X120" s="3">
        <f>M120/'Soil samples'!AK120*1000</f>
        <v>1.9587163179533136</v>
      </c>
      <c r="Y120" s="31">
        <f t="shared" si="6"/>
        <v>0.1777</v>
      </c>
      <c r="Z120" s="104">
        <f t="shared" si="7"/>
        <v>0.26229999999999998</v>
      </c>
    </row>
    <row r="121" spans="1:26">
      <c r="A121" s="6" t="s">
        <v>125</v>
      </c>
      <c r="B121" s="6" t="s">
        <v>198</v>
      </c>
      <c r="C121" t="s">
        <v>12</v>
      </c>
      <c r="D121" s="8">
        <v>1</v>
      </c>
      <c r="E121">
        <v>20</v>
      </c>
      <c r="F121" t="s">
        <v>381</v>
      </c>
      <c r="G121" s="54">
        <v>1.0843</v>
      </c>
      <c r="H121" s="55" t="s">
        <v>469</v>
      </c>
      <c r="I121" s="55">
        <v>0.1179</v>
      </c>
      <c r="J121" s="25">
        <v>42790</v>
      </c>
      <c r="K121" s="54">
        <v>0.15909999999999999</v>
      </c>
      <c r="L121" s="100">
        <v>0</v>
      </c>
      <c r="M121" s="100">
        <v>4.4600000000000001E-2</v>
      </c>
      <c r="N121" s="25">
        <v>42794</v>
      </c>
      <c r="O121" s="104">
        <f t="shared" si="8"/>
        <v>0.92520000000000002</v>
      </c>
      <c r="P121" s="104" t="e">
        <f t="shared" si="8"/>
        <v>#VALUE!</v>
      </c>
      <c r="Q121" s="104">
        <f t="shared" si="8"/>
        <v>7.3300000000000004E-2</v>
      </c>
      <c r="R121" s="104">
        <f t="shared" si="9"/>
        <v>581.52105593966064</v>
      </c>
      <c r="S121" s="104">
        <f t="shared" si="9"/>
        <v>0</v>
      </c>
      <c r="T121" s="104">
        <f t="shared" si="9"/>
        <v>164.34977578475335</v>
      </c>
      <c r="V121">
        <f>K121/'Soil samples'!AK121*1000</f>
        <v>3.9711959368206204</v>
      </c>
      <c r="W121">
        <f>L121/'Soil samples'!AK121*1000</f>
        <v>0</v>
      </c>
      <c r="X121" s="3">
        <f>M121/'Soil samples'!AK121*1000</f>
        <v>1.1132328018994322</v>
      </c>
      <c r="Y121" s="31">
        <f t="shared" si="6"/>
        <v>0.15909999999999999</v>
      </c>
      <c r="Z121" s="104">
        <f t="shared" si="7"/>
        <v>0.20369999999999999</v>
      </c>
    </row>
    <row r="122" spans="1:26">
      <c r="A122" s="6" t="s">
        <v>126</v>
      </c>
      <c r="B122" s="6" t="s">
        <v>198</v>
      </c>
      <c r="C122" t="s">
        <v>12</v>
      </c>
      <c r="D122" s="8">
        <v>1</v>
      </c>
      <c r="E122">
        <v>30</v>
      </c>
      <c r="F122" t="s">
        <v>382</v>
      </c>
      <c r="G122" s="54">
        <v>0.3004</v>
      </c>
      <c r="H122" s="55" t="s">
        <v>469</v>
      </c>
      <c r="I122" s="55">
        <v>0.99529999999999996</v>
      </c>
      <c r="J122" s="25">
        <v>42790</v>
      </c>
      <c r="K122" s="54">
        <v>5.6800000000000003E-2</v>
      </c>
      <c r="L122" s="100">
        <v>0</v>
      </c>
      <c r="M122" s="100">
        <v>0.35170000000000001</v>
      </c>
      <c r="N122" s="25">
        <v>42794</v>
      </c>
      <c r="O122" s="104">
        <f t="shared" si="8"/>
        <v>0.24359999999999998</v>
      </c>
      <c r="P122" s="104" t="e">
        <f t="shared" si="8"/>
        <v>#VALUE!</v>
      </c>
      <c r="Q122" s="104">
        <f t="shared" si="8"/>
        <v>0.64359999999999995</v>
      </c>
      <c r="R122" s="104">
        <f t="shared" si="9"/>
        <v>428.87323943661971</v>
      </c>
      <c r="S122" s="104">
        <f t="shared" si="9"/>
        <v>0</v>
      </c>
      <c r="T122" s="104">
        <f t="shared" si="9"/>
        <v>182.99687233437587</v>
      </c>
      <c r="V122">
        <f>K122/'Soil samples'!AK122*1000</f>
        <v>1.5285525680397118</v>
      </c>
      <c r="W122">
        <f>L122/'Soil samples'!AK122*1000</f>
        <v>0</v>
      </c>
      <c r="X122" s="3">
        <f>M122/'Soil samples'!AK122*1000</f>
        <v>9.4646467989360321</v>
      </c>
      <c r="Y122" s="31">
        <f t="shared" si="6"/>
        <v>5.6800000000000003E-2</v>
      </c>
      <c r="Z122" s="104">
        <f t="shared" si="7"/>
        <v>0.40850000000000003</v>
      </c>
    </row>
    <row r="123" spans="1:26">
      <c r="A123" s="6" t="s">
        <v>127</v>
      </c>
      <c r="B123" s="6" t="s">
        <v>198</v>
      </c>
      <c r="C123" t="s">
        <v>12</v>
      </c>
      <c r="D123" s="8">
        <v>2</v>
      </c>
      <c r="E123">
        <v>5</v>
      </c>
      <c r="F123" t="s">
        <v>376</v>
      </c>
      <c r="G123" s="54">
        <v>6.6340000000000003</v>
      </c>
      <c r="H123" s="55">
        <v>0.29339999999999999</v>
      </c>
      <c r="I123" s="55">
        <v>0.77039999999999997</v>
      </c>
      <c r="J123" s="25">
        <v>42777</v>
      </c>
      <c r="K123" s="54">
        <v>0.87039999999999995</v>
      </c>
      <c r="L123" s="100">
        <v>7.2300000000000003E-2</v>
      </c>
      <c r="M123" s="100">
        <v>0.26300000000000001</v>
      </c>
      <c r="N123" s="25">
        <v>42780</v>
      </c>
      <c r="O123" s="104">
        <f t="shared" si="8"/>
        <v>5.7636000000000003</v>
      </c>
      <c r="P123" s="104">
        <f t="shared" si="8"/>
        <v>0.22109999999999999</v>
      </c>
      <c r="Q123" s="104">
        <f t="shared" si="8"/>
        <v>0.50739999999999996</v>
      </c>
      <c r="R123" s="104">
        <f t="shared" si="9"/>
        <v>662.17830882352939</v>
      </c>
      <c r="S123" s="104">
        <f t="shared" si="9"/>
        <v>305.80912863070535</v>
      </c>
      <c r="T123" s="104">
        <f t="shared" si="9"/>
        <v>192.92775665399239</v>
      </c>
      <c r="V123">
        <f>K123/'Soil samples'!AK123*1000</f>
        <v>228.31804198457857</v>
      </c>
      <c r="W123">
        <f>L123/'Soil samples'!AK123*1000</f>
        <v>18.965296915768647</v>
      </c>
      <c r="X123" s="3">
        <f>M123/'Soil samples'!AK123*1000</f>
        <v>68.988562777968937</v>
      </c>
      <c r="Y123" s="31">
        <f t="shared" si="6"/>
        <v>0.94269999999999998</v>
      </c>
      <c r="Z123" s="104">
        <f t="shared" si="7"/>
        <v>1.2057</v>
      </c>
    </row>
    <row r="124" spans="1:26">
      <c r="A124" s="6" t="s">
        <v>578</v>
      </c>
      <c r="B124" s="6" t="s">
        <v>198</v>
      </c>
      <c r="C124" t="s">
        <v>12</v>
      </c>
      <c r="D124" s="6">
        <v>3</v>
      </c>
      <c r="E124">
        <v>5</v>
      </c>
      <c r="F124" t="s">
        <v>712</v>
      </c>
      <c r="G124" s="54" t="s">
        <v>469</v>
      </c>
      <c r="H124" s="54" t="s">
        <v>469</v>
      </c>
      <c r="I124" s="54" t="s">
        <v>469</v>
      </c>
      <c r="J124" s="54" t="s">
        <v>469</v>
      </c>
      <c r="K124" s="54" t="s">
        <v>469</v>
      </c>
      <c r="L124" s="54" t="s">
        <v>469</v>
      </c>
      <c r="M124" s="54" t="s">
        <v>469</v>
      </c>
      <c r="N124" s="54" t="s">
        <v>469</v>
      </c>
      <c r="O124" s="54" t="s">
        <v>469</v>
      </c>
      <c r="P124" s="54" t="s">
        <v>469</v>
      </c>
      <c r="Q124" s="54" t="s">
        <v>469</v>
      </c>
      <c r="R124" s="54" t="s">
        <v>469</v>
      </c>
      <c r="S124" s="54" t="s">
        <v>469</v>
      </c>
      <c r="T124" s="54" t="s">
        <v>469</v>
      </c>
      <c r="V124" t="e">
        <f>K124/'Soil samples'!AK124*1000</f>
        <v>#VALUE!</v>
      </c>
      <c r="W124" t="e">
        <f>L124/'Soil samples'!AK124*1000</f>
        <v>#VALUE!</v>
      </c>
      <c r="X124" s="3" t="e">
        <f>M124/'Soil samples'!AK124*1000</f>
        <v>#VALUE!</v>
      </c>
      <c r="Y124" s="31">
        <f t="shared" si="6"/>
        <v>0</v>
      </c>
      <c r="Z124" s="104">
        <f t="shared" si="7"/>
        <v>0</v>
      </c>
    </row>
    <row r="125" spans="1:26">
      <c r="A125" s="6" t="s">
        <v>128</v>
      </c>
      <c r="B125" s="6" t="s">
        <v>198</v>
      </c>
      <c r="C125" t="s">
        <v>12</v>
      </c>
      <c r="D125" s="8">
        <v>4</v>
      </c>
      <c r="E125">
        <v>5</v>
      </c>
      <c r="F125" t="s">
        <v>376</v>
      </c>
      <c r="G125" s="54">
        <v>2.8988</v>
      </c>
      <c r="H125" s="55">
        <v>0.2152</v>
      </c>
      <c r="I125" s="55">
        <v>0.4481</v>
      </c>
      <c r="J125" s="25">
        <v>42821</v>
      </c>
      <c r="K125" s="54">
        <v>0.4773</v>
      </c>
      <c r="L125" s="55">
        <v>3.8800000000000001E-2</v>
      </c>
      <c r="M125" s="55">
        <v>0.14779999999999999</v>
      </c>
      <c r="N125" s="25">
        <v>42823</v>
      </c>
      <c r="O125" s="104">
        <f t="shared" si="8"/>
        <v>2.4215</v>
      </c>
      <c r="P125" s="104">
        <f t="shared" si="8"/>
        <v>0.1764</v>
      </c>
      <c r="Q125" s="104">
        <f t="shared" si="8"/>
        <v>0.30030000000000001</v>
      </c>
      <c r="R125" s="104">
        <f t="shared" si="9"/>
        <v>507.33291430965846</v>
      </c>
      <c r="S125" s="104">
        <f t="shared" si="9"/>
        <v>454.63917525773195</v>
      </c>
      <c r="T125" s="104">
        <f t="shared" si="9"/>
        <v>203.17997293640056</v>
      </c>
      <c r="V125">
        <f>K125/'Soil samples'!AK125*1000</f>
        <v>80.36381074168807</v>
      </c>
      <c r="W125">
        <f>L125/'Soil samples'!AK125*1000</f>
        <v>6.5328218243819336</v>
      </c>
      <c r="X125" s="3">
        <f>M125/'Soil samples'!AK125*1000</f>
        <v>24.885336743393037</v>
      </c>
      <c r="Y125" s="31">
        <f t="shared" si="6"/>
        <v>0.5161</v>
      </c>
      <c r="Z125" s="104">
        <f t="shared" si="7"/>
        <v>0.66389999999999993</v>
      </c>
    </row>
    <row r="126" spans="1:26">
      <c r="A126" s="6" t="s">
        <v>129</v>
      </c>
      <c r="B126" s="6" t="s">
        <v>198</v>
      </c>
      <c r="C126" t="s">
        <v>12</v>
      </c>
      <c r="D126" s="8">
        <v>4</v>
      </c>
      <c r="E126">
        <v>10</v>
      </c>
      <c r="G126" s="54">
        <v>1.2329000000000001</v>
      </c>
      <c r="H126" s="55" t="s">
        <v>469</v>
      </c>
      <c r="I126" s="55">
        <v>0.128</v>
      </c>
      <c r="J126" s="25">
        <v>42821</v>
      </c>
      <c r="K126" s="54">
        <v>0.20019999999999999</v>
      </c>
      <c r="L126" s="55">
        <v>0</v>
      </c>
      <c r="M126" s="55">
        <v>3.9800000000000002E-2</v>
      </c>
      <c r="N126" s="25">
        <v>42823</v>
      </c>
      <c r="O126" s="104">
        <f t="shared" si="8"/>
        <v>1.0327000000000002</v>
      </c>
      <c r="P126" s="104" t="e">
        <f t="shared" si="8"/>
        <v>#VALUE!</v>
      </c>
      <c r="Q126" s="104">
        <f t="shared" si="8"/>
        <v>8.8200000000000001E-2</v>
      </c>
      <c r="R126" s="104">
        <f t="shared" si="9"/>
        <v>515.8341658341659</v>
      </c>
      <c r="S126" s="104">
        <f t="shared" si="9"/>
        <v>0</v>
      </c>
      <c r="T126" s="104">
        <f t="shared" si="9"/>
        <v>221.608040201005</v>
      </c>
      <c r="V126">
        <f>K126/'Soil samples'!AK126*1000</f>
        <v>7.5828836574952563</v>
      </c>
      <c r="W126">
        <f>L126/'Soil samples'!AK126*1000</f>
        <v>0</v>
      </c>
      <c r="X126" s="3">
        <f>M126/'Soil samples'!AK126*1000</f>
        <v>1.507486361480076</v>
      </c>
      <c r="Y126" s="31">
        <f t="shared" si="6"/>
        <v>0.20019999999999999</v>
      </c>
      <c r="Z126" s="104">
        <f t="shared" si="7"/>
        <v>0.24</v>
      </c>
    </row>
    <row r="127" spans="1:26">
      <c r="A127" s="6" t="s">
        <v>130</v>
      </c>
      <c r="B127" s="6" t="s">
        <v>198</v>
      </c>
      <c r="C127" t="s">
        <v>12</v>
      </c>
      <c r="D127" s="8">
        <v>4</v>
      </c>
      <c r="E127">
        <v>20</v>
      </c>
      <c r="G127" s="54">
        <v>0.87470000000000003</v>
      </c>
      <c r="H127" s="55">
        <v>9.6100000000000005E-2</v>
      </c>
      <c r="I127" s="55">
        <v>0.71840000000000004</v>
      </c>
      <c r="J127" s="25">
        <v>42821</v>
      </c>
      <c r="K127" s="54">
        <v>0.13780000000000001</v>
      </c>
      <c r="L127" s="55">
        <v>1.9800000000000002E-2</v>
      </c>
      <c r="M127" s="55">
        <v>0.27039999999999997</v>
      </c>
      <c r="N127" s="25">
        <v>42823</v>
      </c>
      <c r="O127" s="104">
        <f t="shared" si="8"/>
        <v>0.7369</v>
      </c>
      <c r="P127" s="104">
        <f t="shared" si="8"/>
        <v>7.6300000000000007E-2</v>
      </c>
      <c r="Q127" s="104">
        <f t="shared" si="8"/>
        <v>0.44800000000000006</v>
      </c>
      <c r="R127" s="104">
        <f t="shared" si="9"/>
        <v>534.76052249637155</v>
      </c>
      <c r="S127" s="104">
        <f t="shared" si="9"/>
        <v>385.35353535353534</v>
      </c>
      <c r="T127" s="104">
        <f t="shared" si="9"/>
        <v>165.68047337278111</v>
      </c>
      <c r="V127">
        <f>K127/'Soil samples'!AK127*1000</f>
        <v>3.4508891136755135</v>
      </c>
      <c r="W127">
        <f>L127/'Soil samples'!AK127*1000</f>
        <v>0.49584618614495773</v>
      </c>
      <c r="X127" s="3">
        <f>M127/'Soil samples'!AK127*1000</f>
        <v>6.7715559966462893</v>
      </c>
      <c r="Y127" s="31">
        <f t="shared" si="6"/>
        <v>0.15760000000000002</v>
      </c>
      <c r="Z127" s="104">
        <f t="shared" si="7"/>
        <v>0.42799999999999999</v>
      </c>
    </row>
    <row r="128" spans="1:26">
      <c r="A128" s="6" t="s">
        <v>131</v>
      </c>
      <c r="B128" s="6" t="s">
        <v>198</v>
      </c>
      <c r="C128" t="s">
        <v>12</v>
      </c>
      <c r="D128" s="8">
        <v>4</v>
      </c>
      <c r="E128">
        <v>30</v>
      </c>
      <c r="G128" s="54">
        <v>0.17860000000000001</v>
      </c>
      <c r="H128" s="55" t="s">
        <v>469</v>
      </c>
      <c r="I128" s="55">
        <v>0.47620000000000001</v>
      </c>
      <c r="J128" s="25">
        <v>42821</v>
      </c>
      <c r="K128" s="54">
        <v>0.40200000000000002</v>
      </c>
      <c r="L128" s="55">
        <v>0</v>
      </c>
      <c r="M128" s="55">
        <v>0.18720000000000001</v>
      </c>
      <c r="N128" s="25">
        <v>42823</v>
      </c>
      <c r="O128" s="104">
        <f t="shared" si="8"/>
        <v>-0.22340000000000002</v>
      </c>
      <c r="P128" s="104" t="e">
        <f t="shared" si="8"/>
        <v>#VALUE!</v>
      </c>
      <c r="Q128" s="104">
        <f t="shared" si="8"/>
        <v>0.28900000000000003</v>
      </c>
      <c r="R128" s="104">
        <f t="shared" si="9"/>
        <v>-55.572139303482594</v>
      </c>
      <c r="S128" s="104">
        <f t="shared" si="9"/>
        <v>0</v>
      </c>
      <c r="T128" s="104">
        <f t="shared" si="9"/>
        <v>154.38034188034189</v>
      </c>
      <c r="V128">
        <f>K128/'Soil samples'!AK128*1000</f>
        <v>8.4657681191219627</v>
      </c>
      <c r="W128">
        <f>L128/'Soil samples'!AK128*1000</f>
        <v>0</v>
      </c>
      <c r="X128" s="3">
        <f>M128/'Soil samples'!AK128*1000</f>
        <v>3.9422681390538088</v>
      </c>
      <c r="Y128" s="31">
        <f t="shared" si="6"/>
        <v>0.40200000000000002</v>
      </c>
      <c r="Z128" s="104">
        <f t="shared" si="7"/>
        <v>0.58920000000000006</v>
      </c>
    </row>
    <row r="129" spans="1:26">
      <c r="A129" s="6" t="s">
        <v>132</v>
      </c>
      <c r="B129" s="6" t="s">
        <v>198</v>
      </c>
      <c r="C129" t="s">
        <v>12</v>
      </c>
      <c r="D129" s="8">
        <v>5</v>
      </c>
      <c r="E129">
        <v>5</v>
      </c>
      <c r="G129" s="54">
        <v>4.4116</v>
      </c>
      <c r="H129" s="55">
        <v>0.24179999999999999</v>
      </c>
      <c r="I129" s="55">
        <v>0.31640000000000001</v>
      </c>
      <c r="J129" s="25">
        <v>42767</v>
      </c>
      <c r="K129" s="54">
        <v>0.65910000000000002</v>
      </c>
      <c r="L129" s="100">
        <v>6.3799999999999996E-2</v>
      </c>
      <c r="M129" s="55">
        <v>0.12130000000000001</v>
      </c>
      <c r="N129" s="25">
        <v>42770</v>
      </c>
      <c r="O129" s="104">
        <f t="shared" si="8"/>
        <v>3.7524999999999999</v>
      </c>
      <c r="P129" s="104">
        <f t="shared" si="8"/>
        <v>0.17799999999999999</v>
      </c>
      <c r="Q129" s="104">
        <f t="shared" si="8"/>
        <v>0.1951</v>
      </c>
      <c r="R129" s="104">
        <f t="shared" si="9"/>
        <v>569.33697466241847</v>
      </c>
      <c r="S129" s="104">
        <f t="shared" si="9"/>
        <v>278.99686520376179</v>
      </c>
      <c r="T129" s="104">
        <f t="shared" si="9"/>
        <v>160.84089035449298</v>
      </c>
      <c r="V129">
        <f>K129/'Soil samples'!AK129*1000</f>
        <v>154.18281252089182</v>
      </c>
      <c r="W129">
        <f>L129/'Soil samples'!AK129*1000</f>
        <v>14.924690394223783</v>
      </c>
      <c r="X129" s="3">
        <f>M129/'Soil samples'!AK129*1000</f>
        <v>28.375626094347105</v>
      </c>
      <c r="Y129" s="31">
        <f t="shared" si="6"/>
        <v>0.72289999999999999</v>
      </c>
      <c r="Z129" s="104">
        <f t="shared" si="7"/>
        <v>0.84419999999999995</v>
      </c>
    </row>
    <row r="130" spans="1:26">
      <c r="A130" s="6" t="s">
        <v>133</v>
      </c>
      <c r="B130" s="6" t="s">
        <v>198</v>
      </c>
      <c r="C130" t="s">
        <v>12</v>
      </c>
      <c r="D130" s="8">
        <v>5</v>
      </c>
      <c r="E130">
        <v>10</v>
      </c>
      <c r="G130" s="54">
        <v>2.0118</v>
      </c>
      <c r="H130" s="55">
        <v>7.4099999999999999E-2</v>
      </c>
      <c r="I130" s="55" t="s">
        <v>469</v>
      </c>
      <c r="J130" s="25">
        <v>42767</v>
      </c>
      <c r="K130" s="54">
        <v>0.33210000000000001</v>
      </c>
      <c r="L130" s="100">
        <v>1.61E-2</v>
      </c>
      <c r="M130" s="55">
        <v>0</v>
      </c>
      <c r="N130" s="25">
        <v>42770</v>
      </c>
      <c r="O130" s="104">
        <f t="shared" si="8"/>
        <v>1.6797</v>
      </c>
      <c r="P130" s="104">
        <f t="shared" si="8"/>
        <v>5.7999999999999996E-2</v>
      </c>
      <c r="Q130" s="104" t="e">
        <f t="shared" si="8"/>
        <v>#VALUE!</v>
      </c>
      <c r="R130" s="104">
        <f t="shared" si="9"/>
        <v>505.78139114724479</v>
      </c>
      <c r="S130" s="104">
        <f t="shared" si="9"/>
        <v>360.2484472049689</v>
      </c>
      <c r="T130" s="104">
        <f t="shared" si="9"/>
        <v>0</v>
      </c>
      <c r="V130">
        <f>K130/'Soil samples'!AK130*1000</f>
        <v>8.9878816915801814</v>
      </c>
      <c r="W130">
        <f>L130/'Soil samples'!AK130*1000</f>
        <v>0.43572687514134578</v>
      </c>
      <c r="X130" s="3">
        <f>M130/'Soil samples'!AK130*1000</f>
        <v>0</v>
      </c>
      <c r="Y130" s="31">
        <f t="shared" si="6"/>
        <v>0.34820000000000001</v>
      </c>
      <c r="Z130" s="104">
        <f t="shared" si="7"/>
        <v>0.34820000000000001</v>
      </c>
    </row>
    <row r="131" spans="1:26">
      <c r="A131" s="6" t="s">
        <v>134</v>
      </c>
      <c r="B131" s="6" t="s">
        <v>198</v>
      </c>
      <c r="C131" t="s">
        <v>12</v>
      </c>
      <c r="D131" s="8">
        <v>5</v>
      </c>
      <c r="E131">
        <v>20</v>
      </c>
      <c r="G131" s="54">
        <v>2.4796999999999998</v>
      </c>
      <c r="H131" s="55">
        <v>9.2799999999999994E-2</v>
      </c>
      <c r="I131" s="55" t="s">
        <v>469</v>
      </c>
      <c r="J131" s="25">
        <v>42767</v>
      </c>
      <c r="K131" s="54">
        <v>0.36120000000000002</v>
      </c>
      <c r="L131" s="100">
        <v>2.81E-2</v>
      </c>
      <c r="M131" s="55">
        <v>0</v>
      </c>
      <c r="N131" s="25">
        <v>42770</v>
      </c>
      <c r="O131" s="104">
        <f t="shared" si="8"/>
        <v>2.1184999999999996</v>
      </c>
      <c r="P131" s="104">
        <f t="shared" si="8"/>
        <v>6.4699999999999994E-2</v>
      </c>
      <c r="Q131" s="104" t="e">
        <f t="shared" si="8"/>
        <v>#VALUE!</v>
      </c>
      <c r="R131" s="104">
        <f t="shared" si="9"/>
        <v>586.51716500553698</v>
      </c>
      <c r="S131" s="104">
        <f t="shared" si="9"/>
        <v>230.24911032028464</v>
      </c>
      <c r="T131" s="104">
        <f t="shared" si="9"/>
        <v>0</v>
      </c>
      <c r="V131">
        <f>K131/'Soil samples'!AK131*1000</f>
        <v>7.6984352727404159</v>
      </c>
      <c r="W131">
        <f>L131/'Soil samples'!AK131*1000</f>
        <v>0.59890927786269565</v>
      </c>
      <c r="X131" s="3">
        <f>M131/'Soil samples'!AK131*1000</f>
        <v>0</v>
      </c>
      <c r="Y131" s="31">
        <f t="shared" si="6"/>
        <v>0.38930000000000003</v>
      </c>
      <c r="Z131" s="104">
        <f t="shared" si="7"/>
        <v>0.38930000000000003</v>
      </c>
    </row>
    <row r="132" spans="1:26">
      <c r="A132" s="6" t="s">
        <v>135</v>
      </c>
      <c r="B132" s="6" t="s">
        <v>198</v>
      </c>
      <c r="C132" t="s">
        <v>12</v>
      </c>
      <c r="D132" s="8">
        <v>6</v>
      </c>
      <c r="E132">
        <v>5</v>
      </c>
      <c r="F132" t="s">
        <v>376</v>
      </c>
      <c r="G132" s="54">
        <v>6.3297999999999996</v>
      </c>
      <c r="H132" s="55">
        <v>4.4499999999999998E-2</v>
      </c>
      <c r="I132" s="55">
        <v>0.52669999999999995</v>
      </c>
      <c r="J132" s="25">
        <v>42755</v>
      </c>
      <c r="K132" s="54">
        <v>1.2343</v>
      </c>
      <c r="L132" s="100">
        <v>1.21E-2</v>
      </c>
      <c r="M132" s="55">
        <v>0.1676</v>
      </c>
      <c r="O132" s="104">
        <f t="shared" si="8"/>
        <v>5.0954999999999995</v>
      </c>
      <c r="P132" s="104">
        <f t="shared" si="8"/>
        <v>3.2399999999999998E-2</v>
      </c>
      <c r="Q132" s="104">
        <f t="shared" si="8"/>
        <v>0.35909999999999997</v>
      </c>
      <c r="R132" s="104">
        <f t="shared" si="9"/>
        <v>412.8250830430203</v>
      </c>
      <c r="S132" s="104">
        <f t="shared" si="9"/>
        <v>267.76859504132233</v>
      </c>
      <c r="T132" s="104">
        <f t="shared" si="9"/>
        <v>214.26014319809065</v>
      </c>
      <c r="V132" t="e">
        <f>K132/'Soil samples'!AK132*1000</f>
        <v>#VALUE!</v>
      </c>
      <c r="W132" t="e">
        <f>L132/'Soil samples'!AK132*1000</f>
        <v>#VALUE!</v>
      </c>
      <c r="X132" s="3" t="e">
        <f>M132/'Soil samples'!AK132*1000</f>
        <v>#VALUE!</v>
      </c>
      <c r="Y132" s="31">
        <f t="shared" si="6"/>
        <v>1.2464</v>
      </c>
      <c r="Z132" s="104">
        <f t="shared" si="7"/>
        <v>1.4139999999999999</v>
      </c>
    </row>
    <row r="133" spans="1:26">
      <c r="A133" s="6" t="s">
        <v>136</v>
      </c>
      <c r="B133" s="6" t="s">
        <v>198</v>
      </c>
      <c r="C133" t="s">
        <v>12</v>
      </c>
      <c r="D133" s="8">
        <v>6</v>
      </c>
      <c r="E133">
        <v>10</v>
      </c>
      <c r="G133" s="54">
        <v>0.76039999999999996</v>
      </c>
      <c r="H133" s="55">
        <v>1.9699999999999999E-2</v>
      </c>
      <c r="I133" s="55" t="s">
        <v>469</v>
      </c>
      <c r="J133" s="25">
        <v>42755</v>
      </c>
      <c r="K133" s="54">
        <v>0.16089999999999999</v>
      </c>
      <c r="L133" s="100">
        <v>0.186</v>
      </c>
      <c r="M133" s="55">
        <v>0</v>
      </c>
      <c r="O133" s="104">
        <f t="shared" si="8"/>
        <v>0.59949999999999992</v>
      </c>
      <c r="P133" s="104">
        <f t="shared" si="8"/>
        <v>-0.1663</v>
      </c>
      <c r="Q133" s="104" t="e">
        <f t="shared" si="8"/>
        <v>#VALUE!</v>
      </c>
      <c r="R133" s="104">
        <f t="shared" si="9"/>
        <v>372.59167184586698</v>
      </c>
      <c r="S133" s="104">
        <f t="shared" si="9"/>
        <v>-89.408602150537646</v>
      </c>
      <c r="T133" s="104">
        <f t="shared" si="9"/>
        <v>0</v>
      </c>
      <c r="V133">
        <f>K133/'Soil samples'!AK133*1000</f>
        <v>5.3354790926754312</v>
      </c>
      <c r="W133">
        <f>L133/'Soil samples'!AK133*1000</f>
        <v>6.1678005670455587</v>
      </c>
      <c r="X133" s="3">
        <f>M133/'Soil samples'!AK133*1000</f>
        <v>0</v>
      </c>
      <c r="Y133" s="31">
        <f t="shared" ref="Y133:Y192" si="10">SUM(K133:L133)</f>
        <v>0.34689999999999999</v>
      </c>
      <c r="Z133" s="104">
        <f t="shared" ref="Z133:Z192" si="11">SUM(K133:M133)</f>
        <v>0.34689999999999999</v>
      </c>
    </row>
    <row r="134" spans="1:26">
      <c r="A134" s="6" t="s">
        <v>137</v>
      </c>
      <c r="B134" s="6" t="s">
        <v>198</v>
      </c>
      <c r="C134" t="s">
        <v>12</v>
      </c>
      <c r="D134" s="8">
        <v>6</v>
      </c>
      <c r="E134">
        <v>20</v>
      </c>
      <c r="G134" s="54">
        <v>0.68669999999999998</v>
      </c>
      <c r="H134" s="55">
        <v>3.6999999999999998E-2</v>
      </c>
      <c r="I134" s="55" t="s">
        <v>469</v>
      </c>
      <c r="J134" s="25">
        <v>42755</v>
      </c>
      <c r="K134" s="54">
        <v>0.14219999999999999</v>
      </c>
      <c r="L134" s="100">
        <v>1.1599999999999999E-2</v>
      </c>
      <c r="M134" s="55">
        <v>0</v>
      </c>
      <c r="O134" s="104">
        <f t="shared" si="8"/>
        <v>0.54449999999999998</v>
      </c>
      <c r="P134" s="104">
        <f t="shared" si="8"/>
        <v>2.5399999999999999E-2</v>
      </c>
      <c r="Q134" s="104" t="e">
        <f t="shared" si="8"/>
        <v>#VALUE!</v>
      </c>
      <c r="R134" s="104">
        <f t="shared" si="9"/>
        <v>382.91139240506328</v>
      </c>
      <c r="S134" s="104">
        <f t="shared" si="9"/>
        <v>218.9655172413793</v>
      </c>
      <c r="T134" s="104">
        <f t="shared" si="9"/>
        <v>0</v>
      </c>
      <c r="V134">
        <f>K134/'Soil samples'!AK134*1000</f>
        <v>4.0658169955677854</v>
      </c>
      <c r="W134">
        <f>L134/'Soil samples'!AK134*1000</f>
        <v>0.33167002214195712</v>
      </c>
      <c r="X134" s="3">
        <f>M134/'Soil samples'!AK134*1000</f>
        <v>0</v>
      </c>
      <c r="Y134" s="31">
        <f t="shared" si="10"/>
        <v>0.15379999999999999</v>
      </c>
      <c r="Z134" s="104">
        <f t="shared" si="11"/>
        <v>0.15379999999999999</v>
      </c>
    </row>
    <row r="135" spans="1:26">
      <c r="A135" s="6" t="s">
        <v>138</v>
      </c>
      <c r="B135" s="6" t="s">
        <v>198</v>
      </c>
      <c r="C135" t="s">
        <v>12</v>
      </c>
      <c r="D135" s="8">
        <v>6</v>
      </c>
      <c r="E135">
        <v>30</v>
      </c>
      <c r="G135" s="54">
        <v>0.36270000000000002</v>
      </c>
      <c r="H135" s="100">
        <v>3.8699999999999998E-2</v>
      </c>
      <c r="I135" s="55" t="s">
        <v>469</v>
      </c>
      <c r="J135" s="25">
        <v>42755</v>
      </c>
      <c r="K135" s="54">
        <v>7.1499999999999994E-2</v>
      </c>
      <c r="L135" s="100">
        <v>1.09E-2</v>
      </c>
      <c r="M135" s="55">
        <v>0</v>
      </c>
      <c r="O135" s="104">
        <f t="shared" si="8"/>
        <v>0.29120000000000001</v>
      </c>
      <c r="P135" s="104">
        <f t="shared" si="8"/>
        <v>2.7799999999999998E-2</v>
      </c>
      <c r="Q135" s="104" t="e">
        <f t="shared" si="8"/>
        <v>#VALUE!</v>
      </c>
      <c r="R135" s="104">
        <f t="shared" si="9"/>
        <v>407.27272727272731</v>
      </c>
      <c r="S135" s="104">
        <f t="shared" si="9"/>
        <v>255.04587155963301</v>
      </c>
      <c r="T135" s="104">
        <f t="shared" si="9"/>
        <v>0</v>
      </c>
      <c r="V135">
        <f>K135/'Soil samples'!AK135*1000</f>
        <v>1.8153090959065108</v>
      </c>
      <c r="W135">
        <f>L135/'Soil samples'!AK135*1000</f>
        <v>0.27673942860672684</v>
      </c>
      <c r="X135" s="3">
        <f>M135/'Soil samples'!AK135*1000</f>
        <v>0</v>
      </c>
      <c r="Y135" s="31">
        <f t="shared" si="10"/>
        <v>8.2400000000000001E-2</v>
      </c>
      <c r="Z135" s="104">
        <f t="shared" si="11"/>
        <v>8.2400000000000001E-2</v>
      </c>
    </row>
    <row r="136" spans="1:26">
      <c r="A136" s="6" t="s">
        <v>139</v>
      </c>
      <c r="B136" s="6" t="s">
        <v>198</v>
      </c>
      <c r="C136" t="s">
        <v>13</v>
      </c>
      <c r="D136" s="8">
        <v>1</v>
      </c>
      <c r="E136">
        <v>5</v>
      </c>
      <c r="F136" t="s">
        <v>377</v>
      </c>
      <c r="G136" s="54">
        <v>0.2051</v>
      </c>
      <c r="H136" s="55">
        <v>8.43E-2</v>
      </c>
      <c r="I136" s="55" t="s">
        <v>469</v>
      </c>
      <c r="J136" s="25">
        <v>42822</v>
      </c>
      <c r="K136" s="54">
        <v>9.2299999999999993E-2</v>
      </c>
      <c r="L136" s="55">
        <v>4.5900000000000003E-2</v>
      </c>
      <c r="M136" s="55">
        <v>0</v>
      </c>
      <c r="N136" s="25">
        <v>42825</v>
      </c>
      <c r="O136" s="104">
        <f t="shared" si="8"/>
        <v>0.11280000000000001</v>
      </c>
      <c r="P136" s="104">
        <f t="shared" si="8"/>
        <v>3.8399999999999997E-2</v>
      </c>
      <c r="Q136" s="104" t="e">
        <f t="shared" si="8"/>
        <v>#VALUE!</v>
      </c>
      <c r="R136" s="104">
        <f t="shared" si="9"/>
        <v>122.2101841820152</v>
      </c>
      <c r="S136" s="104">
        <f t="shared" si="9"/>
        <v>83.660130718954235</v>
      </c>
      <c r="T136" s="104">
        <f t="shared" si="9"/>
        <v>0</v>
      </c>
      <c r="V136">
        <f>K136/'Soil samples'!AK136*1000</f>
        <v>13.585085311250285</v>
      </c>
      <c r="W136">
        <f>L136/'Soil samples'!AK136*1000</f>
        <v>6.7557466499066976</v>
      </c>
      <c r="X136" s="3">
        <f>M136/'Soil samples'!AK136*1000</f>
        <v>0</v>
      </c>
      <c r="Y136" s="31">
        <f t="shared" si="10"/>
        <v>0.13819999999999999</v>
      </c>
      <c r="Z136" s="104">
        <f t="shared" si="11"/>
        <v>0.13819999999999999</v>
      </c>
    </row>
    <row r="137" spans="1:26">
      <c r="A137" s="6" t="s">
        <v>140</v>
      </c>
      <c r="B137" s="6" t="s">
        <v>198</v>
      </c>
      <c r="C137" t="s">
        <v>13</v>
      </c>
      <c r="D137" s="8">
        <v>1</v>
      </c>
      <c r="E137">
        <v>10</v>
      </c>
      <c r="F137" t="s">
        <v>378</v>
      </c>
      <c r="G137" s="54">
        <v>0.1963</v>
      </c>
      <c r="H137" s="55">
        <v>0.42349999999999999</v>
      </c>
      <c r="I137" s="55" t="s">
        <v>469</v>
      </c>
      <c r="J137" s="25">
        <v>42821</v>
      </c>
      <c r="K137" s="54">
        <v>8.6400000000000005E-2</v>
      </c>
      <c r="L137" s="55">
        <v>0.22</v>
      </c>
      <c r="M137" s="55">
        <v>0</v>
      </c>
      <c r="N137" s="25">
        <v>42823</v>
      </c>
      <c r="O137" s="104">
        <f t="shared" si="8"/>
        <v>0.1099</v>
      </c>
      <c r="P137" s="104">
        <f t="shared" si="8"/>
        <v>0.20349999999999999</v>
      </c>
      <c r="Q137" s="104" t="e">
        <f t="shared" si="8"/>
        <v>#VALUE!</v>
      </c>
      <c r="R137" s="104">
        <f t="shared" si="9"/>
        <v>127.19907407407408</v>
      </c>
      <c r="S137" s="104">
        <f t="shared" si="9"/>
        <v>92.5</v>
      </c>
      <c r="T137" s="104">
        <f t="shared" si="9"/>
        <v>0</v>
      </c>
      <c r="V137">
        <f>K137/'Soil samples'!AK137*1000</f>
        <v>4.3311672391929132</v>
      </c>
      <c r="W137">
        <f>L137/'Soil samples'!AK137*1000</f>
        <v>11.02843509979677</v>
      </c>
      <c r="X137" s="3">
        <f>M137/'Soil samples'!AK137*1000</f>
        <v>0</v>
      </c>
      <c r="Y137" s="31">
        <f t="shared" si="10"/>
        <v>0.30640000000000001</v>
      </c>
      <c r="Z137" s="104">
        <f t="shared" si="11"/>
        <v>0.30640000000000001</v>
      </c>
    </row>
    <row r="138" spans="1:26">
      <c r="A138" s="6" t="s">
        <v>141</v>
      </c>
      <c r="B138" s="6" t="s">
        <v>198</v>
      </c>
      <c r="C138" t="s">
        <v>13</v>
      </c>
      <c r="D138" s="8">
        <v>2</v>
      </c>
      <c r="E138">
        <v>5</v>
      </c>
      <c r="F138" s="13" t="s">
        <v>379</v>
      </c>
      <c r="G138" s="54">
        <v>0.1489</v>
      </c>
      <c r="H138" s="100">
        <v>0.20580000000000001</v>
      </c>
      <c r="I138" s="100" t="s">
        <v>469</v>
      </c>
      <c r="J138" s="25">
        <v>42792</v>
      </c>
      <c r="K138" s="54">
        <v>5.16E-2</v>
      </c>
      <c r="L138" s="100">
        <v>9.3100000000000002E-2</v>
      </c>
      <c r="M138" s="55">
        <v>0</v>
      </c>
      <c r="N138" s="25">
        <v>42794</v>
      </c>
      <c r="O138" s="104">
        <f t="shared" si="8"/>
        <v>9.7299999999999998E-2</v>
      </c>
      <c r="P138" s="104">
        <f t="shared" si="8"/>
        <v>0.11270000000000001</v>
      </c>
      <c r="Q138" s="104" t="e">
        <f t="shared" si="8"/>
        <v>#VALUE!</v>
      </c>
      <c r="R138" s="104">
        <f t="shared" si="9"/>
        <v>188.56589147286823</v>
      </c>
      <c r="S138" s="104">
        <f t="shared" si="9"/>
        <v>121.05263157894737</v>
      </c>
      <c r="T138" s="104">
        <f t="shared" si="9"/>
        <v>0</v>
      </c>
      <c r="U138" s="3" t="s">
        <v>688</v>
      </c>
      <c r="V138">
        <f>K138/'Soil samples'!AK138*1000</f>
        <v>5.7206190179130791</v>
      </c>
      <c r="W138">
        <f>L138/'Soil samples'!AK138*1000</f>
        <v>10.321504468366427</v>
      </c>
      <c r="X138" s="3">
        <f>M138/'Soil samples'!AK138*1000</f>
        <v>0</v>
      </c>
      <c r="Y138" s="31">
        <f t="shared" si="10"/>
        <v>0.1447</v>
      </c>
      <c r="Z138" s="104">
        <f t="shared" si="11"/>
        <v>0.1447</v>
      </c>
    </row>
    <row r="139" spans="1:26">
      <c r="A139" s="6" t="s">
        <v>142</v>
      </c>
      <c r="B139" s="6" t="s">
        <v>198</v>
      </c>
      <c r="C139" t="s">
        <v>13</v>
      </c>
      <c r="D139" s="8">
        <v>2</v>
      </c>
      <c r="E139">
        <v>10</v>
      </c>
      <c r="F139" s="14" t="s">
        <v>380</v>
      </c>
      <c r="G139" s="54">
        <v>0.22309999999999999</v>
      </c>
      <c r="H139" s="55">
        <v>0.36209999999999998</v>
      </c>
      <c r="I139" s="55" t="s">
        <v>469</v>
      </c>
      <c r="J139" s="25">
        <v>42792</v>
      </c>
      <c r="K139" s="54">
        <v>8.9300000000000004E-2</v>
      </c>
      <c r="L139" s="100">
        <v>0.1623</v>
      </c>
      <c r="M139" s="55">
        <v>0</v>
      </c>
      <c r="N139" s="25">
        <v>42794</v>
      </c>
      <c r="O139" s="104">
        <f t="shared" si="8"/>
        <v>0.13379999999999997</v>
      </c>
      <c r="P139" s="104">
        <f t="shared" si="8"/>
        <v>0.19979999999999998</v>
      </c>
      <c r="Q139" s="104" t="e">
        <f t="shared" si="8"/>
        <v>#VALUE!</v>
      </c>
      <c r="R139" s="104">
        <f t="shared" si="9"/>
        <v>149.83202687569985</v>
      </c>
      <c r="S139" s="104">
        <f t="shared" si="9"/>
        <v>123.1053604436229</v>
      </c>
      <c r="T139" s="104">
        <f t="shared" si="9"/>
        <v>0</v>
      </c>
      <c r="V139">
        <f>K139/'Soil samples'!AK139*1000</f>
        <v>7.4569667504678261</v>
      </c>
      <c r="W139">
        <f>L139/'Soil samples'!AK139*1000</f>
        <v>13.55280743114141</v>
      </c>
      <c r="X139" s="3">
        <f>M139/'Soil samples'!AK139*1000</f>
        <v>0</v>
      </c>
      <c r="Y139" s="31">
        <f t="shared" si="10"/>
        <v>0.25159999999999999</v>
      </c>
      <c r="Z139" s="104">
        <f t="shared" si="11"/>
        <v>0.25159999999999999</v>
      </c>
    </row>
    <row r="140" spans="1:26">
      <c r="A140" s="6" t="s">
        <v>143</v>
      </c>
      <c r="B140" s="6" t="s">
        <v>198</v>
      </c>
      <c r="C140" t="s">
        <v>13</v>
      </c>
      <c r="D140" s="8">
        <v>2</v>
      </c>
      <c r="E140">
        <v>20</v>
      </c>
      <c r="F140" t="s">
        <v>381</v>
      </c>
      <c r="G140" s="54">
        <v>0.17610000000000001</v>
      </c>
      <c r="H140" s="55">
        <v>0.25159999999999999</v>
      </c>
      <c r="I140" s="55" t="s">
        <v>469</v>
      </c>
      <c r="J140" s="25">
        <v>42790</v>
      </c>
      <c r="K140" s="54">
        <v>7.3899999999999993E-2</v>
      </c>
      <c r="L140" s="100">
        <v>0.1104</v>
      </c>
      <c r="M140" s="55">
        <v>0</v>
      </c>
      <c r="N140" s="25">
        <v>42794</v>
      </c>
      <c r="O140" s="104">
        <f t="shared" si="8"/>
        <v>0.10220000000000001</v>
      </c>
      <c r="P140" s="104">
        <f t="shared" si="8"/>
        <v>0.14119999999999999</v>
      </c>
      <c r="Q140" s="104" t="e">
        <f t="shared" si="8"/>
        <v>#VALUE!</v>
      </c>
      <c r="R140" s="104">
        <f t="shared" si="9"/>
        <v>138.29499323410016</v>
      </c>
      <c r="S140" s="104">
        <f t="shared" si="9"/>
        <v>127.89855072463767</v>
      </c>
      <c r="T140" s="104">
        <f t="shared" si="9"/>
        <v>0</v>
      </c>
      <c r="V140">
        <f>K140/'Soil samples'!AK140*1000</f>
        <v>2.1712958250951191</v>
      </c>
      <c r="W140">
        <f>L140/'Soil samples'!AK140*1000</f>
        <v>3.243722044526403</v>
      </c>
      <c r="X140" s="3">
        <f>M140/'Soil samples'!AK140*1000</f>
        <v>0</v>
      </c>
      <c r="Y140" s="31">
        <f t="shared" si="10"/>
        <v>0.18429999999999999</v>
      </c>
      <c r="Z140" s="104">
        <f t="shared" si="11"/>
        <v>0.18429999999999999</v>
      </c>
    </row>
    <row r="141" spans="1:26">
      <c r="A141" s="6" t="s">
        <v>144</v>
      </c>
      <c r="B141" s="6" t="s">
        <v>198</v>
      </c>
      <c r="C141" t="s">
        <v>13</v>
      </c>
      <c r="D141" s="8">
        <v>3</v>
      </c>
      <c r="E141">
        <v>5</v>
      </c>
      <c r="F141" t="s">
        <v>379</v>
      </c>
      <c r="G141" s="54">
        <v>0.64890000000000003</v>
      </c>
      <c r="H141" s="55">
        <v>0.32419999999999999</v>
      </c>
      <c r="I141" s="55" t="s">
        <v>469</v>
      </c>
      <c r="J141" s="25">
        <v>42777</v>
      </c>
      <c r="K141" s="54">
        <v>0.1888</v>
      </c>
      <c r="L141" s="100">
        <v>0.14610000000000001</v>
      </c>
      <c r="M141" s="55">
        <v>0</v>
      </c>
      <c r="N141" s="25">
        <v>42780</v>
      </c>
      <c r="O141" s="104">
        <f t="shared" si="8"/>
        <v>0.46010000000000006</v>
      </c>
      <c r="P141" s="104">
        <f t="shared" si="8"/>
        <v>0.17809999999999998</v>
      </c>
      <c r="Q141" s="104" t="e">
        <f t="shared" si="8"/>
        <v>#VALUE!</v>
      </c>
      <c r="R141" s="104">
        <f t="shared" si="9"/>
        <v>243.69703389830511</v>
      </c>
      <c r="S141" s="104">
        <f t="shared" si="9"/>
        <v>121.90280629705678</v>
      </c>
      <c r="T141" s="104">
        <f t="shared" si="9"/>
        <v>0</v>
      </c>
      <c r="V141">
        <f>K141/'Soil samples'!AK141*1000</f>
        <v>18.280644150368737</v>
      </c>
      <c r="W141">
        <f>L141/'Soil samples'!AK141*1000</f>
        <v>14.146197618479198</v>
      </c>
      <c r="X141" s="3">
        <f>M141/'Soil samples'!AK141*1000</f>
        <v>0</v>
      </c>
      <c r="Y141" s="31">
        <f t="shared" si="10"/>
        <v>0.33489999999999998</v>
      </c>
      <c r="Z141" s="104">
        <f t="shared" si="11"/>
        <v>0.33489999999999998</v>
      </c>
    </row>
    <row r="142" spans="1:26">
      <c r="A142" s="6" t="s">
        <v>145</v>
      </c>
      <c r="B142" s="6" t="s">
        <v>198</v>
      </c>
      <c r="C142" t="s">
        <v>13</v>
      </c>
      <c r="D142" s="8">
        <v>4</v>
      </c>
      <c r="E142">
        <v>5</v>
      </c>
      <c r="F142" t="s">
        <v>377</v>
      </c>
      <c r="G142" s="54">
        <v>0.92459999999999998</v>
      </c>
      <c r="H142" s="55">
        <v>6.4799999999999996E-2</v>
      </c>
      <c r="I142" s="100" t="s">
        <v>469</v>
      </c>
      <c r="J142" s="25">
        <v>42792</v>
      </c>
      <c r="K142" s="54">
        <v>0.2069</v>
      </c>
      <c r="L142" s="100">
        <v>1.29E-2</v>
      </c>
      <c r="M142" s="55">
        <v>0</v>
      </c>
      <c r="N142" s="25">
        <v>42794</v>
      </c>
      <c r="O142" s="104">
        <f t="shared" si="8"/>
        <v>0.7177</v>
      </c>
      <c r="P142" s="104">
        <f t="shared" si="8"/>
        <v>5.1899999999999995E-2</v>
      </c>
      <c r="Q142" s="104" t="e">
        <f t="shared" si="8"/>
        <v>#VALUE!</v>
      </c>
      <c r="R142" s="104">
        <f t="shared" si="9"/>
        <v>346.8825519574674</v>
      </c>
      <c r="S142" s="104">
        <f t="shared" si="9"/>
        <v>402.32558139534876</v>
      </c>
      <c r="T142" s="104">
        <f t="shared" si="9"/>
        <v>0</v>
      </c>
      <c r="V142">
        <f>K142/'Soil samples'!AK142*1000</f>
        <v>89.915956355662857</v>
      </c>
      <c r="W142">
        <f>L142/'Soil samples'!AK142*1000</f>
        <v>5.6061664426682016</v>
      </c>
      <c r="X142" s="3">
        <f>M142/'Soil samples'!AK142*1000</f>
        <v>0</v>
      </c>
      <c r="Y142" s="31">
        <f t="shared" si="10"/>
        <v>0.2198</v>
      </c>
      <c r="Z142" s="104">
        <f t="shared" si="11"/>
        <v>0.2198</v>
      </c>
    </row>
    <row r="143" spans="1:26">
      <c r="A143" s="6" t="s">
        <v>146</v>
      </c>
      <c r="B143" s="6" t="s">
        <v>198</v>
      </c>
      <c r="C143" t="s">
        <v>13</v>
      </c>
      <c r="D143" s="8">
        <v>4</v>
      </c>
      <c r="E143">
        <v>10</v>
      </c>
      <c r="F143" t="s">
        <v>380</v>
      </c>
      <c r="G143" s="54">
        <v>0.44979999999999998</v>
      </c>
      <c r="H143" s="55">
        <v>0.20630000000000001</v>
      </c>
      <c r="I143" s="100" t="s">
        <v>469</v>
      </c>
      <c r="J143" s="25">
        <v>42791</v>
      </c>
      <c r="K143" s="54">
        <v>0.1241</v>
      </c>
      <c r="L143" s="100">
        <v>9.4399999999999998E-2</v>
      </c>
      <c r="M143" s="55">
        <v>0</v>
      </c>
      <c r="N143" s="25">
        <v>42794</v>
      </c>
      <c r="O143" s="104">
        <f t="shared" si="8"/>
        <v>0.32569999999999999</v>
      </c>
      <c r="P143" s="104">
        <f t="shared" si="8"/>
        <v>0.11190000000000001</v>
      </c>
      <c r="Q143" s="104" t="e">
        <f t="shared" si="8"/>
        <v>#VALUE!</v>
      </c>
      <c r="R143" s="104">
        <f t="shared" si="9"/>
        <v>262.44963738920222</v>
      </c>
      <c r="S143" s="104">
        <f t="shared" si="9"/>
        <v>118.53813559322035</v>
      </c>
      <c r="T143" s="104">
        <f t="shared" si="9"/>
        <v>0</v>
      </c>
      <c r="V143">
        <f>K143/'Soil samples'!AK143*1000</f>
        <v>5.7204472258074324</v>
      </c>
      <c r="W143">
        <f>L143/'Soil samples'!AK143*1000</f>
        <v>4.3514119106867177</v>
      </c>
      <c r="X143" s="3">
        <f>M143/'Soil samples'!AK143*1000</f>
        <v>0</v>
      </c>
      <c r="Y143" s="31">
        <f t="shared" si="10"/>
        <v>0.2185</v>
      </c>
      <c r="Z143" s="104">
        <f t="shared" si="11"/>
        <v>0.2185</v>
      </c>
    </row>
    <row r="144" spans="1:26">
      <c r="A144" s="6" t="s">
        <v>147</v>
      </c>
      <c r="B144" s="6" t="s">
        <v>198</v>
      </c>
      <c r="C144" t="s">
        <v>13</v>
      </c>
      <c r="D144" s="8">
        <v>5</v>
      </c>
      <c r="E144">
        <v>5</v>
      </c>
      <c r="F144" s="13" t="s">
        <v>379</v>
      </c>
      <c r="G144" s="54">
        <v>0.38250000000000001</v>
      </c>
      <c r="H144" s="55">
        <v>9.5100000000000004E-2</v>
      </c>
      <c r="I144" s="55" t="s">
        <v>469</v>
      </c>
      <c r="J144" s="25">
        <v>42767</v>
      </c>
      <c r="K144" s="54">
        <v>0.1132</v>
      </c>
      <c r="L144" s="100">
        <v>4.87E-2</v>
      </c>
      <c r="M144" s="55">
        <v>0</v>
      </c>
      <c r="N144" s="25">
        <v>42769</v>
      </c>
      <c r="O144" s="104">
        <f t="shared" si="8"/>
        <v>0.26929999999999998</v>
      </c>
      <c r="P144" s="104">
        <f t="shared" si="8"/>
        <v>4.6400000000000004E-2</v>
      </c>
      <c r="Q144" s="104" t="e">
        <f t="shared" si="8"/>
        <v>#VALUE!</v>
      </c>
      <c r="R144" s="104">
        <f t="shared" si="9"/>
        <v>237.89752650176678</v>
      </c>
      <c r="S144" s="104">
        <f t="shared" si="9"/>
        <v>95.277207392197127</v>
      </c>
      <c r="T144" s="104">
        <f t="shared" si="9"/>
        <v>0</v>
      </c>
      <c r="V144">
        <f>K144/'Soil samples'!AK144*1000</f>
        <v>17.23200669367662</v>
      </c>
      <c r="W144">
        <f>L144/'Soil samples'!AK144*1000</f>
        <v>7.4134163072619392</v>
      </c>
      <c r="X144" s="3">
        <f>M144/'Soil samples'!AK144*1000</f>
        <v>0</v>
      </c>
      <c r="Y144" s="31">
        <f t="shared" si="10"/>
        <v>0.16189999999999999</v>
      </c>
      <c r="Z144" s="104">
        <f t="shared" si="11"/>
        <v>0.16189999999999999</v>
      </c>
    </row>
    <row r="145" spans="1:26">
      <c r="A145" s="6" t="s">
        <v>148</v>
      </c>
      <c r="B145" s="6" t="s">
        <v>198</v>
      </c>
      <c r="C145" t="s">
        <v>13</v>
      </c>
      <c r="D145" s="8">
        <v>5</v>
      </c>
      <c r="E145">
        <v>10</v>
      </c>
      <c r="F145" s="14" t="s">
        <v>380</v>
      </c>
      <c r="G145" s="54">
        <v>0.25609999999999999</v>
      </c>
      <c r="H145" s="55">
        <v>0.12759999999999999</v>
      </c>
      <c r="I145" s="55" t="s">
        <v>469</v>
      </c>
      <c r="J145" s="25">
        <v>42767</v>
      </c>
      <c r="K145" s="54">
        <v>6.3700000000000007E-2</v>
      </c>
      <c r="L145" s="100">
        <v>6.1100000000000002E-2</v>
      </c>
      <c r="M145" s="55">
        <v>0</v>
      </c>
      <c r="N145" s="25">
        <v>42769</v>
      </c>
      <c r="O145" s="104">
        <f t="shared" si="8"/>
        <v>0.19239999999999999</v>
      </c>
      <c r="P145" s="104">
        <f t="shared" si="8"/>
        <v>6.649999999999999E-2</v>
      </c>
      <c r="Q145" s="104" t="e">
        <f t="shared" si="8"/>
        <v>#VALUE!</v>
      </c>
      <c r="R145" s="104">
        <f t="shared" si="9"/>
        <v>302.04081632653055</v>
      </c>
      <c r="S145" s="104">
        <f t="shared" si="9"/>
        <v>108.83797054009818</v>
      </c>
      <c r="T145" s="104">
        <f t="shared" si="9"/>
        <v>0</v>
      </c>
      <c r="V145">
        <f>K145/'Soil samples'!AK145*1000</f>
        <v>8.1356466234919669</v>
      </c>
      <c r="W145">
        <f>L145/'Soil samples'!AK145*1000</f>
        <v>7.8035794143698451</v>
      </c>
      <c r="X145" s="3">
        <f>M145/'Soil samples'!AK145*1000</f>
        <v>0</v>
      </c>
      <c r="Y145" s="31">
        <f t="shared" si="10"/>
        <v>0.12480000000000001</v>
      </c>
      <c r="Z145" s="104">
        <f t="shared" si="11"/>
        <v>0.12480000000000001</v>
      </c>
    </row>
    <row r="146" spans="1:26">
      <c r="A146" s="6" t="s">
        <v>149</v>
      </c>
      <c r="B146" s="6" t="s">
        <v>198</v>
      </c>
      <c r="C146" t="s">
        <v>13</v>
      </c>
      <c r="D146" s="8">
        <v>5</v>
      </c>
      <c r="E146">
        <v>20</v>
      </c>
      <c r="F146" t="s">
        <v>381</v>
      </c>
      <c r="G146" s="54">
        <v>0.1176</v>
      </c>
      <c r="H146" s="55">
        <v>0.123</v>
      </c>
      <c r="I146" s="55" t="s">
        <v>469</v>
      </c>
      <c r="J146" s="25">
        <v>42767</v>
      </c>
      <c r="K146" s="54">
        <v>4.4200000000000003E-2</v>
      </c>
      <c r="L146" s="100">
        <v>4.6100000000000002E-2</v>
      </c>
      <c r="M146" s="55">
        <v>0</v>
      </c>
      <c r="N146" s="25">
        <v>42769</v>
      </c>
      <c r="O146" s="104">
        <f t="shared" si="8"/>
        <v>7.3399999999999993E-2</v>
      </c>
      <c r="P146" s="104">
        <f t="shared" si="8"/>
        <v>7.6899999999999996E-2</v>
      </c>
      <c r="Q146" s="104" t="e">
        <f t="shared" si="8"/>
        <v>#VALUE!</v>
      </c>
      <c r="R146" s="104">
        <f t="shared" si="9"/>
        <v>166.06334841628956</v>
      </c>
      <c r="S146" s="104">
        <f t="shared" si="9"/>
        <v>166.81127982646419</v>
      </c>
      <c r="T146" s="104">
        <f t="shared" si="9"/>
        <v>0</v>
      </c>
      <c r="V146">
        <f>K146/'Soil samples'!AK146*1000</f>
        <v>4.9833306998488771</v>
      </c>
      <c r="W146">
        <f>L146/'Soil samples'!AK146*1000</f>
        <v>5.1975462729193032</v>
      </c>
      <c r="X146" s="3">
        <f>M146/'Soil samples'!AK146*1000</f>
        <v>0</v>
      </c>
      <c r="Y146" s="31">
        <f t="shared" si="10"/>
        <v>9.0300000000000005E-2</v>
      </c>
      <c r="Z146" s="104">
        <f t="shared" si="11"/>
        <v>9.0300000000000005E-2</v>
      </c>
    </row>
    <row r="147" spans="1:26">
      <c r="A147" s="6" t="s">
        <v>150</v>
      </c>
      <c r="B147" s="6" t="s">
        <v>198</v>
      </c>
      <c r="C147" t="s">
        <v>13</v>
      </c>
      <c r="D147" s="8">
        <v>5</v>
      </c>
      <c r="E147">
        <v>30</v>
      </c>
      <c r="F147" t="s">
        <v>382</v>
      </c>
      <c r="G147" s="54">
        <v>7.0699999999999999E-2</v>
      </c>
      <c r="H147" s="55" t="s">
        <v>469</v>
      </c>
      <c r="I147" s="55" t="s">
        <v>469</v>
      </c>
      <c r="J147" s="25">
        <v>42767</v>
      </c>
      <c r="K147" s="54">
        <v>3.0800000000000001E-2</v>
      </c>
      <c r="L147" s="55">
        <v>0</v>
      </c>
      <c r="M147" s="55">
        <v>0</v>
      </c>
      <c r="N147" s="25">
        <v>42769</v>
      </c>
      <c r="O147" s="104">
        <f t="shared" si="8"/>
        <v>3.9899999999999998E-2</v>
      </c>
      <c r="P147" s="104" t="e">
        <f t="shared" si="8"/>
        <v>#VALUE!</v>
      </c>
      <c r="Q147" s="104" t="e">
        <f t="shared" si="8"/>
        <v>#VALUE!</v>
      </c>
      <c r="R147" s="104">
        <f t="shared" si="9"/>
        <v>129.54545454545453</v>
      </c>
      <c r="S147" s="104">
        <f t="shared" si="9"/>
        <v>0</v>
      </c>
      <c r="T147" s="104">
        <f t="shared" si="9"/>
        <v>0</v>
      </c>
      <c r="V147">
        <f>K147/'Soil samples'!AK147*1000</f>
        <v>1.3308573745971233</v>
      </c>
      <c r="W147">
        <f>L147/'Soil samples'!AK147*1000</f>
        <v>0</v>
      </c>
      <c r="X147" s="3">
        <f>M147/'Soil samples'!AK147*1000</f>
        <v>0</v>
      </c>
      <c r="Y147" s="31">
        <f t="shared" si="10"/>
        <v>3.0800000000000001E-2</v>
      </c>
      <c r="Z147" s="104">
        <f t="shared" si="11"/>
        <v>3.0800000000000001E-2</v>
      </c>
    </row>
    <row r="148" spans="1:26">
      <c r="A148" s="6" t="s">
        <v>151</v>
      </c>
      <c r="B148" s="6" t="s">
        <v>198</v>
      </c>
      <c r="C148" t="s">
        <v>13</v>
      </c>
      <c r="D148" s="8">
        <v>6</v>
      </c>
      <c r="E148">
        <v>5</v>
      </c>
      <c r="F148" s="13" t="s">
        <v>379</v>
      </c>
      <c r="G148" s="54">
        <v>0.68240000000000001</v>
      </c>
      <c r="H148" s="55">
        <v>0.1232</v>
      </c>
      <c r="I148" s="55" t="s">
        <v>469</v>
      </c>
      <c r="J148" s="25">
        <v>42755</v>
      </c>
      <c r="K148" s="54">
        <v>0.22900000000000001</v>
      </c>
      <c r="L148" s="100">
        <v>6.0100000000000001E-2</v>
      </c>
      <c r="M148" s="55">
        <v>0</v>
      </c>
      <c r="O148" s="104">
        <f t="shared" si="8"/>
        <v>0.45340000000000003</v>
      </c>
      <c r="P148" s="104">
        <f t="shared" si="8"/>
        <v>6.3100000000000003E-2</v>
      </c>
      <c r="Q148" s="104" t="e">
        <f t="shared" si="8"/>
        <v>#VALUE!</v>
      </c>
      <c r="R148" s="104">
        <f t="shared" si="9"/>
        <v>197.99126637554585</v>
      </c>
      <c r="S148" s="104">
        <f t="shared" si="9"/>
        <v>104.99168053244591</v>
      </c>
      <c r="T148" s="104">
        <f t="shared" si="9"/>
        <v>0</v>
      </c>
      <c r="V148">
        <f>K148/'Soil samples'!AK148*1000</f>
        <v>25.217948505551341</v>
      </c>
      <c r="W148">
        <f>L148/'Soil samples'!AK148*1000</f>
        <v>6.6183349571337793</v>
      </c>
      <c r="X148" s="3">
        <f>M148/'Soil samples'!AK148*1000</f>
        <v>0</v>
      </c>
      <c r="Y148" s="31">
        <f t="shared" si="10"/>
        <v>0.28910000000000002</v>
      </c>
      <c r="Z148" s="104">
        <f t="shared" si="11"/>
        <v>0.28910000000000002</v>
      </c>
    </row>
    <row r="149" spans="1:26">
      <c r="A149" s="6" t="s">
        <v>152</v>
      </c>
      <c r="B149" s="6" t="s">
        <v>198</v>
      </c>
      <c r="C149" t="s">
        <v>13</v>
      </c>
      <c r="D149" s="8">
        <v>6</v>
      </c>
      <c r="E149">
        <v>10</v>
      </c>
      <c r="F149" s="14" t="s">
        <v>380</v>
      </c>
      <c r="G149" s="54">
        <v>0.40179999999999999</v>
      </c>
      <c r="H149" s="55">
        <v>0.11360000000000001</v>
      </c>
      <c r="I149" s="55" t="s">
        <v>469</v>
      </c>
      <c r="J149" s="25">
        <v>42755</v>
      </c>
      <c r="K149" s="54">
        <v>0.12559999999999999</v>
      </c>
      <c r="L149" s="100">
        <v>3.85E-2</v>
      </c>
      <c r="M149" s="55">
        <v>0</v>
      </c>
      <c r="O149" s="104">
        <f t="shared" si="8"/>
        <v>0.2762</v>
      </c>
      <c r="P149" s="104">
        <f t="shared" si="8"/>
        <v>7.51E-2</v>
      </c>
      <c r="Q149" s="104" t="e">
        <f t="shared" si="8"/>
        <v>#VALUE!</v>
      </c>
      <c r="R149" s="104">
        <f t="shared" si="9"/>
        <v>219.90445859872611</v>
      </c>
      <c r="S149" s="104">
        <f t="shared" si="9"/>
        <v>195.06493506493507</v>
      </c>
      <c r="T149" s="104">
        <f t="shared" si="9"/>
        <v>0</v>
      </c>
      <c r="V149">
        <f>K149/'Soil samples'!AK149*1000</f>
        <v>10.325029708372977</v>
      </c>
      <c r="W149">
        <f>L149/'Soil samples'!AK149*1000</f>
        <v>3.1649175459582772</v>
      </c>
      <c r="X149" s="3">
        <f>M149/'Soil samples'!AK149*1000</f>
        <v>0</v>
      </c>
      <c r="Y149" s="31">
        <f t="shared" si="10"/>
        <v>0.1641</v>
      </c>
      <c r="Z149" s="104">
        <f t="shared" si="11"/>
        <v>0.1641</v>
      </c>
    </row>
    <row r="150" spans="1:26" s="4" customFormat="1">
      <c r="A150" s="7" t="s">
        <v>153</v>
      </c>
      <c r="B150" s="7" t="s">
        <v>198</v>
      </c>
      <c r="C150" s="4" t="s">
        <v>13</v>
      </c>
      <c r="D150" s="4">
        <v>6</v>
      </c>
      <c r="E150" s="4">
        <v>20</v>
      </c>
      <c r="F150" s="4" t="s">
        <v>381</v>
      </c>
      <c r="G150" s="101">
        <v>0.28560000000000002</v>
      </c>
      <c r="H150" s="102">
        <v>4.2900000000000001E-2</v>
      </c>
      <c r="I150" s="102" t="s">
        <v>469</v>
      </c>
      <c r="J150" s="27">
        <v>42755</v>
      </c>
      <c r="K150" s="101">
        <v>0.1013</v>
      </c>
      <c r="L150" s="103">
        <v>1.9199999999999998E-2</v>
      </c>
      <c r="M150" s="55">
        <v>0</v>
      </c>
      <c r="N150" s="5"/>
      <c r="O150" s="102">
        <f t="shared" ref="O150:Q192" si="12">G150-K150</f>
        <v>0.18430000000000002</v>
      </c>
      <c r="P150" s="102">
        <f t="shared" si="12"/>
        <v>2.3700000000000002E-2</v>
      </c>
      <c r="Q150" s="102" t="e">
        <f t="shared" si="12"/>
        <v>#VALUE!</v>
      </c>
      <c r="R150" s="102">
        <f t="shared" ref="R150:T192" si="13">IF(K150&gt;0,O150/K150*100,0)</f>
        <v>181.93484698914116</v>
      </c>
      <c r="S150" s="102">
        <f t="shared" si="13"/>
        <v>123.43750000000003</v>
      </c>
      <c r="T150" s="102">
        <f t="shared" si="13"/>
        <v>0</v>
      </c>
      <c r="U150" s="5"/>
      <c r="V150">
        <f>K150/'Soil samples'!AK150*1000</f>
        <v>7.7924561715478182</v>
      </c>
      <c r="W150">
        <f>L150/'Soil samples'!AK150*1000</f>
        <v>1.4769512190890237</v>
      </c>
      <c r="X150" s="3">
        <f>M150/'Soil samples'!AK150*1000</f>
        <v>0</v>
      </c>
      <c r="Y150" s="31">
        <f t="shared" si="10"/>
        <v>0.1205</v>
      </c>
      <c r="Z150" s="104">
        <f t="shared" si="11"/>
        <v>0.1205</v>
      </c>
    </row>
    <row r="151" spans="1:26">
      <c r="A151" s="6" t="s">
        <v>154</v>
      </c>
      <c r="B151" s="6" t="s">
        <v>548</v>
      </c>
      <c r="C151" t="s">
        <v>12</v>
      </c>
      <c r="D151" s="8">
        <v>1</v>
      </c>
      <c r="E151">
        <v>5</v>
      </c>
      <c r="G151" s="54">
        <v>2.246</v>
      </c>
      <c r="H151" s="100">
        <v>3.27E-2</v>
      </c>
      <c r="I151" s="100" t="s">
        <v>469</v>
      </c>
      <c r="J151" s="25">
        <v>42792</v>
      </c>
      <c r="K151" s="54">
        <v>0.40129999999999999</v>
      </c>
      <c r="L151" s="100">
        <v>4.4000000000000003E-3</v>
      </c>
      <c r="M151" s="55">
        <v>0</v>
      </c>
      <c r="N151" s="25">
        <v>42794</v>
      </c>
      <c r="O151" s="104">
        <f t="shared" si="12"/>
        <v>1.8447</v>
      </c>
      <c r="P151" s="104">
        <f t="shared" si="12"/>
        <v>2.8299999999999999E-2</v>
      </c>
      <c r="Q151" s="104" t="e">
        <f t="shared" si="12"/>
        <v>#VALUE!</v>
      </c>
      <c r="R151" s="104">
        <f t="shared" si="13"/>
        <v>459.68103663094945</v>
      </c>
      <c r="S151" s="104">
        <f t="shared" si="13"/>
        <v>643.18181818181813</v>
      </c>
      <c r="T151" s="104">
        <f t="shared" si="13"/>
        <v>0</v>
      </c>
      <c r="V151">
        <f>K151/'Soil samples'!AK151*1000</f>
        <v>66.061434712037297</v>
      </c>
      <c r="W151">
        <f>L151/'Soil samples'!AK151*1000</f>
        <v>0.72432173618979345</v>
      </c>
      <c r="X151" s="3">
        <f>M151/'Soil samples'!AK151*1000</f>
        <v>0</v>
      </c>
      <c r="Y151" s="31">
        <f t="shared" si="10"/>
        <v>0.40570000000000001</v>
      </c>
      <c r="Z151" s="104">
        <f t="shared" si="11"/>
        <v>0.40570000000000001</v>
      </c>
    </row>
    <row r="152" spans="1:26">
      <c r="A152" s="6" t="s">
        <v>155</v>
      </c>
      <c r="B152" s="6" t="s">
        <v>548</v>
      </c>
      <c r="C152" t="s">
        <v>12</v>
      </c>
      <c r="D152" s="8">
        <v>1</v>
      </c>
      <c r="E152">
        <v>10</v>
      </c>
      <c r="G152" s="54">
        <v>1.6526000000000001</v>
      </c>
      <c r="H152" s="55" t="s">
        <v>469</v>
      </c>
      <c r="I152" s="100" t="s">
        <v>469</v>
      </c>
      <c r="J152" s="25">
        <v>42792</v>
      </c>
      <c r="K152" s="54">
        <v>0.28549999999999998</v>
      </c>
      <c r="L152" s="100">
        <v>0</v>
      </c>
      <c r="M152" s="55">
        <v>0</v>
      </c>
      <c r="N152" s="25">
        <v>42794</v>
      </c>
      <c r="O152" s="104">
        <f t="shared" si="12"/>
        <v>1.3671000000000002</v>
      </c>
      <c r="P152" s="104" t="e">
        <f t="shared" si="12"/>
        <v>#VALUE!</v>
      </c>
      <c r="Q152" s="104" t="e">
        <f t="shared" si="12"/>
        <v>#VALUE!</v>
      </c>
      <c r="R152" s="104">
        <f t="shared" si="13"/>
        <v>478.844133099825</v>
      </c>
      <c r="S152" s="104">
        <f t="shared" si="13"/>
        <v>0</v>
      </c>
      <c r="T152" s="104">
        <f t="shared" si="13"/>
        <v>0</v>
      </c>
      <c r="V152">
        <f>K152/'Soil samples'!AK152*1000</f>
        <v>9.088691518706332</v>
      </c>
      <c r="W152">
        <f>L152/'Soil samples'!AK152*1000</f>
        <v>0</v>
      </c>
      <c r="X152" s="3">
        <f>M152/'Soil samples'!AK152*1000</f>
        <v>0</v>
      </c>
      <c r="Y152" s="31">
        <f t="shared" si="10"/>
        <v>0.28549999999999998</v>
      </c>
      <c r="Z152" s="104">
        <f t="shared" si="11"/>
        <v>0.28549999999999998</v>
      </c>
    </row>
    <row r="153" spans="1:26">
      <c r="A153" s="6" t="s">
        <v>156</v>
      </c>
      <c r="B153" s="6" t="s">
        <v>548</v>
      </c>
      <c r="C153" t="s">
        <v>12</v>
      </c>
      <c r="D153" s="8">
        <v>1</v>
      </c>
      <c r="E153">
        <v>20</v>
      </c>
      <c r="G153" s="54">
        <v>1.3048999999999999</v>
      </c>
      <c r="H153" s="100">
        <v>4.24E-2</v>
      </c>
      <c r="I153" s="100" t="s">
        <v>469</v>
      </c>
      <c r="J153" s="25">
        <v>42791</v>
      </c>
      <c r="K153" s="54">
        <v>0.24590000000000001</v>
      </c>
      <c r="L153" s="100">
        <v>1.04E-2</v>
      </c>
      <c r="M153" s="55">
        <v>0</v>
      </c>
      <c r="N153" s="25">
        <v>42794</v>
      </c>
      <c r="O153" s="104">
        <f t="shared" si="12"/>
        <v>1.0589999999999999</v>
      </c>
      <c r="P153" s="104">
        <f t="shared" si="12"/>
        <v>3.2000000000000001E-2</v>
      </c>
      <c r="Q153" s="104" t="e">
        <f t="shared" si="12"/>
        <v>#VALUE!</v>
      </c>
      <c r="R153" s="104">
        <f t="shared" si="13"/>
        <v>430.66287108580718</v>
      </c>
      <c r="S153" s="104">
        <f t="shared" si="13"/>
        <v>307.69230769230774</v>
      </c>
      <c r="T153" s="104">
        <f t="shared" si="13"/>
        <v>0</v>
      </c>
      <c r="V153">
        <f>K153/'Soil samples'!AK153*1000</f>
        <v>6.341002762874723</v>
      </c>
      <c r="W153">
        <f>L153/'Soil samples'!AK153*1000</f>
        <v>0.26818393141072433</v>
      </c>
      <c r="X153" s="3">
        <f>M153/'Soil samples'!AK153*1000</f>
        <v>0</v>
      </c>
      <c r="Y153" s="31">
        <f t="shared" si="10"/>
        <v>0.25630000000000003</v>
      </c>
      <c r="Z153" s="104">
        <f t="shared" si="11"/>
        <v>0.25630000000000003</v>
      </c>
    </row>
    <row r="154" spans="1:26">
      <c r="A154" s="6" t="s">
        <v>157</v>
      </c>
      <c r="B154" s="6" t="s">
        <v>548</v>
      </c>
      <c r="C154" t="s">
        <v>12</v>
      </c>
      <c r="D154" s="8">
        <v>1</v>
      </c>
      <c r="E154">
        <v>30</v>
      </c>
      <c r="G154" s="54">
        <v>0.33939999999999998</v>
      </c>
      <c r="H154" s="55">
        <v>7.6700000000000004E-2</v>
      </c>
      <c r="I154" s="55" t="s">
        <v>469</v>
      </c>
      <c r="J154" s="25">
        <v>42791</v>
      </c>
      <c r="K154" s="54">
        <v>6.7400000000000002E-2</v>
      </c>
      <c r="L154" s="100">
        <v>1.8200000000000001E-2</v>
      </c>
      <c r="M154" s="55">
        <v>0</v>
      </c>
      <c r="N154" s="25">
        <v>42794</v>
      </c>
      <c r="O154" s="104">
        <f t="shared" si="12"/>
        <v>0.27199999999999996</v>
      </c>
      <c r="P154" s="104">
        <f t="shared" si="12"/>
        <v>5.8500000000000003E-2</v>
      </c>
      <c r="Q154" s="104" t="e">
        <f t="shared" si="12"/>
        <v>#VALUE!</v>
      </c>
      <c r="R154" s="104">
        <f t="shared" si="13"/>
        <v>403.560830860534</v>
      </c>
      <c r="S154" s="104">
        <f t="shared" si="13"/>
        <v>321.42857142857144</v>
      </c>
      <c r="T154" s="104">
        <f t="shared" si="13"/>
        <v>0</v>
      </c>
      <c r="V154">
        <f>K154/'Soil samples'!AK154*1000</f>
        <v>1.4780207642567242</v>
      </c>
      <c r="W154">
        <f>L154/'Soil samples'!AK154*1000</f>
        <v>0.39910946453223117</v>
      </c>
      <c r="X154" s="3">
        <f>M154/'Soil samples'!AK154*1000</f>
        <v>0</v>
      </c>
      <c r="Y154" s="31">
        <f t="shared" si="10"/>
        <v>8.5600000000000009E-2</v>
      </c>
      <c r="Z154" s="104">
        <f t="shared" si="11"/>
        <v>8.5600000000000009E-2</v>
      </c>
    </row>
    <row r="155" spans="1:26">
      <c r="A155" s="6" t="s">
        <v>158</v>
      </c>
      <c r="B155" s="6" t="s">
        <v>548</v>
      </c>
      <c r="C155" t="s">
        <v>12</v>
      </c>
      <c r="D155" s="8">
        <v>2</v>
      </c>
      <c r="E155">
        <v>5</v>
      </c>
      <c r="F155" t="s">
        <v>376</v>
      </c>
      <c r="G155" s="54">
        <v>11.184699999999999</v>
      </c>
      <c r="H155" s="55" t="s">
        <v>469</v>
      </c>
      <c r="I155" s="55" t="s">
        <v>469</v>
      </c>
      <c r="J155" s="25">
        <v>42819</v>
      </c>
      <c r="K155" s="54">
        <v>1.3345</v>
      </c>
      <c r="L155" s="55">
        <v>0</v>
      </c>
      <c r="M155" s="55">
        <v>0</v>
      </c>
      <c r="N155" s="25">
        <v>42823</v>
      </c>
      <c r="O155" s="104">
        <f t="shared" si="12"/>
        <v>9.8501999999999992</v>
      </c>
      <c r="P155" s="104" t="e">
        <f t="shared" si="12"/>
        <v>#VALUE!</v>
      </c>
      <c r="Q155" s="104" t="e">
        <f t="shared" si="12"/>
        <v>#VALUE!</v>
      </c>
      <c r="R155" s="104">
        <f t="shared" si="13"/>
        <v>738.11914574747095</v>
      </c>
      <c r="S155" s="104">
        <f t="shared" si="13"/>
        <v>0</v>
      </c>
      <c r="T155" s="104">
        <f t="shared" si="13"/>
        <v>0</v>
      </c>
      <c r="V155" t="e">
        <f>K155/'Soil samples'!AK155*1000</f>
        <v>#VALUE!</v>
      </c>
      <c r="W155" t="e">
        <f>L155/'Soil samples'!AK155*1000</f>
        <v>#VALUE!</v>
      </c>
      <c r="X155" s="3" t="e">
        <f>M155/'Soil samples'!AK155*1000</f>
        <v>#VALUE!</v>
      </c>
      <c r="Y155" s="31">
        <f t="shared" si="10"/>
        <v>1.3345</v>
      </c>
      <c r="Z155" s="104">
        <f t="shared" si="11"/>
        <v>1.3345</v>
      </c>
    </row>
    <row r="156" spans="1:26">
      <c r="A156" s="6" t="s">
        <v>159</v>
      </c>
      <c r="B156" s="6" t="s">
        <v>548</v>
      </c>
      <c r="C156" t="s">
        <v>12</v>
      </c>
      <c r="D156" s="8">
        <v>2</v>
      </c>
      <c r="E156">
        <v>10</v>
      </c>
      <c r="G156" s="54">
        <v>0.42970000000000003</v>
      </c>
      <c r="H156" s="55" t="s">
        <v>469</v>
      </c>
      <c r="I156" s="55" t="s">
        <v>469</v>
      </c>
      <c r="J156" s="25">
        <v>42819</v>
      </c>
      <c r="K156" s="54">
        <v>6.9800000000000001E-2</v>
      </c>
      <c r="L156" s="55">
        <v>0</v>
      </c>
      <c r="M156" s="55">
        <v>0</v>
      </c>
      <c r="N156" s="25">
        <v>42823</v>
      </c>
      <c r="O156" s="104">
        <f t="shared" si="12"/>
        <v>0.3599</v>
      </c>
      <c r="P156" s="104" t="e">
        <f t="shared" si="12"/>
        <v>#VALUE!</v>
      </c>
      <c r="Q156" s="104" t="e">
        <f t="shared" si="12"/>
        <v>#VALUE!</v>
      </c>
      <c r="R156" s="104">
        <f t="shared" si="13"/>
        <v>515.6160458452722</v>
      </c>
      <c r="S156" s="104">
        <f t="shared" si="13"/>
        <v>0</v>
      </c>
      <c r="T156" s="104">
        <f t="shared" si="13"/>
        <v>0</v>
      </c>
      <c r="V156">
        <f>K156/'Soil samples'!AK156*1000</f>
        <v>1.9019893698938872</v>
      </c>
      <c r="W156">
        <f>L156/'Soil samples'!AK156*1000</f>
        <v>0</v>
      </c>
      <c r="X156" s="3">
        <f>M156/'Soil samples'!AK156*1000</f>
        <v>0</v>
      </c>
      <c r="Y156" s="31">
        <f t="shared" si="10"/>
        <v>6.9800000000000001E-2</v>
      </c>
      <c r="Z156" s="104">
        <f t="shared" si="11"/>
        <v>6.9800000000000001E-2</v>
      </c>
    </row>
    <row r="157" spans="1:26">
      <c r="A157" s="6" t="s">
        <v>160</v>
      </c>
      <c r="B157" s="6" t="s">
        <v>548</v>
      </c>
      <c r="C157" t="s">
        <v>12</v>
      </c>
      <c r="D157" s="8">
        <v>2</v>
      </c>
      <c r="E157">
        <v>20</v>
      </c>
      <c r="G157" s="54">
        <v>0.10979999999999999</v>
      </c>
      <c r="H157" s="55" t="s">
        <v>469</v>
      </c>
      <c r="I157" s="55" t="s">
        <v>469</v>
      </c>
      <c r="J157" s="25">
        <v>42819</v>
      </c>
      <c r="K157" s="54">
        <v>2.1899999999999999E-2</v>
      </c>
      <c r="L157" s="55">
        <v>0</v>
      </c>
      <c r="M157" s="55">
        <v>0</v>
      </c>
      <c r="N157" s="25">
        <v>42823</v>
      </c>
      <c r="O157" s="104">
        <f t="shared" si="12"/>
        <v>8.7899999999999992E-2</v>
      </c>
      <c r="P157" s="104" t="e">
        <f t="shared" si="12"/>
        <v>#VALUE!</v>
      </c>
      <c r="Q157" s="104" t="e">
        <f t="shared" si="12"/>
        <v>#VALUE!</v>
      </c>
      <c r="R157" s="104">
        <f t="shared" si="13"/>
        <v>401.36986301369859</v>
      </c>
      <c r="S157" s="104">
        <f t="shared" si="13"/>
        <v>0</v>
      </c>
      <c r="T157" s="104">
        <f t="shared" si="13"/>
        <v>0</v>
      </c>
      <c r="U157" s="3" t="s">
        <v>709</v>
      </c>
      <c r="V157">
        <f>K157/'Soil samples'!AK157*1000</f>
        <v>0.57648812135635208</v>
      </c>
      <c r="W157">
        <f>L157/'Soil samples'!AK157*1000</f>
        <v>0</v>
      </c>
      <c r="X157" s="3">
        <f>M157/'Soil samples'!AK157*1000</f>
        <v>0</v>
      </c>
      <c r="Y157" s="31">
        <f t="shared" si="10"/>
        <v>2.1899999999999999E-2</v>
      </c>
      <c r="Z157" s="104">
        <f t="shared" si="11"/>
        <v>2.1899999999999999E-2</v>
      </c>
    </row>
    <row r="158" spans="1:26">
      <c r="A158" s="6" t="s">
        <v>161</v>
      </c>
      <c r="B158" s="6" t="s">
        <v>548</v>
      </c>
      <c r="C158" t="s">
        <v>12</v>
      </c>
      <c r="D158" s="8">
        <v>2</v>
      </c>
      <c r="E158">
        <v>30</v>
      </c>
      <c r="G158" s="54">
        <v>2.0799999999999999E-2</v>
      </c>
      <c r="H158" s="55" t="s">
        <v>469</v>
      </c>
      <c r="I158" s="55" t="s">
        <v>469</v>
      </c>
      <c r="J158" s="25">
        <v>42819</v>
      </c>
      <c r="K158" s="54">
        <v>8.0000000000000002E-3</v>
      </c>
      <c r="L158" s="55">
        <v>0</v>
      </c>
      <c r="M158" s="55">
        <v>0</v>
      </c>
      <c r="N158" s="25">
        <v>42823</v>
      </c>
      <c r="O158" s="104">
        <f t="shared" si="12"/>
        <v>1.2799999999999999E-2</v>
      </c>
      <c r="P158" s="104" t="e">
        <f t="shared" si="12"/>
        <v>#VALUE!</v>
      </c>
      <c r="Q158" s="104" t="e">
        <f t="shared" si="12"/>
        <v>#VALUE!</v>
      </c>
      <c r="R158" s="104">
        <f t="shared" si="13"/>
        <v>160</v>
      </c>
      <c r="S158" s="104">
        <f t="shared" si="13"/>
        <v>0</v>
      </c>
      <c r="T158" s="104">
        <f t="shared" si="13"/>
        <v>0</v>
      </c>
      <c r="U158" s="3" t="s">
        <v>708</v>
      </c>
      <c r="V158">
        <f>K158/'Soil samples'!AK158*1000</f>
        <v>0.18818705672845343</v>
      </c>
      <c r="W158">
        <f>L158/'Soil samples'!AK158*1000</f>
        <v>0</v>
      </c>
      <c r="X158" s="3">
        <f>M158/'Soil samples'!AK158*1000</f>
        <v>0</v>
      </c>
      <c r="Y158" s="31">
        <f t="shared" si="10"/>
        <v>8.0000000000000002E-3</v>
      </c>
      <c r="Z158" s="104">
        <f t="shared" si="11"/>
        <v>8.0000000000000002E-3</v>
      </c>
    </row>
    <row r="159" spans="1:26">
      <c r="A159" s="6" t="s">
        <v>162</v>
      </c>
      <c r="B159" s="6" t="s">
        <v>548</v>
      </c>
      <c r="C159" t="s">
        <v>12</v>
      </c>
      <c r="D159" s="8">
        <v>3</v>
      </c>
      <c r="E159">
        <v>5</v>
      </c>
      <c r="F159" t="s">
        <v>385</v>
      </c>
      <c r="G159" s="54">
        <v>12.872299999999999</v>
      </c>
      <c r="H159" s="55">
        <v>0.12839999999999999</v>
      </c>
      <c r="I159" s="55" t="s">
        <v>469</v>
      </c>
      <c r="J159" s="25">
        <v>42767</v>
      </c>
      <c r="K159" s="54">
        <v>1.8829</v>
      </c>
      <c r="L159" s="100">
        <v>4.7100000000000003E-2</v>
      </c>
      <c r="M159" s="55">
        <v>0</v>
      </c>
      <c r="N159" s="25">
        <v>42769</v>
      </c>
      <c r="O159" s="104">
        <f t="shared" si="12"/>
        <v>10.9894</v>
      </c>
      <c r="P159" s="104">
        <f t="shared" si="12"/>
        <v>8.1299999999999983E-2</v>
      </c>
      <c r="Q159" s="104" t="e">
        <f t="shared" si="12"/>
        <v>#VALUE!</v>
      </c>
      <c r="R159" s="104">
        <f t="shared" si="13"/>
        <v>583.64225396993993</v>
      </c>
      <c r="S159" s="104">
        <f t="shared" si="13"/>
        <v>172.61146496815283</v>
      </c>
      <c r="T159" s="104">
        <f t="shared" si="13"/>
        <v>0</v>
      </c>
      <c r="V159" t="e">
        <f>K159/'Soil samples'!AK159*1000</f>
        <v>#VALUE!</v>
      </c>
      <c r="W159" t="e">
        <f>L159/'Soil samples'!AK159*1000</f>
        <v>#VALUE!</v>
      </c>
      <c r="X159" s="3" t="e">
        <f>M159/'Soil samples'!AK159*1000</f>
        <v>#VALUE!</v>
      </c>
      <c r="Y159" s="31">
        <f t="shared" si="10"/>
        <v>1.93</v>
      </c>
      <c r="Z159" s="104">
        <f t="shared" si="11"/>
        <v>1.93</v>
      </c>
    </row>
    <row r="160" spans="1:26">
      <c r="A160" s="6" t="s">
        <v>163</v>
      </c>
      <c r="B160" s="6" t="s">
        <v>548</v>
      </c>
      <c r="C160" t="s">
        <v>12</v>
      </c>
      <c r="D160" s="8">
        <v>3</v>
      </c>
      <c r="E160">
        <v>10</v>
      </c>
      <c r="F160" t="s">
        <v>385</v>
      </c>
      <c r="G160" s="54">
        <v>10.425000000000001</v>
      </c>
      <c r="H160" s="55" t="s">
        <v>469</v>
      </c>
      <c r="I160" s="55" t="s">
        <v>469</v>
      </c>
      <c r="J160" s="25">
        <v>42769</v>
      </c>
      <c r="K160" s="54">
        <v>1.5753999999999999</v>
      </c>
      <c r="L160" s="55">
        <v>0</v>
      </c>
      <c r="M160" s="55">
        <v>0</v>
      </c>
      <c r="N160" s="25">
        <v>42772</v>
      </c>
      <c r="O160" s="104">
        <f t="shared" si="12"/>
        <v>8.8496000000000006</v>
      </c>
      <c r="P160" s="104" t="e">
        <f t="shared" si="12"/>
        <v>#VALUE!</v>
      </c>
      <c r="Q160" s="104" t="e">
        <f t="shared" si="12"/>
        <v>#VALUE!</v>
      </c>
      <c r="R160" s="104">
        <f t="shared" si="13"/>
        <v>561.73670179002158</v>
      </c>
      <c r="S160" s="104">
        <f t="shared" si="13"/>
        <v>0</v>
      </c>
      <c r="T160" s="104">
        <f t="shared" si="13"/>
        <v>0</v>
      </c>
      <c r="V160" t="e">
        <f>K160/'Soil samples'!AK160*1000</f>
        <v>#VALUE!</v>
      </c>
      <c r="W160" t="e">
        <f>L160/'Soil samples'!AK160*1000</f>
        <v>#VALUE!</v>
      </c>
      <c r="X160" s="3" t="e">
        <f>M160/'Soil samples'!AK160*1000</f>
        <v>#VALUE!</v>
      </c>
      <c r="Y160" s="31">
        <f t="shared" si="10"/>
        <v>1.5753999999999999</v>
      </c>
      <c r="Z160" s="104">
        <f t="shared" si="11"/>
        <v>1.5753999999999999</v>
      </c>
    </row>
    <row r="161" spans="1:26">
      <c r="A161" s="6" t="s">
        <v>164</v>
      </c>
      <c r="B161" s="6" t="s">
        <v>548</v>
      </c>
      <c r="C161" t="s">
        <v>12</v>
      </c>
      <c r="D161" s="8">
        <v>3</v>
      </c>
      <c r="E161">
        <v>20</v>
      </c>
      <c r="F161" t="s">
        <v>385</v>
      </c>
      <c r="G161" s="54">
        <v>0.49959999999999999</v>
      </c>
      <c r="H161" s="55" t="s">
        <v>469</v>
      </c>
      <c r="I161" s="55" t="s">
        <v>469</v>
      </c>
      <c r="J161" s="25">
        <v>42769</v>
      </c>
      <c r="K161" s="54">
        <v>7.4099999999999999E-2</v>
      </c>
      <c r="L161" s="55">
        <v>0</v>
      </c>
      <c r="M161" s="55">
        <v>0</v>
      </c>
      <c r="N161" s="25">
        <v>42772</v>
      </c>
      <c r="O161" s="104">
        <f t="shared" si="12"/>
        <v>0.42549999999999999</v>
      </c>
      <c r="P161" s="104" t="e">
        <f t="shared" si="12"/>
        <v>#VALUE!</v>
      </c>
      <c r="Q161" s="104" t="e">
        <f t="shared" si="12"/>
        <v>#VALUE!</v>
      </c>
      <c r="R161" s="104">
        <f t="shared" si="13"/>
        <v>574.22402159244268</v>
      </c>
      <c r="S161" s="104">
        <f t="shared" si="13"/>
        <v>0</v>
      </c>
      <c r="T161" s="104">
        <f t="shared" si="13"/>
        <v>0</v>
      </c>
      <c r="V161">
        <f>K161/'Soil samples'!AK161*1000</f>
        <v>1.9284891421420844</v>
      </c>
      <c r="W161">
        <f>L161/'Soil samples'!AK161*1000</f>
        <v>0</v>
      </c>
      <c r="X161" s="3">
        <f>M161/'Soil samples'!AK161*1000</f>
        <v>0</v>
      </c>
      <c r="Y161" s="31">
        <f t="shared" si="10"/>
        <v>7.4099999999999999E-2</v>
      </c>
      <c r="Z161" s="104">
        <f t="shared" si="11"/>
        <v>7.4099999999999999E-2</v>
      </c>
    </row>
    <row r="162" spans="1:26">
      <c r="A162" s="6" t="s">
        <v>165</v>
      </c>
      <c r="B162" s="6" t="s">
        <v>548</v>
      </c>
      <c r="C162" t="s">
        <v>12</v>
      </c>
      <c r="D162" s="8">
        <v>3</v>
      </c>
      <c r="E162">
        <v>30</v>
      </c>
      <c r="F162" t="s">
        <v>385</v>
      </c>
      <c r="G162" s="54">
        <v>0.14510000000000001</v>
      </c>
      <c r="H162" s="55" t="s">
        <v>469</v>
      </c>
      <c r="I162" s="55" t="s">
        <v>469</v>
      </c>
      <c r="J162" s="25">
        <v>42769</v>
      </c>
      <c r="K162" s="54">
        <v>2.41E-2</v>
      </c>
      <c r="L162" s="55">
        <v>0</v>
      </c>
      <c r="M162" s="55">
        <v>0</v>
      </c>
      <c r="N162" s="25">
        <v>42772</v>
      </c>
      <c r="O162" s="104">
        <f t="shared" si="12"/>
        <v>0.12100000000000001</v>
      </c>
      <c r="P162" s="104" t="e">
        <f t="shared" si="12"/>
        <v>#VALUE!</v>
      </c>
      <c r="Q162" s="104" t="e">
        <f t="shared" si="12"/>
        <v>#VALUE!</v>
      </c>
      <c r="R162" s="104">
        <f t="shared" si="13"/>
        <v>502.07468879668056</v>
      </c>
      <c r="S162" s="104">
        <f t="shared" si="13"/>
        <v>0</v>
      </c>
      <c r="T162" s="104">
        <f t="shared" si="13"/>
        <v>0</v>
      </c>
      <c r="V162">
        <f>K162/'Soil samples'!AK162*1000</f>
        <v>0.50901106672024132</v>
      </c>
      <c r="W162">
        <f>L162/'Soil samples'!AK162*1000</f>
        <v>0</v>
      </c>
      <c r="X162" s="3">
        <f>M162/'Soil samples'!AK162*1000</f>
        <v>0</v>
      </c>
      <c r="Y162" s="31">
        <f t="shared" si="10"/>
        <v>2.41E-2</v>
      </c>
      <c r="Z162" s="104">
        <f t="shared" si="11"/>
        <v>2.41E-2</v>
      </c>
    </row>
    <row r="163" spans="1:26">
      <c r="A163" s="6" t="s">
        <v>166</v>
      </c>
      <c r="B163" s="6" t="s">
        <v>548</v>
      </c>
      <c r="C163" t="s">
        <v>12</v>
      </c>
      <c r="D163" s="8">
        <v>4</v>
      </c>
      <c r="E163">
        <v>5</v>
      </c>
      <c r="G163" s="54">
        <v>3.7919999999999998</v>
      </c>
      <c r="H163" s="100" t="s">
        <v>469</v>
      </c>
      <c r="I163" s="100" t="s">
        <v>469</v>
      </c>
      <c r="J163" s="25">
        <v>42777</v>
      </c>
      <c r="K163" s="54">
        <v>0.72640000000000005</v>
      </c>
      <c r="L163" s="100">
        <v>0</v>
      </c>
      <c r="M163" s="55">
        <v>0</v>
      </c>
      <c r="N163" s="25">
        <v>42780</v>
      </c>
      <c r="O163" s="104">
        <f t="shared" si="12"/>
        <v>3.0655999999999999</v>
      </c>
      <c r="P163" s="104" t="e">
        <f t="shared" si="12"/>
        <v>#VALUE!</v>
      </c>
      <c r="Q163" s="104" t="e">
        <f t="shared" si="12"/>
        <v>#VALUE!</v>
      </c>
      <c r="R163" s="104">
        <f t="shared" si="13"/>
        <v>422.02643171806164</v>
      </c>
      <c r="S163" s="104">
        <f t="shared" si="13"/>
        <v>0</v>
      </c>
      <c r="T163" s="104">
        <f t="shared" si="13"/>
        <v>0</v>
      </c>
      <c r="V163">
        <f>K163/'Soil samples'!AK163*1000</f>
        <v>46.362051462178762</v>
      </c>
      <c r="W163">
        <f>L163/'Soil samples'!AK163*1000</f>
        <v>0</v>
      </c>
      <c r="X163" s="3">
        <f>M163/'Soil samples'!AK163*1000</f>
        <v>0</v>
      </c>
      <c r="Y163" s="31">
        <f t="shared" si="10"/>
        <v>0.72640000000000005</v>
      </c>
      <c r="Z163" s="104">
        <f t="shared" si="11"/>
        <v>0.72640000000000005</v>
      </c>
    </row>
    <row r="164" spans="1:26">
      <c r="A164" s="6" t="s">
        <v>167</v>
      </c>
      <c r="B164" s="6" t="s">
        <v>548</v>
      </c>
      <c r="C164" t="s">
        <v>12</v>
      </c>
      <c r="D164" s="8">
        <v>4</v>
      </c>
      <c r="E164">
        <v>10</v>
      </c>
      <c r="G164" s="54">
        <v>6.2229999999999999</v>
      </c>
      <c r="H164" s="100" t="s">
        <v>469</v>
      </c>
      <c r="I164" s="100" t="s">
        <v>469</v>
      </c>
      <c r="J164" s="25">
        <v>42777</v>
      </c>
      <c r="K164" s="54">
        <v>0.92349999999999999</v>
      </c>
      <c r="L164" s="100">
        <v>0</v>
      </c>
      <c r="M164" s="55">
        <v>0</v>
      </c>
      <c r="N164" s="25">
        <v>42780</v>
      </c>
      <c r="O164" s="104">
        <f t="shared" si="12"/>
        <v>5.2995000000000001</v>
      </c>
      <c r="P164" s="104" t="e">
        <f t="shared" si="12"/>
        <v>#VALUE!</v>
      </c>
      <c r="Q164" s="104" t="e">
        <f t="shared" si="12"/>
        <v>#VALUE!</v>
      </c>
      <c r="R164" s="104">
        <f t="shared" si="13"/>
        <v>573.84948565240938</v>
      </c>
      <c r="S164" s="104">
        <f t="shared" si="13"/>
        <v>0</v>
      </c>
      <c r="T164" s="104">
        <f t="shared" si="13"/>
        <v>0</v>
      </c>
      <c r="V164">
        <f>K164/'Soil samples'!AK164*1000</f>
        <v>39.598965603552386</v>
      </c>
      <c r="W164">
        <f>L164/'Soil samples'!AK164*1000</f>
        <v>0</v>
      </c>
      <c r="X164" s="3">
        <f>M164/'Soil samples'!AK164*1000</f>
        <v>0</v>
      </c>
      <c r="Y164" s="31">
        <f t="shared" si="10"/>
        <v>0.92349999999999999</v>
      </c>
      <c r="Z164" s="104">
        <f t="shared" si="11"/>
        <v>0.92349999999999999</v>
      </c>
    </row>
    <row r="165" spans="1:26">
      <c r="A165" s="6" t="s">
        <v>168</v>
      </c>
      <c r="B165" s="6" t="s">
        <v>548</v>
      </c>
      <c r="C165" t="s">
        <v>12</v>
      </c>
      <c r="D165" s="8">
        <v>4</v>
      </c>
      <c r="E165">
        <v>20</v>
      </c>
      <c r="G165" s="54">
        <v>2.2509999999999999</v>
      </c>
      <c r="H165" s="100">
        <v>8.6999999999999994E-2</v>
      </c>
      <c r="I165" s="100" t="s">
        <v>469</v>
      </c>
      <c r="J165" s="25">
        <v>42777</v>
      </c>
      <c r="K165" s="54">
        <v>0.3584</v>
      </c>
      <c r="L165" s="100">
        <v>1.8700000000000001E-2</v>
      </c>
      <c r="M165" s="55">
        <v>0</v>
      </c>
      <c r="N165" s="25">
        <v>42780</v>
      </c>
      <c r="O165" s="104">
        <f t="shared" si="12"/>
        <v>1.8925999999999998</v>
      </c>
      <c r="P165" s="104">
        <f t="shared" si="12"/>
        <v>6.83E-2</v>
      </c>
      <c r="Q165" s="104" t="e">
        <f t="shared" si="12"/>
        <v>#VALUE!</v>
      </c>
      <c r="R165" s="104">
        <f t="shared" si="13"/>
        <v>528.06919642857133</v>
      </c>
      <c r="S165" s="104">
        <f t="shared" si="13"/>
        <v>365.2406417112299</v>
      </c>
      <c r="T165" s="104">
        <f t="shared" si="13"/>
        <v>0</v>
      </c>
      <c r="V165">
        <f>K165/'Soil samples'!AK165*1000</f>
        <v>10.923676223478408</v>
      </c>
      <c r="W165">
        <f>L165/'Soil samples'!AK165*1000</f>
        <v>0.56995743688349954</v>
      </c>
      <c r="X165" s="3">
        <f>M165/'Soil samples'!AK165*1000</f>
        <v>0</v>
      </c>
      <c r="Y165" s="31">
        <f t="shared" si="10"/>
        <v>0.37709999999999999</v>
      </c>
      <c r="Z165" s="104">
        <f t="shared" si="11"/>
        <v>0.37709999999999999</v>
      </c>
    </row>
    <row r="166" spans="1:26">
      <c r="A166" s="6" t="s">
        <v>169</v>
      </c>
      <c r="B166" s="6" t="s">
        <v>548</v>
      </c>
      <c r="C166" t="s">
        <v>12</v>
      </c>
      <c r="D166" s="8">
        <v>4</v>
      </c>
      <c r="E166">
        <v>30</v>
      </c>
      <c r="G166" s="54">
        <v>0.80640000000000001</v>
      </c>
      <c r="H166" s="100" t="s">
        <v>469</v>
      </c>
      <c r="I166" s="100" t="s">
        <v>469</v>
      </c>
      <c r="J166" s="25">
        <v>42777</v>
      </c>
      <c r="K166" s="54">
        <v>0.1414</v>
      </c>
      <c r="L166" s="100">
        <v>0</v>
      </c>
      <c r="M166" s="55">
        <v>0</v>
      </c>
      <c r="N166" s="25">
        <v>42780</v>
      </c>
      <c r="O166" s="104">
        <f t="shared" si="12"/>
        <v>0.66500000000000004</v>
      </c>
      <c r="P166" s="104" t="e">
        <f t="shared" si="12"/>
        <v>#VALUE!</v>
      </c>
      <c r="Q166" s="104" t="e">
        <f t="shared" si="12"/>
        <v>#VALUE!</v>
      </c>
      <c r="R166" s="104">
        <f t="shared" si="13"/>
        <v>470.29702970297035</v>
      </c>
      <c r="S166" s="104">
        <f t="shared" si="13"/>
        <v>0</v>
      </c>
      <c r="T166" s="104">
        <f t="shared" si="13"/>
        <v>0</v>
      </c>
      <c r="V166">
        <f>K166/'Soil samples'!AK166*1000</f>
        <v>3.2826110911071251</v>
      </c>
      <c r="W166">
        <f>L166/'Soil samples'!AK166*1000</f>
        <v>0</v>
      </c>
      <c r="X166" s="3">
        <f>M166/'Soil samples'!AK166*1000</f>
        <v>0</v>
      </c>
      <c r="Y166" s="31">
        <f t="shared" si="10"/>
        <v>0.1414</v>
      </c>
      <c r="Z166" s="104">
        <f t="shared" si="11"/>
        <v>0.1414</v>
      </c>
    </row>
    <row r="167" spans="1:26">
      <c r="A167" s="6" t="s">
        <v>170</v>
      </c>
      <c r="B167" s="6" t="s">
        <v>548</v>
      </c>
      <c r="C167" t="s">
        <v>12</v>
      </c>
      <c r="D167" s="8">
        <v>5</v>
      </c>
      <c r="E167">
        <v>5</v>
      </c>
      <c r="F167" t="s">
        <v>376</v>
      </c>
      <c r="G167" s="54">
        <v>1.5914999999999999</v>
      </c>
      <c r="H167" s="55">
        <v>0.1343</v>
      </c>
      <c r="I167" s="55">
        <v>0.2341</v>
      </c>
      <c r="J167" s="25">
        <v>42755</v>
      </c>
      <c r="K167" s="54">
        <v>0.37590000000000001</v>
      </c>
      <c r="L167" s="100">
        <v>3.8800000000000001E-2</v>
      </c>
      <c r="M167" s="55">
        <v>5.3600000000000002E-2</v>
      </c>
      <c r="N167" s="25"/>
      <c r="O167" s="104">
        <f t="shared" si="12"/>
        <v>1.2155999999999998</v>
      </c>
      <c r="P167" s="104">
        <f t="shared" si="12"/>
        <v>9.5500000000000002E-2</v>
      </c>
      <c r="Q167" s="104">
        <f t="shared" si="12"/>
        <v>0.18049999999999999</v>
      </c>
      <c r="R167" s="104">
        <f t="shared" si="13"/>
        <v>323.38387869114121</v>
      </c>
      <c r="S167" s="104">
        <f t="shared" si="13"/>
        <v>246.13402061855672</v>
      </c>
      <c r="T167" s="104">
        <f t="shared" si="13"/>
        <v>336.75373134328356</v>
      </c>
      <c r="V167" t="e">
        <f>K167/'Soil samples'!AK167*1000</f>
        <v>#VALUE!</v>
      </c>
      <c r="W167" t="e">
        <f>L167/'Soil samples'!AK167*1000</f>
        <v>#VALUE!</v>
      </c>
      <c r="X167" s="3" t="e">
        <f>M167/'Soil samples'!AK167*1000</f>
        <v>#VALUE!</v>
      </c>
      <c r="Y167" s="31">
        <f t="shared" si="10"/>
        <v>0.41470000000000001</v>
      </c>
      <c r="Z167" s="104">
        <f t="shared" si="11"/>
        <v>0.46829999999999999</v>
      </c>
    </row>
    <row r="168" spans="1:26">
      <c r="A168" s="6" t="s">
        <v>171</v>
      </c>
      <c r="B168" s="6" t="s">
        <v>548</v>
      </c>
      <c r="C168" t="s">
        <v>12</v>
      </c>
      <c r="D168" s="8">
        <v>5</v>
      </c>
      <c r="E168">
        <v>10</v>
      </c>
      <c r="G168" s="54">
        <v>0.3982</v>
      </c>
      <c r="H168" s="55" t="s">
        <v>469</v>
      </c>
      <c r="I168" s="55" t="s">
        <v>469</v>
      </c>
      <c r="J168" s="25">
        <v>42755</v>
      </c>
      <c r="K168" s="54">
        <v>8.4900000000000003E-2</v>
      </c>
      <c r="L168" s="55">
        <v>0</v>
      </c>
      <c r="M168" s="55">
        <v>0</v>
      </c>
      <c r="O168" s="104">
        <f t="shared" si="12"/>
        <v>0.31330000000000002</v>
      </c>
      <c r="P168" s="104" t="e">
        <f t="shared" si="12"/>
        <v>#VALUE!</v>
      </c>
      <c r="Q168" s="104" t="e">
        <f t="shared" si="12"/>
        <v>#VALUE!</v>
      </c>
      <c r="R168" s="104">
        <f t="shared" si="13"/>
        <v>369.02237926972907</v>
      </c>
      <c r="S168" s="104">
        <f t="shared" si="13"/>
        <v>0</v>
      </c>
      <c r="T168" s="104">
        <f t="shared" si="13"/>
        <v>0</v>
      </c>
      <c r="V168">
        <f>K168/'Soil samples'!AK168*1000</f>
        <v>2.0257021507357811</v>
      </c>
      <c r="W168">
        <f>L168/'Soil samples'!AK168*1000</f>
        <v>0</v>
      </c>
      <c r="X168" s="3">
        <f>M168/'Soil samples'!AK168*1000</f>
        <v>0</v>
      </c>
      <c r="Y168" s="31">
        <f t="shared" si="10"/>
        <v>8.4900000000000003E-2</v>
      </c>
      <c r="Z168" s="104">
        <f t="shared" si="11"/>
        <v>8.4900000000000003E-2</v>
      </c>
    </row>
    <row r="169" spans="1:26">
      <c r="A169" s="6" t="s">
        <v>172</v>
      </c>
      <c r="B169" s="6" t="s">
        <v>548</v>
      </c>
      <c r="C169" t="s">
        <v>12</v>
      </c>
      <c r="D169" s="8">
        <v>5</v>
      </c>
      <c r="E169">
        <v>20</v>
      </c>
      <c r="G169" s="54">
        <v>0.49940000000000001</v>
      </c>
      <c r="H169" s="55" t="s">
        <v>469</v>
      </c>
      <c r="I169" s="55" t="s">
        <v>469</v>
      </c>
      <c r="J169" s="25">
        <v>42755</v>
      </c>
      <c r="K169" s="54">
        <v>9.11E-2</v>
      </c>
      <c r="L169" s="55">
        <v>0</v>
      </c>
      <c r="M169" s="55">
        <v>0</v>
      </c>
      <c r="O169" s="104">
        <f t="shared" si="12"/>
        <v>0.4083</v>
      </c>
      <c r="P169" s="104" t="e">
        <f t="shared" si="12"/>
        <v>#VALUE!</v>
      </c>
      <c r="Q169" s="104" t="e">
        <f t="shared" si="12"/>
        <v>#VALUE!</v>
      </c>
      <c r="R169" s="104">
        <f t="shared" si="13"/>
        <v>448.18880351262351</v>
      </c>
      <c r="S169" s="104">
        <f t="shared" si="13"/>
        <v>0</v>
      </c>
      <c r="T169" s="104">
        <f t="shared" si="13"/>
        <v>0</v>
      </c>
      <c r="V169">
        <f>K169/'Soil samples'!AK169*1000</f>
        <v>2.5201563596271419</v>
      </c>
      <c r="W169">
        <f>L169/'Soil samples'!AK169*1000</f>
        <v>0</v>
      </c>
      <c r="X169" s="3">
        <f>M169/'Soil samples'!AK169*1000</f>
        <v>0</v>
      </c>
      <c r="Y169" s="31">
        <f t="shared" si="10"/>
        <v>9.11E-2</v>
      </c>
      <c r="Z169" s="104">
        <f t="shared" si="11"/>
        <v>9.11E-2</v>
      </c>
    </row>
    <row r="170" spans="1:26">
      <c r="A170" s="6" t="s">
        <v>173</v>
      </c>
      <c r="B170" s="6" t="s">
        <v>548</v>
      </c>
      <c r="C170" t="s">
        <v>12</v>
      </c>
      <c r="D170" s="8">
        <v>5</v>
      </c>
      <c r="E170">
        <v>30</v>
      </c>
      <c r="G170" s="54">
        <v>0.1721</v>
      </c>
      <c r="H170" s="55" t="s">
        <v>469</v>
      </c>
      <c r="I170" s="55" t="s">
        <v>469</v>
      </c>
      <c r="J170" s="25">
        <v>42755</v>
      </c>
      <c r="K170" s="54">
        <v>3.8600000000000002E-2</v>
      </c>
      <c r="L170" s="55">
        <v>0</v>
      </c>
      <c r="M170" s="55">
        <v>0</v>
      </c>
      <c r="O170" s="104">
        <f t="shared" si="12"/>
        <v>0.13350000000000001</v>
      </c>
      <c r="P170" s="104" t="e">
        <f t="shared" si="12"/>
        <v>#VALUE!</v>
      </c>
      <c r="Q170" s="104" t="e">
        <f t="shared" si="12"/>
        <v>#VALUE!</v>
      </c>
      <c r="R170" s="104">
        <f t="shared" si="13"/>
        <v>345.85492227979273</v>
      </c>
      <c r="S170" s="104">
        <f t="shared" si="13"/>
        <v>0</v>
      </c>
      <c r="T170" s="104">
        <f t="shared" si="13"/>
        <v>0</v>
      </c>
      <c r="V170">
        <f>K170/'Soil samples'!AK170*1000</f>
        <v>1.0025854284689935</v>
      </c>
      <c r="W170">
        <f>L170/'Soil samples'!AK170*1000</f>
        <v>0</v>
      </c>
      <c r="X170" s="3">
        <f>M170/'Soil samples'!AK170*1000</f>
        <v>0</v>
      </c>
      <c r="Y170" s="31">
        <f t="shared" si="10"/>
        <v>3.8600000000000002E-2</v>
      </c>
      <c r="Z170" s="104">
        <f t="shared" si="11"/>
        <v>3.8600000000000002E-2</v>
      </c>
    </row>
    <row r="171" spans="1:26">
      <c r="A171" s="6" t="s">
        <v>174</v>
      </c>
      <c r="B171" s="6" t="s">
        <v>548</v>
      </c>
      <c r="C171" t="s">
        <v>12</v>
      </c>
      <c r="D171" s="8">
        <v>6</v>
      </c>
      <c r="E171">
        <v>5</v>
      </c>
      <c r="F171" t="s">
        <v>376</v>
      </c>
      <c r="G171" s="54">
        <v>6.5861000000000001</v>
      </c>
      <c r="H171" s="55">
        <v>0.56289999999999996</v>
      </c>
      <c r="I171" s="55" t="s">
        <v>469</v>
      </c>
      <c r="J171" s="25">
        <v>42822</v>
      </c>
      <c r="K171" s="54">
        <v>0.92079999999999995</v>
      </c>
      <c r="L171" s="55">
        <v>9.4700000000000006E-2</v>
      </c>
      <c r="M171" s="55">
        <v>0</v>
      </c>
      <c r="N171" s="25">
        <v>42825</v>
      </c>
      <c r="O171" s="104">
        <f t="shared" si="12"/>
        <v>5.6653000000000002</v>
      </c>
      <c r="P171" s="104">
        <f t="shared" si="12"/>
        <v>0.46819999999999995</v>
      </c>
      <c r="Q171" s="104" t="e">
        <f t="shared" si="12"/>
        <v>#VALUE!</v>
      </c>
      <c r="R171" s="104">
        <f t="shared" si="13"/>
        <v>615.25847089487411</v>
      </c>
      <c r="S171" s="104">
        <f t="shared" si="13"/>
        <v>494.403379091869</v>
      </c>
      <c r="T171" s="104">
        <f t="shared" si="13"/>
        <v>0</v>
      </c>
      <c r="V171">
        <f>K171/'Soil samples'!AK171*1000</f>
        <v>626.52993070689945</v>
      </c>
      <c r="W171">
        <f>L171/'Soil samples'!AK171*1000</f>
        <v>64.435691179347714</v>
      </c>
      <c r="X171" s="3">
        <f>M171/'Soil samples'!AK171*1000</f>
        <v>0</v>
      </c>
      <c r="Y171" s="31">
        <f t="shared" si="10"/>
        <v>1.0154999999999998</v>
      </c>
      <c r="Z171" s="104">
        <f t="shared" si="11"/>
        <v>1.0154999999999998</v>
      </c>
    </row>
    <row r="172" spans="1:26">
      <c r="A172" s="6" t="s">
        <v>175</v>
      </c>
      <c r="B172" s="6" t="s">
        <v>548</v>
      </c>
      <c r="C172" t="s">
        <v>12</v>
      </c>
      <c r="D172" s="8">
        <v>6</v>
      </c>
      <c r="E172">
        <v>10</v>
      </c>
      <c r="G172" s="54">
        <v>1.2828999999999999</v>
      </c>
      <c r="H172" s="55">
        <v>0.22059999999999999</v>
      </c>
      <c r="I172" s="55" t="s">
        <v>469</v>
      </c>
      <c r="J172" s="25">
        <v>42821</v>
      </c>
      <c r="K172" s="54">
        <v>0.1978</v>
      </c>
      <c r="L172" s="55">
        <v>3.5200000000000002E-2</v>
      </c>
      <c r="M172" s="55">
        <v>0</v>
      </c>
      <c r="N172" s="25">
        <v>42823</v>
      </c>
      <c r="O172" s="104">
        <f t="shared" si="12"/>
        <v>1.0851</v>
      </c>
      <c r="P172" s="104">
        <f t="shared" si="12"/>
        <v>0.18539999999999998</v>
      </c>
      <c r="Q172" s="104" t="e">
        <f t="shared" si="12"/>
        <v>#VALUE!</v>
      </c>
      <c r="R172" s="104">
        <f t="shared" si="13"/>
        <v>548.58442871587454</v>
      </c>
      <c r="S172" s="104">
        <f t="shared" si="13"/>
        <v>526.70454545454538</v>
      </c>
      <c r="T172" s="104">
        <f t="shared" si="13"/>
        <v>0</v>
      </c>
      <c r="V172">
        <f>K172/'Soil samples'!AK172*1000</f>
        <v>10.976310171120794</v>
      </c>
      <c r="W172">
        <f>L172/'Soil samples'!AK172*1000</f>
        <v>1.9533170779749849</v>
      </c>
      <c r="X172" s="3">
        <f>M172/'Soil samples'!AK172*1000</f>
        <v>0</v>
      </c>
      <c r="Y172" s="31">
        <f t="shared" si="10"/>
        <v>0.23300000000000001</v>
      </c>
      <c r="Z172" s="104">
        <f t="shared" si="11"/>
        <v>0.23300000000000001</v>
      </c>
    </row>
    <row r="173" spans="1:26">
      <c r="A173" s="6" t="s">
        <v>176</v>
      </c>
      <c r="B173" s="6" t="s">
        <v>548</v>
      </c>
      <c r="C173" t="s">
        <v>12</v>
      </c>
      <c r="D173" s="8">
        <v>6</v>
      </c>
      <c r="E173">
        <v>20</v>
      </c>
      <c r="G173" s="54">
        <v>0.5333</v>
      </c>
      <c r="H173" s="55">
        <v>8.6199999999999999E-2</v>
      </c>
      <c r="I173" s="55" t="s">
        <v>469</v>
      </c>
      <c r="J173" s="25">
        <v>42821</v>
      </c>
      <c r="K173" s="54">
        <v>9.8299999999999998E-2</v>
      </c>
      <c r="L173" s="55">
        <v>2.1000000000000001E-2</v>
      </c>
      <c r="M173" s="55">
        <v>0</v>
      </c>
      <c r="N173" s="25">
        <v>42823</v>
      </c>
      <c r="O173" s="104">
        <f t="shared" si="12"/>
        <v>0.435</v>
      </c>
      <c r="P173" s="104">
        <f t="shared" si="12"/>
        <v>6.5199999999999994E-2</v>
      </c>
      <c r="Q173" s="104" t="e">
        <f t="shared" si="12"/>
        <v>#VALUE!</v>
      </c>
      <c r="R173" s="104">
        <f t="shared" si="13"/>
        <v>442.52288911495424</v>
      </c>
      <c r="S173" s="104">
        <f t="shared" si="13"/>
        <v>310.47619047619042</v>
      </c>
      <c r="T173" s="104">
        <f t="shared" si="13"/>
        <v>0</v>
      </c>
      <c r="V173">
        <f>K173/'Soil samples'!AK173*1000</f>
        <v>2.7480388922212864</v>
      </c>
      <c r="W173">
        <f>L173/'Soil samples'!AK173*1000</f>
        <v>0.58706832895876937</v>
      </c>
      <c r="X173" s="3">
        <f>M173/'Soil samples'!AK173*1000</f>
        <v>0</v>
      </c>
      <c r="Y173" s="31">
        <f t="shared" si="10"/>
        <v>0.1193</v>
      </c>
      <c r="Z173" s="104">
        <f t="shared" si="11"/>
        <v>0.1193</v>
      </c>
    </row>
    <row r="174" spans="1:26">
      <c r="A174" s="6" t="s">
        <v>177</v>
      </c>
      <c r="B174" s="6" t="s">
        <v>548</v>
      </c>
      <c r="C174" t="s">
        <v>12</v>
      </c>
      <c r="D174" s="8">
        <v>6</v>
      </c>
      <c r="E174">
        <v>30</v>
      </c>
      <c r="G174" s="54">
        <v>0.18640000000000001</v>
      </c>
      <c r="H174" s="55" t="s">
        <v>469</v>
      </c>
      <c r="I174" s="55" t="s">
        <v>469</v>
      </c>
      <c r="J174" s="25">
        <v>42821</v>
      </c>
      <c r="K174" s="54">
        <v>3.9100000000000003E-2</v>
      </c>
      <c r="L174" s="55">
        <v>0</v>
      </c>
      <c r="M174" s="55">
        <v>0</v>
      </c>
      <c r="N174" s="25">
        <v>42823</v>
      </c>
      <c r="O174" s="104">
        <f t="shared" si="12"/>
        <v>0.14730000000000001</v>
      </c>
      <c r="P174" s="104" t="e">
        <f t="shared" si="12"/>
        <v>#VALUE!</v>
      </c>
      <c r="Q174" s="104" t="e">
        <f t="shared" si="12"/>
        <v>#VALUE!</v>
      </c>
      <c r="R174" s="104">
        <f t="shared" si="13"/>
        <v>376.72634271099741</v>
      </c>
      <c r="S174" s="104">
        <f t="shared" si="13"/>
        <v>0</v>
      </c>
      <c r="T174" s="104">
        <f t="shared" si="13"/>
        <v>0</v>
      </c>
      <c r="V174">
        <f>K174/'Soil samples'!AK174*1000</f>
        <v>0.99185092581499479</v>
      </c>
      <c r="W174">
        <f>L174/'Soil samples'!AK174*1000</f>
        <v>0</v>
      </c>
      <c r="X174" s="3">
        <f>M174/'Soil samples'!AK174*1000</f>
        <v>0</v>
      </c>
      <c r="Y174" s="31">
        <f t="shared" si="10"/>
        <v>3.9100000000000003E-2</v>
      </c>
      <c r="Z174" s="104">
        <f t="shared" si="11"/>
        <v>3.9100000000000003E-2</v>
      </c>
    </row>
    <row r="175" spans="1:26">
      <c r="A175" s="6" t="s">
        <v>178</v>
      </c>
      <c r="B175" s="6" t="s">
        <v>548</v>
      </c>
      <c r="C175" t="s">
        <v>13</v>
      </c>
      <c r="D175" s="8">
        <v>1</v>
      </c>
      <c r="E175">
        <v>5</v>
      </c>
      <c r="G175" s="54">
        <v>1.2184999999999999</v>
      </c>
      <c r="H175" s="55">
        <v>0.67779999999999996</v>
      </c>
      <c r="I175" s="55" t="s">
        <v>469</v>
      </c>
      <c r="J175" s="25">
        <v>42777</v>
      </c>
      <c r="K175" s="54">
        <v>0.33910000000000001</v>
      </c>
      <c r="L175" s="100">
        <v>0.24840000000000001</v>
      </c>
      <c r="M175" s="55">
        <v>0</v>
      </c>
      <c r="N175" s="25">
        <v>42780</v>
      </c>
      <c r="O175" s="104">
        <f t="shared" si="12"/>
        <v>0.87939999999999996</v>
      </c>
      <c r="P175" s="104">
        <f t="shared" si="12"/>
        <v>0.42939999999999995</v>
      </c>
      <c r="Q175" s="104" t="e">
        <f t="shared" si="12"/>
        <v>#VALUE!</v>
      </c>
      <c r="R175" s="104">
        <f t="shared" si="13"/>
        <v>259.33352993217341</v>
      </c>
      <c r="S175" s="104">
        <f t="shared" si="13"/>
        <v>172.86634460547501</v>
      </c>
      <c r="T175" s="104">
        <f t="shared" si="13"/>
        <v>0</v>
      </c>
      <c r="V175">
        <f>K175/'Soil samples'!AK175*1000</f>
        <v>35.921687419201639</v>
      </c>
      <c r="W175">
        <f>L175/'Soil samples'!AK175*1000</f>
        <v>26.313615909553782</v>
      </c>
      <c r="X175" s="3">
        <f>M175/'Soil samples'!AK175*1000</f>
        <v>0</v>
      </c>
      <c r="Y175" s="31">
        <f t="shared" si="10"/>
        <v>0.58750000000000002</v>
      </c>
      <c r="Z175" s="104">
        <f t="shared" si="11"/>
        <v>0.58750000000000002</v>
      </c>
    </row>
    <row r="176" spans="1:26">
      <c r="A176" s="6" t="s">
        <v>179</v>
      </c>
      <c r="B176" s="6" t="s">
        <v>548</v>
      </c>
      <c r="C176" t="s">
        <v>13</v>
      </c>
      <c r="D176" s="8">
        <v>1</v>
      </c>
      <c r="E176">
        <v>10</v>
      </c>
      <c r="G176" s="54">
        <v>0.66679999999999995</v>
      </c>
      <c r="H176" s="55">
        <v>0.2268</v>
      </c>
      <c r="I176" s="55" t="s">
        <v>469</v>
      </c>
      <c r="J176" s="25">
        <v>42777</v>
      </c>
      <c r="K176" s="54">
        <v>0.19500000000000001</v>
      </c>
      <c r="L176" s="100">
        <v>6.6699999999999995E-2</v>
      </c>
      <c r="M176" s="55">
        <v>0</v>
      </c>
      <c r="N176" s="25">
        <v>42780</v>
      </c>
      <c r="O176" s="104">
        <f t="shared" si="12"/>
        <v>0.47179999999999994</v>
      </c>
      <c r="P176" s="104">
        <f t="shared" si="12"/>
        <v>0.16010000000000002</v>
      </c>
      <c r="Q176" s="104" t="e">
        <f t="shared" si="12"/>
        <v>#VALUE!</v>
      </c>
      <c r="R176" s="104">
        <f t="shared" si="13"/>
        <v>241.9487179487179</v>
      </c>
      <c r="S176" s="104">
        <f t="shared" si="13"/>
        <v>240.02998500749629</v>
      </c>
      <c r="T176" s="104">
        <f t="shared" si="13"/>
        <v>0</v>
      </c>
      <c r="V176">
        <f>K176/'Soil samples'!AK176*1000</f>
        <v>6.8206764147180996</v>
      </c>
      <c r="W176">
        <f>L176/'Soil samples'!AK176*1000</f>
        <v>2.3330211121112674</v>
      </c>
      <c r="X176" s="3">
        <f>M176/'Soil samples'!AK176*1000</f>
        <v>0</v>
      </c>
      <c r="Y176" s="31">
        <f t="shared" si="10"/>
        <v>0.26169999999999999</v>
      </c>
      <c r="Z176" s="104">
        <f t="shared" si="11"/>
        <v>0.26169999999999999</v>
      </c>
    </row>
    <row r="177" spans="1:26">
      <c r="A177" s="6" t="s">
        <v>180</v>
      </c>
      <c r="B177" s="6" t="s">
        <v>548</v>
      </c>
      <c r="C177" t="s">
        <v>13</v>
      </c>
      <c r="D177" s="8">
        <v>1</v>
      </c>
      <c r="E177">
        <v>20</v>
      </c>
      <c r="G177" s="54">
        <v>2.7E-2</v>
      </c>
      <c r="H177" s="55">
        <v>9.69E-2</v>
      </c>
      <c r="I177" s="55" t="s">
        <v>469</v>
      </c>
      <c r="J177" s="25">
        <v>42777</v>
      </c>
      <c r="K177" s="54">
        <v>7.7000000000000002E-3</v>
      </c>
      <c r="L177" s="100">
        <v>2.41E-2</v>
      </c>
      <c r="M177" s="55">
        <v>0</v>
      </c>
      <c r="N177" s="25">
        <v>42780</v>
      </c>
      <c r="O177" s="104">
        <f t="shared" si="12"/>
        <v>1.9299999999999998E-2</v>
      </c>
      <c r="P177" s="104">
        <f t="shared" si="12"/>
        <v>7.2800000000000004E-2</v>
      </c>
      <c r="Q177" s="104" t="e">
        <f t="shared" si="12"/>
        <v>#VALUE!</v>
      </c>
      <c r="R177" s="104">
        <f t="shared" si="13"/>
        <v>250.64935064935062</v>
      </c>
      <c r="S177" s="104">
        <f t="shared" si="13"/>
        <v>302.07468879668056</v>
      </c>
      <c r="T177" s="104">
        <f t="shared" si="13"/>
        <v>0</v>
      </c>
      <c r="V177">
        <f>K177/'Soil samples'!AK177*1000</f>
        <v>0.23906582661853168</v>
      </c>
      <c r="W177">
        <f>L177/'Soil samples'!AK177*1000</f>
        <v>0.7482449898060537</v>
      </c>
      <c r="X177" s="3">
        <f>M177/'Soil samples'!AK177*1000</f>
        <v>0</v>
      </c>
      <c r="Y177" s="31">
        <f t="shared" si="10"/>
        <v>3.1800000000000002E-2</v>
      </c>
      <c r="Z177" s="104">
        <f t="shared" si="11"/>
        <v>3.1800000000000002E-2</v>
      </c>
    </row>
    <row r="178" spans="1:26">
      <c r="A178" s="6" t="s">
        <v>181</v>
      </c>
      <c r="B178" s="6" t="s">
        <v>548</v>
      </c>
      <c r="C178" t="s">
        <v>13</v>
      </c>
      <c r="D178" s="8">
        <v>2</v>
      </c>
      <c r="E178">
        <v>5</v>
      </c>
      <c r="G178" s="54">
        <v>3.2006999999999999</v>
      </c>
      <c r="H178" s="55">
        <v>0.496</v>
      </c>
      <c r="I178" s="55" t="s">
        <v>469</v>
      </c>
      <c r="J178" s="25">
        <v>42767</v>
      </c>
      <c r="K178" s="54">
        <v>0.63580000000000003</v>
      </c>
      <c r="L178" s="100">
        <v>0.15029999999999999</v>
      </c>
      <c r="M178" s="55">
        <v>0</v>
      </c>
      <c r="N178" s="25">
        <v>42769</v>
      </c>
      <c r="O178" s="104">
        <f t="shared" si="12"/>
        <v>2.5648999999999997</v>
      </c>
      <c r="P178" s="104">
        <f t="shared" si="12"/>
        <v>0.34570000000000001</v>
      </c>
      <c r="Q178" s="104" t="e">
        <f t="shared" si="12"/>
        <v>#VALUE!</v>
      </c>
      <c r="R178" s="104">
        <f t="shared" si="13"/>
        <v>403.41302296319589</v>
      </c>
      <c r="S178" s="104">
        <f t="shared" si="13"/>
        <v>230.0066533599468</v>
      </c>
      <c r="T178" s="104">
        <f t="shared" si="13"/>
        <v>0</v>
      </c>
      <c r="V178">
        <f>K178/'Soil samples'!AK178*1000</f>
        <v>40.838206657949272</v>
      </c>
      <c r="W178">
        <f>L178/'Soil samples'!AK178*1000</f>
        <v>9.653951652547617</v>
      </c>
      <c r="X178" s="3">
        <f>M178/'Soil samples'!AK178*1000</f>
        <v>0</v>
      </c>
      <c r="Y178" s="31">
        <f t="shared" si="10"/>
        <v>0.78610000000000002</v>
      </c>
      <c r="Z178" s="104">
        <f t="shared" si="11"/>
        <v>0.78610000000000002</v>
      </c>
    </row>
    <row r="179" spans="1:26">
      <c r="A179" s="6" t="s">
        <v>182</v>
      </c>
      <c r="B179" s="6" t="s">
        <v>548</v>
      </c>
      <c r="C179" t="s">
        <v>13</v>
      </c>
      <c r="D179" s="8">
        <v>2</v>
      </c>
      <c r="E179">
        <v>10</v>
      </c>
      <c r="G179" s="54">
        <v>1.9241999999999999</v>
      </c>
      <c r="H179" s="55">
        <v>0.51300000000000001</v>
      </c>
      <c r="I179" s="55" t="s">
        <v>469</v>
      </c>
      <c r="J179" s="25">
        <v>42767</v>
      </c>
      <c r="K179" s="54">
        <v>0.39879999999999999</v>
      </c>
      <c r="L179" s="100">
        <v>0.15090000000000001</v>
      </c>
      <c r="M179" s="55">
        <v>0</v>
      </c>
      <c r="N179" s="25">
        <v>42769</v>
      </c>
      <c r="O179" s="104">
        <f t="shared" si="12"/>
        <v>1.5253999999999999</v>
      </c>
      <c r="P179" s="104">
        <f t="shared" si="12"/>
        <v>0.36209999999999998</v>
      </c>
      <c r="Q179" s="104" t="e">
        <f t="shared" si="12"/>
        <v>#VALUE!</v>
      </c>
      <c r="R179" s="104">
        <f t="shared" si="13"/>
        <v>382.49749247743227</v>
      </c>
      <c r="S179" s="104">
        <f t="shared" si="13"/>
        <v>239.96023856858844</v>
      </c>
      <c r="T179" s="104">
        <f t="shared" si="13"/>
        <v>0</v>
      </c>
      <c r="V179">
        <f>K179/'Soil samples'!AK179*1000</f>
        <v>19.790630623452738</v>
      </c>
      <c r="W179">
        <f>L179/'Soil samples'!AK179*1000</f>
        <v>7.4884808452332452</v>
      </c>
      <c r="X179" s="3">
        <f>M179/'Soil samples'!AK179*1000</f>
        <v>0</v>
      </c>
      <c r="Y179" s="31">
        <f t="shared" si="10"/>
        <v>0.54969999999999997</v>
      </c>
      <c r="Z179" s="104">
        <f t="shared" si="11"/>
        <v>0.54969999999999997</v>
      </c>
    </row>
    <row r="180" spans="1:26">
      <c r="A180" s="6" t="s">
        <v>183</v>
      </c>
      <c r="B180" s="6" t="s">
        <v>548</v>
      </c>
      <c r="C180" t="s">
        <v>13</v>
      </c>
      <c r="D180" s="8">
        <v>2</v>
      </c>
      <c r="E180">
        <v>20</v>
      </c>
      <c r="G180" s="54">
        <v>1.5159</v>
      </c>
      <c r="H180" s="55">
        <v>0.31950000000000001</v>
      </c>
      <c r="I180" s="55" t="s">
        <v>469</v>
      </c>
      <c r="J180" s="25">
        <v>42767</v>
      </c>
      <c r="K180" s="54">
        <v>0.3372</v>
      </c>
      <c r="L180" s="100">
        <v>9.4600000000000004E-2</v>
      </c>
      <c r="M180" s="55">
        <v>0</v>
      </c>
      <c r="N180" s="25">
        <v>42769</v>
      </c>
      <c r="O180" s="104">
        <f t="shared" si="12"/>
        <v>1.1787000000000001</v>
      </c>
      <c r="P180" s="104">
        <f t="shared" si="12"/>
        <v>0.22489999999999999</v>
      </c>
      <c r="Q180" s="104" t="e">
        <f t="shared" si="12"/>
        <v>#VALUE!</v>
      </c>
      <c r="R180" s="104">
        <f t="shared" si="13"/>
        <v>349.55516014234877</v>
      </c>
      <c r="S180" s="104">
        <f t="shared" si="13"/>
        <v>237.73784355179703</v>
      </c>
      <c r="T180" s="104">
        <f t="shared" si="13"/>
        <v>0</v>
      </c>
      <c r="V180">
        <f>K180/'Soil samples'!AK180*1000</f>
        <v>11.992073715223237</v>
      </c>
      <c r="W180">
        <f>L180/'Soil samples'!AK180*1000</f>
        <v>3.3643243578295325</v>
      </c>
      <c r="X180" s="3">
        <f>M180/'Soil samples'!AK180*1000</f>
        <v>0</v>
      </c>
      <c r="Y180" s="31">
        <f t="shared" si="10"/>
        <v>0.43180000000000002</v>
      </c>
      <c r="Z180" s="104">
        <f t="shared" si="11"/>
        <v>0.43180000000000002</v>
      </c>
    </row>
    <row r="181" spans="1:26">
      <c r="A181" s="6" t="s">
        <v>184</v>
      </c>
      <c r="B181" s="6" t="s">
        <v>548</v>
      </c>
      <c r="C181" t="s">
        <v>13</v>
      </c>
      <c r="D181" s="8">
        <v>3</v>
      </c>
      <c r="E181">
        <v>5</v>
      </c>
      <c r="G181" s="54">
        <v>0.3821</v>
      </c>
      <c r="H181" s="55">
        <v>0.19570000000000001</v>
      </c>
      <c r="I181" s="55" t="s">
        <v>469</v>
      </c>
      <c r="J181" s="25">
        <v>42819</v>
      </c>
      <c r="K181" s="54">
        <v>0.14030000000000001</v>
      </c>
      <c r="L181" s="55">
        <v>9.4600000000000004E-2</v>
      </c>
      <c r="M181" s="55">
        <v>0</v>
      </c>
      <c r="N181" s="25">
        <v>42823</v>
      </c>
      <c r="O181" s="104">
        <f t="shared" si="12"/>
        <v>0.24179999999999999</v>
      </c>
      <c r="P181" s="104">
        <f t="shared" si="12"/>
        <v>0.10110000000000001</v>
      </c>
      <c r="Q181" s="104" t="e">
        <f t="shared" si="12"/>
        <v>#VALUE!</v>
      </c>
      <c r="R181" s="104">
        <f t="shared" si="13"/>
        <v>172.34497505345686</v>
      </c>
      <c r="S181" s="104">
        <f t="shared" si="13"/>
        <v>106.87103594080338</v>
      </c>
      <c r="T181" s="104">
        <f t="shared" si="13"/>
        <v>0</v>
      </c>
      <c r="V181">
        <f>K181/'Soil samples'!AK181*1000</f>
        <v>8.4063976394586639</v>
      </c>
      <c r="W181">
        <f>L181/'Soil samples'!AK181*1000</f>
        <v>5.6681768830562334</v>
      </c>
      <c r="X181" s="3">
        <f>M181/'Soil samples'!AK181*1000</f>
        <v>0</v>
      </c>
      <c r="Y181" s="31">
        <f t="shared" si="10"/>
        <v>0.2349</v>
      </c>
      <c r="Z181" s="104">
        <f t="shared" si="11"/>
        <v>0.2349</v>
      </c>
    </row>
    <row r="182" spans="1:26">
      <c r="A182" s="6" t="s">
        <v>185</v>
      </c>
      <c r="B182" s="6" t="s">
        <v>548</v>
      </c>
      <c r="C182" t="s">
        <v>13</v>
      </c>
      <c r="D182" s="8">
        <v>4</v>
      </c>
      <c r="E182">
        <v>5</v>
      </c>
      <c r="G182" s="54">
        <v>1.1160000000000001</v>
      </c>
      <c r="H182" s="55">
        <v>0.48609999999999998</v>
      </c>
      <c r="I182" s="55" t="s">
        <v>469</v>
      </c>
      <c r="J182" s="25">
        <v>42819</v>
      </c>
      <c r="K182" s="54">
        <v>0.2858</v>
      </c>
      <c r="L182" s="55">
        <v>0.19109999999999999</v>
      </c>
      <c r="M182" s="55">
        <v>0</v>
      </c>
      <c r="N182" s="25">
        <v>42823</v>
      </c>
      <c r="O182" s="104">
        <f t="shared" si="12"/>
        <v>0.83020000000000005</v>
      </c>
      <c r="P182" s="104">
        <f t="shared" si="12"/>
        <v>0.29499999999999998</v>
      </c>
      <c r="Q182" s="104" t="e">
        <f t="shared" si="12"/>
        <v>#VALUE!</v>
      </c>
      <c r="R182" s="104">
        <f t="shared" si="13"/>
        <v>290.48285514345696</v>
      </c>
      <c r="S182" s="104">
        <f t="shared" si="13"/>
        <v>154.36944008372581</v>
      </c>
      <c r="T182" s="104">
        <f t="shared" si="13"/>
        <v>0</v>
      </c>
      <c r="V182">
        <f>K182/'Soil samples'!AK182*1000</f>
        <v>45.171611665015824</v>
      </c>
      <c r="W182">
        <f>L182/'Soil samples'!AK182*1000</f>
        <v>30.203971270764605</v>
      </c>
      <c r="X182" s="3">
        <f>M182/'Soil samples'!AK182*1000</f>
        <v>0</v>
      </c>
      <c r="Y182" s="31">
        <f t="shared" si="10"/>
        <v>0.47689999999999999</v>
      </c>
      <c r="Z182" s="104">
        <f t="shared" si="11"/>
        <v>0.47689999999999999</v>
      </c>
    </row>
    <row r="183" spans="1:26">
      <c r="A183" s="6" t="s">
        <v>186</v>
      </c>
      <c r="B183" s="6" t="s">
        <v>548</v>
      </c>
      <c r="C183" t="s">
        <v>13</v>
      </c>
      <c r="D183" s="8">
        <v>4</v>
      </c>
      <c r="E183">
        <v>10</v>
      </c>
      <c r="G183" s="54">
        <v>0.2024</v>
      </c>
      <c r="H183" s="55">
        <v>0.1033</v>
      </c>
      <c r="I183" s="55" t="s">
        <v>469</v>
      </c>
      <c r="J183" s="25">
        <v>42819</v>
      </c>
      <c r="K183" s="54">
        <v>7.5200000000000003E-2</v>
      </c>
      <c r="L183" s="55">
        <v>4.8000000000000001E-2</v>
      </c>
      <c r="M183" s="55">
        <v>0</v>
      </c>
      <c r="N183" s="25">
        <v>42823</v>
      </c>
      <c r="O183" s="104">
        <f t="shared" si="12"/>
        <v>0.12719999999999998</v>
      </c>
      <c r="P183" s="104">
        <f t="shared" si="12"/>
        <v>5.5300000000000002E-2</v>
      </c>
      <c r="Q183" s="104" t="e">
        <f t="shared" si="12"/>
        <v>#VALUE!</v>
      </c>
      <c r="R183" s="104">
        <f t="shared" si="13"/>
        <v>169.14893617021275</v>
      </c>
      <c r="S183" s="104">
        <f t="shared" si="13"/>
        <v>115.20833333333333</v>
      </c>
      <c r="T183" s="104">
        <f t="shared" si="13"/>
        <v>0</v>
      </c>
      <c r="V183">
        <f>K183/'Soil samples'!AK183*1000</f>
        <v>6.2179214469875532</v>
      </c>
      <c r="W183">
        <f>L183/'Soil samples'!AK183*1000</f>
        <v>3.9688860299920554</v>
      </c>
      <c r="X183" s="3">
        <f>M183/'Soil samples'!AK183*1000</f>
        <v>0</v>
      </c>
      <c r="Y183" s="31">
        <f t="shared" si="10"/>
        <v>0.1232</v>
      </c>
      <c r="Z183" s="104">
        <f t="shared" si="11"/>
        <v>0.1232</v>
      </c>
    </row>
    <row r="184" spans="1:26">
      <c r="A184" s="6" t="s">
        <v>187</v>
      </c>
      <c r="B184" s="6" t="s">
        <v>548</v>
      </c>
      <c r="C184" t="s">
        <v>13</v>
      </c>
      <c r="D184" s="8">
        <v>4</v>
      </c>
      <c r="E184">
        <v>20</v>
      </c>
      <c r="G184" s="54">
        <v>0.24679999999999999</v>
      </c>
      <c r="H184" s="55">
        <v>4.0300000000000002E-2</v>
      </c>
      <c r="I184" s="55" t="s">
        <v>469</v>
      </c>
      <c r="J184" s="25">
        <v>42819</v>
      </c>
      <c r="K184" s="54">
        <v>7.5700000000000003E-2</v>
      </c>
      <c r="L184" s="55">
        <v>1.7600000000000001E-2</v>
      </c>
      <c r="M184" s="55">
        <v>0</v>
      </c>
      <c r="N184" s="25">
        <v>42823</v>
      </c>
      <c r="O184" s="104">
        <f t="shared" si="12"/>
        <v>0.17109999999999997</v>
      </c>
      <c r="P184" s="104">
        <f t="shared" si="12"/>
        <v>2.2700000000000001E-2</v>
      </c>
      <c r="Q184" s="104" t="e">
        <f t="shared" si="12"/>
        <v>#VALUE!</v>
      </c>
      <c r="R184" s="104">
        <f t="shared" si="13"/>
        <v>226.02377807133416</v>
      </c>
      <c r="S184" s="104">
        <f t="shared" si="13"/>
        <v>128.97727272727272</v>
      </c>
      <c r="T184" s="104">
        <f t="shared" si="13"/>
        <v>0</v>
      </c>
      <c r="V184">
        <f>K184/'Soil samples'!AK184*1000</f>
        <v>2.9061092921483263</v>
      </c>
      <c r="W184">
        <f>L184/'Soil samples'!AK184*1000</f>
        <v>0.67566081296975622</v>
      </c>
      <c r="X184" s="3">
        <f>M184/'Soil samples'!AK184*1000</f>
        <v>0</v>
      </c>
      <c r="Y184" s="31">
        <f t="shared" si="10"/>
        <v>9.3300000000000008E-2</v>
      </c>
      <c r="Z184" s="104">
        <f t="shared" si="11"/>
        <v>9.3300000000000008E-2</v>
      </c>
    </row>
    <row r="185" spans="1:26">
      <c r="A185" s="6" t="s">
        <v>188</v>
      </c>
      <c r="B185" s="6" t="s">
        <v>548</v>
      </c>
      <c r="C185" t="s">
        <v>13</v>
      </c>
      <c r="D185" s="8">
        <v>5</v>
      </c>
      <c r="E185">
        <v>5</v>
      </c>
      <c r="G185" s="54">
        <v>2.1667999999999998</v>
      </c>
      <c r="H185" s="55">
        <v>1.0199</v>
      </c>
      <c r="I185" s="55" t="s">
        <v>469</v>
      </c>
      <c r="J185" s="25">
        <v>42791</v>
      </c>
      <c r="K185" s="54">
        <v>0.4022</v>
      </c>
      <c r="L185" s="100">
        <v>0.31759999999999999</v>
      </c>
      <c r="M185" s="55">
        <v>0</v>
      </c>
      <c r="N185" s="25">
        <v>42794</v>
      </c>
      <c r="O185" s="104">
        <f t="shared" si="12"/>
        <v>1.7645999999999997</v>
      </c>
      <c r="P185" s="104">
        <f t="shared" si="12"/>
        <v>0.70230000000000004</v>
      </c>
      <c r="Q185" s="104" t="e">
        <f t="shared" si="12"/>
        <v>#VALUE!</v>
      </c>
      <c r="R185" s="104">
        <f t="shared" si="13"/>
        <v>438.73694679264037</v>
      </c>
      <c r="S185" s="104">
        <f t="shared" si="13"/>
        <v>221.12720403022669</v>
      </c>
      <c r="T185" s="104">
        <f t="shared" si="13"/>
        <v>0</v>
      </c>
      <c r="V185">
        <f>K185/'Soil samples'!AK185*1000</f>
        <v>40.380941271977946</v>
      </c>
      <c r="W185">
        <f>L185/'Soil samples'!AK185*1000</f>
        <v>31.887088383839369</v>
      </c>
      <c r="X185" s="3">
        <f>M185/'Soil samples'!AK185*1000</f>
        <v>0</v>
      </c>
      <c r="Y185" s="31">
        <f t="shared" si="10"/>
        <v>0.7198</v>
      </c>
      <c r="Z185" s="104">
        <f t="shared" si="11"/>
        <v>0.7198</v>
      </c>
    </row>
    <row r="186" spans="1:26">
      <c r="A186" s="6" t="s">
        <v>189</v>
      </c>
      <c r="B186" s="6" t="s">
        <v>548</v>
      </c>
      <c r="C186" t="s">
        <v>13</v>
      </c>
      <c r="D186" s="8">
        <v>5</v>
      </c>
      <c r="E186">
        <v>10</v>
      </c>
      <c r="G186" s="54">
        <v>1.0712999999999999</v>
      </c>
      <c r="H186" s="55">
        <v>0.27779999999999999</v>
      </c>
      <c r="I186" s="55" t="s">
        <v>469</v>
      </c>
      <c r="J186" s="25">
        <v>42791</v>
      </c>
      <c r="K186" s="54">
        <v>0.24299999999999999</v>
      </c>
      <c r="L186" s="100">
        <v>9.5600000000000004E-2</v>
      </c>
      <c r="M186" s="55">
        <v>0</v>
      </c>
      <c r="N186" s="25">
        <v>42794</v>
      </c>
      <c r="O186" s="104">
        <f t="shared" si="12"/>
        <v>0.82829999999999993</v>
      </c>
      <c r="P186" s="104">
        <f t="shared" si="12"/>
        <v>0.18219999999999997</v>
      </c>
      <c r="Q186" s="104" t="e">
        <f t="shared" si="12"/>
        <v>#VALUE!</v>
      </c>
      <c r="R186" s="104">
        <f t="shared" si="13"/>
        <v>340.86419753086415</v>
      </c>
      <c r="S186" s="104">
        <f t="shared" si="13"/>
        <v>190.58577405857739</v>
      </c>
      <c r="T186" s="104">
        <f t="shared" si="13"/>
        <v>0</v>
      </c>
      <c r="V186">
        <f>K186/'Soil samples'!AK186*1000</f>
        <v>13.318586680148011</v>
      </c>
      <c r="W186">
        <f>L186/'Soil samples'!AK186*1000</f>
        <v>5.2397402741652259</v>
      </c>
      <c r="X186" s="3">
        <f>M186/'Soil samples'!AK186*1000</f>
        <v>0</v>
      </c>
      <c r="Y186" s="31">
        <f t="shared" si="10"/>
        <v>0.33860000000000001</v>
      </c>
      <c r="Z186" s="104">
        <f t="shared" si="11"/>
        <v>0.33860000000000001</v>
      </c>
    </row>
    <row r="187" spans="1:26">
      <c r="A187" s="6" t="s">
        <v>190</v>
      </c>
      <c r="B187" s="6" t="s">
        <v>548</v>
      </c>
      <c r="C187" t="s">
        <v>13</v>
      </c>
      <c r="D187" s="8">
        <v>5</v>
      </c>
      <c r="E187">
        <v>20</v>
      </c>
      <c r="G187" s="54">
        <v>0.68730000000000002</v>
      </c>
      <c r="H187" s="55">
        <v>0.1031</v>
      </c>
      <c r="I187" s="55" t="s">
        <v>469</v>
      </c>
      <c r="J187" s="25">
        <v>42791</v>
      </c>
      <c r="K187" s="54">
        <v>0.1089</v>
      </c>
      <c r="L187" s="100">
        <v>2.3099999999999999E-2</v>
      </c>
      <c r="M187" s="55">
        <v>0</v>
      </c>
      <c r="N187" s="25">
        <v>42794</v>
      </c>
      <c r="O187" s="104">
        <f t="shared" si="12"/>
        <v>0.57840000000000003</v>
      </c>
      <c r="P187" s="104">
        <f t="shared" si="12"/>
        <v>0.08</v>
      </c>
      <c r="Q187" s="104" t="e">
        <f t="shared" si="12"/>
        <v>#VALUE!</v>
      </c>
      <c r="R187" s="104">
        <f t="shared" si="13"/>
        <v>531.12947658402209</v>
      </c>
      <c r="S187" s="104">
        <f t="shared" si="13"/>
        <v>346.32034632034635</v>
      </c>
      <c r="T187" s="104">
        <f t="shared" si="13"/>
        <v>0</v>
      </c>
      <c r="V187">
        <f>K187/'Soil samples'!AK187*1000</f>
        <v>2.9943563113216114</v>
      </c>
      <c r="W187">
        <f>L187/'Soil samples'!AK187*1000</f>
        <v>0.63516649028034178</v>
      </c>
      <c r="X187" s="3">
        <f>M187/'Soil samples'!AK187*1000</f>
        <v>0</v>
      </c>
      <c r="Y187" s="31">
        <f t="shared" si="10"/>
        <v>0.13200000000000001</v>
      </c>
      <c r="Z187" s="104">
        <f t="shared" si="11"/>
        <v>0.13200000000000001</v>
      </c>
    </row>
    <row r="188" spans="1:26">
      <c r="A188" s="6" t="s">
        <v>191</v>
      </c>
      <c r="B188" s="6" t="s">
        <v>548</v>
      </c>
      <c r="C188" t="s">
        <v>13</v>
      </c>
      <c r="D188" s="8">
        <v>5</v>
      </c>
      <c r="E188">
        <v>30</v>
      </c>
      <c r="G188" s="54">
        <v>0.3367</v>
      </c>
      <c r="H188" s="55">
        <v>0.13170000000000001</v>
      </c>
      <c r="I188" s="55" t="s">
        <v>469</v>
      </c>
      <c r="J188" s="25">
        <v>42791</v>
      </c>
      <c r="K188" s="54">
        <v>4.2900000000000001E-2</v>
      </c>
      <c r="L188" s="100">
        <v>2.53E-2</v>
      </c>
      <c r="M188" s="55">
        <v>0</v>
      </c>
      <c r="N188" s="25">
        <v>42794</v>
      </c>
      <c r="O188" s="104">
        <f t="shared" si="12"/>
        <v>0.29380000000000001</v>
      </c>
      <c r="P188" s="104">
        <f t="shared" si="12"/>
        <v>0.10640000000000001</v>
      </c>
      <c r="Q188" s="104" t="e">
        <f t="shared" si="12"/>
        <v>#VALUE!</v>
      </c>
      <c r="R188" s="104">
        <f t="shared" si="13"/>
        <v>684.84848484848487</v>
      </c>
      <c r="S188" s="104">
        <f t="shared" si="13"/>
        <v>420.5533596837945</v>
      </c>
      <c r="T188" s="104">
        <f t="shared" si="13"/>
        <v>0</v>
      </c>
      <c r="V188">
        <f>K188/'Soil samples'!AK188*1000</f>
        <v>1.2209180374182718</v>
      </c>
      <c r="W188">
        <f>L188/'Soil samples'!AK188*1000</f>
        <v>0.72002858616974996</v>
      </c>
      <c r="X188" s="3">
        <f>M188/'Soil samples'!AK188*1000</f>
        <v>0</v>
      </c>
      <c r="Y188" s="31">
        <f t="shared" si="10"/>
        <v>6.8199999999999997E-2</v>
      </c>
      <c r="Z188" s="104">
        <f t="shared" si="11"/>
        <v>6.8199999999999997E-2</v>
      </c>
    </row>
    <row r="189" spans="1:26">
      <c r="A189" s="6" t="s">
        <v>192</v>
      </c>
      <c r="B189" s="6" t="s">
        <v>548</v>
      </c>
      <c r="C189" t="s">
        <v>13</v>
      </c>
      <c r="D189" s="8">
        <v>6</v>
      </c>
      <c r="E189">
        <v>5</v>
      </c>
      <c r="G189" s="54">
        <v>0.37319999999999998</v>
      </c>
      <c r="H189" s="55">
        <v>1.0092000000000001</v>
      </c>
      <c r="I189" s="55" t="s">
        <v>469</v>
      </c>
      <c r="J189" s="25">
        <v>42755</v>
      </c>
      <c r="K189" s="54">
        <v>0.13880000000000001</v>
      </c>
      <c r="L189" s="100">
        <v>0.33660000000000001</v>
      </c>
      <c r="M189" s="55">
        <v>0</v>
      </c>
      <c r="O189" s="104">
        <f t="shared" si="12"/>
        <v>0.23439999999999997</v>
      </c>
      <c r="P189" s="104">
        <f t="shared" si="12"/>
        <v>0.67260000000000009</v>
      </c>
      <c r="Q189" s="104" t="e">
        <f t="shared" si="12"/>
        <v>#VALUE!</v>
      </c>
      <c r="R189" s="104">
        <f t="shared" si="13"/>
        <v>168.87608069164261</v>
      </c>
      <c r="S189" s="104">
        <f t="shared" si="13"/>
        <v>199.82174688057043</v>
      </c>
      <c r="T189" s="104">
        <f t="shared" si="13"/>
        <v>0</v>
      </c>
      <c r="U189" t="s">
        <v>544</v>
      </c>
      <c r="V189">
        <f>K189/'Soil samples'!AK189*1000</f>
        <v>11.937019863842382</v>
      </c>
      <c r="W189">
        <f>L189/'Soil samples'!AK189*1000</f>
        <v>28.948133185658108</v>
      </c>
      <c r="X189" s="3">
        <f>M189/'Soil samples'!AK189*1000</f>
        <v>0</v>
      </c>
      <c r="Y189" s="31">
        <f t="shared" si="10"/>
        <v>0.47540000000000004</v>
      </c>
      <c r="Z189" s="104">
        <f t="shared" si="11"/>
        <v>0.47540000000000004</v>
      </c>
    </row>
    <row r="190" spans="1:26">
      <c r="A190" s="6" t="s">
        <v>193</v>
      </c>
      <c r="B190" s="6" t="s">
        <v>548</v>
      </c>
      <c r="C190" t="s">
        <v>13</v>
      </c>
      <c r="D190" s="8">
        <v>6</v>
      </c>
      <c r="E190">
        <v>10</v>
      </c>
      <c r="G190" s="54">
        <v>0.28160000000000002</v>
      </c>
      <c r="H190" s="55">
        <v>0.22509999999999999</v>
      </c>
      <c r="I190" s="55" t="s">
        <v>469</v>
      </c>
      <c r="J190" s="25">
        <v>42755</v>
      </c>
      <c r="K190" s="54">
        <v>7.5800000000000006E-2</v>
      </c>
      <c r="L190" s="100">
        <v>5.9900000000000002E-2</v>
      </c>
      <c r="M190" s="55">
        <v>0</v>
      </c>
      <c r="O190" s="104">
        <f t="shared" si="12"/>
        <v>0.20580000000000001</v>
      </c>
      <c r="P190" s="104">
        <f t="shared" si="12"/>
        <v>0.16519999999999999</v>
      </c>
      <c r="Q190" s="104" t="e">
        <f t="shared" si="12"/>
        <v>#VALUE!</v>
      </c>
      <c r="R190" s="104">
        <f t="shared" si="13"/>
        <v>271.50395778364117</v>
      </c>
      <c r="S190" s="104">
        <f t="shared" si="13"/>
        <v>275.79298831385637</v>
      </c>
      <c r="T190" s="104">
        <f t="shared" si="13"/>
        <v>0</v>
      </c>
      <c r="U190" t="s">
        <v>544</v>
      </c>
      <c r="V190">
        <f>K190/'Soil samples'!AK190*1000</f>
        <v>3.5630267731441192</v>
      </c>
      <c r="W190">
        <f>L190/'Soil samples'!AK190*1000</f>
        <v>2.8156372521284001</v>
      </c>
      <c r="X190" s="3">
        <f>M190/'Soil samples'!AK190*1000</f>
        <v>0</v>
      </c>
      <c r="Y190" s="31">
        <f t="shared" si="10"/>
        <v>0.13570000000000002</v>
      </c>
      <c r="Z190" s="104">
        <f t="shared" si="11"/>
        <v>0.13570000000000002</v>
      </c>
    </row>
    <row r="191" spans="1:26">
      <c r="A191" s="6" t="s">
        <v>194</v>
      </c>
      <c r="B191" s="6" t="s">
        <v>548</v>
      </c>
      <c r="C191" t="s">
        <v>13</v>
      </c>
      <c r="D191" s="8">
        <v>6</v>
      </c>
      <c r="E191">
        <v>20</v>
      </c>
      <c r="G191" s="54">
        <v>0.76449999999999996</v>
      </c>
      <c r="H191" s="55">
        <v>0.22989999999999999</v>
      </c>
      <c r="I191" s="55" t="s">
        <v>469</v>
      </c>
      <c r="J191" s="25">
        <v>42755</v>
      </c>
      <c r="K191" s="54">
        <v>0.122</v>
      </c>
      <c r="L191" s="100">
        <v>4.07E-2</v>
      </c>
      <c r="M191" s="55">
        <v>0</v>
      </c>
      <c r="O191" s="104">
        <f t="shared" si="12"/>
        <v>0.64249999999999996</v>
      </c>
      <c r="P191" s="104">
        <f t="shared" si="12"/>
        <v>0.18919999999999998</v>
      </c>
      <c r="Q191" s="104" t="e">
        <f t="shared" si="12"/>
        <v>#VALUE!</v>
      </c>
      <c r="R191" s="104">
        <f t="shared" si="13"/>
        <v>526.63934426229503</v>
      </c>
      <c r="S191" s="104">
        <f t="shared" si="13"/>
        <v>464.86486486486484</v>
      </c>
      <c r="T191" s="104">
        <f t="shared" si="13"/>
        <v>0</v>
      </c>
      <c r="V191">
        <f>K191/'Soil samples'!AK191*1000</f>
        <v>4.2958427869156388</v>
      </c>
      <c r="W191">
        <f>L191/'Soil samples'!AK191*1000</f>
        <v>1.4331213231759548</v>
      </c>
      <c r="X191" s="3">
        <f>M191/'Soil samples'!AK191*1000</f>
        <v>0</v>
      </c>
      <c r="Y191" s="31">
        <f t="shared" si="10"/>
        <v>0.16270000000000001</v>
      </c>
      <c r="Z191" s="104">
        <f t="shared" si="11"/>
        <v>0.16270000000000001</v>
      </c>
    </row>
    <row r="192" spans="1:26" s="4" customFormat="1">
      <c r="A192" s="7" t="s">
        <v>195</v>
      </c>
      <c r="B192" s="6" t="s">
        <v>548</v>
      </c>
      <c r="C192" s="4" t="s">
        <v>13</v>
      </c>
      <c r="D192" s="4">
        <v>6</v>
      </c>
      <c r="E192" s="4">
        <v>30</v>
      </c>
      <c r="G192" s="101">
        <v>9.4799999999999995E-2</v>
      </c>
      <c r="H192" s="102">
        <v>7.6499999999999999E-2</v>
      </c>
      <c r="I192" s="102" t="s">
        <v>469</v>
      </c>
      <c r="J192" s="27">
        <v>42755</v>
      </c>
      <c r="K192" s="101">
        <v>1.8200000000000001E-2</v>
      </c>
      <c r="L192" s="103">
        <v>1.5900000000000001E-2</v>
      </c>
      <c r="M192" s="55">
        <v>0</v>
      </c>
      <c r="N192" s="5"/>
      <c r="O192" s="102">
        <f t="shared" si="12"/>
        <v>7.6600000000000001E-2</v>
      </c>
      <c r="P192" s="102">
        <f t="shared" si="12"/>
        <v>6.0600000000000001E-2</v>
      </c>
      <c r="Q192" s="102" t="e">
        <f t="shared" si="12"/>
        <v>#VALUE!</v>
      </c>
      <c r="R192" s="102">
        <f t="shared" si="13"/>
        <v>420.87912087912088</v>
      </c>
      <c r="S192" s="102">
        <f t="shared" si="13"/>
        <v>381.1320754716981</v>
      </c>
      <c r="T192" s="102">
        <f t="shared" si="13"/>
        <v>0</v>
      </c>
      <c r="U192" s="5"/>
      <c r="V192">
        <f>K192/'Soil samples'!AK192*1000</f>
        <v>0.27781146506743704</v>
      </c>
      <c r="W192">
        <f>L192/'Soil samples'!AK192*1000</f>
        <v>0.24270342277869497</v>
      </c>
      <c r="X192" s="3">
        <f>M192/'Soil samples'!AK192*1000</f>
        <v>0</v>
      </c>
      <c r="Y192" s="31">
        <f t="shared" si="10"/>
        <v>3.4100000000000005E-2</v>
      </c>
      <c r="Z192" s="104">
        <f t="shared" si="11"/>
        <v>3.4100000000000005E-2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33"/>
  <sheetViews>
    <sheetView workbookViewId="0">
      <selection activeCell="A32" sqref="A32:N33"/>
    </sheetView>
  </sheetViews>
  <sheetFormatPr baseColWidth="10" defaultRowHeight="16"/>
  <sheetData>
    <row r="1" spans="1:24" ht="19">
      <c r="F1" s="3"/>
      <c r="G1" s="97" t="s">
        <v>547</v>
      </c>
      <c r="H1" s="55"/>
      <c r="I1" s="55"/>
      <c r="J1" s="3"/>
      <c r="K1" s="55"/>
      <c r="L1" s="55"/>
      <c r="M1" s="55"/>
      <c r="N1" s="3"/>
      <c r="O1" s="104"/>
      <c r="P1" s="104"/>
      <c r="Q1" s="104"/>
      <c r="R1" s="104"/>
      <c r="S1" s="104"/>
      <c r="T1" s="104"/>
      <c r="U1" s="3"/>
    </row>
    <row r="2" spans="1:24">
      <c r="F2" s="3"/>
      <c r="G2" s="55"/>
      <c r="H2" s="55"/>
      <c r="I2" s="55"/>
      <c r="J2" s="3"/>
      <c r="K2" s="55"/>
      <c r="L2" s="55"/>
      <c r="M2" s="55"/>
      <c r="N2" s="3"/>
      <c r="O2" s="104"/>
      <c r="P2" s="104"/>
      <c r="Q2" s="104"/>
      <c r="R2" s="104"/>
      <c r="S2" s="104"/>
      <c r="T2" s="104"/>
      <c r="U2" s="3"/>
      <c r="V2" s="1" t="s">
        <v>773</v>
      </c>
    </row>
    <row r="3" spans="1:24">
      <c r="A3" s="56" t="s">
        <v>10</v>
      </c>
      <c r="B3" s="56" t="s">
        <v>8</v>
      </c>
      <c r="C3" s="56" t="s">
        <v>11</v>
      </c>
      <c r="D3" s="56" t="s">
        <v>212</v>
      </c>
      <c r="E3" s="56" t="s">
        <v>20</v>
      </c>
      <c r="F3" s="57" t="s">
        <v>375</v>
      </c>
      <c r="G3" s="99" t="s">
        <v>545</v>
      </c>
      <c r="H3" s="99" t="s">
        <v>546</v>
      </c>
      <c r="I3" s="99" t="s">
        <v>531</v>
      </c>
      <c r="J3" s="57" t="s">
        <v>532</v>
      </c>
      <c r="K3" s="99" t="s">
        <v>533</v>
      </c>
      <c r="L3" s="99" t="s">
        <v>534</v>
      </c>
      <c r="M3" s="99" t="s">
        <v>535</v>
      </c>
      <c r="N3" s="57" t="s">
        <v>536</v>
      </c>
      <c r="O3" s="99" t="s">
        <v>537</v>
      </c>
      <c r="P3" s="99" t="s">
        <v>538</v>
      </c>
      <c r="Q3" s="99" t="s">
        <v>539</v>
      </c>
      <c r="R3" s="99" t="s">
        <v>540</v>
      </c>
      <c r="S3" s="99" t="s">
        <v>541</v>
      </c>
      <c r="T3" s="99" t="s">
        <v>542</v>
      </c>
      <c r="U3" s="57" t="s">
        <v>274</v>
      </c>
      <c r="V3" s="99" t="s">
        <v>774</v>
      </c>
      <c r="W3" s="99" t="s">
        <v>775</v>
      </c>
      <c r="X3" s="99" t="s">
        <v>776</v>
      </c>
    </row>
    <row r="4" spans="1:24">
      <c r="A4" t="s">
        <v>0</v>
      </c>
      <c r="B4" t="s">
        <v>9</v>
      </c>
      <c r="C4" t="s">
        <v>12</v>
      </c>
      <c r="D4">
        <v>1</v>
      </c>
      <c r="E4">
        <v>5</v>
      </c>
      <c r="F4" s="3"/>
      <c r="G4">
        <v>4.4325999999999999</v>
      </c>
      <c r="H4" t="s">
        <v>469</v>
      </c>
      <c r="I4">
        <v>1.7173</v>
      </c>
      <c r="J4" s="25">
        <v>43003</v>
      </c>
      <c r="K4">
        <v>0.67869999999999997</v>
      </c>
      <c r="L4" t="s">
        <v>469</v>
      </c>
      <c r="M4">
        <v>0.39079999999999998</v>
      </c>
      <c r="N4" s="25">
        <v>43007</v>
      </c>
      <c r="U4" s="3"/>
    </row>
    <row r="5" spans="1:24">
      <c r="A5" t="s">
        <v>1105</v>
      </c>
      <c r="B5" t="s">
        <v>9</v>
      </c>
      <c r="C5" t="s">
        <v>12</v>
      </c>
      <c r="D5">
        <v>1</v>
      </c>
      <c r="E5">
        <v>10</v>
      </c>
      <c r="F5" s="3"/>
      <c r="G5">
        <v>1.9542999999999999</v>
      </c>
      <c r="H5">
        <v>0.1198</v>
      </c>
      <c r="I5">
        <v>1.2242999999999999</v>
      </c>
      <c r="J5" s="25">
        <v>42997</v>
      </c>
      <c r="K5">
        <v>0.30980000000000002</v>
      </c>
      <c r="L5">
        <v>2.0299999999999999E-2</v>
      </c>
      <c r="M5">
        <v>0.30730000000000002</v>
      </c>
      <c r="N5" s="25">
        <v>43007</v>
      </c>
      <c r="U5" s="3"/>
    </row>
    <row r="6" spans="1:24">
      <c r="A6" t="s">
        <v>3</v>
      </c>
      <c r="B6" t="s">
        <v>9</v>
      </c>
      <c r="C6" t="s">
        <v>12</v>
      </c>
      <c r="D6">
        <v>2</v>
      </c>
      <c r="E6">
        <v>5</v>
      </c>
      <c r="F6" s="3"/>
      <c r="G6">
        <v>5.6642000000000001</v>
      </c>
      <c r="H6">
        <v>0.64639999999999997</v>
      </c>
      <c r="I6">
        <v>1.7955000000000001</v>
      </c>
      <c r="J6" s="25">
        <v>43004</v>
      </c>
      <c r="K6">
        <v>0.91180000000000005</v>
      </c>
      <c r="L6">
        <v>0.1237</v>
      </c>
      <c r="M6">
        <v>0.46899999999999997</v>
      </c>
      <c r="N6" s="25">
        <v>43007</v>
      </c>
      <c r="U6" s="3"/>
    </row>
    <row r="7" spans="1:24">
      <c r="A7" t="s">
        <v>643</v>
      </c>
      <c r="B7" t="s">
        <v>9</v>
      </c>
      <c r="C7" t="s">
        <v>12</v>
      </c>
      <c r="D7">
        <v>2</v>
      </c>
      <c r="E7">
        <v>10</v>
      </c>
      <c r="F7" s="3"/>
      <c r="G7">
        <v>1.3373999999999999</v>
      </c>
      <c r="H7">
        <v>3.7600000000000001E-2</v>
      </c>
      <c r="I7">
        <v>1.1658999999999999</v>
      </c>
      <c r="J7" s="25">
        <v>42997</v>
      </c>
      <c r="K7">
        <v>0.1938</v>
      </c>
      <c r="L7">
        <v>8.5000000000000006E-3</v>
      </c>
      <c r="M7">
        <v>0.33400000000000002</v>
      </c>
      <c r="N7" s="25">
        <v>43007</v>
      </c>
      <c r="U7" s="3"/>
    </row>
    <row r="8" spans="1:24">
      <c r="A8" t="s">
        <v>23</v>
      </c>
      <c r="B8" t="s">
        <v>9</v>
      </c>
      <c r="C8" t="s">
        <v>12</v>
      </c>
      <c r="D8">
        <v>3</v>
      </c>
      <c r="E8">
        <v>5</v>
      </c>
      <c r="F8" s="3"/>
      <c r="G8">
        <v>3.5341</v>
      </c>
      <c r="H8">
        <v>7.17E-2</v>
      </c>
      <c r="I8">
        <v>0.1137</v>
      </c>
      <c r="J8" s="25">
        <v>42993</v>
      </c>
      <c r="K8">
        <v>0.4526</v>
      </c>
      <c r="L8">
        <v>1.12E-2</v>
      </c>
      <c r="M8">
        <v>3.1600000000000003E-2</v>
      </c>
      <c r="N8" s="25">
        <v>42996</v>
      </c>
      <c r="U8" s="3"/>
    </row>
    <row r="9" spans="1:24">
      <c r="A9" t="s">
        <v>1089</v>
      </c>
      <c r="B9" t="s">
        <v>9</v>
      </c>
      <c r="C9" t="s">
        <v>12</v>
      </c>
      <c r="D9">
        <v>3</v>
      </c>
      <c r="E9">
        <v>10</v>
      </c>
      <c r="F9" s="3"/>
      <c r="G9">
        <v>1.1751</v>
      </c>
      <c r="H9">
        <v>9.0700000000000003E-2</v>
      </c>
      <c r="I9" t="s">
        <v>469</v>
      </c>
      <c r="J9" s="25">
        <v>42993</v>
      </c>
      <c r="K9">
        <v>0.1484</v>
      </c>
      <c r="L9">
        <v>1.4999999999999999E-2</v>
      </c>
      <c r="M9" t="s">
        <v>469</v>
      </c>
      <c r="N9" s="25">
        <v>42996</v>
      </c>
      <c r="U9" s="3"/>
    </row>
    <row r="10" spans="1:24">
      <c r="A10" t="s">
        <v>16</v>
      </c>
      <c r="B10" t="s">
        <v>9</v>
      </c>
      <c r="C10" t="s">
        <v>12</v>
      </c>
      <c r="D10">
        <v>4</v>
      </c>
      <c r="E10">
        <v>5</v>
      </c>
      <c r="F10" s="3"/>
      <c r="G10">
        <v>5.8956999999999997</v>
      </c>
      <c r="H10">
        <v>0.79410000000000003</v>
      </c>
      <c r="I10">
        <v>0.78610000000000002</v>
      </c>
      <c r="J10" s="25">
        <v>43014</v>
      </c>
      <c r="K10">
        <v>1.1025</v>
      </c>
      <c r="L10">
        <v>0.17910000000000001</v>
      </c>
      <c r="M10">
        <v>0.15870000000000001</v>
      </c>
      <c r="N10" s="25">
        <v>43018</v>
      </c>
      <c r="U10" s="3"/>
    </row>
    <row r="11" spans="1:24">
      <c r="A11" t="s">
        <v>1090</v>
      </c>
      <c r="B11" t="s">
        <v>9</v>
      </c>
      <c r="C11" t="s">
        <v>12</v>
      </c>
      <c r="D11">
        <v>4</v>
      </c>
      <c r="E11">
        <v>10</v>
      </c>
      <c r="F11" s="3"/>
      <c r="G11">
        <v>4.1157000000000004</v>
      </c>
      <c r="H11">
        <v>0.37469999999999998</v>
      </c>
      <c r="I11">
        <v>0.18340000000000001</v>
      </c>
      <c r="J11" s="25">
        <v>43014</v>
      </c>
      <c r="K11">
        <v>0.69120000000000004</v>
      </c>
      <c r="L11">
        <v>9.3299999999999994E-2</v>
      </c>
      <c r="M11">
        <v>8.2299999999999998E-2</v>
      </c>
      <c r="N11" s="25">
        <v>43018</v>
      </c>
      <c r="U11" s="3"/>
    </row>
    <row r="12" spans="1:24">
      <c r="A12" t="s">
        <v>26</v>
      </c>
      <c r="B12" t="s">
        <v>9</v>
      </c>
      <c r="C12" t="s">
        <v>12</v>
      </c>
      <c r="D12">
        <v>5</v>
      </c>
      <c r="E12">
        <v>5</v>
      </c>
      <c r="F12" s="3"/>
      <c r="G12">
        <v>3.5350000000000001</v>
      </c>
      <c r="H12">
        <v>0.26340000000000002</v>
      </c>
      <c r="I12" t="s">
        <v>469</v>
      </c>
      <c r="J12" s="25">
        <v>42993</v>
      </c>
      <c r="K12">
        <v>0.58260000000000001</v>
      </c>
      <c r="L12">
        <v>4.1399999999999999E-2</v>
      </c>
      <c r="M12" t="s">
        <v>469</v>
      </c>
      <c r="N12" s="25">
        <v>42996</v>
      </c>
      <c r="U12" s="3"/>
    </row>
    <row r="13" spans="1:24">
      <c r="A13" t="s">
        <v>1091</v>
      </c>
      <c r="B13" t="s">
        <v>9</v>
      </c>
      <c r="C13" t="s">
        <v>12</v>
      </c>
      <c r="D13">
        <v>5</v>
      </c>
      <c r="E13">
        <v>10</v>
      </c>
      <c r="F13" s="3"/>
      <c r="G13">
        <v>2.1133000000000002</v>
      </c>
      <c r="H13">
        <v>9.9900000000000003E-2</v>
      </c>
      <c r="I13" t="s">
        <v>469</v>
      </c>
      <c r="J13" s="25">
        <v>42993</v>
      </c>
      <c r="K13">
        <v>0.37219999999999998</v>
      </c>
      <c r="L13">
        <v>1.84E-2</v>
      </c>
      <c r="M13" t="s">
        <v>469</v>
      </c>
      <c r="N13" s="25">
        <v>42996</v>
      </c>
      <c r="U13" s="3"/>
    </row>
    <row r="14" spans="1:24">
      <c r="A14" t="s">
        <v>17</v>
      </c>
      <c r="B14" t="s">
        <v>9</v>
      </c>
      <c r="C14" t="s">
        <v>12</v>
      </c>
      <c r="D14">
        <v>6</v>
      </c>
      <c r="E14">
        <v>5</v>
      </c>
      <c r="F14" s="3"/>
      <c r="G14">
        <v>10.432600000000001</v>
      </c>
      <c r="H14">
        <v>0.86350000000000005</v>
      </c>
      <c r="I14">
        <v>0.16850000000000001</v>
      </c>
      <c r="J14" s="25">
        <v>43003</v>
      </c>
      <c r="K14">
        <v>1.637</v>
      </c>
      <c r="L14">
        <v>0.15079999999999999</v>
      </c>
      <c r="M14">
        <v>2.5000000000000001E-2</v>
      </c>
      <c r="N14" s="25">
        <v>43007</v>
      </c>
      <c r="U14" s="3"/>
    </row>
    <row r="15" spans="1:24">
      <c r="A15" t="s">
        <v>1092</v>
      </c>
      <c r="B15" t="s">
        <v>9</v>
      </c>
      <c r="C15" t="s">
        <v>12</v>
      </c>
      <c r="D15">
        <v>6</v>
      </c>
      <c r="E15">
        <v>10</v>
      </c>
      <c r="F15" s="3"/>
      <c r="G15">
        <v>6.6661999999999999</v>
      </c>
      <c r="H15">
        <v>0.46729999999999999</v>
      </c>
      <c r="I15">
        <v>0.56379999999999997</v>
      </c>
      <c r="J15" s="25">
        <v>43004</v>
      </c>
      <c r="K15">
        <v>0.80649999999999999</v>
      </c>
      <c r="L15">
        <v>8.5599999999999996E-2</v>
      </c>
      <c r="M15">
        <v>0.1636</v>
      </c>
      <c r="N15" s="25">
        <v>43007</v>
      </c>
      <c r="U15" s="3"/>
    </row>
    <row r="16" spans="1:24">
      <c r="A16" t="s">
        <v>4</v>
      </c>
      <c r="B16" t="s">
        <v>9</v>
      </c>
      <c r="C16" t="s">
        <v>13</v>
      </c>
      <c r="D16">
        <v>1</v>
      </c>
      <c r="E16">
        <v>5</v>
      </c>
      <c r="F16" s="3"/>
      <c r="G16">
        <v>3.1073</v>
      </c>
      <c r="H16">
        <v>0.157</v>
      </c>
      <c r="I16" t="s">
        <v>469</v>
      </c>
      <c r="J16" s="25">
        <v>43014</v>
      </c>
      <c r="K16">
        <v>0.56410000000000005</v>
      </c>
      <c r="L16">
        <v>4.7399999999999998E-2</v>
      </c>
      <c r="M16" t="s">
        <v>469</v>
      </c>
      <c r="N16" s="25">
        <v>43018</v>
      </c>
      <c r="U16" s="3"/>
    </row>
    <row r="17" spans="1:21">
      <c r="A17" t="s">
        <v>640</v>
      </c>
      <c r="B17" t="s">
        <v>9</v>
      </c>
      <c r="C17" t="s">
        <v>13</v>
      </c>
      <c r="D17">
        <v>1</v>
      </c>
      <c r="E17">
        <v>10</v>
      </c>
      <c r="F17" s="3"/>
      <c r="G17">
        <v>1.9932000000000001</v>
      </c>
      <c r="H17">
        <v>0.3977</v>
      </c>
      <c r="I17" t="s">
        <v>469</v>
      </c>
      <c r="J17" s="25">
        <v>43011</v>
      </c>
      <c r="K17">
        <v>0.3422</v>
      </c>
      <c r="L17">
        <v>0.1424</v>
      </c>
      <c r="M17" t="s">
        <v>469</v>
      </c>
      <c r="N17" s="25">
        <v>43018</v>
      </c>
      <c r="U17" s="3"/>
    </row>
    <row r="18" spans="1:21">
      <c r="A18" t="s">
        <v>7</v>
      </c>
      <c r="B18" t="s">
        <v>9</v>
      </c>
      <c r="C18" t="s">
        <v>13</v>
      </c>
      <c r="D18">
        <v>2</v>
      </c>
      <c r="E18">
        <v>5</v>
      </c>
      <c r="F18" s="3"/>
      <c r="G18">
        <v>2.2507999999999999</v>
      </c>
      <c r="H18">
        <v>0.2283</v>
      </c>
      <c r="I18" t="s">
        <v>469</v>
      </c>
      <c r="J18" s="25">
        <v>42997</v>
      </c>
      <c r="K18">
        <v>0.44169999999999998</v>
      </c>
      <c r="L18">
        <v>8.4099999999999994E-2</v>
      </c>
      <c r="M18" t="s">
        <v>469</v>
      </c>
      <c r="N18" s="25">
        <v>43007</v>
      </c>
      <c r="U18" s="3"/>
    </row>
    <row r="19" spans="1:21">
      <c r="A19" t="s">
        <v>641</v>
      </c>
      <c r="B19" t="s">
        <v>9</v>
      </c>
      <c r="C19" t="s">
        <v>13</v>
      </c>
      <c r="D19">
        <v>2</v>
      </c>
      <c r="E19">
        <v>10</v>
      </c>
      <c r="F19" s="3"/>
      <c r="G19">
        <v>1.6081000000000001</v>
      </c>
      <c r="H19">
        <v>0.40849999999999997</v>
      </c>
      <c r="I19" t="s">
        <v>469</v>
      </c>
      <c r="J19" s="25">
        <v>42997</v>
      </c>
      <c r="K19">
        <v>0.36899999999999999</v>
      </c>
      <c r="L19">
        <v>0.15110000000000001</v>
      </c>
      <c r="M19" t="s">
        <v>469</v>
      </c>
      <c r="N19" s="25">
        <v>43007</v>
      </c>
      <c r="U19" s="3"/>
    </row>
    <row r="20" spans="1:21">
      <c r="A20" t="s">
        <v>31</v>
      </c>
      <c r="B20" t="s">
        <v>9</v>
      </c>
      <c r="C20" t="s">
        <v>13</v>
      </c>
      <c r="D20">
        <v>3</v>
      </c>
      <c r="E20">
        <v>5</v>
      </c>
      <c r="F20" s="3"/>
      <c r="G20">
        <v>4.2058999999999997</v>
      </c>
      <c r="H20">
        <v>8.5599999999999996E-2</v>
      </c>
      <c r="I20" t="s">
        <v>469</v>
      </c>
      <c r="J20" s="25">
        <v>42997</v>
      </c>
      <c r="K20">
        <v>0.60940000000000005</v>
      </c>
      <c r="L20">
        <v>2.24E-2</v>
      </c>
      <c r="M20" t="s">
        <v>469</v>
      </c>
      <c r="N20" s="25">
        <v>43007</v>
      </c>
      <c r="U20" s="3"/>
    </row>
    <row r="21" spans="1:21">
      <c r="A21" t="s">
        <v>1093</v>
      </c>
      <c r="B21" t="s">
        <v>9</v>
      </c>
      <c r="C21" t="s">
        <v>13</v>
      </c>
      <c r="D21">
        <v>3</v>
      </c>
      <c r="E21">
        <v>10</v>
      </c>
      <c r="F21" s="3"/>
      <c r="G21">
        <v>1.7464</v>
      </c>
      <c r="H21">
        <v>4.24E-2</v>
      </c>
      <c r="I21" t="s">
        <v>469</v>
      </c>
      <c r="J21" s="25">
        <v>42997</v>
      </c>
      <c r="K21">
        <v>0.25340000000000001</v>
      </c>
      <c r="L21">
        <v>1.12E-2</v>
      </c>
      <c r="M21" t="s">
        <v>469</v>
      </c>
      <c r="N21" s="25">
        <v>43007</v>
      </c>
      <c r="U21" s="3"/>
    </row>
    <row r="22" spans="1:21">
      <c r="A22" t="s">
        <v>34</v>
      </c>
      <c r="B22" t="s">
        <v>9</v>
      </c>
      <c r="C22" t="s">
        <v>13</v>
      </c>
      <c r="D22">
        <v>4</v>
      </c>
      <c r="E22">
        <v>5</v>
      </c>
      <c r="F22" s="3"/>
      <c r="G22">
        <v>2.5844</v>
      </c>
      <c r="H22">
        <v>8.5000000000000006E-3</v>
      </c>
      <c r="I22">
        <v>0.06</v>
      </c>
      <c r="J22" s="25">
        <v>42993</v>
      </c>
      <c r="K22">
        <v>0.38719999999999999</v>
      </c>
      <c r="L22">
        <v>2.8999999999999998E-3</v>
      </c>
      <c r="M22">
        <v>1.6799999999999999E-2</v>
      </c>
      <c r="N22" s="25">
        <v>42996</v>
      </c>
      <c r="U22" s="3"/>
    </row>
    <row r="23" spans="1:21">
      <c r="A23" t="s">
        <v>1094</v>
      </c>
      <c r="B23" t="s">
        <v>9</v>
      </c>
      <c r="C23" t="s">
        <v>13</v>
      </c>
      <c r="D23">
        <v>4</v>
      </c>
      <c r="E23">
        <v>10</v>
      </c>
      <c r="F23" s="3"/>
      <c r="G23">
        <v>0.53269999999999995</v>
      </c>
      <c r="H23" t="s">
        <v>469</v>
      </c>
      <c r="I23">
        <v>6.0299999999999999E-2</v>
      </c>
      <c r="J23" s="25">
        <v>42993</v>
      </c>
      <c r="K23">
        <v>7.85E-2</v>
      </c>
      <c r="L23" t="s">
        <v>469</v>
      </c>
      <c r="M23">
        <v>2.07E-2</v>
      </c>
      <c r="N23" s="25">
        <v>42996</v>
      </c>
      <c r="U23" s="3"/>
    </row>
    <row r="24" spans="1:21">
      <c r="A24" t="s">
        <v>37</v>
      </c>
      <c r="B24" t="s">
        <v>9</v>
      </c>
      <c r="C24" t="s">
        <v>13</v>
      </c>
      <c r="D24">
        <v>5</v>
      </c>
      <c r="E24">
        <v>5</v>
      </c>
      <c r="F24" s="3"/>
      <c r="G24">
        <v>3.7412000000000001</v>
      </c>
      <c r="H24" t="s">
        <v>469</v>
      </c>
      <c r="I24" t="s">
        <v>469</v>
      </c>
      <c r="J24" s="25">
        <v>42993</v>
      </c>
      <c r="K24">
        <v>0.61980000000000002</v>
      </c>
      <c r="L24" t="s">
        <v>469</v>
      </c>
      <c r="M24" t="s">
        <v>469</v>
      </c>
      <c r="N24" s="25">
        <v>42996</v>
      </c>
      <c r="U24" s="3"/>
    </row>
    <row r="25" spans="1:21">
      <c r="A25" t="s">
        <v>38</v>
      </c>
      <c r="B25" t="s">
        <v>9</v>
      </c>
      <c r="C25" t="s">
        <v>13</v>
      </c>
      <c r="D25">
        <v>5</v>
      </c>
      <c r="E25">
        <v>10</v>
      </c>
      <c r="F25" s="3"/>
      <c r="G25">
        <v>2.4039999999999999</v>
      </c>
      <c r="H25">
        <v>9.5500000000000002E-2</v>
      </c>
      <c r="I25" t="s">
        <v>469</v>
      </c>
      <c r="J25" s="25">
        <v>42993</v>
      </c>
      <c r="K25">
        <v>0.41710000000000003</v>
      </c>
      <c r="L25">
        <v>2.9000000000000001E-2</v>
      </c>
      <c r="M25" t="s">
        <v>469</v>
      </c>
      <c r="N25" s="25">
        <v>42996</v>
      </c>
      <c r="U25" s="3"/>
    </row>
    <row r="26" spans="1:21">
      <c r="A26" t="s">
        <v>39</v>
      </c>
      <c r="B26" t="s">
        <v>9</v>
      </c>
      <c r="C26" t="s">
        <v>13</v>
      </c>
      <c r="D26">
        <v>6</v>
      </c>
      <c r="E26">
        <v>5</v>
      </c>
      <c r="F26" s="3"/>
      <c r="G26">
        <v>1.7151000000000001</v>
      </c>
      <c r="H26">
        <v>0.1008</v>
      </c>
      <c r="I26" t="s">
        <v>469</v>
      </c>
      <c r="J26" s="25">
        <v>42993</v>
      </c>
      <c r="K26">
        <v>0.31340000000000001</v>
      </c>
      <c r="L26">
        <v>1.04E-2</v>
      </c>
      <c r="M26" t="s">
        <v>469</v>
      </c>
      <c r="N26" s="25">
        <v>42996</v>
      </c>
      <c r="U26" s="3"/>
    </row>
    <row r="27" spans="1:21">
      <c r="A27" t="s">
        <v>1095</v>
      </c>
      <c r="B27" t="s">
        <v>9</v>
      </c>
      <c r="C27" t="s">
        <v>13</v>
      </c>
      <c r="D27">
        <v>6</v>
      </c>
      <c r="E27">
        <v>10</v>
      </c>
      <c r="F27" s="3"/>
      <c r="G27">
        <v>1.5580000000000001</v>
      </c>
      <c r="H27">
        <v>3.5700000000000003E-2</v>
      </c>
      <c r="I27" t="s">
        <v>469</v>
      </c>
      <c r="J27" s="25">
        <v>42993</v>
      </c>
      <c r="K27">
        <v>0.29459999999999997</v>
      </c>
      <c r="L27">
        <v>7.1000000000000004E-3</v>
      </c>
      <c r="M27" t="s">
        <v>469</v>
      </c>
      <c r="N27" s="25">
        <v>42996</v>
      </c>
      <c r="U27" s="3"/>
    </row>
    <row r="28" spans="1:21">
      <c r="A28" s="231" t="s">
        <v>51</v>
      </c>
      <c r="B28" s="231" t="s">
        <v>1127</v>
      </c>
      <c r="C28" s="231" t="s">
        <v>12</v>
      </c>
      <c r="D28">
        <v>3</v>
      </c>
      <c r="E28">
        <v>5</v>
      </c>
      <c r="G28" s="231">
        <v>7.1534000000000004</v>
      </c>
      <c r="H28" s="231">
        <v>1.3277000000000001</v>
      </c>
      <c r="I28" s="231">
        <v>6.6799999999999998E-2</v>
      </c>
      <c r="J28" s="232">
        <v>43017</v>
      </c>
      <c r="K28" s="231">
        <v>1.2274</v>
      </c>
      <c r="L28" s="231">
        <v>0.24890000000000001</v>
      </c>
      <c r="M28" s="231">
        <v>1.0500000000000001E-2</v>
      </c>
      <c r="N28" s="232">
        <v>43021</v>
      </c>
    </row>
    <row r="29" spans="1:21">
      <c r="A29" s="6" t="s">
        <v>1096</v>
      </c>
      <c r="B29" s="6" t="s">
        <v>1127</v>
      </c>
      <c r="C29" s="6" t="s">
        <v>12</v>
      </c>
      <c r="D29">
        <v>3</v>
      </c>
      <c r="E29">
        <v>10</v>
      </c>
      <c r="G29" s="6">
        <v>10.5349</v>
      </c>
      <c r="H29" s="6">
        <v>1.0566</v>
      </c>
      <c r="I29" s="8">
        <v>0.1719</v>
      </c>
      <c r="J29" s="25">
        <v>43011</v>
      </c>
      <c r="K29" s="6">
        <v>1.2452000000000001</v>
      </c>
      <c r="L29" s="6">
        <v>0.19489999999999999</v>
      </c>
      <c r="M29" s="6">
        <v>3.1399999999999997E-2</v>
      </c>
      <c r="N29" s="25">
        <v>43018</v>
      </c>
    </row>
    <row r="30" spans="1:21">
      <c r="A30" s="6" t="s">
        <v>1097</v>
      </c>
      <c r="B30" s="6" t="s">
        <v>1127</v>
      </c>
      <c r="C30" s="6" t="s">
        <v>12</v>
      </c>
      <c r="D30">
        <v>3</v>
      </c>
      <c r="E30">
        <v>20</v>
      </c>
      <c r="G30" s="6">
        <v>1.3978999999999999</v>
      </c>
      <c r="H30" s="6">
        <v>6.5100000000000005E-2</v>
      </c>
      <c r="I30" s="6" t="s">
        <v>469</v>
      </c>
      <c r="J30" s="25">
        <v>43011</v>
      </c>
      <c r="K30" s="6">
        <v>0.21060000000000001</v>
      </c>
      <c r="L30">
        <v>1.49E-2</v>
      </c>
      <c r="M30" s="6" t="s">
        <v>469</v>
      </c>
      <c r="N30" s="25">
        <v>43018</v>
      </c>
    </row>
    <row r="31" spans="1:21">
      <c r="A31" s="7" t="s">
        <v>1098</v>
      </c>
      <c r="B31" s="4" t="s">
        <v>1127</v>
      </c>
      <c r="C31" s="4" t="s">
        <v>12</v>
      </c>
      <c r="D31">
        <v>3</v>
      </c>
      <c r="E31">
        <v>30</v>
      </c>
      <c r="G31" s="4">
        <v>0.2034</v>
      </c>
      <c r="H31" s="4">
        <v>1.09E-2</v>
      </c>
      <c r="I31" s="4" t="s">
        <v>469</v>
      </c>
      <c r="J31" s="27">
        <v>43011</v>
      </c>
      <c r="K31" s="4">
        <v>3.7600000000000001E-2</v>
      </c>
      <c r="L31" s="4">
        <v>3.3999999999999998E-3</v>
      </c>
      <c r="M31" s="4" t="s">
        <v>469</v>
      </c>
      <c r="N31" s="27">
        <v>43018</v>
      </c>
    </row>
    <row r="32" spans="1:21">
      <c r="A32" s="6" t="s">
        <v>650</v>
      </c>
      <c r="B32" s="6" t="s">
        <v>198</v>
      </c>
      <c r="C32" s="6" t="s">
        <v>12</v>
      </c>
      <c r="D32">
        <v>2</v>
      </c>
      <c r="E32">
        <v>10</v>
      </c>
      <c r="G32" s="6">
        <v>3.3311999999999999</v>
      </c>
      <c r="H32" s="6">
        <v>0.1323</v>
      </c>
      <c r="I32" s="6" t="s">
        <v>469</v>
      </c>
      <c r="J32" s="25">
        <v>43011</v>
      </c>
      <c r="K32" s="6">
        <v>0.48330000000000001</v>
      </c>
      <c r="L32" s="6">
        <v>3.0099999999999998E-2</v>
      </c>
      <c r="M32" s="6" t="s">
        <v>469</v>
      </c>
      <c r="N32" s="25">
        <v>43018</v>
      </c>
    </row>
    <row r="33" spans="1:14">
      <c r="A33" s="7" t="s">
        <v>1100</v>
      </c>
      <c r="B33" s="4" t="s">
        <v>198</v>
      </c>
      <c r="C33" s="4" t="s">
        <v>12</v>
      </c>
      <c r="D33">
        <v>2</v>
      </c>
      <c r="E33">
        <v>20</v>
      </c>
      <c r="G33" s="4">
        <v>1.0484</v>
      </c>
      <c r="H33" s="4">
        <v>3.9600000000000003E-2</v>
      </c>
      <c r="I33" s="4">
        <v>0.21970000000000001</v>
      </c>
      <c r="J33" s="27">
        <v>43011</v>
      </c>
      <c r="K33" s="4">
        <v>0.15260000000000001</v>
      </c>
      <c r="L33" s="4">
        <v>8.9999999999999993E-3</v>
      </c>
      <c r="M33" s="4">
        <v>4.7899999999999998E-2</v>
      </c>
      <c r="N33" s="27">
        <v>43018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209"/>
  <sheetViews>
    <sheetView workbookViewId="0">
      <pane xSplit="1" ySplit="3" topLeftCell="F4" activePane="bottomRight" state="frozen"/>
      <selection pane="topRight" activeCell="B1" sqref="B1"/>
      <selection pane="bottomLeft" activeCell="A2" sqref="A2"/>
      <selection pane="bottomRight" activeCell="AF4" sqref="AF4"/>
    </sheetView>
  </sheetViews>
  <sheetFormatPr baseColWidth="10" defaultColWidth="8.83203125" defaultRowHeight="16"/>
  <cols>
    <col min="5" max="5" width="10.33203125" bestFit="1" customWidth="1"/>
    <col min="7" max="7" width="8.83203125" style="54"/>
    <col min="8" max="9" width="8.83203125" style="55"/>
    <col min="10" max="10" width="10.83203125" style="3" bestFit="1" customWidth="1"/>
    <col min="11" max="11" width="8.83203125" style="54"/>
    <col min="12" max="13" width="8.83203125" style="55"/>
    <col min="14" max="14" width="10.83203125" style="3" bestFit="1" customWidth="1"/>
    <col min="15" max="16" width="10.6640625" style="104" bestFit="1" customWidth="1"/>
    <col min="17" max="17" width="9.6640625" style="104" bestFit="1" customWidth="1"/>
    <col min="18" max="19" width="11" style="104" bestFit="1" customWidth="1"/>
    <col min="20" max="20" width="10.1640625" style="104" bestFit="1" customWidth="1"/>
    <col min="21" max="21" width="8.83203125" style="3"/>
    <col min="24" max="24" width="8.83203125" style="3"/>
    <col min="25" max="25" width="8.83203125" style="31"/>
  </cols>
  <sheetData>
    <row r="1" spans="1:32" ht="19">
      <c r="G1" s="97" t="s">
        <v>547</v>
      </c>
      <c r="V1" t="s">
        <v>1128</v>
      </c>
    </row>
    <row r="2" spans="1:32">
      <c r="V2" s="1" t="s">
        <v>773</v>
      </c>
    </row>
    <row r="3" spans="1:32" s="4" customFormat="1">
      <c r="A3" s="56" t="s">
        <v>10</v>
      </c>
      <c r="B3" s="56" t="s">
        <v>8</v>
      </c>
      <c r="C3" s="56" t="s">
        <v>11</v>
      </c>
      <c r="D3" s="56" t="s">
        <v>212</v>
      </c>
      <c r="E3" s="56" t="s">
        <v>20</v>
      </c>
      <c r="F3" s="56" t="s">
        <v>375</v>
      </c>
      <c r="G3" s="98" t="s">
        <v>545</v>
      </c>
      <c r="H3" s="99" t="s">
        <v>546</v>
      </c>
      <c r="I3" s="99" t="s">
        <v>531</v>
      </c>
      <c r="J3" s="57" t="s">
        <v>532</v>
      </c>
      <c r="K3" s="98" t="s">
        <v>533</v>
      </c>
      <c r="L3" s="99" t="s">
        <v>534</v>
      </c>
      <c r="M3" s="99" t="s">
        <v>535</v>
      </c>
      <c r="N3" s="57" t="s">
        <v>536</v>
      </c>
      <c r="O3" s="99" t="s">
        <v>537</v>
      </c>
      <c r="P3" s="99" t="s">
        <v>538</v>
      </c>
      <c r="Q3" s="99" t="s">
        <v>539</v>
      </c>
      <c r="R3" s="99" t="s">
        <v>540</v>
      </c>
      <c r="S3" s="99" t="s">
        <v>541</v>
      </c>
      <c r="T3" s="99" t="s">
        <v>542</v>
      </c>
      <c r="U3" s="57" t="s">
        <v>274</v>
      </c>
      <c r="V3" s="98" t="s">
        <v>774</v>
      </c>
      <c r="W3" s="99" t="s">
        <v>775</v>
      </c>
      <c r="X3" s="190" t="s">
        <v>776</v>
      </c>
      <c r="Y3" s="32" t="s">
        <v>1129</v>
      </c>
      <c r="Z3" s="4" t="s">
        <v>1131</v>
      </c>
      <c r="AA3" s="4" t="s">
        <v>1130</v>
      </c>
      <c r="AB3" s="4" t="s">
        <v>1132</v>
      </c>
      <c r="AC3" s="4" t="s">
        <v>1205</v>
      </c>
      <c r="AD3" s="4" t="s">
        <v>1214</v>
      </c>
      <c r="AF3" s="61" t="s">
        <v>1243</v>
      </c>
    </row>
    <row r="4" spans="1:32">
      <c r="A4" t="s">
        <v>0</v>
      </c>
      <c r="B4" t="s">
        <v>9</v>
      </c>
      <c r="C4" t="s">
        <v>12</v>
      </c>
      <c r="D4" s="8">
        <v>1</v>
      </c>
      <c r="E4">
        <v>5</v>
      </c>
      <c r="G4">
        <v>4.4325999999999999</v>
      </c>
      <c r="H4" t="s">
        <v>469</v>
      </c>
      <c r="I4">
        <v>1.7173</v>
      </c>
      <c r="J4" s="25">
        <v>43003</v>
      </c>
      <c r="K4">
        <v>0.67869999999999997</v>
      </c>
      <c r="L4">
        <v>0</v>
      </c>
      <c r="M4">
        <v>0.39079999999999998</v>
      </c>
      <c r="N4" s="25">
        <v>43007</v>
      </c>
      <c r="O4" s="104">
        <f t="shared" ref="O4:Q6" si="0">G4-K4</f>
        <v>3.7538999999999998</v>
      </c>
      <c r="P4" s="104" t="e">
        <f t="shared" si="0"/>
        <v>#VALUE!</v>
      </c>
      <c r="Q4" s="104">
        <f t="shared" si="0"/>
        <v>1.3265</v>
      </c>
      <c r="R4" s="104">
        <f t="shared" ref="R4:T6" si="1">IF(K4&gt;0,O4/K4*100,0)</f>
        <v>553.1015176071902</v>
      </c>
      <c r="S4" s="104">
        <f t="shared" si="1"/>
        <v>0</v>
      </c>
      <c r="T4" s="104">
        <f t="shared" si="1"/>
        <v>339.431934493347</v>
      </c>
      <c r="V4">
        <f>K4/'Soil samples'!AK4*1000</f>
        <v>43.915839230617109</v>
      </c>
      <c r="W4">
        <f>L4/'Soil samples'!AK4*1000</f>
        <v>0</v>
      </c>
      <c r="X4" s="3">
        <f>M4/'Soil samples'!AK4*1000</f>
        <v>25.287033993406752</v>
      </c>
      <c r="Y4" s="31">
        <f>SUM(K4:L4)</f>
        <v>0.67869999999999997</v>
      </c>
      <c r="Z4" s="104">
        <f>SUM(K4:M4)</f>
        <v>1.0694999999999999</v>
      </c>
      <c r="AA4">
        <f>Y4*10000/1000</f>
        <v>6.7869999999999999</v>
      </c>
      <c r="AB4">
        <f>Z4*10000/1000</f>
        <v>10.694999999999999</v>
      </c>
      <c r="AC4">
        <f>M4*10000/1000</f>
        <v>3.9079999999999999</v>
      </c>
      <c r="AD4">
        <f>K4*10000/1000</f>
        <v>6.7869999999999999</v>
      </c>
      <c r="AF4">
        <f>AB4*0.05</f>
        <v>0.53474999999999995</v>
      </c>
    </row>
    <row r="5" spans="1:32">
      <c r="A5" t="s">
        <v>642</v>
      </c>
      <c r="B5" t="s">
        <v>9</v>
      </c>
      <c r="C5" t="s">
        <v>12</v>
      </c>
      <c r="D5" s="8">
        <v>1</v>
      </c>
      <c r="E5">
        <v>10</v>
      </c>
      <c r="G5">
        <v>1.9542999999999999</v>
      </c>
      <c r="H5">
        <v>0.1198</v>
      </c>
      <c r="I5">
        <v>1.2242999999999999</v>
      </c>
      <c r="J5" s="25">
        <v>42997</v>
      </c>
      <c r="K5">
        <v>0.30980000000000002</v>
      </c>
      <c r="L5">
        <v>2.0299999999999999E-2</v>
      </c>
      <c r="M5">
        <v>0.30730000000000002</v>
      </c>
      <c r="N5" s="25">
        <v>43007</v>
      </c>
      <c r="O5" s="104">
        <f t="shared" si="0"/>
        <v>1.6444999999999999</v>
      </c>
      <c r="P5" s="104">
        <f t="shared" si="0"/>
        <v>9.9500000000000005E-2</v>
      </c>
      <c r="Q5" s="104">
        <f t="shared" si="0"/>
        <v>0.91699999999999993</v>
      </c>
      <c r="R5" s="104">
        <f t="shared" si="1"/>
        <v>530.82633957391852</v>
      </c>
      <c r="S5" s="104">
        <f t="shared" si="1"/>
        <v>490.1477832512316</v>
      </c>
      <c r="T5" s="104">
        <f t="shared" si="1"/>
        <v>298.40546697038718</v>
      </c>
      <c r="V5">
        <f>K5/'Soil samples'!AK5*1000</f>
        <v>5.7754742250167226</v>
      </c>
      <c r="W5">
        <f>L5/'Soil samples'!AK5*1000</f>
        <v>0.3784445667134908</v>
      </c>
      <c r="X5" s="3">
        <f>M5/'Soil samples'!AK5*1000</f>
        <v>5.7288677512835342</v>
      </c>
      <c r="Y5" s="31">
        <f t="shared" ref="Y5:Y42" si="2">SUM(K5:L5)</f>
        <v>0.3301</v>
      </c>
      <c r="Z5" s="104">
        <f t="shared" ref="Z5:Z42" si="3">SUM(K5:M5)</f>
        <v>0.63739999999999997</v>
      </c>
      <c r="AA5">
        <f t="shared" ref="AA5:AA68" si="4">Y5*10000/1000</f>
        <v>3.3010000000000002</v>
      </c>
      <c r="AB5">
        <f>Z5*10000/1000</f>
        <v>6.3739999999999997</v>
      </c>
      <c r="AC5">
        <f t="shared" ref="AC5:AC68" si="5">M5*10000/1000</f>
        <v>3.073</v>
      </c>
      <c r="AD5">
        <f>K5*10000/1000</f>
        <v>3.0979999999999999</v>
      </c>
      <c r="AF5">
        <f t="shared" ref="AF5:AF68" si="6">AB5*0.05</f>
        <v>0.31869999999999998</v>
      </c>
    </row>
    <row r="6" spans="1:32">
      <c r="A6" t="s">
        <v>1</v>
      </c>
      <c r="B6" t="s">
        <v>9</v>
      </c>
      <c r="C6" t="s">
        <v>12</v>
      </c>
      <c r="D6" s="8">
        <v>1</v>
      </c>
      <c r="E6">
        <v>20</v>
      </c>
      <c r="F6" t="s">
        <v>386</v>
      </c>
      <c r="G6" s="54">
        <v>0.39589999999999997</v>
      </c>
      <c r="H6" s="55">
        <v>7.7799999999999994E-2</v>
      </c>
      <c r="I6" s="55">
        <v>1.1575</v>
      </c>
      <c r="J6" s="25">
        <v>42777</v>
      </c>
      <c r="K6" s="54">
        <v>7.9399999999999998E-2</v>
      </c>
      <c r="L6" s="100">
        <v>2.0899999999999998E-2</v>
      </c>
      <c r="M6" s="100">
        <v>0.3296</v>
      </c>
      <c r="N6" s="25">
        <v>42780</v>
      </c>
      <c r="O6" s="104">
        <f t="shared" si="0"/>
        <v>0.3165</v>
      </c>
      <c r="P6" s="104">
        <f t="shared" si="0"/>
        <v>5.6899999999999992E-2</v>
      </c>
      <c r="Q6" s="104">
        <f t="shared" si="0"/>
        <v>0.82789999999999997</v>
      </c>
      <c r="R6" s="104">
        <f t="shared" si="1"/>
        <v>398.61460957178844</v>
      </c>
      <c r="S6" s="104">
        <f t="shared" si="1"/>
        <v>272.24880382775115</v>
      </c>
      <c r="T6" s="104">
        <f t="shared" si="1"/>
        <v>251.18325242718447</v>
      </c>
      <c r="V6">
        <f>K6/'Soil samples'!AK6*1000</f>
        <v>1.1748928328638928</v>
      </c>
      <c r="W6">
        <f>L6/'Soil samples'!AK6*1000</f>
        <v>0.30926020411656618</v>
      </c>
      <c r="X6" s="3">
        <f>M6/'Soil samples'!AK6*1000</f>
        <v>4.8771369988909195</v>
      </c>
      <c r="Y6" s="31">
        <f t="shared" si="2"/>
        <v>0.1003</v>
      </c>
      <c r="Z6" s="104">
        <f t="shared" si="3"/>
        <v>0.4299</v>
      </c>
      <c r="AA6">
        <f t="shared" si="4"/>
        <v>1.0029999999999999</v>
      </c>
      <c r="AB6">
        <f t="shared" ref="AB6:AB69" si="7">Z6*10000/1000</f>
        <v>4.2990000000000004</v>
      </c>
      <c r="AC6">
        <f t="shared" si="5"/>
        <v>3.2959999999999998</v>
      </c>
      <c r="AD6">
        <f t="shared" ref="AD6:AD69" si="8">K6*10000/1000</f>
        <v>0.79400000000000004</v>
      </c>
      <c r="AF6">
        <f t="shared" si="6"/>
        <v>0.21495000000000003</v>
      </c>
    </row>
    <row r="7" spans="1:32">
      <c r="A7" t="s">
        <v>2</v>
      </c>
      <c r="B7" t="s">
        <v>9</v>
      </c>
      <c r="C7" t="s">
        <v>12</v>
      </c>
      <c r="D7" s="8">
        <v>1</v>
      </c>
      <c r="E7">
        <v>30</v>
      </c>
      <c r="F7" t="s">
        <v>386</v>
      </c>
      <c r="G7" s="54">
        <v>0.26929999999999998</v>
      </c>
      <c r="H7" s="55">
        <v>0.1348</v>
      </c>
      <c r="I7" s="55">
        <v>0.78200000000000003</v>
      </c>
      <c r="J7" s="25">
        <v>42777</v>
      </c>
      <c r="K7" s="54">
        <v>5.0700000000000002E-2</v>
      </c>
      <c r="L7" s="100">
        <v>3.0499999999999999E-2</v>
      </c>
      <c r="M7" s="100">
        <v>0.1817</v>
      </c>
      <c r="N7" s="25">
        <v>42780</v>
      </c>
      <c r="O7" s="104">
        <f t="shared" ref="O7:O48" si="9">G7-K7</f>
        <v>0.21859999999999999</v>
      </c>
      <c r="P7" s="104">
        <f t="shared" ref="P7:P48" si="10">H7-L7</f>
        <v>0.1043</v>
      </c>
      <c r="Q7" s="104">
        <f t="shared" ref="Q7:Q48" si="11">I7-M7</f>
        <v>0.60030000000000006</v>
      </c>
      <c r="R7" s="104">
        <f t="shared" ref="R7:R48" si="12">IF(K7&gt;0,O7/K7*100,0)</f>
        <v>431.16370808678494</v>
      </c>
      <c r="S7" s="104">
        <f t="shared" ref="S7:S48" si="13">IF(L7&gt;0,P7/L7*100,0)</f>
        <v>341.96721311475409</v>
      </c>
      <c r="T7" s="104">
        <f t="shared" ref="T7:T48" si="14">IF(M7&gt;0,Q7/M7*100,0)</f>
        <v>330.37974683544309</v>
      </c>
      <c r="V7">
        <f>K7/'Soil samples'!AK7*1000</f>
        <v>3.6148034724220381</v>
      </c>
      <c r="W7">
        <f>L7/'Soil samples'!AK7*1000</f>
        <v>2.1745859153623703</v>
      </c>
      <c r="X7" s="3">
        <f>M7/'Soil samples'!AK7*1000</f>
        <v>12.954828223650578</v>
      </c>
      <c r="Y7" s="31">
        <f t="shared" si="2"/>
        <v>8.1199999999999994E-2</v>
      </c>
      <c r="Z7" s="104">
        <f t="shared" si="3"/>
        <v>0.26290000000000002</v>
      </c>
      <c r="AA7">
        <f t="shared" si="4"/>
        <v>0.81200000000000006</v>
      </c>
      <c r="AB7">
        <f t="shared" si="7"/>
        <v>2.629</v>
      </c>
      <c r="AC7">
        <f t="shared" si="5"/>
        <v>1.8169999999999999</v>
      </c>
      <c r="AD7">
        <f t="shared" si="8"/>
        <v>0.50700000000000001</v>
      </c>
      <c r="AF7">
        <f t="shared" si="6"/>
        <v>0.13145000000000001</v>
      </c>
    </row>
    <row r="8" spans="1:32">
      <c r="A8" t="s">
        <v>3</v>
      </c>
      <c r="B8" t="s">
        <v>9</v>
      </c>
      <c r="C8" t="s">
        <v>12</v>
      </c>
      <c r="D8" s="8">
        <v>2</v>
      </c>
      <c r="E8">
        <v>5</v>
      </c>
      <c r="G8">
        <v>5.6642000000000001</v>
      </c>
      <c r="H8">
        <v>0.64639999999999997</v>
      </c>
      <c r="I8">
        <v>1.7955000000000001</v>
      </c>
      <c r="J8" s="25">
        <v>43004</v>
      </c>
      <c r="K8">
        <v>0.91180000000000005</v>
      </c>
      <c r="L8">
        <v>0.1237</v>
      </c>
      <c r="M8">
        <v>0.46899999999999997</v>
      </c>
      <c r="N8" s="25">
        <v>43007</v>
      </c>
      <c r="O8" s="104">
        <f t="shared" si="9"/>
        <v>4.7523999999999997</v>
      </c>
      <c r="P8" s="104">
        <f t="shared" si="10"/>
        <v>0.52269999999999994</v>
      </c>
      <c r="Q8" s="104">
        <f t="shared" si="11"/>
        <v>1.3265000000000002</v>
      </c>
      <c r="R8" s="104">
        <f t="shared" si="12"/>
        <v>521.21079184031578</v>
      </c>
      <c r="S8" s="104">
        <f t="shared" si="13"/>
        <v>422.55456750202097</v>
      </c>
      <c r="T8" s="104">
        <f t="shared" si="14"/>
        <v>282.83582089552243</v>
      </c>
      <c r="V8">
        <f>K8/'Soil samples'!AK8*1000</f>
        <v>22.558908395263355</v>
      </c>
      <c r="W8">
        <f>L8/'Soil samples'!AK8*1000</f>
        <v>3.0604704633626643</v>
      </c>
      <c r="X8" s="3">
        <f>M8/'Soil samples'!AK8*1000</f>
        <v>11.603562225683827</v>
      </c>
      <c r="Y8" s="31">
        <f t="shared" si="2"/>
        <v>1.0355000000000001</v>
      </c>
      <c r="Z8" s="104">
        <f t="shared" si="3"/>
        <v>1.5045000000000002</v>
      </c>
      <c r="AA8">
        <f t="shared" si="4"/>
        <v>10.355</v>
      </c>
      <c r="AB8">
        <f t="shared" si="7"/>
        <v>15.045000000000002</v>
      </c>
      <c r="AC8">
        <f t="shared" si="5"/>
        <v>4.6900000000000004</v>
      </c>
      <c r="AD8">
        <f t="shared" si="8"/>
        <v>9.1180000000000003</v>
      </c>
      <c r="AF8">
        <f t="shared" si="6"/>
        <v>0.75225000000000009</v>
      </c>
    </row>
    <row r="9" spans="1:32">
      <c r="A9" t="s">
        <v>643</v>
      </c>
      <c r="B9" t="s">
        <v>9</v>
      </c>
      <c r="C9" t="s">
        <v>12</v>
      </c>
      <c r="D9" s="6">
        <v>2</v>
      </c>
      <c r="E9">
        <v>10</v>
      </c>
      <c r="G9">
        <v>1.3373999999999999</v>
      </c>
      <c r="H9">
        <v>3.7600000000000001E-2</v>
      </c>
      <c r="I9">
        <v>1.1658999999999999</v>
      </c>
      <c r="J9" s="25">
        <v>42997</v>
      </c>
      <c r="K9">
        <v>0.1938</v>
      </c>
      <c r="L9">
        <v>8.5000000000000006E-3</v>
      </c>
      <c r="M9">
        <v>0.33400000000000002</v>
      </c>
      <c r="N9" s="25">
        <v>43007</v>
      </c>
      <c r="O9" s="104">
        <f t="shared" si="9"/>
        <v>1.1435999999999999</v>
      </c>
      <c r="P9" s="104">
        <f t="shared" si="10"/>
        <v>2.9100000000000001E-2</v>
      </c>
      <c r="Q9" s="104">
        <f t="shared" si="11"/>
        <v>0.83189999999999986</v>
      </c>
      <c r="R9" s="104">
        <f t="shared" si="12"/>
        <v>590.09287925696594</v>
      </c>
      <c r="S9" s="104">
        <f t="shared" si="13"/>
        <v>342.35294117647055</v>
      </c>
      <c r="T9" s="104">
        <f t="shared" si="14"/>
        <v>249.07185628742511</v>
      </c>
      <c r="V9">
        <f>K9/'Soil samples'!AK9*1000</f>
        <v>3.0093668242699576</v>
      </c>
      <c r="W9">
        <f>L9/'Soil samples'!AK9*1000</f>
        <v>0.1319897729942964</v>
      </c>
      <c r="X9" s="3">
        <f>M9/'Soil samples'!AK9*1000</f>
        <v>5.1864216682464699</v>
      </c>
      <c r="Y9" s="31">
        <f t="shared" si="2"/>
        <v>0.20230000000000001</v>
      </c>
      <c r="Z9" s="104">
        <f t="shared" si="3"/>
        <v>0.5363</v>
      </c>
      <c r="AA9">
        <f t="shared" si="4"/>
        <v>2.0230000000000001</v>
      </c>
      <c r="AB9">
        <f t="shared" si="7"/>
        <v>5.3630000000000004</v>
      </c>
      <c r="AC9">
        <f t="shared" si="5"/>
        <v>3.34</v>
      </c>
      <c r="AD9">
        <f t="shared" si="8"/>
        <v>1.9379999999999999</v>
      </c>
      <c r="AF9">
        <f t="shared" si="6"/>
        <v>0.26815000000000005</v>
      </c>
    </row>
    <row r="10" spans="1:32">
      <c r="A10" t="s">
        <v>21</v>
      </c>
      <c r="B10" t="s">
        <v>9</v>
      </c>
      <c r="C10" t="s">
        <v>12</v>
      </c>
      <c r="D10" s="8">
        <v>2</v>
      </c>
      <c r="E10">
        <v>20</v>
      </c>
      <c r="F10" t="s">
        <v>386</v>
      </c>
      <c r="G10" s="54">
        <v>0.4335</v>
      </c>
      <c r="H10" s="100">
        <v>0.3493</v>
      </c>
      <c r="I10" s="100">
        <v>1.3980999999999999</v>
      </c>
      <c r="J10" s="25">
        <v>42791</v>
      </c>
      <c r="K10" s="54">
        <v>8.7599999999999997E-2</v>
      </c>
      <c r="L10" s="100">
        <v>0.10199999999999999</v>
      </c>
      <c r="M10" s="100">
        <v>0.379</v>
      </c>
      <c r="N10" s="25">
        <v>42794</v>
      </c>
      <c r="O10" s="104">
        <f t="shared" si="9"/>
        <v>0.34589999999999999</v>
      </c>
      <c r="P10" s="104">
        <f t="shared" si="10"/>
        <v>0.24730000000000002</v>
      </c>
      <c r="Q10" s="104">
        <f t="shared" si="11"/>
        <v>1.0190999999999999</v>
      </c>
      <c r="R10" s="104">
        <f t="shared" si="12"/>
        <v>394.86301369863014</v>
      </c>
      <c r="S10" s="104">
        <f t="shared" si="13"/>
        <v>242.45098039215688</v>
      </c>
      <c r="T10" s="104">
        <f t="shared" si="14"/>
        <v>268.89182058047487</v>
      </c>
      <c r="U10" s="3" t="s">
        <v>687</v>
      </c>
      <c r="V10">
        <f>K10/'Soil samples'!AK10*1000</f>
        <v>3.9987150523132544</v>
      </c>
      <c r="W10">
        <f>L10/'Soil samples'!AK10*1000</f>
        <v>4.6560380746113239</v>
      </c>
      <c r="X10" s="3">
        <f>M10/'Soil samples'!AK10*1000</f>
        <v>17.30037676742835</v>
      </c>
      <c r="Y10" s="31">
        <f t="shared" si="2"/>
        <v>0.18959999999999999</v>
      </c>
      <c r="Z10" s="104">
        <f t="shared" si="3"/>
        <v>0.56859999999999999</v>
      </c>
      <c r="AA10">
        <f t="shared" si="4"/>
        <v>1.8959999999999999</v>
      </c>
      <c r="AB10">
        <f t="shared" si="7"/>
        <v>5.6859999999999999</v>
      </c>
      <c r="AC10">
        <f t="shared" si="5"/>
        <v>3.79</v>
      </c>
      <c r="AD10">
        <f t="shared" si="8"/>
        <v>0.876</v>
      </c>
      <c r="AF10">
        <f t="shared" si="6"/>
        <v>0.2843</v>
      </c>
    </row>
    <row r="11" spans="1:32">
      <c r="A11" t="s">
        <v>22</v>
      </c>
      <c r="B11" t="s">
        <v>9</v>
      </c>
      <c r="C11" t="s">
        <v>12</v>
      </c>
      <c r="D11" s="8">
        <v>2</v>
      </c>
      <c r="E11">
        <v>30</v>
      </c>
      <c r="F11" t="s">
        <v>386</v>
      </c>
      <c r="G11" s="54">
        <v>0.39450000000000002</v>
      </c>
      <c r="H11" s="100">
        <v>0.22670000000000001</v>
      </c>
      <c r="I11" s="100">
        <v>0.83260000000000001</v>
      </c>
      <c r="J11" s="25">
        <v>42791</v>
      </c>
      <c r="K11" s="54">
        <v>6.9500000000000006E-2</v>
      </c>
      <c r="L11" s="100">
        <v>7.6499999999999999E-2</v>
      </c>
      <c r="M11" s="100">
        <v>0.16889999999999999</v>
      </c>
      <c r="N11" s="25">
        <v>42794</v>
      </c>
      <c r="O11" s="104">
        <f t="shared" si="9"/>
        <v>0.32500000000000001</v>
      </c>
      <c r="P11" s="104">
        <f t="shared" si="10"/>
        <v>0.1502</v>
      </c>
      <c r="Q11" s="104">
        <f t="shared" si="11"/>
        <v>0.66369999999999996</v>
      </c>
      <c r="R11" s="104">
        <f t="shared" si="12"/>
        <v>467.62589928057548</v>
      </c>
      <c r="S11" s="104">
        <f t="shared" si="13"/>
        <v>196.33986928104576</v>
      </c>
      <c r="T11" s="104">
        <f t="shared" si="14"/>
        <v>392.9544108940201</v>
      </c>
      <c r="U11" s="3" t="s">
        <v>687</v>
      </c>
      <c r="V11">
        <f>K11/'Soil samples'!AK11*1000</f>
        <v>1.4827053041188605</v>
      </c>
      <c r="W11">
        <f>L11/'Soil samples'!AK11*1000</f>
        <v>1.6320425289941412</v>
      </c>
      <c r="X11" s="3">
        <f>M11/'Soil samples'!AK11*1000</f>
        <v>3.6032938973478492</v>
      </c>
      <c r="Y11" s="31">
        <f t="shared" si="2"/>
        <v>0.14600000000000002</v>
      </c>
      <c r="Z11" s="104">
        <f t="shared" si="3"/>
        <v>0.31490000000000001</v>
      </c>
      <c r="AA11">
        <f t="shared" si="4"/>
        <v>1.4600000000000002</v>
      </c>
      <c r="AB11">
        <f t="shared" si="7"/>
        <v>3.149</v>
      </c>
      <c r="AC11">
        <f t="shared" si="5"/>
        <v>1.6890000000000001</v>
      </c>
      <c r="AD11">
        <f t="shared" si="8"/>
        <v>0.69500000000000006</v>
      </c>
      <c r="AF11">
        <f t="shared" si="6"/>
        <v>0.15745000000000001</v>
      </c>
    </row>
    <row r="12" spans="1:32">
      <c r="A12" t="s">
        <v>23</v>
      </c>
      <c r="B12" t="s">
        <v>9</v>
      </c>
      <c r="C12" t="s">
        <v>12</v>
      </c>
      <c r="D12" s="8">
        <v>3</v>
      </c>
      <c r="E12">
        <v>5</v>
      </c>
      <c r="G12">
        <v>3.5341</v>
      </c>
      <c r="H12">
        <v>7.17E-2</v>
      </c>
      <c r="I12">
        <v>0.1137</v>
      </c>
      <c r="J12" s="25">
        <v>42993</v>
      </c>
      <c r="K12">
        <v>0.4526</v>
      </c>
      <c r="L12">
        <v>1.12E-2</v>
      </c>
      <c r="M12">
        <v>3.1600000000000003E-2</v>
      </c>
      <c r="N12" s="25">
        <v>42996</v>
      </c>
      <c r="O12" s="104">
        <f t="shared" si="9"/>
        <v>3.0815000000000001</v>
      </c>
      <c r="P12" s="104">
        <f t="shared" si="10"/>
        <v>6.0499999999999998E-2</v>
      </c>
      <c r="Q12" s="104">
        <f t="shared" si="11"/>
        <v>8.2099999999999992E-2</v>
      </c>
      <c r="R12" s="104">
        <f t="shared" si="12"/>
        <v>680.84401237295629</v>
      </c>
      <c r="S12" s="104">
        <f t="shared" si="13"/>
        <v>540.17857142857144</v>
      </c>
      <c r="T12" s="104">
        <f t="shared" si="14"/>
        <v>259.81012658227843</v>
      </c>
      <c r="V12">
        <f>K12/'Soil samples'!AK12*1000</f>
        <v>8.4727654510330712</v>
      </c>
      <c r="W12">
        <f>L12/'Soil samples'!AK12*1000</f>
        <v>0.20966631253108792</v>
      </c>
      <c r="X12" s="3">
        <f>M12/'Soil samples'!AK12*1000</f>
        <v>0.59155852464128378</v>
      </c>
      <c r="Y12" s="31">
        <f t="shared" si="2"/>
        <v>0.46379999999999999</v>
      </c>
      <c r="Z12" s="104">
        <f t="shared" si="3"/>
        <v>0.49540000000000001</v>
      </c>
      <c r="AA12">
        <f t="shared" si="4"/>
        <v>4.6379999999999999</v>
      </c>
      <c r="AB12">
        <f t="shared" si="7"/>
        <v>4.9539999999999997</v>
      </c>
      <c r="AC12">
        <f t="shared" si="5"/>
        <v>0.31600000000000006</v>
      </c>
      <c r="AD12">
        <f t="shared" si="8"/>
        <v>4.5259999999999998</v>
      </c>
      <c r="AF12">
        <f t="shared" si="6"/>
        <v>0.2477</v>
      </c>
    </row>
    <row r="13" spans="1:32">
      <c r="A13" t="s">
        <v>1089</v>
      </c>
      <c r="B13" t="s">
        <v>9</v>
      </c>
      <c r="C13" t="s">
        <v>12</v>
      </c>
      <c r="D13" s="6">
        <v>3</v>
      </c>
      <c r="E13">
        <v>10</v>
      </c>
      <c r="G13">
        <v>1.1751</v>
      </c>
      <c r="H13">
        <v>9.0700000000000003E-2</v>
      </c>
      <c r="I13" t="s">
        <v>469</v>
      </c>
      <c r="J13" s="25">
        <v>42993</v>
      </c>
      <c r="K13">
        <v>0.1484</v>
      </c>
      <c r="L13">
        <v>1.4999999999999999E-2</v>
      </c>
      <c r="M13">
        <v>0</v>
      </c>
      <c r="N13" s="25">
        <v>42996</v>
      </c>
      <c r="O13" s="104">
        <f t="shared" si="9"/>
        <v>1.0266999999999999</v>
      </c>
      <c r="P13" s="104">
        <f t="shared" si="10"/>
        <v>7.5700000000000003E-2</v>
      </c>
      <c r="Q13" s="104" t="e">
        <f t="shared" si="11"/>
        <v>#VALUE!</v>
      </c>
      <c r="R13" s="104">
        <f t="shared" si="12"/>
        <v>691.84636118598371</v>
      </c>
      <c r="S13" s="104">
        <f t="shared" si="13"/>
        <v>504.66666666666669</v>
      </c>
      <c r="T13" s="104">
        <f t="shared" si="14"/>
        <v>0</v>
      </c>
      <c r="V13">
        <f>K13/'Soil samples'!AK13*1000</f>
        <v>2.7872793889823098</v>
      </c>
      <c r="W13">
        <f>L13/'Soil samples'!AK13*1000</f>
        <v>0.28173309187826578</v>
      </c>
      <c r="X13" s="3">
        <f>M13/'Soil samples'!AK13*1000</f>
        <v>0</v>
      </c>
      <c r="Y13" s="31">
        <f t="shared" si="2"/>
        <v>0.16339999999999999</v>
      </c>
      <c r="Z13" s="104">
        <f t="shared" si="3"/>
        <v>0.16339999999999999</v>
      </c>
      <c r="AA13">
        <f t="shared" si="4"/>
        <v>1.6339999999999999</v>
      </c>
      <c r="AB13">
        <f t="shared" si="7"/>
        <v>1.6339999999999999</v>
      </c>
      <c r="AC13">
        <f t="shared" si="5"/>
        <v>0</v>
      </c>
      <c r="AD13">
        <f t="shared" si="8"/>
        <v>1.484</v>
      </c>
      <c r="AF13">
        <f t="shared" si="6"/>
        <v>8.1699999999999995E-2</v>
      </c>
    </row>
    <row r="14" spans="1:32">
      <c r="A14" t="s">
        <v>14</v>
      </c>
      <c r="B14" t="s">
        <v>9</v>
      </c>
      <c r="C14" t="s">
        <v>12</v>
      </c>
      <c r="D14" s="8">
        <v>3</v>
      </c>
      <c r="E14">
        <v>20</v>
      </c>
      <c r="F14" t="s">
        <v>386</v>
      </c>
      <c r="G14" s="54">
        <v>0.1522</v>
      </c>
      <c r="H14" s="55">
        <v>3.2099999999999997E-2</v>
      </c>
      <c r="I14" s="55">
        <v>0.46660000000000001</v>
      </c>
      <c r="J14" s="25">
        <v>42748</v>
      </c>
      <c r="K14" s="54">
        <v>3.2199999999999999E-2</v>
      </c>
      <c r="L14" s="100">
        <v>1.2E-2</v>
      </c>
      <c r="M14" s="55">
        <v>0.1368</v>
      </c>
      <c r="N14" s="25">
        <v>42751</v>
      </c>
      <c r="O14" s="104">
        <f t="shared" si="9"/>
        <v>0.12</v>
      </c>
      <c r="P14" s="104">
        <f t="shared" si="10"/>
        <v>2.0099999999999996E-2</v>
      </c>
      <c r="Q14" s="104">
        <f t="shared" si="11"/>
        <v>0.32979999999999998</v>
      </c>
      <c r="R14" s="104">
        <f t="shared" si="12"/>
        <v>372.67080745341616</v>
      </c>
      <c r="S14" s="104">
        <f t="shared" si="13"/>
        <v>167.49999999999997</v>
      </c>
      <c r="T14" s="104">
        <f t="shared" si="14"/>
        <v>241.08187134502921</v>
      </c>
      <c r="V14">
        <f>K14/'Soil samples'!AK14*1000</f>
        <v>0.53279094298819507</v>
      </c>
      <c r="W14">
        <f>L14/'Soil samples'!AK14*1000</f>
        <v>0.19855563092727768</v>
      </c>
      <c r="X14" s="3">
        <f>M14/'Soil samples'!AK14*1000</f>
        <v>2.2635341925709653</v>
      </c>
      <c r="Y14" s="31">
        <f t="shared" si="2"/>
        <v>4.4200000000000003E-2</v>
      </c>
      <c r="Z14" s="104">
        <f t="shared" si="3"/>
        <v>0.18099999999999999</v>
      </c>
      <c r="AA14">
        <f t="shared" si="4"/>
        <v>0.44200000000000006</v>
      </c>
      <c r="AB14">
        <f t="shared" si="7"/>
        <v>1.81</v>
      </c>
      <c r="AC14">
        <f t="shared" si="5"/>
        <v>1.3680000000000001</v>
      </c>
      <c r="AD14">
        <f t="shared" si="8"/>
        <v>0.32200000000000001</v>
      </c>
      <c r="AF14">
        <f t="shared" si="6"/>
        <v>9.0500000000000011E-2</v>
      </c>
    </row>
    <row r="15" spans="1:32">
      <c r="A15" t="s">
        <v>15</v>
      </c>
      <c r="B15" t="s">
        <v>9</v>
      </c>
      <c r="C15" t="s">
        <v>12</v>
      </c>
      <c r="D15" s="8">
        <v>3</v>
      </c>
      <c r="E15">
        <v>30</v>
      </c>
      <c r="F15" t="s">
        <v>386</v>
      </c>
      <c r="G15" s="54">
        <v>7.7600000000000002E-2</v>
      </c>
      <c r="H15" s="55" t="s">
        <v>469</v>
      </c>
      <c r="I15" s="55">
        <v>0.37469999999999998</v>
      </c>
      <c r="J15" s="25">
        <v>42748</v>
      </c>
      <c r="K15" s="54">
        <v>2.18E-2</v>
      </c>
      <c r="L15" s="55">
        <v>0</v>
      </c>
      <c r="M15" s="55">
        <v>0.1208</v>
      </c>
      <c r="N15" s="25">
        <v>42751</v>
      </c>
      <c r="O15" s="104">
        <f t="shared" si="9"/>
        <v>5.5800000000000002E-2</v>
      </c>
      <c r="P15" s="104" t="e">
        <f t="shared" si="10"/>
        <v>#VALUE!</v>
      </c>
      <c r="Q15" s="104">
        <f t="shared" si="11"/>
        <v>0.25389999999999996</v>
      </c>
      <c r="R15" s="104">
        <f t="shared" si="12"/>
        <v>255.96330275229357</v>
      </c>
      <c r="S15" s="104">
        <f t="shared" si="13"/>
        <v>0</v>
      </c>
      <c r="T15" s="104">
        <f t="shared" si="14"/>
        <v>210.18211920529799</v>
      </c>
      <c r="V15">
        <f>K15/'Soil samples'!AK15*1000</f>
        <v>0.52431956850333528</v>
      </c>
      <c r="W15">
        <f>L15/'Soil samples'!AK15*1000</f>
        <v>0</v>
      </c>
      <c r="X15" s="3">
        <f>M15/'Soil samples'!AK15*1000</f>
        <v>2.9054038474863719</v>
      </c>
      <c r="Y15" s="31">
        <f t="shared" si="2"/>
        <v>2.18E-2</v>
      </c>
      <c r="Z15" s="104">
        <f t="shared" si="3"/>
        <v>0.1426</v>
      </c>
      <c r="AA15">
        <f t="shared" si="4"/>
        <v>0.218</v>
      </c>
      <c r="AB15">
        <f t="shared" si="7"/>
        <v>1.4259999999999999</v>
      </c>
      <c r="AC15">
        <f t="shared" si="5"/>
        <v>1.208</v>
      </c>
      <c r="AD15">
        <f t="shared" si="8"/>
        <v>0.218</v>
      </c>
      <c r="AF15">
        <f t="shared" si="6"/>
        <v>7.1300000000000002E-2</v>
      </c>
    </row>
    <row r="16" spans="1:32">
      <c r="A16" t="s">
        <v>16</v>
      </c>
      <c r="B16" t="s">
        <v>9</v>
      </c>
      <c r="C16" t="s">
        <v>12</v>
      </c>
      <c r="D16" s="8">
        <v>4</v>
      </c>
      <c r="E16">
        <v>5</v>
      </c>
      <c r="G16">
        <v>5.8956999999999997</v>
      </c>
      <c r="H16">
        <v>0.79410000000000003</v>
      </c>
      <c r="I16">
        <v>0.78610000000000002</v>
      </c>
      <c r="J16" s="25">
        <v>43014</v>
      </c>
      <c r="K16">
        <v>1.1025</v>
      </c>
      <c r="L16">
        <v>0.17910000000000001</v>
      </c>
      <c r="M16">
        <v>0.15870000000000001</v>
      </c>
      <c r="N16" s="25">
        <v>43018</v>
      </c>
      <c r="O16" s="104">
        <f t="shared" si="9"/>
        <v>4.7931999999999997</v>
      </c>
      <c r="P16" s="104">
        <f t="shared" si="10"/>
        <v>0.61499999999999999</v>
      </c>
      <c r="Q16" s="104">
        <f t="shared" si="11"/>
        <v>0.62739999999999996</v>
      </c>
      <c r="R16" s="104">
        <f t="shared" si="12"/>
        <v>434.75736961451241</v>
      </c>
      <c r="S16" s="104">
        <f t="shared" si="13"/>
        <v>343.38358458961471</v>
      </c>
      <c r="T16" s="104">
        <f t="shared" si="14"/>
        <v>395.33711405166974</v>
      </c>
      <c r="V16">
        <f>K16/'Soil samples'!AK16*1000</f>
        <v>44.217455549026965</v>
      </c>
      <c r="W16">
        <f>L16/'Soil samples'!AK16*1000</f>
        <v>7.1830805340868293</v>
      </c>
      <c r="X16" s="3">
        <f>M16/'Soil samples'!AK16*1000</f>
        <v>6.3649072069211599</v>
      </c>
      <c r="Y16" s="31">
        <f t="shared" si="2"/>
        <v>1.2816000000000001</v>
      </c>
      <c r="Z16" s="104">
        <f t="shared" si="3"/>
        <v>1.4403000000000001</v>
      </c>
      <c r="AA16">
        <f t="shared" si="4"/>
        <v>12.816000000000001</v>
      </c>
      <c r="AB16">
        <f t="shared" si="7"/>
        <v>14.403000000000002</v>
      </c>
      <c r="AC16">
        <f t="shared" si="5"/>
        <v>1.587</v>
      </c>
      <c r="AD16">
        <f t="shared" si="8"/>
        <v>11.025</v>
      </c>
      <c r="AF16">
        <f t="shared" si="6"/>
        <v>0.72015000000000018</v>
      </c>
    </row>
    <row r="17" spans="1:32">
      <c r="A17" t="s">
        <v>1090</v>
      </c>
      <c r="B17" t="s">
        <v>9</v>
      </c>
      <c r="C17" t="s">
        <v>12</v>
      </c>
      <c r="D17" s="6">
        <v>4</v>
      </c>
      <c r="E17">
        <v>10</v>
      </c>
      <c r="G17">
        <v>4.1157000000000004</v>
      </c>
      <c r="H17">
        <v>0.37469999999999998</v>
      </c>
      <c r="I17">
        <v>0.18340000000000001</v>
      </c>
      <c r="J17" s="25">
        <v>43014</v>
      </c>
      <c r="K17">
        <v>0.69120000000000004</v>
      </c>
      <c r="L17">
        <v>9.3299999999999994E-2</v>
      </c>
      <c r="M17">
        <v>8.2299999999999998E-2</v>
      </c>
      <c r="N17" s="25">
        <v>43018</v>
      </c>
      <c r="O17" s="104">
        <f t="shared" si="9"/>
        <v>3.4245000000000001</v>
      </c>
      <c r="P17" s="104">
        <f t="shared" si="10"/>
        <v>0.28139999999999998</v>
      </c>
      <c r="Q17" s="104">
        <f t="shared" si="11"/>
        <v>0.10110000000000001</v>
      </c>
      <c r="R17" s="104">
        <f t="shared" si="12"/>
        <v>495.44270833333331</v>
      </c>
      <c r="S17" s="104">
        <f t="shared" si="13"/>
        <v>301.60771704180064</v>
      </c>
      <c r="T17" s="104">
        <f t="shared" si="14"/>
        <v>122.84325637910088</v>
      </c>
      <c r="V17">
        <f>K17/'Soil samples'!AK17*1000</f>
        <v>15.541953700595945</v>
      </c>
      <c r="W17">
        <f>L17/'Soil samples'!AK17*1000</f>
        <v>2.0978939239953722</v>
      </c>
      <c r="X17" s="3">
        <f>M17/'Soil samples'!AK17*1000</f>
        <v>1.8505538043388978</v>
      </c>
      <c r="Y17" s="31">
        <f t="shared" si="2"/>
        <v>0.78449999999999998</v>
      </c>
      <c r="Z17" s="104">
        <f t="shared" si="3"/>
        <v>0.86680000000000001</v>
      </c>
      <c r="AA17">
        <f t="shared" si="4"/>
        <v>7.8449999999999998</v>
      </c>
      <c r="AB17">
        <f t="shared" si="7"/>
        <v>8.6679999999999993</v>
      </c>
      <c r="AC17">
        <f t="shared" si="5"/>
        <v>0.82299999999999995</v>
      </c>
      <c r="AD17">
        <f t="shared" si="8"/>
        <v>6.9119999999999999</v>
      </c>
      <c r="AF17">
        <f t="shared" si="6"/>
        <v>0.43340000000000001</v>
      </c>
    </row>
    <row r="18" spans="1:32">
      <c r="A18" t="s">
        <v>24</v>
      </c>
      <c r="B18" t="s">
        <v>9</v>
      </c>
      <c r="C18" t="s">
        <v>12</v>
      </c>
      <c r="D18" s="8">
        <v>4</v>
      </c>
      <c r="E18">
        <v>20</v>
      </c>
      <c r="F18" t="s">
        <v>386</v>
      </c>
      <c r="G18" s="54">
        <v>0.96050000000000002</v>
      </c>
      <c r="H18" s="55">
        <v>7.6700000000000004E-2</v>
      </c>
      <c r="I18" s="100">
        <v>0.4173</v>
      </c>
      <c r="J18" s="25">
        <v>42790</v>
      </c>
      <c r="K18" s="54">
        <v>0.24709999999999999</v>
      </c>
      <c r="L18" s="100">
        <v>8.8000000000000005E-3</v>
      </c>
      <c r="M18" s="100">
        <v>0.1298</v>
      </c>
      <c r="N18" s="25">
        <v>42794</v>
      </c>
      <c r="O18" s="104">
        <f t="shared" si="9"/>
        <v>0.71340000000000003</v>
      </c>
      <c r="P18" s="104">
        <f t="shared" si="10"/>
        <v>6.7900000000000002E-2</v>
      </c>
      <c r="Q18" s="104">
        <f t="shared" si="11"/>
        <v>0.28749999999999998</v>
      </c>
      <c r="R18" s="104">
        <f t="shared" si="12"/>
        <v>288.70902468636183</v>
      </c>
      <c r="S18" s="104">
        <f t="shared" si="13"/>
        <v>771.59090909090912</v>
      </c>
      <c r="T18" s="104">
        <f t="shared" si="14"/>
        <v>221.49460708782743</v>
      </c>
      <c r="V18">
        <f>K18/'Soil samples'!AK18*1000</f>
        <v>4.1989792803177126</v>
      </c>
      <c r="W18">
        <f>L18/'Soil samples'!AK18*1000</f>
        <v>0.14953871981706141</v>
      </c>
      <c r="X18" s="3">
        <f>M18/'Soil samples'!AK18*1000</f>
        <v>2.2056961173016556</v>
      </c>
      <c r="Y18" s="31">
        <f t="shared" si="2"/>
        <v>0.25589999999999996</v>
      </c>
      <c r="Z18" s="104">
        <f t="shared" si="3"/>
        <v>0.38569999999999993</v>
      </c>
      <c r="AA18">
        <f t="shared" si="4"/>
        <v>2.5589999999999997</v>
      </c>
      <c r="AB18">
        <f t="shared" si="7"/>
        <v>3.8569999999999989</v>
      </c>
      <c r="AC18">
        <f t="shared" si="5"/>
        <v>1.298</v>
      </c>
      <c r="AD18">
        <f t="shared" si="8"/>
        <v>2.4710000000000001</v>
      </c>
      <c r="AF18">
        <f t="shared" si="6"/>
        <v>0.19284999999999997</v>
      </c>
    </row>
    <row r="19" spans="1:32">
      <c r="A19" t="s">
        <v>25</v>
      </c>
      <c r="B19" t="s">
        <v>9</v>
      </c>
      <c r="C19" t="s">
        <v>12</v>
      </c>
      <c r="D19" s="8">
        <v>4</v>
      </c>
      <c r="E19">
        <v>30</v>
      </c>
      <c r="F19" t="s">
        <v>386</v>
      </c>
      <c r="G19" s="54">
        <v>0.48249999999999998</v>
      </c>
      <c r="H19" s="55" t="s">
        <v>469</v>
      </c>
      <c r="I19" s="100">
        <v>0.41089999999999999</v>
      </c>
      <c r="J19" s="25">
        <v>42790</v>
      </c>
      <c r="K19" s="54">
        <v>0.1234</v>
      </c>
      <c r="L19" s="55">
        <v>0</v>
      </c>
      <c r="M19" s="100">
        <v>0.15379999999999999</v>
      </c>
      <c r="N19" s="25">
        <v>42794</v>
      </c>
      <c r="O19" s="104">
        <f t="shared" si="9"/>
        <v>0.35909999999999997</v>
      </c>
      <c r="P19" s="104" t="e">
        <f t="shared" si="10"/>
        <v>#VALUE!</v>
      </c>
      <c r="Q19" s="104">
        <f t="shared" si="11"/>
        <v>0.2571</v>
      </c>
      <c r="R19" s="104">
        <f t="shared" si="12"/>
        <v>291.00486223662887</v>
      </c>
      <c r="S19" s="104">
        <f t="shared" si="13"/>
        <v>0</v>
      </c>
      <c r="T19" s="104">
        <f t="shared" si="14"/>
        <v>167.16514954486345</v>
      </c>
      <c r="V19">
        <f>K19/'Soil samples'!AK19*1000</f>
        <v>3.8256961029023939</v>
      </c>
      <c r="W19">
        <f>L19/'Soil samples'!AK19*1000</f>
        <v>0</v>
      </c>
      <c r="X19" s="3">
        <f>M19/'Soil samples'!AK19*1000</f>
        <v>4.7681690488362083</v>
      </c>
      <c r="Y19" s="31">
        <f t="shared" si="2"/>
        <v>0.1234</v>
      </c>
      <c r="Z19" s="104">
        <f t="shared" si="3"/>
        <v>0.2772</v>
      </c>
      <c r="AA19">
        <f t="shared" si="4"/>
        <v>1.234</v>
      </c>
      <c r="AB19">
        <f t="shared" si="7"/>
        <v>2.7719999999999998</v>
      </c>
      <c r="AC19">
        <f t="shared" si="5"/>
        <v>1.538</v>
      </c>
      <c r="AD19">
        <f t="shared" si="8"/>
        <v>1.234</v>
      </c>
      <c r="AF19">
        <f t="shared" si="6"/>
        <v>0.1386</v>
      </c>
    </row>
    <row r="20" spans="1:32">
      <c r="A20" t="s">
        <v>26</v>
      </c>
      <c r="B20" t="s">
        <v>9</v>
      </c>
      <c r="C20" t="s">
        <v>12</v>
      </c>
      <c r="D20" s="8">
        <v>5</v>
      </c>
      <c r="E20">
        <v>5</v>
      </c>
      <c r="G20">
        <v>3.5350000000000001</v>
      </c>
      <c r="H20">
        <v>0.26340000000000002</v>
      </c>
      <c r="I20" t="s">
        <v>469</v>
      </c>
      <c r="J20" s="25">
        <v>42993</v>
      </c>
      <c r="K20">
        <v>0.58260000000000001</v>
      </c>
      <c r="L20">
        <v>4.1399999999999999E-2</v>
      </c>
      <c r="M20">
        <v>0</v>
      </c>
      <c r="N20" s="25">
        <v>42996</v>
      </c>
      <c r="O20" s="104">
        <f t="shared" si="9"/>
        <v>2.9523999999999999</v>
      </c>
      <c r="P20" s="104">
        <f t="shared" si="10"/>
        <v>0.22200000000000003</v>
      </c>
      <c r="Q20" s="104" t="e">
        <f t="shared" si="11"/>
        <v>#VALUE!</v>
      </c>
      <c r="R20" s="104">
        <f t="shared" si="12"/>
        <v>506.76278750429111</v>
      </c>
      <c r="S20" s="104">
        <f t="shared" si="13"/>
        <v>536.23188405797111</v>
      </c>
      <c r="T20" s="104">
        <f t="shared" si="14"/>
        <v>0</v>
      </c>
      <c r="U20" s="3" t="s">
        <v>696</v>
      </c>
      <c r="V20">
        <f>K20/'Soil samples'!AK20*1000</f>
        <v>11.699267949402548</v>
      </c>
      <c r="W20">
        <f>L20/'Soil samples'!AK20*1000</f>
        <v>0.83135889650749317</v>
      </c>
      <c r="X20" s="3">
        <f>M20/'Soil samples'!AK20*1000</f>
        <v>0</v>
      </c>
      <c r="Y20" s="31">
        <f t="shared" si="2"/>
        <v>0.624</v>
      </c>
      <c r="Z20" s="104">
        <f t="shared" si="3"/>
        <v>0.624</v>
      </c>
      <c r="AA20">
        <f t="shared" si="4"/>
        <v>6.24</v>
      </c>
      <c r="AB20">
        <f t="shared" si="7"/>
        <v>6.24</v>
      </c>
      <c r="AC20">
        <f t="shared" si="5"/>
        <v>0</v>
      </c>
      <c r="AD20">
        <f t="shared" si="8"/>
        <v>5.8259999999999996</v>
      </c>
      <c r="AF20">
        <f t="shared" si="6"/>
        <v>0.31200000000000006</v>
      </c>
    </row>
    <row r="21" spans="1:32">
      <c r="A21" t="s">
        <v>1091</v>
      </c>
      <c r="B21" t="s">
        <v>9</v>
      </c>
      <c r="C21" t="s">
        <v>12</v>
      </c>
      <c r="D21" s="6">
        <v>5</v>
      </c>
      <c r="E21">
        <v>10</v>
      </c>
      <c r="G21">
        <v>2.1133000000000002</v>
      </c>
      <c r="H21">
        <v>9.9900000000000003E-2</v>
      </c>
      <c r="I21" t="s">
        <v>469</v>
      </c>
      <c r="J21" s="25">
        <v>42993</v>
      </c>
      <c r="K21">
        <v>0.37219999999999998</v>
      </c>
      <c r="L21">
        <v>1.84E-2</v>
      </c>
      <c r="M21">
        <v>0</v>
      </c>
      <c r="N21" s="25">
        <v>42996</v>
      </c>
      <c r="O21" s="104">
        <f t="shared" si="9"/>
        <v>1.7411000000000003</v>
      </c>
      <c r="P21" s="104">
        <f t="shared" si="10"/>
        <v>8.1500000000000003E-2</v>
      </c>
      <c r="Q21" s="104" t="e">
        <f t="shared" si="11"/>
        <v>#VALUE!</v>
      </c>
      <c r="R21" s="104">
        <f t="shared" si="12"/>
        <v>467.78613648576044</v>
      </c>
      <c r="S21" s="104">
        <f t="shared" si="13"/>
        <v>442.93478260869568</v>
      </c>
      <c r="T21" s="104">
        <f t="shared" si="14"/>
        <v>0</v>
      </c>
      <c r="V21">
        <f>K21/'Soil samples'!AK21*1000</f>
        <v>10.497390803271308</v>
      </c>
      <c r="W21">
        <f>L21/'Soil samples'!AK21*1000</f>
        <v>0.51894677802308464</v>
      </c>
      <c r="X21" s="3">
        <f>M21/'Soil samples'!AK21*1000</f>
        <v>0</v>
      </c>
      <c r="Y21" s="31">
        <f t="shared" si="2"/>
        <v>0.39059999999999995</v>
      </c>
      <c r="Z21" s="104">
        <f t="shared" si="3"/>
        <v>0.39059999999999995</v>
      </c>
      <c r="AA21">
        <f t="shared" si="4"/>
        <v>3.9059999999999997</v>
      </c>
      <c r="AB21">
        <f t="shared" si="7"/>
        <v>3.9059999999999997</v>
      </c>
      <c r="AC21">
        <f t="shared" si="5"/>
        <v>0</v>
      </c>
      <c r="AD21">
        <f t="shared" si="8"/>
        <v>3.7219999999999995</v>
      </c>
      <c r="AF21">
        <f t="shared" si="6"/>
        <v>0.1953</v>
      </c>
    </row>
    <row r="22" spans="1:32">
      <c r="A22" t="s">
        <v>27</v>
      </c>
      <c r="B22" t="s">
        <v>9</v>
      </c>
      <c r="C22" t="s">
        <v>12</v>
      </c>
      <c r="D22" s="8">
        <v>5</v>
      </c>
      <c r="E22">
        <v>20</v>
      </c>
      <c r="F22" t="s">
        <v>386</v>
      </c>
      <c r="G22" s="54">
        <v>0.9345</v>
      </c>
      <c r="H22" s="55">
        <v>7.8200000000000006E-2</v>
      </c>
      <c r="I22" s="55" t="s">
        <v>469</v>
      </c>
      <c r="J22" s="25">
        <v>42798</v>
      </c>
      <c r="K22" s="54">
        <v>0.2114</v>
      </c>
      <c r="L22" s="55">
        <v>7.7000000000000002E-3</v>
      </c>
      <c r="M22" s="55">
        <v>0</v>
      </c>
      <c r="N22" s="25">
        <v>42801</v>
      </c>
      <c r="O22" s="104">
        <f t="shared" si="9"/>
        <v>0.72309999999999997</v>
      </c>
      <c r="P22" s="104">
        <f t="shared" si="10"/>
        <v>7.0500000000000007E-2</v>
      </c>
      <c r="Q22" s="104" t="e">
        <f t="shared" si="11"/>
        <v>#VALUE!</v>
      </c>
      <c r="R22" s="104">
        <f t="shared" si="12"/>
        <v>342.05298013245027</v>
      </c>
      <c r="S22" s="104">
        <f t="shared" si="13"/>
        <v>915.58441558441575</v>
      </c>
      <c r="T22" s="104">
        <f t="shared" si="14"/>
        <v>0</v>
      </c>
      <c r="U22" s="3" t="s">
        <v>698</v>
      </c>
      <c r="V22">
        <f>K22/'Soil samples'!AK22*1000</f>
        <v>3.842745547615082</v>
      </c>
      <c r="W22">
        <f>L22/'Soil samples'!AK22*1000</f>
        <v>0.13996755305882749</v>
      </c>
      <c r="X22" s="3">
        <f>M22/'Soil samples'!AK22*1000</f>
        <v>0</v>
      </c>
      <c r="Y22" s="31">
        <f t="shared" si="2"/>
        <v>0.21910000000000002</v>
      </c>
      <c r="Z22" s="104">
        <f t="shared" si="3"/>
        <v>0.21910000000000002</v>
      </c>
      <c r="AA22">
        <f t="shared" si="4"/>
        <v>2.1909999999999998</v>
      </c>
      <c r="AB22">
        <f t="shared" si="7"/>
        <v>2.1909999999999998</v>
      </c>
      <c r="AC22">
        <f t="shared" si="5"/>
        <v>0</v>
      </c>
      <c r="AD22">
        <f t="shared" si="8"/>
        <v>2.1139999999999999</v>
      </c>
      <c r="AF22">
        <f t="shared" si="6"/>
        <v>0.10954999999999999</v>
      </c>
    </row>
    <row r="23" spans="1:32">
      <c r="A23" t="s">
        <v>28</v>
      </c>
      <c r="B23" t="s">
        <v>9</v>
      </c>
      <c r="C23" t="s">
        <v>12</v>
      </c>
      <c r="D23" s="8">
        <v>5</v>
      </c>
      <c r="E23">
        <v>30</v>
      </c>
      <c r="F23" t="s">
        <v>386</v>
      </c>
      <c r="G23" s="54">
        <v>0.79890000000000005</v>
      </c>
      <c r="H23" s="55" t="s">
        <v>469</v>
      </c>
      <c r="I23" s="55" t="s">
        <v>469</v>
      </c>
      <c r="J23" s="25">
        <v>42798</v>
      </c>
      <c r="K23" s="54">
        <v>0.2039</v>
      </c>
      <c r="L23" s="55">
        <v>0</v>
      </c>
      <c r="M23" s="55">
        <v>0</v>
      </c>
      <c r="N23" s="25">
        <v>42801</v>
      </c>
      <c r="O23" s="104">
        <f t="shared" si="9"/>
        <v>0.59500000000000008</v>
      </c>
      <c r="P23" s="104" t="e">
        <f t="shared" si="10"/>
        <v>#VALUE!</v>
      </c>
      <c r="Q23" s="104" t="e">
        <f t="shared" si="11"/>
        <v>#VALUE!</v>
      </c>
      <c r="R23" s="104">
        <f t="shared" si="12"/>
        <v>291.80971064247183</v>
      </c>
      <c r="S23" s="104">
        <f t="shared" si="13"/>
        <v>0</v>
      </c>
      <c r="T23" s="104">
        <f t="shared" si="14"/>
        <v>0</v>
      </c>
      <c r="U23" s="3" t="s">
        <v>696</v>
      </c>
      <c r="V23">
        <f>K23/'Soil samples'!AK23*1000</f>
        <v>3.6253085673778256</v>
      </c>
      <c r="W23">
        <f>L23/'Soil samples'!AK23*1000</f>
        <v>0</v>
      </c>
      <c r="X23" s="3">
        <f>M23/'Soil samples'!AK23*1000</f>
        <v>0</v>
      </c>
      <c r="Y23" s="31">
        <f t="shared" si="2"/>
        <v>0.2039</v>
      </c>
      <c r="Z23" s="104">
        <f t="shared" si="3"/>
        <v>0.2039</v>
      </c>
      <c r="AA23">
        <f t="shared" si="4"/>
        <v>2.0390000000000001</v>
      </c>
      <c r="AB23">
        <f t="shared" si="7"/>
        <v>2.0390000000000001</v>
      </c>
      <c r="AC23">
        <f t="shared" si="5"/>
        <v>0</v>
      </c>
      <c r="AD23">
        <f t="shared" si="8"/>
        <v>2.0390000000000001</v>
      </c>
      <c r="AF23">
        <f t="shared" si="6"/>
        <v>0.10195000000000001</v>
      </c>
    </row>
    <row r="24" spans="1:32">
      <c r="A24" t="s">
        <v>17</v>
      </c>
      <c r="B24" t="s">
        <v>9</v>
      </c>
      <c r="C24" t="s">
        <v>12</v>
      </c>
      <c r="D24">
        <v>6</v>
      </c>
      <c r="E24">
        <v>5</v>
      </c>
      <c r="F24" s="3"/>
      <c r="G24">
        <v>10.432600000000001</v>
      </c>
      <c r="H24">
        <v>0.86350000000000005</v>
      </c>
      <c r="I24">
        <v>0.16850000000000001</v>
      </c>
      <c r="J24" s="25">
        <v>43003</v>
      </c>
      <c r="K24">
        <v>1.637</v>
      </c>
      <c r="L24">
        <v>0.15079999999999999</v>
      </c>
      <c r="M24">
        <v>2.5000000000000001E-2</v>
      </c>
      <c r="N24" s="25">
        <v>43007</v>
      </c>
      <c r="O24" s="104">
        <f t="shared" si="9"/>
        <v>8.7956000000000003</v>
      </c>
      <c r="P24" s="104">
        <f t="shared" si="10"/>
        <v>0.71270000000000011</v>
      </c>
      <c r="Q24" s="104">
        <f t="shared" si="11"/>
        <v>0.14350000000000002</v>
      </c>
      <c r="R24" s="104">
        <f t="shared" si="12"/>
        <v>537.29993891264508</v>
      </c>
      <c r="S24" s="104">
        <f t="shared" si="13"/>
        <v>472.6127320954908</v>
      </c>
      <c r="T24" s="104">
        <f t="shared" si="14"/>
        <v>574</v>
      </c>
      <c r="V24">
        <f>K24/'Soil samples'!AK24*1000</f>
        <v>23.639129093701477</v>
      </c>
      <c r="W24">
        <f>L24/'Soil samples'!AK24*1000</f>
        <v>2.1776302182835567</v>
      </c>
      <c r="X24" s="3">
        <f>M24/'Soil samples'!AK24*1000</f>
        <v>0.36101296722207515</v>
      </c>
      <c r="Y24" s="31">
        <f t="shared" si="2"/>
        <v>1.7878000000000001</v>
      </c>
      <c r="Z24" s="104">
        <f t="shared" si="3"/>
        <v>1.8128</v>
      </c>
      <c r="AA24">
        <f t="shared" si="4"/>
        <v>17.878</v>
      </c>
      <c r="AB24">
        <f t="shared" si="7"/>
        <v>18.128</v>
      </c>
      <c r="AC24">
        <f t="shared" si="5"/>
        <v>0.25</v>
      </c>
      <c r="AD24">
        <f t="shared" si="8"/>
        <v>16.37</v>
      </c>
      <c r="AF24">
        <f t="shared" si="6"/>
        <v>0.90640000000000009</v>
      </c>
    </row>
    <row r="25" spans="1:32">
      <c r="A25" t="s">
        <v>1092</v>
      </c>
      <c r="B25" t="s">
        <v>9</v>
      </c>
      <c r="C25" t="s">
        <v>12</v>
      </c>
      <c r="D25">
        <v>6</v>
      </c>
      <c r="E25">
        <v>10</v>
      </c>
      <c r="F25" s="3"/>
      <c r="G25">
        <v>6.6661999999999999</v>
      </c>
      <c r="H25">
        <v>0.46729999999999999</v>
      </c>
      <c r="I25">
        <v>0.56379999999999997</v>
      </c>
      <c r="J25" s="25">
        <v>43004</v>
      </c>
      <c r="K25">
        <v>0.80649999999999999</v>
      </c>
      <c r="L25">
        <v>8.5599999999999996E-2</v>
      </c>
      <c r="M25">
        <v>0.1636</v>
      </c>
      <c r="N25" s="25">
        <v>43007</v>
      </c>
      <c r="O25" s="104">
        <f t="shared" si="9"/>
        <v>5.8597000000000001</v>
      </c>
      <c r="P25" s="104">
        <f t="shared" si="10"/>
        <v>0.38169999999999998</v>
      </c>
      <c r="Q25" s="104">
        <f t="shared" si="11"/>
        <v>0.4002</v>
      </c>
      <c r="R25" s="104">
        <f t="shared" si="12"/>
        <v>726.55920644761318</v>
      </c>
      <c r="S25" s="104">
        <f t="shared" si="13"/>
        <v>445.91121495327099</v>
      </c>
      <c r="T25" s="104">
        <f t="shared" si="14"/>
        <v>244.62102689486551</v>
      </c>
      <c r="V25">
        <f>K25/'Soil samples'!AK25*1000</f>
        <v>11.207622069128529</v>
      </c>
      <c r="W25">
        <f>L25/'Soil samples'!AK25*1000</f>
        <v>1.1895504638777459</v>
      </c>
      <c r="X25" s="3">
        <f>M25/'Soil samples'!AK25*1000</f>
        <v>2.273486634233636</v>
      </c>
      <c r="Y25" s="31">
        <f t="shared" si="2"/>
        <v>0.8921</v>
      </c>
      <c r="Z25" s="104">
        <f t="shared" si="3"/>
        <v>1.0557000000000001</v>
      </c>
      <c r="AA25">
        <f t="shared" si="4"/>
        <v>8.9209999999999994</v>
      </c>
      <c r="AB25">
        <f t="shared" si="7"/>
        <v>10.557</v>
      </c>
      <c r="AC25">
        <f t="shared" si="5"/>
        <v>1.6359999999999999</v>
      </c>
      <c r="AD25">
        <f t="shared" si="8"/>
        <v>8.0649999999999995</v>
      </c>
      <c r="AF25">
        <f t="shared" si="6"/>
        <v>0.52785000000000004</v>
      </c>
    </row>
    <row r="26" spans="1:32">
      <c r="A26" t="s">
        <v>18</v>
      </c>
      <c r="B26" t="s">
        <v>9</v>
      </c>
      <c r="C26" t="s">
        <v>12</v>
      </c>
      <c r="D26" s="8">
        <v>6</v>
      </c>
      <c r="E26">
        <v>20</v>
      </c>
      <c r="F26" t="s">
        <v>386</v>
      </c>
      <c r="G26" s="54">
        <v>4.5740999999999996</v>
      </c>
      <c r="H26" s="55">
        <v>6.3200000000000006E-2</v>
      </c>
      <c r="I26" s="55" t="s">
        <v>469</v>
      </c>
      <c r="J26" s="25">
        <v>42748</v>
      </c>
      <c r="K26" s="54">
        <v>0.3216</v>
      </c>
      <c r="L26" s="100">
        <v>0.14899999999999999</v>
      </c>
      <c r="M26">
        <v>0</v>
      </c>
      <c r="N26" s="25">
        <v>42751</v>
      </c>
      <c r="O26" s="104">
        <f t="shared" si="9"/>
        <v>4.2524999999999995</v>
      </c>
      <c r="P26" s="104">
        <f t="shared" si="10"/>
        <v>-8.5799999999999987E-2</v>
      </c>
      <c r="Q26" s="104" t="e">
        <f t="shared" si="11"/>
        <v>#VALUE!</v>
      </c>
      <c r="R26" s="104">
        <f t="shared" si="12"/>
        <v>1322.2947761194027</v>
      </c>
      <c r="S26" s="104">
        <f t="shared" si="13"/>
        <v>-57.583892617449663</v>
      </c>
      <c r="T26" s="104">
        <f t="shared" si="14"/>
        <v>0</v>
      </c>
      <c r="V26">
        <f>K26/'Soil samples'!AK26*1000</f>
        <v>3.4932955191634254</v>
      </c>
      <c r="W26">
        <f>L26/'Soil samples'!AK26*1000</f>
        <v>1.6184733593139005</v>
      </c>
      <c r="X26" s="3">
        <f>M26/'Soil samples'!AK26*1000</f>
        <v>0</v>
      </c>
      <c r="Y26" s="31">
        <f t="shared" si="2"/>
        <v>0.47060000000000002</v>
      </c>
      <c r="Z26" s="104">
        <f t="shared" si="3"/>
        <v>0.47060000000000002</v>
      </c>
      <c r="AA26">
        <f t="shared" si="4"/>
        <v>4.7060000000000004</v>
      </c>
      <c r="AB26">
        <f t="shared" si="7"/>
        <v>4.7060000000000004</v>
      </c>
      <c r="AC26">
        <f t="shared" si="5"/>
        <v>0</v>
      </c>
      <c r="AD26">
        <f t="shared" si="8"/>
        <v>3.2160000000000002</v>
      </c>
      <c r="AF26">
        <f t="shared" si="6"/>
        <v>0.23530000000000004</v>
      </c>
    </row>
    <row r="27" spans="1:32">
      <c r="A27" t="s">
        <v>19</v>
      </c>
      <c r="B27" t="s">
        <v>9</v>
      </c>
      <c r="C27" t="s">
        <v>12</v>
      </c>
      <c r="D27" s="8">
        <v>6</v>
      </c>
      <c r="E27">
        <v>30</v>
      </c>
      <c r="F27" t="s">
        <v>386</v>
      </c>
      <c r="G27" s="54">
        <v>1.1919999999999999</v>
      </c>
      <c r="H27" s="55">
        <v>0.153</v>
      </c>
      <c r="I27" s="55">
        <v>0.191</v>
      </c>
      <c r="J27" s="25">
        <v>42748</v>
      </c>
      <c r="K27" s="54">
        <v>0.16919999999999999</v>
      </c>
      <c r="L27" s="100">
        <v>2.9399999999999999E-2</v>
      </c>
      <c r="M27" s="55">
        <v>4.4600000000000001E-2</v>
      </c>
      <c r="N27" s="25">
        <v>42751</v>
      </c>
      <c r="O27" s="104">
        <f t="shared" si="9"/>
        <v>1.0227999999999999</v>
      </c>
      <c r="P27" s="104">
        <f t="shared" si="10"/>
        <v>0.1236</v>
      </c>
      <c r="Q27" s="104">
        <f t="shared" si="11"/>
        <v>0.1464</v>
      </c>
      <c r="R27" s="104">
        <f t="shared" si="12"/>
        <v>604.49172576832154</v>
      </c>
      <c r="S27" s="104">
        <f t="shared" si="13"/>
        <v>420.40816326530609</v>
      </c>
      <c r="T27" s="104">
        <f t="shared" si="14"/>
        <v>328.25112107623318</v>
      </c>
      <c r="V27">
        <f>K27/'Soil samples'!AK27*1000</f>
        <v>1.2563017575855828</v>
      </c>
      <c r="W27">
        <f>L27/'Soil samples'!AK27*1000</f>
        <v>0.21829356780742395</v>
      </c>
      <c r="X27" s="3">
        <f>M27/'Soil samples'!AK27*1000</f>
        <v>0.33115282735411938</v>
      </c>
      <c r="Y27" s="31">
        <f t="shared" si="2"/>
        <v>0.1986</v>
      </c>
      <c r="Z27" s="104">
        <f t="shared" si="3"/>
        <v>0.2432</v>
      </c>
      <c r="AA27">
        <f t="shared" si="4"/>
        <v>1.986</v>
      </c>
      <c r="AB27">
        <f t="shared" si="7"/>
        <v>2.4319999999999999</v>
      </c>
      <c r="AC27">
        <f t="shared" si="5"/>
        <v>0.44600000000000001</v>
      </c>
      <c r="AD27">
        <f t="shared" si="8"/>
        <v>1.6919999999999999</v>
      </c>
      <c r="AF27">
        <f t="shared" si="6"/>
        <v>0.1216</v>
      </c>
    </row>
    <row r="28" spans="1:32">
      <c r="A28" t="s">
        <v>4</v>
      </c>
      <c r="B28" t="s">
        <v>9</v>
      </c>
      <c r="C28" t="s">
        <v>13</v>
      </c>
      <c r="D28">
        <v>1</v>
      </c>
      <c r="E28">
        <v>5</v>
      </c>
      <c r="F28" s="3"/>
      <c r="G28">
        <v>3.1073</v>
      </c>
      <c r="H28">
        <v>0.157</v>
      </c>
      <c r="I28" t="s">
        <v>469</v>
      </c>
      <c r="J28" s="25">
        <v>43014</v>
      </c>
      <c r="K28">
        <v>0.56410000000000005</v>
      </c>
      <c r="L28">
        <v>4.7399999999999998E-2</v>
      </c>
      <c r="M28">
        <v>0</v>
      </c>
      <c r="N28" s="25">
        <v>43018</v>
      </c>
      <c r="O28" s="104">
        <f t="shared" si="9"/>
        <v>2.5431999999999997</v>
      </c>
      <c r="P28" s="104">
        <f t="shared" si="10"/>
        <v>0.1096</v>
      </c>
      <c r="Q28" s="104" t="e">
        <f t="shared" si="11"/>
        <v>#VALUE!</v>
      </c>
      <c r="R28" s="104">
        <f t="shared" si="12"/>
        <v>450.84204928204213</v>
      </c>
      <c r="S28" s="104">
        <f t="shared" si="13"/>
        <v>231.22362869198315</v>
      </c>
      <c r="T28" s="104">
        <f t="shared" si="14"/>
        <v>0</v>
      </c>
      <c r="V28">
        <f>K28/'Soil samples'!AK28*1000</f>
        <v>11.780349181225441</v>
      </c>
      <c r="W28">
        <f>L28/'Soil samples'!AK28*1000</f>
        <v>0.98987511290566532</v>
      </c>
      <c r="X28" s="3">
        <f>M28/'Soil samples'!AK28*1000</f>
        <v>0</v>
      </c>
      <c r="Y28" s="31">
        <f t="shared" si="2"/>
        <v>0.61150000000000004</v>
      </c>
      <c r="Z28" s="104">
        <f t="shared" si="3"/>
        <v>0.61150000000000004</v>
      </c>
      <c r="AA28">
        <f t="shared" si="4"/>
        <v>6.1150000000000002</v>
      </c>
      <c r="AB28">
        <f t="shared" si="7"/>
        <v>6.1150000000000002</v>
      </c>
      <c r="AC28">
        <f t="shared" si="5"/>
        <v>0</v>
      </c>
      <c r="AD28">
        <f t="shared" si="8"/>
        <v>5.6410000000000009</v>
      </c>
      <c r="AF28">
        <f t="shared" si="6"/>
        <v>0.30575000000000002</v>
      </c>
    </row>
    <row r="29" spans="1:32">
      <c r="A29" t="s">
        <v>640</v>
      </c>
      <c r="B29" t="s">
        <v>9</v>
      </c>
      <c r="C29" t="s">
        <v>13</v>
      </c>
      <c r="D29">
        <v>1</v>
      </c>
      <c r="E29">
        <v>10</v>
      </c>
      <c r="F29" s="3"/>
      <c r="G29">
        <v>1.9932000000000001</v>
      </c>
      <c r="H29">
        <v>0.3977</v>
      </c>
      <c r="I29" t="s">
        <v>469</v>
      </c>
      <c r="J29" s="25">
        <v>43011</v>
      </c>
      <c r="K29">
        <v>0.3422</v>
      </c>
      <c r="L29">
        <v>0.1424</v>
      </c>
      <c r="M29">
        <v>0</v>
      </c>
      <c r="N29" s="25">
        <v>43018</v>
      </c>
      <c r="O29" s="104">
        <f t="shared" si="9"/>
        <v>1.651</v>
      </c>
      <c r="P29" s="104">
        <f t="shared" si="10"/>
        <v>0.25529999999999997</v>
      </c>
      <c r="Q29" s="104" t="e">
        <f t="shared" si="11"/>
        <v>#VALUE!</v>
      </c>
      <c r="R29" s="104">
        <f t="shared" si="12"/>
        <v>482.46639392168322</v>
      </c>
      <c r="S29" s="104">
        <f t="shared" si="13"/>
        <v>179.28370786516851</v>
      </c>
      <c r="T29" s="104">
        <f t="shared" si="14"/>
        <v>0</v>
      </c>
      <c r="V29">
        <f>K29/'Soil samples'!AK29*1000</f>
        <v>4.5428993547817278</v>
      </c>
      <c r="W29">
        <f>L29/'Soil samples'!AK29*1000</f>
        <v>1.8904408770336587</v>
      </c>
      <c r="X29" s="3">
        <f>M29/'Soil samples'!AK29*1000</f>
        <v>0</v>
      </c>
      <c r="Y29" s="31">
        <f t="shared" si="2"/>
        <v>0.48460000000000003</v>
      </c>
      <c r="Z29" s="104">
        <f t="shared" si="3"/>
        <v>0.48460000000000003</v>
      </c>
      <c r="AA29">
        <f t="shared" si="4"/>
        <v>4.8460000000000001</v>
      </c>
      <c r="AB29">
        <f t="shared" si="7"/>
        <v>4.8460000000000001</v>
      </c>
      <c r="AC29">
        <f t="shared" si="5"/>
        <v>0</v>
      </c>
      <c r="AD29">
        <f t="shared" si="8"/>
        <v>3.4220000000000002</v>
      </c>
      <c r="AF29">
        <f t="shared" si="6"/>
        <v>0.24230000000000002</v>
      </c>
    </row>
    <row r="30" spans="1:32">
      <c r="A30" t="s">
        <v>5</v>
      </c>
      <c r="B30" t="s">
        <v>9</v>
      </c>
      <c r="C30" t="s">
        <v>13</v>
      </c>
      <c r="D30" s="8">
        <v>1</v>
      </c>
      <c r="E30">
        <v>20</v>
      </c>
      <c r="F30" t="s">
        <v>386</v>
      </c>
      <c r="G30" s="54">
        <v>0.85319999999999996</v>
      </c>
      <c r="H30" s="55" t="s">
        <v>469</v>
      </c>
      <c r="I30" s="100" t="s">
        <v>469</v>
      </c>
      <c r="J30" s="25">
        <v>42777</v>
      </c>
      <c r="K30" s="54">
        <v>0.26590000000000003</v>
      </c>
      <c r="L30" s="55">
        <v>0</v>
      </c>
      <c r="M30" s="100">
        <v>0</v>
      </c>
      <c r="N30" s="25">
        <v>42780</v>
      </c>
      <c r="O30" s="104">
        <f t="shared" si="9"/>
        <v>0.58729999999999993</v>
      </c>
      <c r="P30" s="104" t="e">
        <f t="shared" si="10"/>
        <v>#VALUE!</v>
      </c>
      <c r="Q30" s="104" t="e">
        <f t="shared" si="11"/>
        <v>#VALUE!</v>
      </c>
      <c r="R30" s="104">
        <f t="shared" si="12"/>
        <v>220.87250846182772</v>
      </c>
      <c r="S30" s="104">
        <f t="shared" si="13"/>
        <v>0</v>
      </c>
      <c r="T30" s="104">
        <f t="shared" si="14"/>
        <v>0</v>
      </c>
      <c r="V30">
        <f>K30/'Soil samples'!AK30*1000</f>
        <v>2.4403879666785802</v>
      </c>
      <c r="W30">
        <f>L30/'Soil samples'!AK30*1000</f>
        <v>0</v>
      </c>
      <c r="X30" s="3">
        <f>M30/'Soil samples'!AK30*1000</f>
        <v>0</v>
      </c>
      <c r="Y30" s="31">
        <f t="shared" si="2"/>
        <v>0.26590000000000003</v>
      </c>
      <c r="Z30" s="104">
        <f t="shared" si="3"/>
        <v>0.26590000000000003</v>
      </c>
      <c r="AA30">
        <f t="shared" si="4"/>
        <v>2.6590000000000003</v>
      </c>
      <c r="AB30">
        <f t="shared" si="7"/>
        <v>2.6590000000000003</v>
      </c>
      <c r="AC30">
        <f t="shared" si="5"/>
        <v>0</v>
      </c>
      <c r="AD30">
        <f t="shared" si="8"/>
        <v>2.6590000000000003</v>
      </c>
      <c r="AF30">
        <f t="shared" si="6"/>
        <v>0.13295000000000001</v>
      </c>
    </row>
    <row r="31" spans="1:32">
      <c r="A31" t="s">
        <v>6</v>
      </c>
      <c r="B31" t="s">
        <v>9</v>
      </c>
      <c r="C31" t="s">
        <v>13</v>
      </c>
      <c r="D31" s="8">
        <v>1</v>
      </c>
      <c r="E31">
        <v>30</v>
      </c>
      <c r="F31" t="s">
        <v>386</v>
      </c>
      <c r="G31" s="54">
        <v>0.41060000000000002</v>
      </c>
      <c r="H31" s="55" t="s">
        <v>469</v>
      </c>
      <c r="I31" s="100" t="s">
        <v>469</v>
      </c>
      <c r="J31" s="25">
        <v>42777</v>
      </c>
      <c r="K31" s="54">
        <v>0.11509999999999999</v>
      </c>
      <c r="L31" s="55">
        <v>0</v>
      </c>
      <c r="M31" s="100">
        <v>0</v>
      </c>
      <c r="N31" s="25">
        <v>42780</v>
      </c>
      <c r="O31" s="104">
        <f t="shared" si="9"/>
        <v>0.29550000000000004</v>
      </c>
      <c r="P31" s="104" t="e">
        <f t="shared" si="10"/>
        <v>#VALUE!</v>
      </c>
      <c r="Q31" s="104" t="e">
        <f t="shared" si="11"/>
        <v>#VALUE!</v>
      </c>
      <c r="R31" s="104">
        <f t="shared" si="12"/>
        <v>256.73327541268469</v>
      </c>
      <c r="S31" s="104">
        <f t="shared" si="13"/>
        <v>0</v>
      </c>
      <c r="T31" s="104">
        <f t="shared" si="14"/>
        <v>0</v>
      </c>
      <c r="V31">
        <f>K31/'Soil samples'!AK31*1000</f>
        <v>1.5560136635235315</v>
      </c>
      <c r="W31">
        <f>L31/'Soil samples'!AK31*1000</f>
        <v>0</v>
      </c>
      <c r="X31" s="3">
        <f>M31/'Soil samples'!AK31*1000</f>
        <v>0</v>
      </c>
      <c r="Y31" s="31">
        <f t="shared" si="2"/>
        <v>0.11509999999999999</v>
      </c>
      <c r="Z31" s="104">
        <f t="shared" si="3"/>
        <v>0.11509999999999999</v>
      </c>
      <c r="AA31">
        <f t="shared" si="4"/>
        <v>1.151</v>
      </c>
      <c r="AB31">
        <f t="shared" si="7"/>
        <v>1.151</v>
      </c>
      <c r="AC31">
        <f t="shared" si="5"/>
        <v>0</v>
      </c>
      <c r="AD31">
        <f t="shared" si="8"/>
        <v>1.151</v>
      </c>
      <c r="AF31">
        <f t="shared" si="6"/>
        <v>5.7550000000000004E-2</v>
      </c>
    </row>
    <row r="32" spans="1:32">
      <c r="A32" t="s">
        <v>7</v>
      </c>
      <c r="B32" t="s">
        <v>9</v>
      </c>
      <c r="C32" t="s">
        <v>13</v>
      </c>
      <c r="D32">
        <v>2</v>
      </c>
      <c r="E32">
        <v>5</v>
      </c>
      <c r="F32" s="3"/>
      <c r="G32">
        <v>2.2507999999999999</v>
      </c>
      <c r="H32">
        <v>0.2283</v>
      </c>
      <c r="I32" t="s">
        <v>469</v>
      </c>
      <c r="J32" s="25">
        <v>42997</v>
      </c>
      <c r="K32">
        <v>0.44169999999999998</v>
      </c>
      <c r="L32">
        <v>8.4099999999999994E-2</v>
      </c>
      <c r="M32">
        <v>0</v>
      </c>
      <c r="N32" s="25">
        <v>43007</v>
      </c>
      <c r="O32" s="104">
        <f t="shared" si="9"/>
        <v>1.8090999999999999</v>
      </c>
      <c r="P32" s="104">
        <f t="shared" si="10"/>
        <v>0.14419999999999999</v>
      </c>
      <c r="Q32" s="104" t="e">
        <f t="shared" si="11"/>
        <v>#VALUE!</v>
      </c>
      <c r="R32" s="104">
        <f t="shared" si="12"/>
        <v>409.57663572560563</v>
      </c>
      <c r="S32" s="104">
        <f t="shared" si="13"/>
        <v>171.46254458977407</v>
      </c>
      <c r="T32" s="104">
        <f t="shared" si="14"/>
        <v>0</v>
      </c>
      <c r="V32">
        <f>K32/'Soil samples'!AK32*1000</f>
        <v>6.3472087700101039</v>
      </c>
      <c r="W32">
        <f>L32/'Soil samples'!AK32*1000</f>
        <v>1.2085131481952678</v>
      </c>
      <c r="X32" s="3">
        <f>M32/'Soil samples'!AK32*1000</f>
        <v>0</v>
      </c>
      <c r="Y32" s="31">
        <f t="shared" si="2"/>
        <v>0.52579999999999993</v>
      </c>
      <c r="Z32" s="104">
        <f t="shared" si="3"/>
        <v>0.52579999999999993</v>
      </c>
      <c r="AA32">
        <f t="shared" si="4"/>
        <v>5.2579999999999991</v>
      </c>
      <c r="AB32">
        <f t="shared" si="7"/>
        <v>5.2579999999999991</v>
      </c>
      <c r="AC32">
        <f t="shared" si="5"/>
        <v>0</v>
      </c>
      <c r="AD32">
        <f t="shared" si="8"/>
        <v>4.4169999999999998</v>
      </c>
      <c r="AF32">
        <f t="shared" si="6"/>
        <v>0.26289999999999997</v>
      </c>
    </row>
    <row r="33" spans="1:32">
      <c r="A33" t="s">
        <v>641</v>
      </c>
      <c r="B33" t="s">
        <v>9</v>
      </c>
      <c r="C33" t="s">
        <v>13</v>
      </c>
      <c r="D33">
        <v>2</v>
      </c>
      <c r="E33">
        <v>10</v>
      </c>
      <c r="F33" s="3"/>
      <c r="G33">
        <v>1.6081000000000001</v>
      </c>
      <c r="H33">
        <v>0.40849999999999997</v>
      </c>
      <c r="I33" t="s">
        <v>469</v>
      </c>
      <c r="J33" s="25">
        <v>42997</v>
      </c>
      <c r="K33">
        <v>0.36899999999999999</v>
      </c>
      <c r="L33">
        <v>0.15110000000000001</v>
      </c>
      <c r="M33">
        <v>0</v>
      </c>
      <c r="N33" s="25">
        <v>43007</v>
      </c>
      <c r="O33" s="104">
        <f t="shared" si="9"/>
        <v>1.2391000000000001</v>
      </c>
      <c r="P33" s="104">
        <f t="shared" si="10"/>
        <v>0.25739999999999996</v>
      </c>
      <c r="Q33" s="104" t="e">
        <f t="shared" si="11"/>
        <v>#VALUE!</v>
      </c>
      <c r="R33" s="104">
        <f t="shared" si="12"/>
        <v>335.79945799457994</v>
      </c>
      <c r="S33" s="104">
        <f t="shared" si="13"/>
        <v>170.35076108537388</v>
      </c>
      <c r="T33" s="104">
        <f t="shared" si="14"/>
        <v>0</v>
      </c>
      <c r="V33">
        <f>K33/'Soil samples'!AK33*1000</f>
        <v>4.3912500610522027</v>
      </c>
      <c r="W33">
        <f>L33/'Soil samples'!AK33*1000</f>
        <v>1.7981514477641949</v>
      </c>
      <c r="X33" s="3">
        <f>M33/'Soil samples'!AK33*1000</f>
        <v>0</v>
      </c>
      <c r="Y33" s="31">
        <f t="shared" si="2"/>
        <v>0.52010000000000001</v>
      </c>
      <c r="Z33" s="104">
        <f t="shared" si="3"/>
        <v>0.52010000000000001</v>
      </c>
      <c r="AA33">
        <f t="shared" si="4"/>
        <v>5.2009999999999996</v>
      </c>
      <c r="AB33">
        <f t="shared" si="7"/>
        <v>5.2009999999999996</v>
      </c>
      <c r="AC33">
        <f t="shared" si="5"/>
        <v>0</v>
      </c>
      <c r="AD33">
        <f t="shared" si="8"/>
        <v>3.69</v>
      </c>
      <c r="AF33">
        <f t="shared" si="6"/>
        <v>0.26005</v>
      </c>
    </row>
    <row r="34" spans="1:32">
      <c r="A34" t="s">
        <v>29</v>
      </c>
      <c r="B34" t="s">
        <v>9</v>
      </c>
      <c r="C34" t="s">
        <v>13</v>
      </c>
      <c r="D34" s="8">
        <v>2</v>
      </c>
      <c r="E34">
        <v>20</v>
      </c>
      <c r="F34" t="s">
        <v>386</v>
      </c>
      <c r="G34" s="54">
        <v>0.26200000000000001</v>
      </c>
      <c r="H34" s="55">
        <v>3.5000000000000003E-2</v>
      </c>
      <c r="I34" s="55">
        <v>3.8800000000000001E-2</v>
      </c>
      <c r="J34" s="25">
        <v>42748</v>
      </c>
      <c r="K34" s="54">
        <v>6.7599999999999993E-2</v>
      </c>
      <c r="L34" s="100">
        <v>0.115</v>
      </c>
      <c r="M34" s="55">
        <v>1.8200000000000001E-2</v>
      </c>
      <c r="N34" s="25">
        <v>42751</v>
      </c>
      <c r="O34" s="104">
        <f t="shared" si="9"/>
        <v>0.19440000000000002</v>
      </c>
      <c r="P34" s="104">
        <f t="shared" si="10"/>
        <v>-0.08</v>
      </c>
      <c r="Q34" s="104">
        <f t="shared" si="11"/>
        <v>2.06E-2</v>
      </c>
      <c r="R34" s="104">
        <f t="shared" si="12"/>
        <v>287.57396449704146</v>
      </c>
      <c r="S34" s="104">
        <f t="shared" si="13"/>
        <v>-69.565217391304344</v>
      </c>
      <c r="T34" s="104">
        <f t="shared" si="14"/>
        <v>113.18681318681318</v>
      </c>
      <c r="V34">
        <f>K34/'Soil samples'!AK34*1000</f>
        <v>1.0479126390735545</v>
      </c>
      <c r="W34">
        <f>L34/'Soil samples'!AK34*1000</f>
        <v>1.7826916197257217</v>
      </c>
      <c r="X34" s="3">
        <f>M34/'Soil samples'!AK34*1000</f>
        <v>0.28213032590441856</v>
      </c>
      <c r="Y34" s="31">
        <f t="shared" si="2"/>
        <v>0.18259999999999998</v>
      </c>
      <c r="Z34" s="104">
        <f t="shared" si="3"/>
        <v>0.20079999999999998</v>
      </c>
      <c r="AA34">
        <f t="shared" si="4"/>
        <v>1.8259999999999998</v>
      </c>
      <c r="AB34">
        <f t="shared" si="7"/>
        <v>2.0079999999999996</v>
      </c>
      <c r="AC34">
        <f t="shared" si="5"/>
        <v>0.182</v>
      </c>
      <c r="AD34">
        <f t="shared" si="8"/>
        <v>0.67599999999999993</v>
      </c>
      <c r="AF34">
        <f t="shared" si="6"/>
        <v>0.10039999999999999</v>
      </c>
    </row>
    <row r="35" spans="1:32">
      <c r="A35" t="s">
        <v>30</v>
      </c>
      <c r="B35" t="s">
        <v>9</v>
      </c>
      <c r="C35" t="s">
        <v>13</v>
      </c>
      <c r="D35" s="8">
        <v>2</v>
      </c>
      <c r="E35">
        <v>30</v>
      </c>
      <c r="F35" t="s">
        <v>386</v>
      </c>
      <c r="G35" s="54">
        <v>0.20100000000000001</v>
      </c>
      <c r="H35" s="55">
        <v>4.02E-2</v>
      </c>
      <c r="I35" s="55">
        <v>7.1199999999999999E-2</v>
      </c>
      <c r="J35" s="25">
        <v>42748</v>
      </c>
      <c r="K35" s="54">
        <v>4.4299999999999999E-2</v>
      </c>
      <c r="L35" s="100">
        <v>1.6199999999999999E-2</v>
      </c>
      <c r="M35" s="55">
        <v>2.06E-2</v>
      </c>
      <c r="N35" s="25">
        <v>42751</v>
      </c>
      <c r="O35" s="104">
        <f t="shared" si="9"/>
        <v>0.15670000000000001</v>
      </c>
      <c r="P35" s="104">
        <f t="shared" si="10"/>
        <v>2.4E-2</v>
      </c>
      <c r="Q35" s="104">
        <f t="shared" si="11"/>
        <v>5.0599999999999999E-2</v>
      </c>
      <c r="R35" s="104">
        <f t="shared" si="12"/>
        <v>353.72460496613996</v>
      </c>
      <c r="S35" s="104">
        <f t="shared" si="13"/>
        <v>148.14814814814815</v>
      </c>
      <c r="T35" s="104">
        <f t="shared" si="14"/>
        <v>245.63106796116503</v>
      </c>
      <c r="V35">
        <f>K35/'Soil samples'!AK35*1000</f>
        <v>0.71527665086860437</v>
      </c>
      <c r="W35">
        <f>L35/'Soil samples'!AK35*1000</f>
        <v>0.26156843666075374</v>
      </c>
      <c r="X35" s="3">
        <f>M35/'Soil samples'!AK35*1000</f>
        <v>0.332611715753798</v>
      </c>
      <c r="Y35" s="31">
        <f t="shared" si="2"/>
        <v>6.0499999999999998E-2</v>
      </c>
      <c r="Z35" s="104">
        <f t="shared" si="3"/>
        <v>8.1100000000000005E-2</v>
      </c>
      <c r="AA35">
        <f t="shared" si="4"/>
        <v>0.60499999999999998</v>
      </c>
      <c r="AB35">
        <f t="shared" si="7"/>
        <v>0.81100000000000005</v>
      </c>
      <c r="AC35">
        <f t="shared" si="5"/>
        <v>0.20599999999999999</v>
      </c>
      <c r="AD35">
        <f t="shared" si="8"/>
        <v>0.443</v>
      </c>
      <c r="AF35">
        <f t="shared" si="6"/>
        <v>4.0550000000000003E-2</v>
      </c>
    </row>
    <row r="36" spans="1:32">
      <c r="A36" t="s">
        <v>31</v>
      </c>
      <c r="B36" t="s">
        <v>9</v>
      </c>
      <c r="C36" t="s">
        <v>13</v>
      </c>
      <c r="D36">
        <v>3</v>
      </c>
      <c r="E36">
        <v>5</v>
      </c>
      <c r="F36" s="3"/>
      <c r="G36">
        <v>4.2058999999999997</v>
      </c>
      <c r="H36">
        <v>8.5599999999999996E-2</v>
      </c>
      <c r="I36" t="s">
        <v>469</v>
      </c>
      <c r="J36" s="25">
        <v>42997</v>
      </c>
      <c r="K36">
        <v>0.60940000000000005</v>
      </c>
      <c r="L36">
        <v>2.24E-2</v>
      </c>
      <c r="M36">
        <v>0</v>
      </c>
      <c r="N36" s="25">
        <v>43007</v>
      </c>
      <c r="O36" s="104">
        <f t="shared" si="9"/>
        <v>3.5964999999999998</v>
      </c>
      <c r="P36" s="104">
        <f t="shared" si="10"/>
        <v>6.3199999999999992E-2</v>
      </c>
      <c r="Q36" s="104" t="e">
        <f t="shared" si="11"/>
        <v>#VALUE!</v>
      </c>
      <c r="R36" s="104">
        <f t="shared" si="12"/>
        <v>590.17065966524433</v>
      </c>
      <c r="S36" s="104">
        <f t="shared" si="13"/>
        <v>282.14285714285711</v>
      </c>
      <c r="T36" s="104">
        <f t="shared" si="14"/>
        <v>0</v>
      </c>
      <c r="V36">
        <f>K36/'Soil samples'!AK36*1000</f>
        <v>21.11056879831974</v>
      </c>
      <c r="W36">
        <f>L36/'Soil samples'!AK36*1000</f>
        <v>0.77597102245218608</v>
      </c>
      <c r="X36" s="3">
        <f>M36/'Soil samples'!AK36*1000</f>
        <v>0</v>
      </c>
      <c r="Y36" s="31">
        <f t="shared" si="2"/>
        <v>0.63180000000000003</v>
      </c>
      <c r="Z36" s="104">
        <f t="shared" si="3"/>
        <v>0.63180000000000003</v>
      </c>
      <c r="AA36">
        <f t="shared" si="4"/>
        <v>6.3179999999999996</v>
      </c>
      <c r="AB36">
        <f t="shared" si="7"/>
        <v>6.3179999999999996</v>
      </c>
      <c r="AC36">
        <f t="shared" si="5"/>
        <v>0</v>
      </c>
      <c r="AD36">
        <f t="shared" si="8"/>
        <v>6.0940000000000012</v>
      </c>
      <c r="AF36">
        <f t="shared" si="6"/>
        <v>0.31590000000000001</v>
      </c>
    </row>
    <row r="37" spans="1:32">
      <c r="A37" t="s">
        <v>1093</v>
      </c>
      <c r="B37" t="s">
        <v>9</v>
      </c>
      <c r="C37" t="s">
        <v>13</v>
      </c>
      <c r="D37">
        <v>3</v>
      </c>
      <c r="E37">
        <v>10</v>
      </c>
      <c r="F37" s="3"/>
      <c r="G37">
        <v>1.7464</v>
      </c>
      <c r="H37">
        <v>4.24E-2</v>
      </c>
      <c r="I37" t="s">
        <v>469</v>
      </c>
      <c r="J37" s="25">
        <v>42997</v>
      </c>
      <c r="K37">
        <v>0.25340000000000001</v>
      </c>
      <c r="L37">
        <v>1.12E-2</v>
      </c>
      <c r="M37">
        <v>0</v>
      </c>
      <c r="N37" s="25">
        <v>43007</v>
      </c>
      <c r="O37" s="104">
        <f t="shared" si="9"/>
        <v>1.4929999999999999</v>
      </c>
      <c r="P37" s="104">
        <f t="shared" si="10"/>
        <v>3.1199999999999999E-2</v>
      </c>
      <c r="Q37" s="104" t="e">
        <f t="shared" si="11"/>
        <v>#VALUE!</v>
      </c>
      <c r="R37" s="104">
        <f t="shared" si="12"/>
        <v>589.18705603788476</v>
      </c>
      <c r="S37" s="104">
        <f t="shared" si="13"/>
        <v>278.57142857142856</v>
      </c>
      <c r="T37" s="104">
        <f t="shared" si="14"/>
        <v>0</v>
      </c>
      <c r="V37">
        <f>K37/'Soil samples'!AK37*1000</f>
        <v>2.8758917928232588</v>
      </c>
      <c r="W37">
        <f>L37/'Soil samples'!AK37*1000</f>
        <v>0.1271112394618015</v>
      </c>
      <c r="X37" s="3">
        <f>M37/'Soil samples'!AK37*1000</f>
        <v>0</v>
      </c>
      <c r="Y37" s="31">
        <f t="shared" si="2"/>
        <v>0.2646</v>
      </c>
      <c r="Z37" s="104">
        <f t="shared" si="3"/>
        <v>0.2646</v>
      </c>
      <c r="AA37">
        <f t="shared" si="4"/>
        <v>2.6459999999999999</v>
      </c>
      <c r="AB37">
        <f t="shared" si="7"/>
        <v>2.6459999999999999</v>
      </c>
      <c r="AC37">
        <f t="shared" si="5"/>
        <v>0</v>
      </c>
      <c r="AD37">
        <f t="shared" si="8"/>
        <v>2.5339999999999998</v>
      </c>
      <c r="AF37">
        <f t="shared" si="6"/>
        <v>0.1323</v>
      </c>
    </row>
    <row r="38" spans="1:32">
      <c r="A38" t="s">
        <v>32</v>
      </c>
      <c r="B38" t="s">
        <v>9</v>
      </c>
      <c r="C38" t="s">
        <v>13</v>
      </c>
      <c r="D38" s="8">
        <v>3</v>
      </c>
      <c r="E38">
        <v>20</v>
      </c>
      <c r="F38" t="s">
        <v>386</v>
      </c>
      <c r="G38" s="54">
        <v>1.1944999999999999</v>
      </c>
      <c r="H38" s="55" t="s">
        <v>469</v>
      </c>
      <c r="I38" s="55" t="s">
        <v>469</v>
      </c>
      <c r="J38" s="25">
        <v>42791</v>
      </c>
      <c r="K38" s="54">
        <v>0.16919999999999999</v>
      </c>
      <c r="L38" s="55">
        <v>0</v>
      </c>
      <c r="M38">
        <v>0</v>
      </c>
      <c r="N38" s="25">
        <v>42794</v>
      </c>
      <c r="O38" s="104">
        <f t="shared" si="9"/>
        <v>1.0252999999999999</v>
      </c>
      <c r="P38" s="104" t="e">
        <f t="shared" si="10"/>
        <v>#VALUE!</v>
      </c>
      <c r="Q38" s="104" t="e">
        <f t="shared" si="11"/>
        <v>#VALUE!</v>
      </c>
      <c r="R38" s="104">
        <f t="shared" si="12"/>
        <v>605.96926713947983</v>
      </c>
      <c r="S38" s="104">
        <f t="shared" si="13"/>
        <v>0</v>
      </c>
      <c r="T38" s="104">
        <f t="shared" si="14"/>
        <v>0</v>
      </c>
      <c r="V38">
        <f>K38/'Soil samples'!AK38*1000</f>
        <v>1.282107201275924</v>
      </c>
      <c r="W38">
        <f>L38/'Soil samples'!AK38*1000</f>
        <v>0</v>
      </c>
      <c r="X38" s="3">
        <f>M38/'Soil samples'!AK38*1000</f>
        <v>0</v>
      </c>
      <c r="Y38" s="31">
        <f t="shared" si="2"/>
        <v>0.16919999999999999</v>
      </c>
      <c r="Z38" s="104">
        <f t="shared" si="3"/>
        <v>0.16919999999999999</v>
      </c>
      <c r="AA38">
        <f t="shared" si="4"/>
        <v>1.6919999999999999</v>
      </c>
      <c r="AB38">
        <f t="shared" si="7"/>
        <v>1.6919999999999999</v>
      </c>
      <c r="AC38">
        <f t="shared" si="5"/>
        <v>0</v>
      </c>
      <c r="AD38">
        <f t="shared" si="8"/>
        <v>1.6919999999999999</v>
      </c>
      <c r="AF38">
        <f t="shared" si="6"/>
        <v>8.4600000000000009E-2</v>
      </c>
    </row>
    <row r="39" spans="1:32">
      <c r="A39" t="s">
        <v>33</v>
      </c>
      <c r="B39" t="s">
        <v>9</v>
      </c>
      <c r="C39" t="s">
        <v>13</v>
      </c>
      <c r="D39" s="8">
        <v>3</v>
      </c>
      <c r="E39">
        <v>30</v>
      </c>
      <c r="F39" t="s">
        <v>386</v>
      </c>
      <c r="G39" s="54">
        <v>0.45540000000000003</v>
      </c>
      <c r="H39" s="100">
        <v>0.11609999999999999</v>
      </c>
      <c r="I39" s="55" t="s">
        <v>469</v>
      </c>
      <c r="J39" s="25">
        <v>42791</v>
      </c>
      <c r="K39" s="54">
        <v>8.1299999999999997E-2</v>
      </c>
      <c r="L39" s="100">
        <v>2.75E-2</v>
      </c>
      <c r="M39">
        <v>0</v>
      </c>
      <c r="N39" s="25">
        <v>42794</v>
      </c>
      <c r="O39" s="104">
        <f t="shared" si="9"/>
        <v>0.37410000000000004</v>
      </c>
      <c r="P39" s="104">
        <f t="shared" si="10"/>
        <v>8.8599999999999998E-2</v>
      </c>
      <c r="Q39" s="104" t="e">
        <f t="shared" si="11"/>
        <v>#VALUE!</v>
      </c>
      <c r="R39" s="104">
        <f t="shared" si="12"/>
        <v>460.14760147601487</v>
      </c>
      <c r="S39" s="104">
        <f t="shared" si="13"/>
        <v>322.18181818181819</v>
      </c>
      <c r="T39" s="104">
        <f t="shared" si="14"/>
        <v>0</v>
      </c>
      <c r="V39">
        <f>K39/'Soil samples'!AK39*1000</f>
        <v>1.7922906999359354</v>
      </c>
      <c r="W39">
        <f>L39/'Soil samples'!AK39*1000</f>
        <v>0.60624839173724754</v>
      </c>
      <c r="X39" s="3">
        <f>M39/'Soil samples'!AK39*1000</f>
        <v>0</v>
      </c>
      <c r="Y39" s="31">
        <f t="shared" si="2"/>
        <v>0.10879999999999999</v>
      </c>
      <c r="Z39" s="104">
        <f t="shared" si="3"/>
        <v>0.10879999999999999</v>
      </c>
      <c r="AA39">
        <f t="shared" si="4"/>
        <v>1.0880000000000001</v>
      </c>
      <c r="AB39">
        <f t="shared" si="7"/>
        <v>1.0880000000000001</v>
      </c>
      <c r="AC39">
        <f t="shared" si="5"/>
        <v>0</v>
      </c>
      <c r="AD39">
        <f t="shared" si="8"/>
        <v>0.81299999999999994</v>
      </c>
      <c r="AF39">
        <f t="shared" si="6"/>
        <v>5.4400000000000004E-2</v>
      </c>
    </row>
    <row r="40" spans="1:32">
      <c r="A40" t="s">
        <v>34</v>
      </c>
      <c r="B40" t="s">
        <v>9</v>
      </c>
      <c r="C40" t="s">
        <v>13</v>
      </c>
      <c r="D40">
        <v>4</v>
      </c>
      <c r="E40">
        <v>5</v>
      </c>
      <c r="F40" s="3"/>
      <c r="G40">
        <v>2.5844</v>
      </c>
      <c r="H40">
        <v>8.5000000000000006E-3</v>
      </c>
      <c r="I40">
        <v>0.06</v>
      </c>
      <c r="J40" s="25">
        <v>42993</v>
      </c>
      <c r="K40">
        <v>0.38719999999999999</v>
      </c>
      <c r="L40">
        <v>2.8999999999999998E-3</v>
      </c>
      <c r="M40">
        <v>1.6799999999999999E-2</v>
      </c>
      <c r="N40" s="25">
        <v>42996</v>
      </c>
      <c r="O40" s="104">
        <f t="shared" si="9"/>
        <v>2.1972</v>
      </c>
      <c r="P40" s="104">
        <f t="shared" si="10"/>
        <v>5.6000000000000008E-3</v>
      </c>
      <c r="Q40" s="104">
        <f t="shared" si="11"/>
        <v>4.3200000000000002E-2</v>
      </c>
      <c r="R40" s="104">
        <f t="shared" si="12"/>
        <v>567.45867768595042</v>
      </c>
      <c r="S40" s="104">
        <f t="shared" si="13"/>
        <v>193.10344827586209</v>
      </c>
      <c r="T40" s="104">
        <f t="shared" si="14"/>
        <v>257.14285714285717</v>
      </c>
      <c r="V40">
        <f>K40/'Soil samples'!AK40*1000</f>
        <v>15.746673628772411</v>
      </c>
      <c r="W40">
        <f>L40/'Soil samples'!AK40*1000</f>
        <v>0.11793737996756196</v>
      </c>
      <c r="X40" s="3">
        <f>M40/'Soil samples'!AK40*1000</f>
        <v>0.68322344257070378</v>
      </c>
      <c r="Y40" s="31">
        <f t="shared" si="2"/>
        <v>0.3901</v>
      </c>
      <c r="Z40" s="104">
        <f t="shared" si="3"/>
        <v>0.40689999999999998</v>
      </c>
      <c r="AA40">
        <f t="shared" si="4"/>
        <v>3.9009999999999998</v>
      </c>
      <c r="AB40">
        <f t="shared" si="7"/>
        <v>4.069</v>
      </c>
      <c r="AC40">
        <f t="shared" si="5"/>
        <v>0.16800000000000001</v>
      </c>
      <c r="AD40">
        <f t="shared" si="8"/>
        <v>3.8719999999999999</v>
      </c>
      <c r="AF40">
        <f t="shared" si="6"/>
        <v>0.20345000000000002</v>
      </c>
    </row>
    <row r="41" spans="1:32">
      <c r="A41" t="s">
        <v>1094</v>
      </c>
      <c r="B41" t="s">
        <v>9</v>
      </c>
      <c r="C41" t="s">
        <v>13</v>
      </c>
      <c r="D41">
        <v>4</v>
      </c>
      <c r="E41">
        <v>10</v>
      </c>
      <c r="F41" s="3"/>
      <c r="G41">
        <v>0.53269999999999995</v>
      </c>
      <c r="H41" t="s">
        <v>469</v>
      </c>
      <c r="I41">
        <v>6.0299999999999999E-2</v>
      </c>
      <c r="J41" s="25">
        <v>42993</v>
      </c>
      <c r="K41">
        <v>7.85E-2</v>
      </c>
      <c r="L41">
        <v>0</v>
      </c>
      <c r="M41">
        <v>2.07E-2</v>
      </c>
      <c r="N41" s="25">
        <v>42996</v>
      </c>
      <c r="O41" s="104">
        <f t="shared" si="9"/>
        <v>0.45419999999999994</v>
      </c>
      <c r="P41" s="104" t="e">
        <f t="shared" si="10"/>
        <v>#VALUE!</v>
      </c>
      <c r="Q41" s="104">
        <f t="shared" si="11"/>
        <v>3.9599999999999996E-2</v>
      </c>
      <c r="R41" s="104">
        <f t="shared" si="12"/>
        <v>578.59872611464959</v>
      </c>
      <c r="S41" s="104">
        <f t="shared" si="13"/>
        <v>0</v>
      </c>
      <c r="T41" s="104">
        <f t="shared" si="14"/>
        <v>191.30434782608694</v>
      </c>
      <c r="V41">
        <f>K41/'Soil samples'!AK41*1000</f>
        <v>1.4406032194810632</v>
      </c>
      <c r="W41">
        <f>L41/'Soil samples'!AK41*1000</f>
        <v>0</v>
      </c>
      <c r="X41" s="3">
        <f>M41/'Soil samples'!AK41*1000</f>
        <v>0.37987881074214025</v>
      </c>
      <c r="Y41" s="31">
        <f t="shared" si="2"/>
        <v>7.85E-2</v>
      </c>
      <c r="Z41" s="104">
        <f t="shared" si="3"/>
        <v>9.9199999999999997E-2</v>
      </c>
      <c r="AA41">
        <f t="shared" si="4"/>
        <v>0.78500000000000003</v>
      </c>
      <c r="AB41">
        <f t="shared" si="7"/>
        <v>0.99199999999999999</v>
      </c>
      <c r="AC41">
        <f t="shared" si="5"/>
        <v>0.20699999999999999</v>
      </c>
      <c r="AD41">
        <f t="shared" si="8"/>
        <v>0.78500000000000003</v>
      </c>
      <c r="AF41">
        <f t="shared" si="6"/>
        <v>4.9600000000000005E-2</v>
      </c>
    </row>
    <row r="42" spans="1:32">
      <c r="A42" t="s">
        <v>35</v>
      </c>
      <c r="B42" t="s">
        <v>9</v>
      </c>
      <c r="C42" t="s">
        <v>13</v>
      </c>
      <c r="D42" s="8">
        <v>4</v>
      </c>
      <c r="E42">
        <v>20</v>
      </c>
      <c r="F42" t="s">
        <v>386</v>
      </c>
      <c r="G42" s="54">
        <v>0.1124</v>
      </c>
      <c r="H42" s="55" t="s">
        <v>469</v>
      </c>
      <c r="I42" s="55" t="s">
        <v>469</v>
      </c>
      <c r="J42" s="25">
        <v>42748</v>
      </c>
      <c r="K42" s="54">
        <v>3.27E-2</v>
      </c>
      <c r="L42" s="55">
        <v>0</v>
      </c>
      <c r="M42">
        <v>0</v>
      </c>
      <c r="N42" s="25">
        <v>42751</v>
      </c>
      <c r="O42" s="104">
        <f t="shared" si="9"/>
        <v>7.9699999999999993E-2</v>
      </c>
      <c r="P42" s="104" t="e">
        <f t="shared" si="10"/>
        <v>#VALUE!</v>
      </c>
      <c r="Q42" s="104" t="e">
        <f t="shared" si="11"/>
        <v>#VALUE!</v>
      </c>
      <c r="R42" s="104">
        <f t="shared" si="12"/>
        <v>243.73088685015287</v>
      </c>
      <c r="S42" s="104">
        <f t="shared" si="13"/>
        <v>0</v>
      </c>
      <c r="T42" s="104">
        <f t="shared" si="14"/>
        <v>0</v>
      </c>
      <c r="V42">
        <f>K42/'Soil samples'!AK42*1000</f>
        <v>0.3206217651126399</v>
      </c>
      <c r="W42">
        <f>L42/'Soil samples'!AK42*1000</f>
        <v>0</v>
      </c>
      <c r="X42" s="3">
        <f>M42/'Soil samples'!AK42*1000</f>
        <v>0</v>
      </c>
      <c r="Y42" s="31">
        <f t="shared" si="2"/>
        <v>3.27E-2</v>
      </c>
      <c r="Z42" s="104">
        <f t="shared" si="3"/>
        <v>3.27E-2</v>
      </c>
      <c r="AA42">
        <f t="shared" si="4"/>
        <v>0.32700000000000001</v>
      </c>
      <c r="AB42">
        <f t="shared" si="7"/>
        <v>0.32700000000000001</v>
      </c>
      <c r="AC42">
        <f t="shared" si="5"/>
        <v>0</v>
      </c>
      <c r="AD42">
        <f t="shared" si="8"/>
        <v>0.32700000000000001</v>
      </c>
      <c r="AF42">
        <f t="shared" si="6"/>
        <v>1.635E-2</v>
      </c>
    </row>
    <row r="43" spans="1:32">
      <c r="A43" t="s">
        <v>36</v>
      </c>
      <c r="B43" t="s">
        <v>9</v>
      </c>
      <c r="C43" t="s">
        <v>13</v>
      </c>
      <c r="D43" s="8">
        <v>4</v>
      </c>
      <c r="E43">
        <v>30</v>
      </c>
      <c r="F43" t="s">
        <v>386</v>
      </c>
      <c r="G43" s="54">
        <v>0.12089999999999999</v>
      </c>
      <c r="H43" s="55" t="s">
        <v>469</v>
      </c>
      <c r="I43" s="55" t="s">
        <v>469</v>
      </c>
      <c r="J43" s="25">
        <v>42748</v>
      </c>
      <c r="K43" s="54">
        <v>2.3900000000000001E-2</v>
      </c>
      <c r="L43" s="55">
        <v>0</v>
      </c>
      <c r="M43">
        <v>0</v>
      </c>
      <c r="N43" s="25">
        <v>42751</v>
      </c>
      <c r="O43" s="104">
        <f t="shared" si="9"/>
        <v>9.6999999999999989E-2</v>
      </c>
      <c r="P43" s="104" t="e">
        <f t="shared" si="10"/>
        <v>#VALUE!</v>
      </c>
      <c r="Q43" s="104" t="e">
        <f t="shared" si="11"/>
        <v>#VALUE!</v>
      </c>
      <c r="R43" s="104">
        <f t="shared" si="12"/>
        <v>405.85774058577397</v>
      </c>
      <c r="S43" s="104">
        <f t="shared" si="13"/>
        <v>0</v>
      </c>
      <c r="T43" s="104">
        <f t="shared" si="14"/>
        <v>0</v>
      </c>
      <c r="V43">
        <f>K43/'Soil samples'!AK43*1000</f>
        <v>0.79805482758205137</v>
      </c>
      <c r="W43">
        <f>L43/'Soil samples'!AK43*1000</f>
        <v>0</v>
      </c>
      <c r="X43" s="3">
        <f>M43/'Soil samples'!AK43*1000</f>
        <v>0</v>
      </c>
      <c r="Y43" s="31">
        <f>SUM(K43:L43)</f>
        <v>2.3900000000000001E-2</v>
      </c>
      <c r="Z43" s="104">
        <f>SUM(K43:M43)</f>
        <v>2.3900000000000001E-2</v>
      </c>
      <c r="AA43">
        <f t="shared" si="4"/>
        <v>0.23899999999999999</v>
      </c>
      <c r="AB43">
        <f t="shared" si="7"/>
        <v>0.23899999999999999</v>
      </c>
      <c r="AC43">
        <f t="shared" si="5"/>
        <v>0</v>
      </c>
      <c r="AD43">
        <f t="shared" si="8"/>
        <v>0.23899999999999999</v>
      </c>
      <c r="AF43">
        <f t="shared" si="6"/>
        <v>1.1950000000000001E-2</v>
      </c>
    </row>
    <row r="44" spans="1:32">
      <c r="A44" t="s">
        <v>37</v>
      </c>
      <c r="B44" t="s">
        <v>9</v>
      </c>
      <c r="C44" t="s">
        <v>13</v>
      </c>
      <c r="D44">
        <v>5</v>
      </c>
      <c r="E44">
        <v>5</v>
      </c>
      <c r="F44" s="3"/>
      <c r="G44">
        <v>3.7412000000000001</v>
      </c>
      <c r="H44" t="s">
        <v>469</v>
      </c>
      <c r="I44" t="s">
        <v>469</v>
      </c>
      <c r="J44" s="25">
        <v>42993</v>
      </c>
      <c r="K44">
        <v>0.61980000000000002</v>
      </c>
      <c r="L44">
        <v>0</v>
      </c>
      <c r="M44">
        <v>0</v>
      </c>
      <c r="N44" s="25">
        <v>42996</v>
      </c>
      <c r="O44" s="104">
        <f t="shared" si="9"/>
        <v>3.1214</v>
      </c>
      <c r="P44" s="104" t="e">
        <f t="shared" si="10"/>
        <v>#VALUE!</v>
      </c>
      <c r="Q44" s="104" t="e">
        <f t="shared" si="11"/>
        <v>#VALUE!</v>
      </c>
      <c r="R44" s="104">
        <f t="shared" si="12"/>
        <v>503.61406905453367</v>
      </c>
      <c r="S44" s="104">
        <f t="shared" si="13"/>
        <v>0</v>
      </c>
      <c r="T44" s="104">
        <f t="shared" si="14"/>
        <v>0</v>
      </c>
      <c r="U44" s="3" t="s">
        <v>696</v>
      </c>
      <c r="V44">
        <f>K44/'Soil samples'!AK44*1000</f>
        <v>14.675795668420255</v>
      </c>
      <c r="W44">
        <f>L44/'Soil samples'!AK44*1000</f>
        <v>0</v>
      </c>
      <c r="X44" s="3">
        <f>M44/'Soil samples'!AK44*1000</f>
        <v>0</v>
      </c>
      <c r="Y44" s="31">
        <f t="shared" ref="Y44:Y63" si="15">SUM(K44:L44)</f>
        <v>0.61980000000000002</v>
      </c>
      <c r="Z44" s="104">
        <f t="shared" ref="Z44:Z63" si="16">SUM(K44:M44)</f>
        <v>0.61980000000000002</v>
      </c>
      <c r="AA44">
        <f t="shared" si="4"/>
        <v>6.1980000000000004</v>
      </c>
      <c r="AB44">
        <f t="shared" si="7"/>
        <v>6.1980000000000004</v>
      </c>
      <c r="AC44">
        <f t="shared" si="5"/>
        <v>0</v>
      </c>
      <c r="AD44">
        <f t="shared" si="8"/>
        <v>6.1980000000000004</v>
      </c>
      <c r="AF44">
        <f t="shared" si="6"/>
        <v>0.30990000000000006</v>
      </c>
    </row>
    <row r="45" spans="1:32">
      <c r="A45" t="s">
        <v>38</v>
      </c>
      <c r="B45" t="s">
        <v>9</v>
      </c>
      <c r="C45" t="s">
        <v>13</v>
      </c>
      <c r="D45">
        <v>5</v>
      </c>
      <c r="E45">
        <v>10</v>
      </c>
      <c r="F45" s="3"/>
      <c r="G45">
        <v>2.4039999999999999</v>
      </c>
      <c r="H45">
        <v>9.5500000000000002E-2</v>
      </c>
      <c r="I45" t="s">
        <v>469</v>
      </c>
      <c r="J45" s="25">
        <v>42993</v>
      </c>
      <c r="K45">
        <v>0.41710000000000003</v>
      </c>
      <c r="L45">
        <v>2.9000000000000001E-2</v>
      </c>
      <c r="M45">
        <v>0</v>
      </c>
      <c r="N45" s="25">
        <v>42996</v>
      </c>
      <c r="O45" s="104">
        <f t="shared" si="9"/>
        <v>1.9868999999999999</v>
      </c>
      <c r="P45" s="104">
        <f t="shared" si="10"/>
        <v>6.6500000000000004E-2</v>
      </c>
      <c r="Q45" s="104" t="e">
        <f t="shared" si="11"/>
        <v>#VALUE!</v>
      </c>
      <c r="R45" s="104">
        <f t="shared" si="12"/>
        <v>476.36058499160868</v>
      </c>
      <c r="S45" s="104">
        <f t="shared" si="13"/>
        <v>229.31034482758622</v>
      </c>
      <c r="T45" s="104">
        <f t="shared" si="14"/>
        <v>0</v>
      </c>
      <c r="V45">
        <f>K45/'Soil samples'!AK45*1000</f>
        <v>8.7448439483165252</v>
      </c>
      <c r="W45">
        <f>L45/'Soil samples'!AK45*1000</f>
        <v>0.60800880964080362</v>
      </c>
      <c r="X45" s="3">
        <f>M45/'Soil samples'!AK45*1000</f>
        <v>0</v>
      </c>
      <c r="Y45" s="31">
        <f t="shared" si="15"/>
        <v>0.44610000000000005</v>
      </c>
      <c r="Z45" s="104">
        <f t="shared" si="16"/>
        <v>0.44610000000000005</v>
      </c>
      <c r="AA45">
        <f t="shared" si="4"/>
        <v>4.4610000000000012</v>
      </c>
      <c r="AB45">
        <f t="shared" si="7"/>
        <v>4.4610000000000012</v>
      </c>
      <c r="AC45">
        <f t="shared" si="5"/>
        <v>0</v>
      </c>
      <c r="AD45">
        <f t="shared" si="8"/>
        <v>4.1710000000000003</v>
      </c>
      <c r="AF45">
        <f t="shared" si="6"/>
        <v>0.22305000000000008</v>
      </c>
    </row>
    <row r="46" spans="1:32">
      <c r="A46" t="s">
        <v>1115</v>
      </c>
      <c r="B46" t="s">
        <v>9</v>
      </c>
      <c r="C46" t="s">
        <v>13</v>
      </c>
      <c r="D46" s="8">
        <v>5</v>
      </c>
      <c r="E46">
        <v>20</v>
      </c>
      <c r="F46" t="s">
        <v>386</v>
      </c>
      <c r="G46" s="54">
        <v>1.5212000000000001</v>
      </c>
      <c r="H46" s="55">
        <v>3.2399999999999998E-2</v>
      </c>
      <c r="I46" s="55" t="s">
        <v>469</v>
      </c>
      <c r="J46" s="25">
        <v>42798</v>
      </c>
      <c r="K46" s="54">
        <v>0.28891</v>
      </c>
      <c r="L46" s="55">
        <v>1.29E-2</v>
      </c>
      <c r="M46">
        <v>0</v>
      </c>
      <c r="N46" s="25">
        <v>42801</v>
      </c>
      <c r="O46" s="104">
        <f t="shared" si="9"/>
        <v>1.2322900000000001</v>
      </c>
      <c r="P46" s="104">
        <f t="shared" si="10"/>
        <v>1.9499999999999997E-2</v>
      </c>
      <c r="Q46" s="104" t="e">
        <f t="shared" si="11"/>
        <v>#VALUE!</v>
      </c>
      <c r="R46" s="104">
        <f t="shared" si="12"/>
        <v>426.53075352185806</v>
      </c>
      <c r="S46" s="104">
        <f t="shared" si="13"/>
        <v>151.16279069767441</v>
      </c>
      <c r="T46" s="104">
        <f t="shared" si="14"/>
        <v>0</v>
      </c>
      <c r="U46" s="3" t="s">
        <v>696</v>
      </c>
      <c r="V46">
        <f>K46/'Soil samples'!AK46*1000</f>
        <v>5.5845482501749828</v>
      </c>
      <c r="W46">
        <f>L46/'Soil samples'!AK46*1000</f>
        <v>0.24935333642745935</v>
      </c>
      <c r="X46" s="3">
        <f>M46/'Soil samples'!AK46*1000</f>
        <v>0</v>
      </c>
      <c r="Y46" s="31">
        <f t="shared" si="15"/>
        <v>0.30181000000000002</v>
      </c>
      <c r="Z46" s="104">
        <f t="shared" si="16"/>
        <v>0.30181000000000002</v>
      </c>
      <c r="AA46">
        <f t="shared" si="4"/>
        <v>3.0181000000000004</v>
      </c>
      <c r="AB46">
        <f t="shared" si="7"/>
        <v>3.0181000000000004</v>
      </c>
      <c r="AC46">
        <f t="shared" si="5"/>
        <v>0</v>
      </c>
      <c r="AD46">
        <f t="shared" si="8"/>
        <v>2.8891</v>
      </c>
      <c r="AF46">
        <f t="shared" si="6"/>
        <v>0.15090500000000004</v>
      </c>
    </row>
    <row r="47" spans="1:32">
      <c r="A47" t="s">
        <v>39</v>
      </c>
      <c r="B47" t="s">
        <v>9</v>
      </c>
      <c r="C47" t="s">
        <v>13</v>
      </c>
      <c r="D47">
        <v>6</v>
      </c>
      <c r="E47">
        <v>5</v>
      </c>
      <c r="F47" s="3"/>
      <c r="G47">
        <v>1.7151000000000001</v>
      </c>
      <c r="H47">
        <v>0.1008</v>
      </c>
      <c r="I47" t="s">
        <v>469</v>
      </c>
      <c r="J47" s="25">
        <v>42993</v>
      </c>
      <c r="K47">
        <v>0.31340000000000001</v>
      </c>
      <c r="L47">
        <v>1.04E-2</v>
      </c>
      <c r="M47">
        <v>0</v>
      </c>
      <c r="N47" s="25">
        <v>42996</v>
      </c>
      <c r="O47" s="104">
        <f t="shared" si="9"/>
        <v>1.4016999999999999</v>
      </c>
      <c r="P47" s="104">
        <f t="shared" si="10"/>
        <v>9.0400000000000008E-2</v>
      </c>
      <c r="Q47" s="104" t="e">
        <f t="shared" si="11"/>
        <v>#VALUE!</v>
      </c>
      <c r="R47" s="104">
        <f t="shared" si="12"/>
        <v>447.25590299936175</v>
      </c>
      <c r="S47" s="104">
        <f t="shared" si="13"/>
        <v>869.23076923076928</v>
      </c>
      <c r="T47" s="104">
        <f t="shared" si="14"/>
        <v>0</v>
      </c>
      <c r="V47">
        <f>K47/'Soil samples'!AK47*1000</f>
        <v>87.19809089644346</v>
      </c>
      <c r="W47">
        <f>L47/'Soil samples'!AK47*1000</f>
        <v>2.8936188427664709</v>
      </c>
      <c r="X47" s="3">
        <f>M47/'Soil samples'!AK47*1000</f>
        <v>0</v>
      </c>
      <c r="Y47" s="31">
        <f t="shared" si="15"/>
        <v>0.32380000000000003</v>
      </c>
      <c r="Z47" s="104">
        <f t="shared" si="16"/>
        <v>0.32380000000000003</v>
      </c>
      <c r="AA47">
        <f t="shared" si="4"/>
        <v>3.2380000000000004</v>
      </c>
      <c r="AB47">
        <f t="shared" si="7"/>
        <v>3.2380000000000004</v>
      </c>
      <c r="AC47">
        <f t="shared" si="5"/>
        <v>0</v>
      </c>
      <c r="AD47">
        <f t="shared" si="8"/>
        <v>3.1339999999999999</v>
      </c>
      <c r="AF47">
        <f t="shared" si="6"/>
        <v>0.16190000000000004</v>
      </c>
    </row>
    <row r="48" spans="1:32">
      <c r="A48" t="s">
        <v>1095</v>
      </c>
      <c r="B48" t="s">
        <v>9</v>
      </c>
      <c r="C48" t="s">
        <v>13</v>
      </c>
      <c r="D48">
        <v>6</v>
      </c>
      <c r="E48">
        <v>10</v>
      </c>
      <c r="F48" s="3"/>
      <c r="G48">
        <v>1.5580000000000001</v>
      </c>
      <c r="H48">
        <v>3.5700000000000003E-2</v>
      </c>
      <c r="I48" t="s">
        <v>469</v>
      </c>
      <c r="J48" s="25">
        <v>42993</v>
      </c>
      <c r="K48">
        <v>0.29459999999999997</v>
      </c>
      <c r="L48">
        <v>7.1000000000000004E-3</v>
      </c>
      <c r="M48">
        <v>0</v>
      </c>
      <c r="N48" s="25">
        <v>42996</v>
      </c>
      <c r="O48" s="104">
        <f t="shared" si="9"/>
        <v>1.2634000000000001</v>
      </c>
      <c r="P48" s="104">
        <f t="shared" si="10"/>
        <v>2.86E-2</v>
      </c>
      <c r="Q48" s="104" t="e">
        <f t="shared" si="11"/>
        <v>#VALUE!</v>
      </c>
      <c r="R48" s="104">
        <f t="shared" si="12"/>
        <v>428.85268160217248</v>
      </c>
      <c r="S48" s="104">
        <f t="shared" si="13"/>
        <v>402.81690140845069</v>
      </c>
      <c r="T48" s="104">
        <f t="shared" si="14"/>
        <v>0</v>
      </c>
      <c r="V48">
        <f>K48/'Soil samples'!AK48*1000</f>
        <v>23.45823098854779</v>
      </c>
      <c r="W48">
        <f>L48/'Soil samples'!AK48*1000</f>
        <v>0.56535451465950204</v>
      </c>
      <c r="X48" s="3">
        <f>M48/'Soil samples'!AK48*1000</f>
        <v>0</v>
      </c>
      <c r="Y48" s="31">
        <f t="shared" si="15"/>
        <v>0.30169999999999997</v>
      </c>
      <c r="Z48" s="104">
        <f t="shared" si="16"/>
        <v>0.30169999999999997</v>
      </c>
      <c r="AA48">
        <f t="shared" si="4"/>
        <v>3.0169999999999995</v>
      </c>
      <c r="AB48">
        <f t="shared" si="7"/>
        <v>3.0169999999999995</v>
      </c>
      <c r="AC48">
        <f t="shared" si="5"/>
        <v>0</v>
      </c>
      <c r="AD48">
        <f t="shared" si="8"/>
        <v>2.9459999999999997</v>
      </c>
      <c r="AF48">
        <f t="shared" si="6"/>
        <v>0.15084999999999998</v>
      </c>
    </row>
    <row r="49" spans="1:32">
      <c r="A49" t="s">
        <v>40</v>
      </c>
      <c r="B49" t="s">
        <v>9</v>
      </c>
      <c r="C49" t="s">
        <v>13</v>
      </c>
      <c r="D49" s="8">
        <v>6</v>
      </c>
      <c r="E49">
        <v>20</v>
      </c>
      <c r="F49" t="s">
        <v>386</v>
      </c>
      <c r="G49" s="54">
        <v>1.0489999999999999</v>
      </c>
      <c r="H49" s="55" t="s">
        <v>469</v>
      </c>
      <c r="I49" s="100" t="s">
        <v>469</v>
      </c>
      <c r="J49" s="25">
        <v>42790</v>
      </c>
      <c r="K49" s="54">
        <v>0.2482</v>
      </c>
      <c r="L49" s="100">
        <v>0</v>
      </c>
      <c r="M49" s="55">
        <v>0</v>
      </c>
      <c r="N49" s="25">
        <v>42794</v>
      </c>
      <c r="O49" s="104">
        <f t="shared" ref="O49:Q58" si="17">G49-K49</f>
        <v>0.80079999999999996</v>
      </c>
      <c r="P49" s="104" t="e">
        <f t="shared" si="17"/>
        <v>#VALUE!</v>
      </c>
      <c r="Q49" s="104" t="e">
        <f t="shared" si="17"/>
        <v>#VALUE!</v>
      </c>
      <c r="R49" s="104">
        <f t="shared" ref="R49:T58" si="18">IF(K49&gt;0,O49/K49*100,0)</f>
        <v>322.64302981466557</v>
      </c>
      <c r="S49" s="104">
        <f t="shared" si="18"/>
        <v>0</v>
      </c>
      <c r="T49" s="104">
        <f t="shared" si="18"/>
        <v>0</v>
      </c>
      <c r="V49">
        <f>K49/'Soil samples'!AK37*1000</f>
        <v>2.816875860215994</v>
      </c>
      <c r="W49">
        <f>L49/'Soil samples'!AK37*1000</f>
        <v>0</v>
      </c>
      <c r="X49" s="3">
        <f>M49/'Soil samples'!AK37*1000</f>
        <v>0</v>
      </c>
      <c r="Y49" s="31">
        <f t="shared" si="15"/>
        <v>0.2482</v>
      </c>
      <c r="Z49" s="104">
        <f t="shared" si="16"/>
        <v>0.2482</v>
      </c>
      <c r="AA49">
        <f t="shared" si="4"/>
        <v>2.4820000000000002</v>
      </c>
      <c r="AB49">
        <f t="shared" si="7"/>
        <v>2.4820000000000002</v>
      </c>
      <c r="AC49">
        <f t="shared" si="5"/>
        <v>0</v>
      </c>
      <c r="AD49">
        <f t="shared" si="8"/>
        <v>2.4820000000000002</v>
      </c>
      <c r="AF49">
        <f t="shared" si="6"/>
        <v>0.12410000000000002</v>
      </c>
    </row>
    <row r="50" spans="1:32" s="4" customFormat="1">
      <c r="A50" s="4" t="s">
        <v>41</v>
      </c>
      <c r="B50" s="4" t="s">
        <v>9</v>
      </c>
      <c r="C50" s="4" t="s">
        <v>13</v>
      </c>
      <c r="D50" s="4">
        <v>6</v>
      </c>
      <c r="E50" s="4">
        <v>30</v>
      </c>
      <c r="F50" s="4" t="s">
        <v>386</v>
      </c>
      <c r="G50" s="101">
        <v>0.54369999999999996</v>
      </c>
      <c r="H50" s="102" t="s">
        <v>469</v>
      </c>
      <c r="I50" s="102" t="s">
        <v>469</v>
      </c>
      <c r="J50" s="27">
        <v>42790</v>
      </c>
      <c r="K50" s="101">
        <v>0.16189999999999999</v>
      </c>
      <c r="L50" s="100">
        <v>0</v>
      </c>
      <c r="M50" s="55">
        <v>0</v>
      </c>
      <c r="N50" s="25">
        <v>42794</v>
      </c>
      <c r="O50" s="102">
        <f t="shared" si="17"/>
        <v>0.38179999999999997</v>
      </c>
      <c r="P50" s="102" t="e">
        <f t="shared" si="17"/>
        <v>#VALUE!</v>
      </c>
      <c r="Q50" s="102" t="e">
        <f t="shared" si="17"/>
        <v>#VALUE!</v>
      </c>
      <c r="R50" s="102">
        <f t="shared" si="18"/>
        <v>235.82458307597284</v>
      </c>
      <c r="S50" s="102">
        <f t="shared" si="18"/>
        <v>0</v>
      </c>
      <c r="T50" s="102">
        <f t="shared" si="18"/>
        <v>0</v>
      </c>
      <c r="U50" s="5"/>
      <c r="V50">
        <f>K50/'Soil samples'!AK38*1000</f>
        <v>1.2267917014572818</v>
      </c>
      <c r="W50">
        <f>L50/'Soil samples'!AK38*1000</f>
        <v>0</v>
      </c>
      <c r="X50" s="3">
        <f>M50/'Soil samples'!AK38*1000</f>
        <v>0</v>
      </c>
      <c r="Y50" s="31">
        <f t="shared" si="15"/>
        <v>0.16189999999999999</v>
      </c>
      <c r="Z50" s="104">
        <f t="shared" si="16"/>
        <v>0.16189999999999999</v>
      </c>
      <c r="AA50">
        <f t="shared" si="4"/>
        <v>1.6189999999999998</v>
      </c>
      <c r="AB50">
        <f t="shared" si="7"/>
        <v>1.6189999999999998</v>
      </c>
      <c r="AC50">
        <f t="shared" si="5"/>
        <v>0</v>
      </c>
      <c r="AD50">
        <f t="shared" si="8"/>
        <v>1.6189999999999998</v>
      </c>
      <c r="AF50">
        <f t="shared" si="6"/>
        <v>8.0949999999999994E-2</v>
      </c>
    </row>
    <row r="51" spans="1:32">
      <c r="A51" s="6" t="s">
        <v>43</v>
      </c>
      <c r="B51" s="6" t="s">
        <v>196</v>
      </c>
      <c r="C51" t="s">
        <v>12</v>
      </c>
      <c r="D51" s="8">
        <v>1</v>
      </c>
      <c r="E51">
        <v>5</v>
      </c>
      <c r="F51" t="s">
        <v>376</v>
      </c>
      <c r="G51" s="54">
        <v>2.8313000000000001</v>
      </c>
      <c r="H51" s="55">
        <v>0.18690000000000001</v>
      </c>
      <c r="I51" s="55" t="s">
        <v>469</v>
      </c>
      <c r="J51" s="25">
        <v>42769</v>
      </c>
      <c r="K51" s="100">
        <v>0.54200000000000004</v>
      </c>
      <c r="L51" s="100">
        <v>3.5099999999999999E-2</v>
      </c>
      <c r="M51" s="55">
        <v>0</v>
      </c>
      <c r="N51" s="25">
        <v>42772</v>
      </c>
      <c r="O51" s="104">
        <f t="shared" si="17"/>
        <v>2.2892999999999999</v>
      </c>
      <c r="P51" s="104">
        <f t="shared" si="17"/>
        <v>0.15180000000000002</v>
      </c>
      <c r="Q51" s="104" t="e">
        <f t="shared" si="17"/>
        <v>#VALUE!</v>
      </c>
      <c r="R51" s="104">
        <f t="shared" si="18"/>
        <v>422.38007380073793</v>
      </c>
      <c r="S51" s="104">
        <f t="shared" si="18"/>
        <v>432.47863247863256</v>
      </c>
      <c r="T51" s="104">
        <f t="shared" si="18"/>
        <v>0</v>
      </c>
      <c r="V51">
        <f>K51/'Soil samples'!AK39*1000</f>
        <v>11.94860466623957</v>
      </c>
      <c r="W51">
        <f>L51/'Soil samples'!AK39*1000</f>
        <v>0.77379340181735945</v>
      </c>
      <c r="X51" s="3">
        <f>M51/'Soil samples'!AK39*1000</f>
        <v>0</v>
      </c>
      <c r="Y51" s="31">
        <f t="shared" si="15"/>
        <v>0.57710000000000006</v>
      </c>
      <c r="Z51" s="104">
        <f t="shared" si="16"/>
        <v>0.57710000000000006</v>
      </c>
      <c r="AA51">
        <f t="shared" si="4"/>
        <v>5.7710000000000008</v>
      </c>
      <c r="AB51">
        <f t="shared" si="7"/>
        <v>5.7710000000000008</v>
      </c>
      <c r="AC51">
        <f t="shared" si="5"/>
        <v>0</v>
      </c>
      <c r="AD51">
        <f t="shared" si="8"/>
        <v>5.42</v>
      </c>
      <c r="AF51">
        <f t="shared" si="6"/>
        <v>0.28855000000000003</v>
      </c>
    </row>
    <row r="52" spans="1:32">
      <c r="A52" s="6" t="s">
        <v>44</v>
      </c>
      <c r="B52" s="6" t="s">
        <v>196</v>
      </c>
      <c r="C52" t="s">
        <v>12</v>
      </c>
      <c r="D52" s="8">
        <v>1</v>
      </c>
      <c r="E52">
        <v>10</v>
      </c>
      <c r="G52" s="54">
        <v>1.3594999999999999</v>
      </c>
      <c r="H52" s="55">
        <v>0.2117</v>
      </c>
      <c r="I52" s="55" t="s">
        <v>469</v>
      </c>
      <c r="J52" s="25">
        <v>42769</v>
      </c>
      <c r="K52" s="54">
        <v>0.32669999999999999</v>
      </c>
      <c r="L52" s="100">
        <v>7.3800000000000004E-2</v>
      </c>
      <c r="M52" s="55">
        <v>0</v>
      </c>
      <c r="N52" s="25">
        <v>42772</v>
      </c>
      <c r="O52" s="104">
        <f t="shared" si="17"/>
        <v>1.0327999999999999</v>
      </c>
      <c r="P52" s="104">
        <f t="shared" si="17"/>
        <v>0.13789999999999999</v>
      </c>
      <c r="Q52" s="104" t="e">
        <f t="shared" si="17"/>
        <v>#VALUE!</v>
      </c>
      <c r="R52" s="104">
        <f t="shared" si="18"/>
        <v>316.13100704009798</v>
      </c>
      <c r="S52" s="104">
        <f t="shared" si="18"/>
        <v>186.85636856368561</v>
      </c>
      <c r="T52" s="104">
        <f t="shared" si="18"/>
        <v>0</v>
      </c>
      <c r="V52">
        <f>K52/'Soil samples'!AK40*1000</f>
        <v>13.286255874276721</v>
      </c>
      <c r="W52">
        <f>L52/'Soil samples'!AK40*1000</f>
        <v>3.0013029798641635</v>
      </c>
      <c r="X52" s="3">
        <f>M52/'Soil samples'!AK40*1000</f>
        <v>0</v>
      </c>
      <c r="Y52" s="31">
        <f t="shared" si="15"/>
        <v>0.40049999999999997</v>
      </c>
      <c r="Z52" s="104">
        <f t="shared" si="16"/>
        <v>0.40049999999999997</v>
      </c>
      <c r="AA52">
        <f t="shared" si="4"/>
        <v>4.0049999999999999</v>
      </c>
      <c r="AB52">
        <f t="shared" si="7"/>
        <v>4.0049999999999999</v>
      </c>
      <c r="AC52">
        <f t="shared" si="5"/>
        <v>0</v>
      </c>
      <c r="AD52">
        <f t="shared" si="8"/>
        <v>3.2669999999999999</v>
      </c>
      <c r="AF52">
        <f t="shared" si="6"/>
        <v>0.20025000000000001</v>
      </c>
    </row>
    <row r="53" spans="1:32">
      <c r="A53" s="6" t="s">
        <v>45</v>
      </c>
      <c r="B53" s="6" t="s">
        <v>196</v>
      </c>
      <c r="C53" t="s">
        <v>12</v>
      </c>
      <c r="D53" s="8">
        <v>1</v>
      </c>
      <c r="E53">
        <v>20</v>
      </c>
      <c r="G53" s="54">
        <v>0.57099999999999995</v>
      </c>
      <c r="H53" s="55">
        <v>1.7399999999999999E-2</v>
      </c>
      <c r="I53" s="55" t="s">
        <v>469</v>
      </c>
      <c r="J53" s="25">
        <v>42769</v>
      </c>
      <c r="K53" s="54">
        <v>0.1351</v>
      </c>
      <c r="L53" s="100">
        <v>6.1000000000000004E-3</v>
      </c>
      <c r="M53" s="55">
        <v>0</v>
      </c>
      <c r="N53" s="25">
        <v>42772</v>
      </c>
      <c r="O53" s="104">
        <f t="shared" si="17"/>
        <v>0.43589999999999995</v>
      </c>
      <c r="P53" s="104">
        <f t="shared" si="17"/>
        <v>1.1299999999999998E-2</v>
      </c>
      <c r="Q53" s="104" t="e">
        <f t="shared" si="17"/>
        <v>#VALUE!</v>
      </c>
      <c r="R53" s="104">
        <f t="shared" si="18"/>
        <v>322.64988897113244</v>
      </c>
      <c r="S53" s="104">
        <f t="shared" si="18"/>
        <v>185.2459016393442</v>
      </c>
      <c r="T53" s="104">
        <f t="shared" si="18"/>
        <v>0</v>
      </c>
      <c r="V53">
        <f>K53/'Soil samples'!AK41*1000</f>
        <v>2.4793056681769636</v>
      </c>
      <c r="W53">
        <f>L53/'Soil samples'!AK41*1000</f>
        <v>0.11194496355203168</v>
      </c>
      <c r="X53" s="3">
        <f>M53/'Soil samples'!AK41*1000</f>
        <v>0</v>
      </c>
      <c r="Y53" s="31">
        <f t="shared" si="15"/>
        <v>0.14119999999999999</v>
      </c>
      <c r="Z53" s="104">
        <f t="shared" si="16"/>
        <v>0.14119999999999999</v>
      </c>
      <c r="AA53">
        <f t="shared" si="4"/>
        <v>1.4119999999999999</v>
      </c>
      <c r="AB53">
        <f t="shared" si="7"/>
        <v>1.4119999999999999</v>
      </c>
      <c r="AC53">
        <f t="shared" si="5"/>
        <v>0</v>
      </c>
      <c r="AD53">
        <f t="shared" si="8"/>
        <v>1.351</v>
      </c>
      <c r="AF53">
        <f t="shared" si="6"/>
        <v>7.0599999999999996E-2</v>
      </c>
    </row>
    <row r="54" spans="1:32">
      <c r="A54" s="6" t="s">
        <v>46</v>
      </c>
      <c r="B54" s="6" t="s">
        <v>196</v>
      </c>
      <c r="C54" t="s">
        <v>12</v>
      </c>
      <c r="D54" s="8">
        <v>1</v>
      </c>
      <c r="E54">
        <v>30</v>
      </c>
      <c r="G54" s="54">
        <v>0.5534</v>
      </c>
      <c r="H54" s="55" t="s">
        <v>469</v>
      </c>
      <c r="I54" s="55" t="s">
        <v>469</v>
      </c>
      <c r="J54" s="25">
        <v>42769</v>
      </c>
      <c r="K54" s="54">
        <v>0.1512</v>
      </c>
      <c r="L54" s="55">
        <v>0</v>
      </c>
      <c r="M54" s="55">
        <v>0</v>
      </c>
      <c r="N54" s="25">
        <v>42772</v>
      </c>
      <c r="O54" s="104">
        <f t="shared" si="17"/>
        <v>0.4022</v>
      </c>
      <c r="P54" s="104" t="e">
        <f t="shared" si="17"/>
        <v>#VALUE!</v>
      </c>
      <c r="Q54" s="104" t="e">
        <f t="shared" si="17"/>
        <v>#VALUE!</v>
      </c>
      <c r="R54" s="104">
        <f t="shared" si="18"/>
        <v>266.00529100529104</v>
      </c>
      <c r="S54" s="104">
        <f t="shared" si="18"/>
        <v>0</v>
      </c>
      <c r="T54" s="104">
        <f t="shared" si="18"/>
        <v>0</v>
      </c>
      <c r="V54">
        <f>K54/'Soil samples'!AK42*1000</f>
        <v>1.4825079781355091</v>
      </c>
      <c r="W54">
        <f>L54/'Soil samples'!AK42*1000</f>
        <v>0</v>
      </c>
      <c r="X54" s="3">
        <f>M54/'Soil samples'!AK42*1000</f>
        <v>0</v>
      </c>
      <c r="Y54" s="31">
        <f t="shared" si="15"/>
        <v>0.1512</v>
      </c>
      <c r="Z54" s="104">
        <f t="shared" si="16"/>
        <v>0.1512</v>
      </c>
      <c r="AA54">
        <f t="shared" si="4"/>
        <v>1.512</v>
      </c>
      <c r="AB54">
        <f t="shared" si="7"/>
        <v>1.512</v>
      </c>
      <c r="AC54">
        <f t="shared" si="5"/>
        <v>0</v>
      </c>
      <c r="AD54">
        <f t="shared" si="8"/>
        <v>1.512</v>
      </c>
      <c r="AF54">
        <f t="shared" si="6"/>
        <v>7.5600000000000001E-2</v>
      </c>
    </row>
    <row r="55" spans="1:32">
      <c r="A55" s="6" t="s">
        <v>47</v>
      </c>
      <c r="B55" s="6" t="s">
        <v>196</v>
      </c>
      <c r="C55" t="s">
        <v>12</v>
      </c>
      <c r="D55" s="8">
        <v>2</v>
      </c>
      <c r="E55">
        <v>5</v>
      </c>
      <c r="G55" s="54">
        <v>2.3839000000000001</v>
      </c>
      <c r="H55" s="55">
        <v>0.24079999999999999</v>
      </c>
      <c r="I55" s="55" t="s">
        <v>469</v>
      </c>
      <c r="J55" s="25">
        <v>42798</v>
      </c>
      <c r="K55" s="54">
        <v>0.46550000000000002</v>
      </c>
      <c r="L55" s="55">
        <v>4.8099999999999997E-2</v>
      </c>
      <c r="M55" s="55">
        <v>0</v>
      </c>
      <c r="N55" s="25">
        <v>42801</v>
      </c>
      <c r="O55" s="104">
        <f t="shared" si="17"/>
        <v>1.9184000000000001</v>
      </c>
      <c r="P55" s="104">
        <f t="shared" si="17"/>
        <v>0.19269999999999998</v>
      </c>
      <c r="Q55" s="104" t="e">
        <f t="shared" si="17"/>
        <v>#VALUE!</v>
      </c>
      <c r="R55" s="104">
        <f t="shared" si="18"/>
        <v>412.11600429645546</v>
      </c>
      <c r="S55" s="104">
        <f t="shared" si="18"/>
        <v>400.62370062370059</v>
      </c>
      <c r="T55" s="104">
        <f t="shared" si="18"/>
        <v>0</v>
      </c>
      <c r="U55" s="3" t="s">
        <v>696</v>
      </c>
      <c r="V55">
        <f>K55/'Soil samples'!AK43*1000</f>
        <v>15.543703859391002</v>
      </c>
      <c r="W55">
        <f>L55/'Soil samples'!AK43*1000</f>
        <v>1.6061270797781033</v>
      </c>
      <c r="X55" s="3">
        <f>M55/'Soil samples'!AK43*1000</f>
        <v>0</v>
      </c>
      <c r="Y55" s="31">
        <f t="shared" si="15"/>
        <v>0.51360000000000006</v>
      </c>
      <c r="Z55" s="104">
        <f t="shared" si="16"/>
        <v>0.51360000000000006</v>
      </c>
      <c r="AA55">
        <f t="shared" si="4"/>
        <v>5.136000000000001</v>
      </c>
      <c r="AB55">
        <f t="shared" si="7"/>
        <v>5.136000000000001</v>
      </c>
      <c r="AC55">
        <f t="shared" si="5"/>
        <v>0</v>
      </c>
      <c r="AD55">
        <f t="shared" si="8"/>
        <v>4.6550000000000002</v>
      </c>
      <c r="AF55">
        <f t="shared" si="6"/>
        <v>0.25680000000000008</v>
      </c>
    </row>
    <row r="56" spans="1:32">
      <c r="A56" s="6" t="s">
        <v>48</v>
      </c>
      <c r="B56" s="6" t="s">
        <v>196</v>
      </c>
      <c r="C56" t="s">
        <v>12</v>
      </c>
      <c r="D56" s="8">
        <v>2</v>
      </c>
      <c r="E56">
        <v>10</v>
      </c>
      <c r="G56" s="54">
        <v>0.3518</v>
      </c>
      <c r="H56" s="55" t="s">
        <v>469</v>
      </c>
      <c r="I56" s="55" t="s">
        <v>469</v>
      </c>
      <c r="J56" s="25">
        <v>42798</v>
      </c>
      <c r="K56" s="54">
        <v>7.0699999999999999E-2</v>
      </c>
      <c r="L56" s="55">
        <v>0</v>
      </c>
      <c r="M56" s="55">
        <v>0</v>
      </c>
      <c r="N56" s="25">
        <v>42801</v>
      </c>
      <c r="O56" s="104">
        <f t="shared" si="17"/>
        <v>0.28110000000000002</v>
      </c>
      <c r="P56" s="104" t="e">
        <f t="shared" si="17"/>
        <v>#VALUE!</v>
      </c>
      <c r="Q56" s="104" t="e">
        <f t="shared" si="17"/>
        <v>#VALUE!</v>
      </c>
      <c r="R56" s="104">
        <f t="shared" si="18"/>
        <v>397.59547383309763</v>
      </c>
      <c r="S56" s="104">
        <f t="shared" si="18"/>
        <v>0</v>
      </c>
      <c r="T56" s="104">
        <f t="shared" si="18"/>
        <v>0</v>
      </c>
      <c r="U56" s="3" t="s">
        <v>696</v>
      </c>
      <c r="V56">
        <f>K56/'Soil samples'!AK44*1000</f>
        <v>1.67405413642677</v>
      </c>
      <c r="W56">
        <f>L56/'Soil samples'!AK44*1000</f>
        <v>0</v>
      </c>
      <c r="X56" s="3">
        <f>M56/'Soil samples'!AK44*1000</f>
        <v>0</v>
      </c>
      <c r="Y56" s="31">
        <f t="shared" si="15"/>
        <v>7.0699999999999999E-2</v>
      </c>
      <c r="Z56" s="104">
        <f t="shared" si="16"/>
        <v>7.0699999999999999E-2</v>
      </c>
      <c r="AA56">
        <f t="shared" si="4"/>
        <v>0.70699999999999996</v>
      </c>
      <c r="AB56">
        <f t="shared" si="7"/>
        <v>0.70699999999999996</v>
      </c>
      <c r="AC56">
        <f t="shared" si="5"/>
        <v>0</v>
      </c>
      <c r="AD56">
        <f t="shared" si="8"/>
        <v>0.70699999999999996</v>
      </c>
      <c r="AF56">
        <f t="shared" si="6"/>
        <v>3.5349999999999999E-2</v>
      </c>
    </row>
    <row r="57" spans="1:32">
      <c r="A57" s="6" t="s">
        <v>49</v>
      </c>
      <c r="B57" s="6" t="s">
        <v>196</v>
      </c>
      <c r="C57" t="s">
        <v>12</v>
      </c>
      <c r="D57" s="8">
        <v>2</v>
      </c>
      <c r="E57">
        <v>20</v>
      </c>
      <c r="G57" s="54">
        <v>0.2036</v>
      </c>
      <c r="H57" s="55" t="s">
        <v>469</v>
      </c>
      <c r="I57" s="55" t="s">
        <v>469</v>
      </c>
      <c r="J57" s="25">
        <v>42798</v>
      </c>
      <c r="K57" s="54">
        <v>4.41E-2</v>
      </c>
      <c r="L57" s="55">
        <v>0</v>
      </c>
      <c r="M57" s="55">
        <v>0</v>
      </c>
      <c r="N57" s="25">
        <v>42801</v>
      </c>
      <c r="O57" s="104">
        <f t="shared" si="17"/>
        <v>0.1595</v>
      </c>
      <c r="P57" s="104" t="e">
        <f t="shared" si="17"/>
        <v>#VALUE!</v>
      </c>
      <c r="Q57" s="104" t="e">
        <f t="shared" si="17"/>
        <v>#VALUE!</v>
      </c>
      <c r="R57" s="104">
        <f t="shared" si="18"/>
        <v>361.67800453514741</v>
      </c>
      <c r="S57" s="104">
        <f t="shared" si="18"/>
        <v>0</v>
      </c>
      <c r="T57" s="104">
        <f t="shared" si="18"/>
        <v>0</v>
      </c>
      <c r="U57" s="3" t="s">
        <v>696</v>
      </c>
      <c r="V57">
        <f>K57/'Soil samples'!AK45*1000</f>
        <v>0.92459270707446339</v>
      </c>
      <c r="W57">
        <f>L57/'Soil samples'!AK45*1000</f>
        <v>0</v>
      </c>
      <c r="X57" s="3">
        <f>M57/'Soil samples'!AK45*1000</f>
        <v>0</v>
      </c>
      <c r="Y57" s="31">
        <f t="shared" si="15"/>
        <v>4.41E-2</v>
      </c>
      <c r="Z57" s="104">
        <f t="shared" si="16"/>
        <v>4.41E-2</v>
      </c>
      <c r="AA57">
        <f t="shared" si="4"/>
        <v>0.441</v>
      </c>
      <c r="AB57">
        <f t="shared" si="7"/>
        <v>0.441</v>
      </c>
      <c r="AC57">
        <f t="shared" si="5"/>
        <v>0</v>
      </c>
      <c r="AD57">
        <f t="shared" si="8"/>
        <v>0.441</v>
      </c>
      <c r="AF57">
        <f t="shared" si="6"/>
        <v>2.205E-2</v>
      </c>
    </row>
    <row r="58" spans="1:32" s="8" customFormat="1">
      <c r="A58" s="6" t="s">
        <v>50</v>
      </c>
      <c r="B58" s="6" t="s">
        <v>196</v>
      </c>
      <c r="C58" s="8" t="s">
        <v>12</v>
      </c>
      <c r="D58" s="8">
        <v>2</v>
      </c>
      <c r="E58" s="8">
        <v>30</v>
      </c>
      <c r="G58" s="55">
        <v>7.6200000000000004E-2</v>
      </c>
      <c r="H58" s="55">
        <v>1.8100000000000002E-2</v>
      </c>
      <c r="I58" s="55" t="s">
        <v>469</v>
      </c>
      <c r="J58" s="26">
        <v>42798</v>
      </c>
      <c r="K58" s="55">
        <v>1.9800000000000002E-2</v>
      </c>
      <c r="L58" s="55">
        <v>2.5999999999999999E-3</v>
      </c>
      <c r="M58" s="55">
        <v>0</v>
      </c>
      <c r="N58" s="26">
        <v>42801</v>
      </c>
      <c r="O58" s="55">
        <f t="shared" si="17"/>
        <v>5.6400000000000006E-2</v>
      </c>
      <c r="P58" s="55">
        <f t="shared" si="17"/>
        <v>1.5500000000000002E-2</v>
      </c>
      <c r="Q58" s="55" t="e">
        <f t="shared" si="17"/>
        <v>#VALUE!</v>
      </c>
      <c r="R58" s="55">
        <f t="shared" si="18"/>
        <v>284.84848484848487</v>
      </c>
      <c r="S58" s="55">
        <f t="shared" si="18"/>
        <v>596.1538461538463</v>
      </c>
      <c r="T58" s="55">
        <f t="shared" si="18"/>
        <v>0</v>
      </c>
      <c r="U58" s="8" t="s">
        <v>699</v>
      </c>
      <c r="V58" s="8">
        <f>K58/'Soil samples'!AK46*1000</f>
        <v>0.382728376842147</v>
      </c>
      <c r="W58" s="8">
        <f>L58/'Soil samples'!AK46*1000</f>
        <v>5.0257261605534446E-2</v>
      </c>
      <c r="X58" s="8">
        <f>M58/'Soil samples'!AK46*1000</f>
        <v>0</v>
      </c>
      <c r="Y58" s="51">
        <f t="shared" si="15"/>
        <v>2.2400000000000003E-2</v>
      </c>
      <c r="Z58" s="55">
        <f t="shared" si="16"/>
        <v>2.2400000000000003E-2</v>
      </c>
      <c r="AA58" s="8">
        <f t="shared" si="4"/>
        <v>0.22400000000000003</v>
      </c>
      <c r="AB58" s="8">
        <f t="shared" si="7"/>
        <v>0.22400000000000003</v>
      </c>
      <c r="AC58">
        <f t="shared" si="5"/>
        <v>0</v>
      </c>
      <c r="AD58">
        <f t="shared" si="8"/>
        <v>0.19800000000000004</v>
      </c>
      <c r="AF58">
        <f t="shared" si="6"/>
        <v>1.1200000000000002E-2</v>
      </c>
    </row>
    <row r="59" spans="1:32" s="8" customFormat="1">
      <c r="A59" s="8" t="s">
        <v>51</v>
      </c>
      <c r="B59" s="6" t="s">
        <v>196</v>
      </c>
      <c r="C59" s="8" t="s">
        <v>12</v>
      </c>
      <c r="D59" s="8">
        <v>3</v>
      </c>
      <c r="E59" s="8">
        <v>5</v>
      </c>
      <c r="G59" s="8">
        <v>7.1534000000000004</v>
      </c>
      <c r="H59" s="8">
        <v>1.3277000000000001</v>
      </c>
      <c r="I59" s="8">
        <v>6.6799999999999998E-2</v>
      </c>
      <c r="J59" s="26">
        <v>43017</v>
      </c>
      <c r="K59" s="8">
        <v>1.2274</v>
      </c>
      <c r="L59" s="8">
        <v>0.24890000000000001</v>
      </c>
      <c r="M59" s="8">
        <v>1.0500000000000001E-2</v>
      </c>
      <c r="N59" s="26">
        <v>43021</v>
      </c>
      <c r="O59" s="55">
        <f t="shared" ref="O59:O60" si="19">G59-K59</f>
        <v>5.9260000000000002</v>
      </c>
      <c r="P59" s="55">
        <f t="shared" ref="P59:P60" si="20">H59-L59</f>
        <v>1.0788000000000002</v>
      </c>
      <c r="Q59" s="55">
        <f t="shared" ref="Q59:Q60" si="21">I59-M59</f>
        <v>5.6299999999999996E-2</v>
      </c>
      <c r="R59" s="55">
        <f t="shared" ref="R59:R60" si="22">IF(K59&gt;0,O59/K59*100,0)</f>
        <v>482.80919015805767</v>
      </c>
      <c r="S59" s="55">
        <f t="shared" ref="S59:S60" si="23">IF(L59&gt;0,P59/L59*100,0)</f>
        <v>433.4270791482524</v>
      </c>
      <c r="T59" s="55">
        <f t="shared" ref="T59:T60" si="24">IF(M59&gt;0,Q59/M59*100,0)</f>
        <v>536.19047619047615</v>
      </c>
      <c r="V59" s="8">
        <f>K59/'Soil samples'!AK47*1000</f>
        <v>341.50266996265066</v>
      </c>
      <c r="W59" s="8">
        <f>L59/'Soil samples'!AK47*1000</f>
        <v>69.252089419670639</v>
      </c>
      <c r="X59" s="8">
        <f>M59/'Soil samples'!AK47*1000</f>
        <v>2.9214421008699949</v>
      </c>
      <c r="Y59" s="51">
        <f t="shared" si="15"/>
        <v>1.4763000000000002</v>
      </c>
      <c r="Z59" s="55">
        <f t="shared" si="16"/>
        <v>1.4868000000000001</v>
      </c>
      <c r="AA59" s="8">
        <f t="shared" si="4"/>
        <v>14.763000000000002</v>
      </c>
      <c r="AB59" s="8">
        <f t="shared" si="7"/>
        <v>14.868000000000002</v>
      </c>
      <c r="AC59">
        <f t="shared" si="5"/>
        <v>0.105</v>
      </c>
      <c r="AD59">
        <f t="shared" si="8"/>
        <v>12.273999999999999</v>
      </c>
      <c r="AF59">
        <f t="shared" si="6"/>
        <v>0.74340000000000017</v>
      </c>
    </row>
    <row r="60" spans="1:32" s="8" customFormat="1">
      <c r="A60" s="6" t="s">
        <v>1096</v>
      </c>
      <c r="B60" s="6" t="s">
        <v>196</v>
      </c>
      <c r="C60" s="6" t="s">
        <v>12</v>
      </c>
      <c r="D60" s="8">
        <v>3</v>
      </c>
      <c r="E60" s="8">
        <v>10</v>
      </c>
      <c r="G60" s="6">
        <v>10.5349</v>
      </c>
      <c r="H60" s="6">
        <v>1.0566</v>
      </c>
      <c r="I60" s="8">
        <v>0.1719</v>
      </c>
      <c r="J60" s="26">
        <v>43011</v>
      </c>
      <c r="K60" s="6">
        <v>1.2452000000000001</v>
      </c>
      <c r="L60" s="6">
        <v>0.19489999999999999</v>
      </c>
      <c r="M60" s="6">
        <v>3.1399999999999997E-2</v>
      </c>
      <c r="N60" s="26">
        <v>43018</v>
      </c>
      <c r="O60" s="55">
        <f t="shared" si="19"/>
        <v>9.2896999999999998</v>
      </c>
      <c r="P60" s="55">
        <f t="shared" si="20"/>
        <v>0.86170000000000002</v>
      </c>
      <c r="Q60" s="55">
        <f t="shared" si="21"/>
        <v>0.14050000000000001</v>
      </c>
      <c r="R60" s="55">
        <f t="shared" si="22"/>
        <v>746.04079665917118</v>
      </c>
      <c r="S60" s="55">
        <f t="shared" si="23"/>
        <v>442.12416623909701</v>
      </c>
      <c r="T60" s="55">
        <f t="shared" si="24"/>
        <v>447.45222929936313</v>
      </c>
      <c r="Y60" s="51">
        <f t="shared" si="15"/>
        <v>1.4401000000000002</v>
      </c>
      <c r="Z60" s="55">
        <f t="shared" si="16"/>
        <v>1.4715000000000003</v>
      </c>
      <c r="AA60" s="8">
        <f t="shared" si="4"/>
        <v>14.401000000000002</v>
      </c>
      <c r="AB60" s="8">
        <f t="shared" si="7"/>
        <v>14.715000000000002</v>
      </c>
      <c r="AC60">
        <f t="shared" si="5"/>
        <v>0.314</v>
      </c>
      <c r="AD60">
        <f t="shared" si="8"/>
        <v>12.452</v>
      </c>
      <c r="AF60">
        <f t="shared" si="6"/>
        <v>0.73575000000000013</v>
      </c>
    </row>
    <row r="61" spans="1:32" s="8" customFormat="1">
      <c r="A61" s="6" t="s">
        <v>1097</v>
      </c>
      <c r="B61" s="6" t="s">
        <v>196</v>
      </c>
      <c r="C61" s="6" t="s">
        <v>12</v>
      </c>
      <c r="D61" s="8">
        <v>3</v>
      </c>
      <c r="E61" s="8">
        <v>20</v>
      </c>
      <c r="G61" s="6">
        <v>1.3978999999999999</v>
      </c>
      <c r="H61" s="6">
        <v>6.5100000000000005E-2</v>
      </c>
      <c r="I61" s="6" t="s">
        <v>469</v>
      </c>
      <c r="J61" s="26">
        <v>43011</v>
      </c>
      <c r="K61" s="6">
        <v>0.21060000000000001</v>
      </c>
      <c r="L61" s="8">
        <v>1.49E-2</v>
      </c>
      <c r="M61" s="6">
        <v>0</v>
      </c>
      <c r="N61" s="26">
        <v>43018</v>
      </c>
      <c r="O61" s="55">
        <f t="shared" ref="O61:O66" si="25">G61-K61</f>
        <v>1.1873</v>
      </c>
      <c r="P61" s="55">
        <f t="shared" ref="P61:P66" si="26">H61-L61</f>
        <v>5.0200000000000009E-2</v>
      </c>
      <c r="Q61" s="55" t="e">
        <f t="shared" ref="Q61:Q66" si="27">I61-M61</f>
        <v>#VALUE!</v>
      </c>
      <c r="R61" s="55">
        <f t="shared" ref="R61:R66" si="28">IF(K61&gt;0,O61/K61*100,0)</f>
        <v>563.77018043684711</v>
      </c>
      <c r="S61" s="55">
        <f t="shared" ref="S61:S66" si="29">IF(L61&gt;0,P61/L61*100,0)</f>
        <v>336.91275167785244</v>
      </c>
      <c r="T61" s="55">
        <f t="shared" ref="T61:T66" si="30">IF(M61&gt;0,Q61/M61*100,0)</f>
        <v>0</v>
      </c>
      <c r="Y61" s="51">
        <f t="shared" si="15"/>
        <v>0.22550000000000001</v>
      </c>
      <c r="Z61" s="55">
        <f t="shared" si="16"/>
        <v>0.22550000000000001</v>
      </c>
      <c r="AA61" s="8">
        <f t="shared" si="4"/>
        <v>2.2549999999999999</v>
      </c>
      <c r="AB61" s="8">
        <f t="shared" si="7"/>
        <v>2.2549999999999999</v>
      </c>
      <c r="AC61">
        <f t="shared" si="5"/>
        <v>0</v>
      </c>
      <c r="AD61">
        <f t="shared" si="8"/>
        <v>2.1059999999999999</v>
      </c>
      <c r="AF61">
        <f t="shared" si="6"/>
        <v>0.11275</v>
      </c>
    </row>
    <row r="62" spans="1:32" s="8" customFormat="1">
      <c r="A62" s="6" t="s">
        <v>1098</v>
      </c>
      <c r="B62" s="6" t="s">
        <v>196</v>
      </c>
      <c r="C62" s="8" t="s">
        <v>12</v>
      </c>
      <c r="D62" s="8">
        <v>3</v>
      </c>
      <c r="E62" s="8">
        <v>30</v>
      </c>
      <c r="G62" s="8">
        <v>0.2034</v>
      </c>
      <c r="H62" s="8">
        <v>1.09E-2</v>
      </c>
      <c r="I62" s="8" t="s">
        <v>469</v>
      </c>
      <c r="J62" s="26">
        <v>43011</v>
      </c>
      <c r="K62" s="8">
        <v>3.7600000000000001E-2</v>
      </c>
      <c r="L62" s="8">
        <v>3.3999999999999998E-3</v>
      </c>
      <c r="M62" s="8">
        <v>0</v>
      </c>
      <c r="N62" s="26">
        <v>43018</v>
      </c>
      <c r="O62" s="55">
        <f t="shared" si="25"/>
        <v>0.1658</v>
      </c>
      <c r="P62" s="55">
        <f t="shared" si="26"/>
        <v>7.4999999999999997E-3</v>
      </c>
      <c r="Q62" s="55" t="e">
        <f t="shared" si="27"/>
        <v>#VALUE!</v>
      </c>
      <c r="R62" s="55">
        <f t="shared" si="28"/>
        <v>440.95744680851061</v>
      </c>
      <c r="S62" s="55">
        <f t="shared" si="29"/>
        <v>220.58823529411765</v>
      </c>
      <c r="T62" s="55">
        <f t="shared" si="30"/>
        <v>0</v>
      </c>
      <c r="Y62" s="51">
        <f t="shared" si="15"/>
        <v>4.1000000000000002E-2</v>
      </c>
      <c r="Z62" s="55">
        <f t="shared" si="16"/>
        <v>4.1000000000000002E-2</v>
      </c>
      <c r="AA62" s="8">
        <f t="shared" si="4"/>
        <v>0.41</v>
      </c>
      <c r="AB62" s="8">
        <f t="shared" si="7"/>
        <v>0.41</v>
      </c>
      <c r="AC62">
        <f t="shared" si="5"/>
        <v>0</v>
      </c>
      <c r="AD62">
        <f t="shared" si="8"/>
        <v>0.376</v>
      </c>
      <c r="AF62">
        <f t="shared" si="6"/>
        <v>2.0500000000000001E-2</v>
      </c>
    </row>
    <row r="63" spans="1:32" s="8" customFormat="1">
      <c r="A63" s="6" t="s">
        <v>52</v>
      </c>
      <c r="B63" s="6" t="s">
        <v>196</v>
      </c>
      <c r="C63" s="8" t="s">
        <v>12</v>
      </c>
      <c r="D63" s="8">
        <v>4</v>
      </c>
      <c r="E63" s="8">
        <v>5</v>
      </c>
      <c r="F63" s="8" t="s">
        <v>543</v>
      </c>
      <c r="G63" s="55">
        <v>2.0447000000000002</v>
      </c>
      <c r="H63" s="55" t="s">
        <v>469</v>
      </c>
      <c r="I63" s="55" t="s">
        <v>469</v>
      </c>
      <c r="J63" s="26">
        <v>42767</v>
      </c>
      <c r="K63" s="55">
        <v>0.40050000000000002</v>
      </c>
      <c r="L63" s="55">
        <v>0</v>
      </c>
      <c r="M63" s="55">
        <v>0</v>
      </c>
      <c r="N63" s="26">
        <v>42770</v>
      </c>
      <c r="O63" s="55">
        <f t="shared" si="25"/>
        <v>1.6442000000000001</v>
      </c>
      <c r="P63" s="55" t="e">
        <f t="shared" si="26"/>
        <v>#VALUE!</v>
      </c>
      <c r="Q63" s="55" t="e">
        <f t="shared" si="27"/>
        <v>#VALUE!</v>
      </c>
      <c r="R63" s="55">
        <f t="shared" si="28"/>
        <v>410.53682896379524</v>
      </c>
      <c r="S63" s="55">
        <f t="shared" si="29"/>
        <v>0</v>
      </c>
      <c r="T63" s="55">
        <f t="shared" si="30"/>
        <v>0</v>
      </c>
      <c r="V63" s="8">
        <f>K63/'Soil samples'!AK48*1000</f>
        <v>31.89077227058177</v>
      </c>
      <c r="W63" s="8">
        <f>L63/'Soil samples'!AK48*1000</f>
        <v>0</v>
      </c>
      <c r="X63" s="8">
        <f>M63/'Soil samples'!AK48*1000</f>
        <v>0</v>
      </c>
      <c r="Y63" s="51">
        <f t="shared" si="15"/>
        <v>0.40050000000000002</v>
      </c>
      <c r="Z63" s="55">
        <f t="shared" si="16"/>
        <v>0.40050000000000002</v>
      </c>
      <c r="AA63" s="8">
        <f t="shared" si="4"/>
        <v>4.0049999999999999</v>
      </c>
      <c r="AB63" s="8">
        <f t="shared" si="7"/>
        <v>4.0049999999999999</v>
      </c>
      <c r="AC63">
        <f t="shared" si="5"/>
        <v>0</v>
      </c>
      <c r="AD63">
        <f t="shared" si="8"/>
        <v>4.0049999999999999</v>
      </c>
      <c r="AF63">
        <f t="shared" si="6"/>
        <v>0.20025000000000001</v>
      </c>
    </row>
    <row r="64" spans="1:32">
      <c r="A64" s="6" t="s">
        <v>53</v>
      </c>
      <c r="B64" s="6" t="s">
        <v>196</v>
      </c>
      <c r="C64" t="s">
        <v>12</v>
      </c>
      <c r="D64" s="8">
        <v>4</v>
      </c>
      <c r="E64">
        <v>10</v>
      </c>
      <c r="F64" t="s">
        <v>543</v>
      </c>
      <c r="G64" s="54">
        <v>0.1615</v>
      </c>
      <c r="H64" s="55" t="s">
        <v>469</v>
      </c>
      <c r="I64" s="55" t="s">
        <v>469</v>
      </c>
      <c r="J64" s="25">
        <v>42767</v>
      </c>
      <c r="K64" s="54">
        <v>3.2399999999999998E-2</v>
      </c>
      <c r="L64" s="55">
        <v>0</v>
      </c>
      <c r="M64" s="55">
        <v>0</v>
      </c>
      <c r="N64" s="25">
        <v>42770</v>
      </c>
      <c r="O64" s="104">
        <f t="shared" si="25"/>
        <v>0.12909999999999999</v>
      </c>
      <c r="P64" s="104" t="e">
        <f t="shared" si="26"/>
        <v>#VALUE!</v>
      </c>
      <c r="Q64" s="104" t="e">
        <f t="shared" si="27"/>
        <v>#VALUE!</v>
      </c>
      <c r="R64" s="104">
        <f t="shared" si="28"/>
        <v>398.45679012345681</v>
      </c>
      <c r="S64" s="104">
        <f t="shared" si="29"/>
        <v>0</v>
      </c>
      <c r="T64" s="104">
        <f t="shared" si="30"/>
        <v>0</v>
      </c>
      <c r="V64">
        <f>K64/'Soil samples'!AK49*1000</f>
        <v>0.547492551088261</v>
      </c>
      <c r="W64">
        <f>L64/'Soil samples'!AK49*1000</f>
        <v>0</v>
      </c>
      <c r="X64" s="3">
        <f>M64/'Soil samples'!AK49*1000</f>
        <v>0</v>
      </c>
      <c r="Y64" s="31">
        <f>SUM(K64:L64)</f>
        <v>3.2399999999999998E-2</v>
      </c>
      <c r="Z64" s="104">
        <f>SUM(K64:M64)</f>
        <v>3.2399999999999998E-2</v>
      </c>
      <c r="AA64">
        <f t="shared" si="4"/>
        <v>0.32400000000000001</v>
      </c>
      <c r="AB64">
        <f t="shared" si="7"/>
        <v>0.32400000000000001</v>
      </c>
      <c r="AC64">
        <f t="shared" si="5"/>
        <v>0</v>
      </c>
      <c r="AD64">
        <f t="shared" si="8"/>
        <v>0.32400000000000001</v>
      </c>
      <c r="AF64">
        <f t="shared" si="6"/>
        <v>1.6200000000000003E-2</v>
      </c>
    </row>
    <row r="65" spans="1:32">
      <c r="A65" s="6" t="s">
        <v>54</v>
      </c>
      <c r="B65" s="6" t="s">
        <v>196</v>
      </c>
      <c r="C65" t="s">
        <v>12</v>
      </c>
      <c r="D65" s="8">
        <v>4</v>
      </c>
      <c r="E65">
        <v>20</v>
      </c>
      <c r="F65" t="s">
        <v>543</v>
      </c>
      <c r="G65" s="54">
        <v>7.9399999999999998E-2</v>
      </c>
      <c r="H65" s="55" t="s">
        <v>469</v>
      </c>
      <c r="I65" s="55" t="s">
        <v>469</v>
      </c>
      <c r="J65" s="25">
        <v>42767</v>
      </c>
      <c r="K65" s="54">
        <v>1.7600000000000001E-2</v>
      </c>
      <c r="L65" s="55">
        <v>0</v>
      </c>
      <c r="M65" s="55">
        <v>0</v>
      </c>
      <c r="N65" s="25">
        <v>42770</v>
      </c>
      <c r="O65" s="104">
        <f t="shared" si="25"/>
        <v>6.1799999999999994E-2</v>
      </c>
      <c r="P65" s="104" t="e">
        <f t="shared" si="26"/>
        <v>#VALUE!</v>
      </c>
      <c r="Q65" s="104" t="e">
        <f t="shared" si="27"/>
        <v>#VALUE!</v>
      </c>
      <c r="R65" s="104">
        <f t="shared" si="28"/>
        <v>351.13636363636357</v>
      </c>
      <c r="S65" s="104">
        <f t="shared" si="29"/>
        <v>0</v>
      </c>
      <c r="T65" s="104">
        <f t="shared" si="30"/>
        <v>0</v>
      </c>
      <c r="V65">
        <f>K65/'Soil samples'!AK50*1000</f>
        <v>0.2258448262503836</v>
      </c>
      <c r="W65">
        <f>L65/'Soil samples'!AK50*1000</f>
        <v>0</v>
      </c>
      <c r="X65" s="3">
        <f>M65/'Soil samples'!AK50*1000</f>
        <v>0</v>
      </c>
      <c r="Y65" s="31">
        <f t="shared" ref="Y65:Y99" si="31">SUM(K65:L65)</f>
        <v>1.7600000000000001E-2</v>
      </c>
      <c r="Z65" s="104">
        <f t="shared" ref="Z65:Z99" si="32">SUM(K65:M65)</f>
        <v>1.7600000000000001E-2</v>
      </c>
      <c r="AA65">
        <f t="shared" si="4"/>
        <v>0.17599999999999999</v>
      </c>
      <c r="AB65">
        <f t="shared" si="7"/>
        <v>0.17599999999999999</v>
      </c>
      <c r="AC65">
        <f t="shared" si="5"/>
        <v>0</v>
      </c>
      <c r="AD65">
        <f t="shared" si="8"/>
        <v>0.17599999999999999</v>
      </c>
      <c r="AF65">
        <f t="shared" si="6"/>
        <v>8.8000000000000005E-3</v>
      </c>
    </row>
    <row r="66" spans="1:32">
      <c r="A66" s="6" t="s">
        <v>55</v>
      </c>
      <c r="B66" s="6" t="s">
        <v>196</v>
      </c>
      <c r="C66" t="s">
        <v>12</v>
      </c>
      <c r="D66" s="8">
        <v>5</v>
      </c>
      <c r="E66">
        <v>5</v>
      </c>
      <c r="G66" s="54">
        <v>2.6568000000000001</v>
      </c>
      <c r="H66" s="55">
        <v>0.2072</v>
      </c>
      <c r="I66" s="55">
        <v>0.12479999999999999</v>
      </c>
      <c r="J66" s="25">
        <v>42418</v>
      </c>
      <c r="K66" s="54">
        <v>0.47149999999999997</v>
      </c>
      <c r="L66" s="100">
        <v>6.2899999999999998E-2</v>
      </c>
      <c r="M66" s="100">
        <v>2.6800000000000001E-2</v>
      </c>
      <c r="N66" s="25">
        <v>42421</v>
      </c>
      <c r="O66" s="104">
        <f t="shared" si="25"/>
        <v>2.1853000000000002</v>
      </c>
      <c r="P66" s="104">
        <f t="shared" si="26"/>
        <v>0.14429999999999998</v>
      </c>
      <c r="Q66" s="104">
        <f t="shared" si="27"/>
        <v>9.799999999999999E-2</v>
      </c>
      <c r="R66" s="104">
        <f t="shared" si="28"/>
        <v>463.47826086956525</v>
      </c>
      <c r="S66" s="104">
        <f t="shared" si="29"/>
        <v>229.41176470588235</v>
      </c>
      <c r="T66" s="104">
        <f t="shared" si="30"/>
        <v>365.67164179104475</v>
      </c>
      <c r="V66">
        <f>K66/'Soil samples'!AK51*1000</f>
        <v>49.559225764338301</v>
      </c>
      <c r="W66">
        <f>L66/'Soil samples'!AK51*1000</f>
        <v>6.6114004254016523</v>
      </c>
      <c r="X66" s="3">
        <f>M66/'Soil samples'!AK51*1000</f>
        <v>2.8169400858627074</v>
      </c>
      <c r="Y66" s="31">
        <f t="shared" si="31"/>
        <v>0.53439999999999999</v>
      </c>
      <c r="Z66" s="104">
        <f t="shared" si="32"/>
        <v>0.56120000000000003</v>
      </c>
      <c r="AA66">
        <f t="shared" si="4"/>
        <v>5.3440000000000003</v>
      </c>
      <c r="AB66">
        <f t="shared" si="7"/>
        <v>5.6120000000000001</v>
      </c>
      <c r="AC66">
        <f t="shared" si="5"/>
        <v>0.26800000000000002</v>
      </c>
      <c r="AD66">
        <f t="shared" si="8"/>
        <v>4.7149999999999999</v>
      </c>
      <c r="AF66">
        <f t="shared" si="6"/>
        <v>0.28060000000000002</v>
      </c>
    </row>
    <row r="67" spans="1:32">
      <c r="A67" s="6" t="s">
        <v>56</v>
      </c>
      <c r="B67" s="6" t="s">
        <v>196</v>
      </c>
      <c r="C67" t="s">
        <v>12</v>
      </c>
      <c r="D67" s="8">
        <v>5</v>
      </c>
      <c r="E67">
        <v>10</v>
      </c>
      <c r="G67" s="54">
        <v>0.57240000000000002</v>
      </c>
      <c r="H67" s="100" t="s">
        <v>469</v>
      </c>
      <c r="I67" s="100" t="s">
        <v>469</v>
      </c>
      <c r="J67" s="25">
        <v>42418</v>
      </c>
      <c r="K67" s="54">
        <v>9.9400000000000002E-2</v>
      </c>
      <c r="L67" s="100">
        <v>0</v>
      </c>
      <c r="M67" s="100">
        <v>0</v>
      </c>
      <c r="N67" s="25">
        <v>42421</v>
      </c>
      <c r="O67" s="104">
        <f t="shared" ref="O67:O130" si="33">G67-K67</f>
        <v>0.47300000000000003</v>
      </c>
      <c r="P67" s="104" t="e">
        <f t="shared" ref="P67:P130" si="34">H67-L67</f>
        <v>#VALUE!</v>
      </c>
      <c r="Q67" s="104" t="e">
        <f t="shared" ref="Q67:Q130" si="35">I67-M67</f>
        <v>#VALUE!</v>
      </c>
      <c r="R67" s="104">
        <f t="shared" ref="R67:R130" si="36">IF(K67&gt;0,O67/K67*100,0)</f>
        <v>475.85513078470825</v>
      </c>
      <c r="S67" s="104">
        <f t="shared" ref="S67:S130" si="37">IF(L67&gt;0,P67/L67*100,0)</f>
        <v>0</v>
      </c>
      <c r="T67" s="104">
        <f t="shared" ref="T67:T130" si="38">IF(M67&gt;0,Q67/M67*100,0)</f>
        <v>0</v>
      </c>
      <c r="V67">
        <f>K67/'Soil samples'!AK52*1000</f>
        <v>4.2970534279643156</v>
      </c>
      <c r="W67">
        <f>L67/'Soil samples'!AK52*1000</f>
        <v>0</v>
      </c>
      <c r="X67" s="3">
        <f>M67/'Soil samples'!AK52*1000</f>
        <v>0</v>
      </c>
      <c r="Y67" s="31">
        <f t="shared" si="31"/>
        <v>9.9400000000000002E-2</v>
      </c>
      <c r="Z67" s="104">
        <f t="shared" si="32"/>
        <v>9.9400000000000002E-2</v>
      </c>
      <c r="AA67">
        <f t="shared" si="4"/>
        <v>0.99399999999999999</v>
      </c>
      <c r="AB67">
        <f t="shared" si="7"/>
        <v>0.99399999999999999</v>
      </c>
      <c r="AC67">
        <f t="shared" si="5"/>
        <v>0</v>
      </c>
      <c r="AD67">
        <f t="shared" si="8"/>
        <v>0.99399999999999999</v>
      </c>
      <c r="AF67">
        <f t="shared" si="6"/>
        <v>4.9700000000000001E-2</v>
      </c>
    </row>
    <row r="68" spans="1:32">
      <c r="A68" s="6" t="s">
        <v>57</v>
      </c>
      <c r="B68" s="6" t="s">
        <v>196</v>
      </c>
      <c r="C68" t="s">
        <v>12</v>
      </c>
      <c r="D68" s="8">
        <v>6</v>
      </c>
      <c r="E68">
        <v>5</v>
      </c>
      <c r="G68" s="54">
        <v>2.2736000000000001</v>
      </c>
      <c r="H68" s="55">
        <v>6.8400000000000002E-2</v>
      </c>
      <c r="I68" s="55">
        <v>8.5500000000000007E-2</v>
      </c>
      <c r="J68" s="25">
        <v>42767</v>
      </c>
      <c r="K68" s="54">
        <v>0.45250000000000001</v>
      </c>
      <c r="L68" s="100">
        <v>8.8000000000000005E-3</v>
      </c>
      <c r="M68" s="55">
        <v>1.7100000000000001E-2</v>
      </c>
      <c r="N68" s="25">
        <v>42770</v>
      </c>
      <c r="O68" s="104">
        <f t="shared" si="33"/>
        <v>1.8210999999999999</v>
      </c>
      <c r="P68" s="104">
        <f t="shared" si="34"/>
        <v>5.96E-2</v>
      </c>
      <c r="Q68" s="104">
        <f t="shared" si="35"/>
        <v>6.8400000000000002E-2</v>
      </c>
      <c r="R68" s="104">
        <f t="shared" si="36"/>
        <v>402.45303867403311</v>
      </c>
      <c r="S68" s="104">
        <f t="shared" si="37"/>
        <v>677.27272727272725</v>
      </c>
      <c r="T68" s="104">
        <f t="shared" si="38"/>
        <v>400</v>
      </c>
      <c r="V68">
        <f>K68/'Soil samples'!AK53*1000</f>
        <v>20.390018979921837</v>
      </c>
      <c r="W68">
        <f>L68/'Soil samples'!AK53*1000</f>
        <v>0.39653517574212638</v>
      </c>
      <c r="X68" s="3">
        <f>M68/'Soil samples'!AK53*1000</f>
        <v>0.77053994377163193</v>
      </c>
      <c r="Y68" s="31">
        <f t="shared" si="31"/>
        <v>0.46129999999999999</v>
      </c>
      <c r="Z68" s="104">
        <f t="shared" si="32"/>
        <v>0.47839999999999999</v>
      </c>
      <c r="AA68">
        <f t="shared" si="4"/>
        <v>4.6130000000000004</v>
      </c>
      <c r="AB68">
        <f t="shared" si="7"/>
        <v>4.7839999999999998</v>
      </c>
      <c r="AC68">
        <f t="shared" si="5"/>
        <v>0.17100000000000001</v>
      </c>
      <c r="AD68">
        <f t="shared" si="8"/>
        <v>4.5250000000000004</v>
      </c>
      <c r="AF68">
        <f t="shared" si="6"/>
        <v>0.2392</v>
      </c>
    </row>
    <row r="69" spans="1:32">
      <c r="A69" s="6" t="s">
        <v>58</v>
      </c>
      <c r="B69" s="6" t="s">
        <v>196</v>
      </c>
      <c r="C69" t="s">
        <v>12</v>
      </c>
      <c r="D69" s="8">
        <v>6</v>
      </c>
      <c r="E69">
        <v>10</v>
      </c>
      <c r="G69" s="54">
        <v>0.99950000000000006</v>
      </c>
      <c r="H69" s="55">
        <v>2.7300000000000001E-2</v>
      </c>
      <c r="I69" s="55" t="s">
        <v>469</v>
      </c>
      <c r="J69" s="25">
        <v>42767</v>
      </c>
      <c r="K69" s="54">
        <v>0.2404</v>
      </c>
      <c r="L69" s="100">
        <v>7.3000000000000001E-3</v>
      </c>
      <c r="M69" s="55">
        <v>0</v>
      </c>
      <c r="N69" s="25">
        <v>42770</v>
      </c>
      <c r="O69" s="104">
        <f t="shared" si="33"/>
        <v>0.75910000000000011</v>
      </c>
      <c r="P69" s="104">
        <f t="shared" si="34"/>
        <v>0.02</v>
      </c>
      <c r="Q69" s="104" t="e">
        <f t="shared" si="35"/>
        <v>#VALUE!</v>
      </c>
      <c r="R69" s="104">
        <f t="shared" si="36"/>
        <v>315.76539101497508</v>
      </c>
      <c r="S69" s="104">
        <f t="shared" si="37"/>
        <v>273.97260273972603</v>
      </c>
      <c r="T69" s="104">
        <f t="shared" si="38"/>
        <v>0</v>
      </c>
      <c r="V69">
        <f>K69/'Soil samples'!AK54*1000</f>
        <v>12.798796493476219</v>
      </c>
      <c r="W69">
        <f>L69/'Soil samples'!AK54*1000</f>
        <v>0.38864897837926954</v>
      </c>
      <c r="X69" s="3">
        <f>M69/'Soil samples'!AK54*1000</f>
        <v>0</v>
      </c>
      <c r="Y69" s="31">
        <f t="shared" si="31"/>
        <v>0.2477</v>
      </c>
      <c r="Z69" s="104">
        <f t="shared" si="32"/>
        <v>0.2477</v>
      </c>
      <c r="AA69">
        <f t="shared" ref="AA69:AB132" si="39">Y69*10000/1000</f>
        <v>2.4769999999999999</v>
      </c>
      <c r="AB69">
        <f t="shared" si="7"/>
        <v>2.4769999999999999</v>
      </c>
      <c r="AC69">
        <f t="shared" ref="AC69:AC132" si="40">M69*10000/1000</f>
        <v>0</v>
      </c>
      <c r="AD69">
        <f t="shared" si="8"/>
        <v>2.4039999999999999</v>
      </c>
      <c r="AF69">
        <f t="shared" ref="AF69:AF132" si="41">AB69*0.05</f>
        <v>0.12385</v>
      </c>
    </row>
    <row r="70" spans="1:32">
      <c r="A70" s="6" t="s">
        <v>59</v>
      </c>
      <c r="B70" s="6" t="s">
        <v>196</v>
      </c>
      <c r="C70" t="s">
        <v>12</v>
      </c>
      <c r="D70" s="8">
        <v>6</v>
      </c>
      <c r="E70">
        <v>20</v>
      </c>
      <c r="G70" s="54">
        <v>0.86219999999999997</v>
      </c>
      <c r="H70" s="55" t="s">
        <v>469</v>
      </c>
      <c r="I70" s="55" t="s">
        <v>469</v>
      </c>
      <c r="J70" s="25">
        <v>42767</v>
      </c>
      <c r="K70" s="54">
        <v>0.15740000000000001</v>
      </c>
      <c r="L70" s="55">
        <v>0</v>
      </c>
      <c r="M70" s="55">
        <v>0</v>
      </c>
      <c r="N70" s="25">
        <v>42770</v>
      </c>
      <c r="O70" s="104">
        <f t="shared" si="33"/>
        <v>0.70479999999999998</v>
      </c>
      <c r="P70" s="104" t="e">
        <f t="shared" si="34"/>
        <v>#VALUE!</v>
      </c>
      <c r="Q70" s="104" t="e">
        <f t="shared" si="35"/>
        <v>#VALUE!</v>
      </c>
      <c r="R70" s="104">
        <f t="shared" si="36"/>
        <v>447.77636594663272</v>
      </c>
      <c r="S70" s="104">
        <f t="shared" si="37"/>
        <v>0</v>
      </c>
      <c r="T70" s="104">
        <f t="shared" si="38"/>
        <v>0</v>
      </c>
      <c r="V70">
        <f>K70/'Soil samples'!AK55*1000</f>
        <v>5.0951181044371854</v>
      </c>
      <c r="W70">
        <f>L70/'Soil samples'!AK55*1000</f>
        <v>0</v>
      </c>
      <c r="X70" s="3">
        <f>M70/'Soil samples'!AK55*1000</f>
        <v>0</v>
      </c>
      <c r="Y70" s="31">
        <f t="shared" si="31"/>
        <v>0.15740000000000001</v>
      </c>
      <c r="Z70" s="104">
        <f t="shared" si="32"/>
        <v>0.15740000000000001</v>
      </c>
      <c r="AA70">
        <f t="shared" si="39"/>
        <v>1.5740000000000003</v>
      </c>
      <c r="AB70">
        <f t="shared" si="39"/>
        <v>1.5740000000000003</v>
      </c>
      <c r="AC70">
        <f t="shared" si="40"/>
        <v>0</v>
      </c>
      <c r="AD70">
        <f t="shared" ref="AD70:AD133" si="42">K70*10000/1000</f>
        <v>1.5740000000000003</v>
      </c>
      <c r="AF70">
        <f t="shared" si="41"/>
        <v>7.870000000000002E-2</v>
      </c>
    </row>
    <row r="71" spans="1:32">
      <c r="A71" s="6" t="s">
        <v>60</v>
      </c>
      <c r="B71" s="6" t="s">
        <v>196</v>
      </c>
      <c r="C71" t="s">
        <v>13</v>
      </c>
      <c r="D71" s="8">
        <v>1</v>
      </c>
      <c r="E71">
        <v>5</v>
      </c>
      <c r="G71" s="54">
        <v>1.2939000000000001</v>
      </c>
      <c r="H71" s="55">
        <v>0.43909999999999999</v>
      </c>
      <c r="I71" s="55">
        <v>0.44309999999999999</v>
      </c>
      <c r="J71" s="25">
        <v>42769</v>
      </c>
      <c r="K71" s="54">
        <v>0.2661</v>
      </c>
      <c r="L71" s="100">
        <v>0.16839999999999999</v>
      </c>
      <c r="M71" s="100">
        <v>0.16889999999999999</v>
      </c>
      <c r="N71" s="25">
        <v>42772</v>
      </c>
      <c r="O71" s="104">
        <f t="shared" si="33"/>
        <v>1.0278</v>
      </c>
      <c r="P71" s="104">
        <f t="shared" si="34"/>
        <v>0.2707</v>
      </c>
      <c r="Q71" s="104">
        <f t="shared" si="35"/>
        <v>0.2742</v>
      </c>
      <c r="R71" s="104">
        <f t="shared" si="36"/>
        <v>386.24577226606539</v>
      </c>
      <c r="S71" s="104">
        <f t="shared" si="37"/>
        <v>160.74821852731591</v>
      </c>
      <c r="T71" s="104">
        <f t="shared" si="38"/>
        <v>162.34458259325044</v>
      </c>
      <c r="V71">
        <f>K71/'Soil samples'!AK56*1000</f>
        <v>4.9170201954918502</v>
      </c>
      <c r="W71">
        <f>L71/'Soil samples'!AK56*1000</f>
        <v>3.1117106385600435</v>
      </c>
      <c r="X71" s="3">
        <f>M71/'Soil samples'!AK56*1000</f>
        <v>3.1209496843989988</v>
      </c>
      <c r="Y71" s="31">
        <f t="shared" si="31"/>
        <v>0.4345</v>
      </c>
      <c r="Z71" s="104">
        <f t="shared" si="32"/>
        <v>0.60339999999999994</v>
      </c>
      <c r="AA71">
        <f t="shared" si="39"/>
        <v>4.3449999999999998</v>
      </c>
      <c r="AB71">
        <f t="shared" si="39"/>
        <v>6.0339999999999989</v>
      </c>
      <c r="AC71">
        <f t="shared" si="40"/>
        <v>1.6890000000000001</v>
      </c>
      <c r="AD71">
        <f t="shared" si="42"/>
        <v>2.661</v>
      </c>
      <c r="AF71">
        <f t="shared" si="41"/>
        <v>0.30169999999999997</v>
      </c>
    </row>
    <row r="72" spans="1:32">
      <c r="A72" s="6" t="s">
        <v>61</v>
      </c>
      <c r="B72" s="6" t="s">
        <v>196</v>
      </c>
      <c r="C72" t="s">
        <v>13</v>
      </c>
      <c r="D72" s="8">
        <v>1</v>
      </c>
      <c r="E72">
        <v>10</v>
      </c>
      <c r="G72" s="54">
        <v>0.3382</v>
      </c>
      <c r="H72" s="100">
        <v>0.1646</v>
      </c>
      <c r="I72" s="55" t="s">
        <v>469</v>
      </c>
      <c r="J72" s="25">
        <v>42769</v>
      </c>
      <c r="K72" s="54">
        <v>8.4199999999999997E-2</v>
      </c>
      <c r="L72" s="100">
        <v>4.2900000000000001E-2</v>
      </c>
      <c r="M72" s="55">
        <v>0</v>
      </c>
      <c r="N72" s="25">
        <v>42772</v>
      </c>
      <c r="O72" s="104">
        <f t="shared" si="33"/>
        <v>0.254</v>
      </c>
      <c r="P72" s="104">
        <f t="shared" si="34"/>
        <v>0.1217</v>
      </c>
      <c r="Q72" s="104" t="e">
        <f t="shared" si="35"/>
        <v>#VALUE!</v>
      </c>
      <c r="R72" s="104">
        <f t="shared" si="36"/>
        <v>301.66270783847983</v>
      </c>
      <c r="S72" s="104">
        <f t="shared" si="37"/>
        <v>283.68298368298366</v>
      </c>
      <c r="T72" s="104">
        <f t="shared" si="38"/>
        <v>0</v>
      </c>
      <c r="V72">
        <f>K72/'Soil samples'!AK57*1000</f>
        <v>1.0893621672388929</v>
      </c>
      <c r="W72">
        <f>L72/'Soil samples'!AK57*1000</f>
        <v>0.55503131798751193</v>
      </c>
      <c r="X72" s="3">
        <f>M72/'Soil samples'!AK57*1000</f>
        <v>0</v>
      </c>
      <c r="Y72" s="31">
        <f t="shared" si="31"/>
        <v>0.12709999999999999</v>
      </c>
      <c r="Z72" s="104">
        <f t="shared" si="32"/>
        <v>0.12709999999999999</v>
      </c>
      <c r="AA72">
        <f t="shared" si="39"/>
        <v>1.2709999999999999</v>
      </c>
      <c r="AB72">
        <f t="shared" si="39"/>
        <v>1.2709999999999999</v>
      </c>
      <c r="AC72">
        <f t="shared" si="40"/>
        <v>0</v>
      </c>
      <c r="AD72">
        <f t="shared" si="42"/>
        <v>0.84199999999999997</v>
      </c>
      <c r="AF72">
        <f t="shared" si="41"/>
        <v>6.3549999999999995E-2</v>
      </c>
    </row>
    <row r="73" spans="1:32">
      <c r="A73" s="6" t="s">
        <v>62</v>
      </c>
      <c r="B73" s="6" t="s">
        <v>196</v>
      </c>
      <c r="C73" t="s">
        <v>13</v>
      </c>
      <c r="D73" s="8">
        <v>1</v>
      </c>
      <c r="E73">
        <v>20</v>
      </c>
      <c r="G73" s="54">
        <v>0.28010000000000002</v>
      </c>
      <c r="H73" s="100">
        <v>3.8199999999999998E-2</v>
      </c>
      <c r="I73" s="55" t="s">
        <v>469</v>
      </c>
      <c r="J73" s="25">
        <v>42769</v>
      </c>
      <c r="K73" s="54">
        <v>6.8699999999999997E-2</v>
      </c>
      <c r="L73" s="100">
        <v>1.0200000000000001E-2</v>
      </c>
      <c r="M73" s="100">
        <v>0</v>
      </c>
      <c r="N73" s="25">
        <v>42772</v>
      </c>
      <c r="O73" s="104">
        <f t="shared" si="33"/>
        <v>0.21140000000000003</v>
      </c>
      <c r="P73" s="104">
        <f t="shared" si="34"/>
        <v>2.7999999999999997E-2</v>
      </c>
      <c r="Q73" s="104" t="e">
        <f t="shared" si="35"/>
        <v>#VALUE!</v>
      </c>
      <c r="R73" s="104">
        <f t="shared" si="36"/>
        <v>307.71470160116456</v>
      </c>
      <c r="S73" s="104">
        <f t="shared" si="37"/>
        <v>274.50980392156856</v>
      </c>
      <c r="T73" s="104">
        <f t="shared" si="38"/>
        <v>0</v>
      </c>
      <c r="V73">
        <f>K73/'Soil samples'!AK58*1000</f>
        <v>0.68872784796647135</v>
      </c>
      <c r="W73">
        <f>L73/'Soil samples'!AK58*1000</f>
        <v>0.10225653637930143</v>
      </c>
      <c r="X73" s="3">
        <f>M73/'Soil samples'!AK58*1000</f>
        <v>0</v>
      </c>
      <c r="Y73" s="31">
        <f t="shared" si="31"/>
        <v>7.8899999999999998E-2</v>
      </c>
      <c r="Z73" s="104">
        <f t="shared" si="32"/>
        <v>7.8899999999999998E-2</v>
      </c>
      <c r="AA73">
        <f t="shared" si="39"/>
        <v>0.78900000000000003</v>
      </c>
      <c r="AB73">
        <f t="shared" si="39"/>
        <v>0.78900000000000003</v>
      </c>
      <c r="AC73">
        <f t="shared" si="40"/>
        <v>0</v>
      </c>
      <c r="AD73">
        <f t="shared" si="42"/>
        <v>0.68700000000000006</v>
      </c>
      <c r="AF73">
        <f t="shared" si="41"/>
        <v>3.9450000000000006E-2</v>
      </c>
    </row>
    <row r="74" spans="1:32">
      <c r="A74" s="6" t="s">
        <v>63</v>
      </c>
      <c r="B74" s="6" t="s">
        <v>196</v>
      </c>
      <c r="C74" t="s">
        <v>13</v>
      </c>
      <c r="D74" s="8">
        <v>2</v>
      </c>
      <c r="E74">
        <v>5</v>
      </c>
      <c r="G74" s="54">
        <v>5.9748000000000001</v>
      </c>
      <c r="H74" s="55">
        <v>0.1105</v>
      </c>
      <c r="I74" s="55">
        <v>0.1055</v>
      </c>
      <c r="J74" s="25">
        <v>42767</v>
      </c>
      <c r="K74" s="54">
        <v>1.0938000000000001</v>
      </c>
      <c r="L74" s="100">
        <v>4.9099999999999998E-2</v>
      </c>
      <c r="M74" s="55">
        <v>3.6299999999999999E-2</v>
      </c>
      <c r="N74" s="25">
        <v>42770</v>
      </c>
      <c r="O74" s="104">
        <f t="shared" si="33"/>
        <v>4.8810000000000002</v>
      </c>
      <c r="P74" s="104">
        <f t="shared" si="34"/>
        <v>6.1400000000000003E-2</v>
      </c>
      <c r="Q74" s="104">
        <f t="shared" si="35"/>
        <v>6.9199999999999998E-2</v>
      </c>
      <c r="R74" s="104">
        <f t="shared" si="36"/>
        <v>446.2424574876577</v>
      </c>
      <c r="S74" s="104">
        <f t="shared" si="37"/>
        <v>125.05091649694502</v>
      </c>
      <c r="T74" s="104">
        <f t="shared" si="38"/>
        <v>190.63360881542698</v>
      </c>
      <c r="V74">
        <f>K74/'Soil samples'!AK59*1000</f>
        <v>208.4095227580957</v>
      </c>
      <c r="W74">
        <f>L74/'Soil samples'!AK59*1000</f>
        <v>9.3553735302820424</v>
      </c>
      <c r="X74" s="3">
        <f>M74/'Soil samples'!AK59*1000</f>
        <v>6.9164981496789846</v>
      </c>
      <c r="Y74" s="31">
        <f t="shared" si="31"/>
        <v>1.1429</v>
      </c>
      <c r="Z74" s="104">
        <f t="shared" si="32"/>
        <v>1.1792</v>
      </c>
      <c r="AA74">
        <f t="shared" si="39"/>
        <v>11.429</v>
      </c>
      <c r="AB74">
        <f t="shared" si="39"/>
        <v>11.792</v>
      </c>
      <c r="AC74">
        <f t="shared" si="40"/>
        <v>0.36299999999999999</v>
      </c>
      <c r="AD74">
        <f t="shared" si="42"/>
        <v>10.938000000000002</v>
      </c>
      <c r="AF74">
        <f t="shared" si="41"/>
        <v>0.58960000000000001</v>
      </c>
    </row>
    <row r="75" spans="1:32">
      <c r="A75" s="6" t="s">
        <v>64</v>
      </c>
      <c r="B75" s="6" t="s">
        <v>196</v>
      </c>
      <c r="C75" t="s">
        <v>13</v>
      </c>
      <c r="D75" s="8">
        <v>2</v>
      </c>
      <c r="E75">
        <v>10</v>
      </c>
      <c r="G75" s="54">
        <v>8.4099999999999994E-2</v>
      </c>
      <c r="H75" s="55">
        <v>8.8700000000000001E-2</v>
      </c>
      <c r="I75" s="55">
        <v>8.0399999999999999E-2</v>
      </c>
      <c r="J75" s="25">
        <v>42767</v>
      </c>
      <c r="K75" s="54">
        <v>2.8299999999999999E-2</v>
      </c>
      <c r="L75" s="100">
        <v>2.76E-2</v>
      </c>
      <c r="M75" s="55">
        <v>2.7199999999999998E-2</v>
      </c>
      <c r="N75" s="25">
        <v>42770</v>
      </c>
      <c r="O75" s="104">
        <f t="shared" si="33"/>
        <v>5.5799999999999995E-2</v>
      </c>
      <c r="P75" s="104">
        <f t="shared" si="34"/>
        <v>6.1100000000000002E-2</v>
      </c>
      <c r="Q75" s="104">
        <f t="shared" si="35"/>
        <v>5.3199999999999997E-2</v>
      </c>
      <c r="R75" s="104">
        <f t="shared" si="36"/>
        <v>197.1731448763251</v>
      </c>
      <c r="S75" s="104">
        <f t="shared" si="37"/>
        <v>221.37681159420293</v>
      </c>
      <c r="T75" s="104">
        <f t="shared" si="38"/>
        <v>195.58823529411765</v>
      </c>
      <c r="V75">
        <f>K75/'Soil samples'!AK60*1000</f>
        <v>0.46107578989429082</v>
      </c>
      <c r="W75">
        <f>L75/'Soil samples'!AK60*1000</f>
        <v>0.44967108837747094</v>
      </c>
      <c r="X75" s="3">
        <f>M75/'Soil samples'!AK60*1000</f>
        <v>0.44315411608214522</v>
      </c>
      <c r="Y75" s="31">
        <f t="shared" si="31"/>
        <v>5.5899999999999998E-2</v>
      </c>
      <c r="Z75" s="104">
        <f t="shared" si="32"/>
        <v>8.3099999999999993E-2</v>
      </c>
      <c r="AA75">
        <f t="shared" si="39"/>
        <v>0.55900000000000005</v>
      </c>
      <c r="AB75">
        <f t="shared" si="39"/>
        <v>0.83099999999999985</v>
      </c>
      <c r="AC75">
        <f t="shared" si="40"/>
        <v>0.27200000000000002</v>
      </c>
      <c r="AD75">
        <f t="shared" si="42"/>
        <v>0.28299999999999997</v>
      </c>
      <c r="AF75">
        <f t="shared" si="41"/>
        <v>4.1549999999999997E-2</v>
      </c>
    </row>
    <row r="76" spans="1:32">
      <c r="A76" s="6" t="s">
        <v>65</v>
      </c>
      <c r="B76" s="6" t="s">
        <v>196</v>
      </c>
      <c r="C76" t="s">
        <v>13</v>
      </c>
      <c r="D76" s="8">
        <v>2</v>
      </c>
      <c r="E76">
        <v>20</v>
      </c>
      <c r="G76" s="54">
        <v>9.2499999999999999E-2</v>
      </c>
      <c r="H76" s="55">
        <v>3.0700000000000002E-2</v>
      </c>
      <c r="I76" s="55">
        <v>0.1817</v>
      </c>
      <c r="J76" s="25">
        <v>42767</v>
      </c>
      <c r="K76" s="54">
        <v>2.7099999999999999E-2</v>
      </c>
      <c r="L76" s="100">
        <v>1.2999999999999999E-2</v>
      </c>
      <c r="M76" s="55">
        <v>5.5199999999999999E-2</v>
      </c>
      <c r="N76" s="25">
        <v>42770</v>
      </c>
      <c r="O76" s="104">
        <f t="shared" si="33"/>
        <v>6.54E-2</v>
      </c>
      <c r="P76" s="104">
        <f t="shared" si="34"/>
        <v>1.77E-2</v>
      </c>
      <c r="Q76" s="104">
        <f t="shared" si="35"/>
        <v>0.1265</v>
      </c>
      <c r="R76" s="104">
        <f t="shared" si="36"/>
        <v>241.32841328413286</v>
      </c>
      <c r="S76" s="104">
        <f t="shared" si="37"/>
        <v>136.15384615384616</v>
      </c>
      <c r="T76" s="104">
        <f t="shared" si="38"/>
        <v>229.16666666666666</v>
      </c>
      <c r="V76">
        <f>K76/'Soil samples'!AK61*1000</f>
        <v>0.21561027752555131</v>
      </c>
      <c r="W76">
        <f>L76/'Soil samples'!AK61*1000</f>
        <v>0.10342928442185119</v>
      </c>
      <c r="X76" s="3">
        <f>M76/'Soil samples'!AK61*1000</f>
        <v>0.43917665385278348</v>
      </c>
      <c r="Y76" s="31">
        <f t="shared" si="31"/>
        <v>4.0099999999999997E-2</v>
      </c>
      <c r="Z76" s="104">
        <f t="shared" si="32"/>
        <v>9.5299999999999996E-2</v>
      </c>
      <c r="AA76">
        <f t="shared" si="39"/>
        <v>0.40099999999999997</v>
      </c>
      <c r="AB76">
        <f t="shared" si="39"/>
        <v>0.95299999999999996</v>
      </c>
      <c r="AC76">
        <f t="shared" si="40"/>
        <v>0.55200000000000005</v>
      </c>
      <c r="AD76">
        <f t="shared" si="42"/>
        <v>0.27100000000000002</v>
      </c>
      <c r="AF76">
        <f t="shared" si="41"/>
        <v>4.7649999999999998E-2</v>
      </c>
    </row>
    <row r="77" spans="1:32">
      <c r="A77" s="6" t="s">
        <v>66</v>
      </c>
      <c r="B77" s="6" t="s">
        <v>196</v>
      </c>
      <c r="C77" t="s">
        <v>13</v>
      </c>
      <c r="D77" s="8">
        <v>3</v>
      </c>
      <c r="E77">
        <v>5</v>
      </c>
      <c r="G77" s="54">
        <v>4.3296999999999999</v>
      </c>
      <c r="H77" s="55">
        <v>0.249</v>
      </c>
      <c r="I77" s="55" t="s">
        <v>469</v>
      </c>
      <c r="J77" s="25">
        <v>42798</v>
      </c>
      <c r="K77" s="54">
        <v>0.78059999999999996</v>
      </c>
      <c r="L77" s="55">
        <v>8.5999999999999993E-2</v>
      </c>
      <c r="M77" s="55">
        <v>0</v>
      </c>
      <c r="N77" s="25">
        <v>42801</v>
      </c>
      <c r="O77" s="104">
        <f t="shared" si="33"/>
        <v>3.5491000000000001</v>
      </c>
      <c r="P77" s="104">
        <f t="shared" si="34"/>
        <v>0.16300000000000001</v>
      </c>
      <c r="Q77" s="104" t="e">
        <f t="shared" si="35"/>
        <v>#VALUE!</v>
      </c>
      <c r="R77" s="104">
        <f t="shared" si="36"/>
        <v>454.66307968229574</v>
      </c>
      <c r="S77" s="104">
        <f t="shared" si="37"/>
        <v>189.53488372093025</v>
      </c>
      <c r="T77" s="104">
        <f t="shared" si="38"/>
        <v>0</v>
      </c>
      <c r="U77" s="3" t="s">
        <v>697</v>
      </c>
      <c r="V77">
        <f>K77/'Soil samples'!AK62*1000</f>
        <v>117.94516628936809</v>
      </c>
      <c r="W77">
        <f>L77/'Soil samples'!AK62*1000</f>
        <v>12.994215092090258</v>
      </c>
      <c r="X77" s="3">
        <f>M77/'Soil samples'!AK62*1000</f>
        <v>0</v>
      </c>
      <c r="Y77" s="31">
        <f t="shared" si="31"/>
        <v>0.86659999999999993</v>
      </c>
      <c r="Z77" s="104">
        <f t="shared" si="32"/>
        <v>0.86659999999999993</v>
      </c>
      <c r="AA77">
        <f t="shared" si="39"/>
        <v>8.6660000000000004</v>
      </c>
      <c r="AB77">
        <f t="shared" si="39"/>
        <v>8.6660000000000004</v>
      </c>
      <c r="AC77">
        <f t="shared" si="40"/>
        <v>0</v>
      </c>
      <c r="AD77">
        <f t="shared" si="42"/>
        <v>7.806</v>
      </c>
      <c r="AF77">
        <f t="shared" si="41"/>
        <v>0.43330000000000002</v>
      </c>
    </row>
    <row r="78" spans="1:32">
      <c r="A78" s="6" t="s">
        <v>67</v>
      </c>
      <c r="B78" s="6" t="s">
        <v>196</v>
      </c>
      <c r="C78" t="s">
        <v>13</v>
      </c>
      <c r="D78" s="8">
        <v>3</v>
      </c>
      <c r="E78">
        <v>10</v>
      </c>
      <c r="G78" s="54">
        <v>0.78459999999999996</v>
      </c>
      <c r="H78" s="55">
        <v>9.5399999999999999E-2</v>
      </c>
      <c r="I78" s="55">
        <v>3.95E-2</v>
      </c>
      <c r="J78" s="25">
        <v>42798</v>
      </c>
      <c r="K78" s="54">
        <v>0.15090000000000001</v>
      </c>
      <c r="L78" s="55">
        <v>2.7799999999999998E-2</v>
      </c>
      <c r="M78" s="55">
        <v>9.2999999999999992E-3</v>
      </c>
      <c r="N78" s="25">
        <v>42801</v>
      </c>
      <c r="O78" s="104">
        <f t="shared" si="33"/>
        <v>0.63369999999999993</v>
      </c>
      <c r="P78" s="104">
        <f t="shared" si="34"/>
        <v>6.7599999999999993E-2</v>
      </c>
      <c r="Q78" s="104">
        <f t="shared" si="35"/>
        <v>3.0200000000000001E-2</v>
      </c>
      <c r="R78" s="104">
        <f t="shared" si="36"/>
        <v>419.94698475811794</v>
      </c>
      <c r="S78" s="104">
        <f t="shared" si="37"/>
        <v>243.16546762589928</v>
      </c>
      <c r="T78" s="104">
        <f t="shared" si="38"/>
        <v>324.73118279569894</v>
      </c>
      <c r="U78" s="3" t="s">
        <v>697</v>
      </c>
      <c r="V78">
        <f>K78/'Soil samples'!AK63*1000</f>
        <v>4.006077277283314</v>
      </c>
      <c r="W78">
        <f>L78/'Soil samples'!AK63*1000</f>
        <v>0.73803146659029895</v>
      </c>
      <c r="X78" s="3">
        <f>M78/'Soil samples'!AK63*1000</f>
        <v>0.2468954186794885</v>
      </c>
      <c r="Y78" s="31">
        <f t="shared" si="31"/>
        <v>0.1787</v>
      </c>
      <c r="Z78" s="104">
        <f t="shared" si="32"/>
        <v>0.188</v>
      </c>
      <c r="AA78">
        <f t="shared" si="39"/>
        <v>1.7869999999999999</v>
      </c>
      <c r="AB78">
        <f t="shared" si="39"/>
        <v>1.88</v>
      </c>
      <c r="AC78">
        <f t="shared" si="40"/>
        <v>9.2999999999999985E-2</v>
      </c>
      <c r="AD78">
        <f t="shared" si="42"/>
        <v>1.5089999999999999</v>
      </c>
      <c r="AF78">
        <f t="shared" si="41"/>
        <v>9.4E-2</v>
      </c>
    </row>
    <row r="79" spans="1:32">
      <c r="A79" s="6" t="s">
        <v>68</v>
      </c>
      <c r="B79" s="6" t="s">
        <v>196</v>
      </c>
      <c r="C79" t="s">
        <v>13</v>
      </c>
      <c r="D79" s="8">
        <v>3</v>
      </c>
      <c r="E79">
        <v>20</v>
      </c>
      <c r="G79" s="54">
        <v>0.20319999999999999</v>
      </c>
      <c r="H79" s="55">
        <v>3.2399999999999998E-2</v>
      </c>
      <c r="I79" s="55" t="s">
        <v>469</v>
      </c>
      <c r="J79" s="25">
        <v>42798</v>
      </c>
      <c r="K79" s="54">
        <v>5.04E-2</v>
      </c>
      <c r="L79" s="55">
        <v>1.17E-2</v>
      </c>
      <c r="M79" s="55">
        <v>0</v>
      </c>
      <c r="N79" s="25">
        <v>42801</v>
      </c>
      <c r="O79" s="104">
        <f t="shared" si="33"/>
        <v>0.15279999999999999</v>
      </c>
      <c r="P79" s="104">
        <f t="shared" si="34"/>
        <v>2.0699999999999996E-2</v>
      </c>
      <c r="Q79" s="104" t="e">
        <f t="shared" si="35"/>
        <v>#VALUE!</v>
      </c>
      <c r="R79" s="104">
        <f t="shared" si="36"/>
        <v>303.17460317460313</v>
      </c>
      <c r="S79" s="104">
        <f t="shared" si="37"/>
        <v>176.92307692307691</v>
      </c>
      <c r="T79" s="104">
        <f t="shared" si="38"/>
        <v>0</v>
      </c>
      <c r="U79" s="3" t="s">
        <v>697</v>
      </c>
      <c r="V79">
        <f>K79/'Soil samples'!AK64*1000</f>
        <v>1.1976078222841808</v>
      </c>
      <c r="W79">
        <f>L79/'Soil samples'!AK64*1000</f>
        <v>0.27801610160168483</v>
      </c>
      <c r="X79" s="3">
        <f>M79/'Soil samples'!AK64*1000</f>
        <v>0</v>
      </c>
      <c r="Y79" s="31">
        <f t="shared" si="31"/>
        <v>6.2100000000000002E-2</v>
      </c>
      <c r="Z79" s="104">
        <f t="shared" si="32"/>
        <v>6.2100000000000002E-2</v>
      </c>
      <c r="AA79">
        <f t="shared" si="39"/>
        <v>0.621</v>
      </c>
      <c r="AB79">
        <f t="shared" si="39"/>
        <v>0.621</v>
      </c>
      <c r="AC79">
        <f t="shared" si="40"/>
        <v>0</v>
      </c>
      <c r="AD79">
        <f t="shared" si="42"/>
        <v>0.504</v>
      </c>
      <c r="AF79">
        <f t="shared" si="41"/>
        <v>3.1050000000000001E-2</v>
      </c>
    </row>
    <row r="80" spans="1:32">
      <c r="A80" s="6" t="s">
        <v>69</v>
      </c>
      <c r="B80" s="6" t="s">
        <v>196</v>
      </c>
      <c r="C80" t="s">
        <v>13</v>
      </c>
      <c r="D80" s="8">
        <v>4</v>
      </c>
      <c r="E80">
        <v>30</v>
      </c>
      <c r="G80" s="54">
        <v>0.626</v>
      </c>
      <c r="H80" s="55">
        <v>9.5000000000000001E-2</v>
      </c>
      <c r="I80" s="55" t="s">
        <v>469</v>
      </c>
      <c r="J80" s="25">
        <v>42769</v>
      </c>
      <c r="K80" s="54">
        <v>0.1444</v>
      </c>
      <c r="L80" s="100">
        <v>3.3399999999999999E-2</v>
      </c>
      <c r="M80" s="55">
        <v>0</v>
      </c>
      <c r="N80" s="25">
        <v>42772</v>
      </c>
      <c r="O80" s="104">
        <f t="shared" si="33"/>
        <v>0.48160000000000003</v>
      </c>
      <c r="P80" s="104">
        <f t="shared" si="34"/>
        <v>6.1600000000000002E-2</v>
      </c>
      <c r="Q80" s="104" t="e">
        <f t="shared" si="35"/>
        <v>#VALUE!</v>
      </c>
      <c r="R80" s="104">
        <f t="shared" si="36"/>
        <v>333.5180055401662</v>
      </c>
      <c r="S80" s="104">
        <f t="shared" si="37"/>
        <v>184.43113772455092</v>
      </c>
      <c r="T80" s="104">
        <f t="shared" si="38"/>
        <v>0</v>
      </c>
      <c r="V80">
        <f>K80/'Soil samples'!AK65*1000</f>
        <v>4.1197094505975711</v>
      </c>
      <c r="W80">
        <f>L80/'Soil samples'!AK65*1000</f>
        <v>0.95289678427949365</v>
      </c>
      <c r="X80" s="3">
        <f>M80/'Soil samples'!AK65*1000</f>
        <v>0</v>
      </c>
      <c r="Y80" s="31">
        <f t="shared" si="31"/>
        <v>0.17780000000000001</v>
      </c>
      <c r="Z80" s="104">
        <f t="shared" si="32"/>
        <v>0.17780000000000001</v>
      </c>
      <c r="AA80">
        <f t="shared" si="39"/>
        <v>1.7780000000000002</v>
      </c>
      <c r="AB80">
        <f t="shared" si="39"/>
        <v>1.7780000000000002</v>
      </c>
      <c r="AC80">
        <f t="shared" si="40"/>
        <v>0</v>
      </c>
      <c r="AD80">
        <f t="shared" si="42"/>
        <v>1.444</v>
      </c>
      <c r="AF80">
        <f t="shared" si="41"/>
        <v>8.8900000000000021E-2</v>
      </c>
    </row>
    <row r="81" spans="1:32">
      <c r="A81" s="6" t="s">
        <v>70</v>
      </c>
      <c r="B81" s="6" t="s">
        <v>196</v>
      </c>
      <c r="C81" t="s">
        <v>13</v>
      </c>
      <c r="D81" s="8">
        <v>4</v>
      </c>
      <c r="E81">
        <v>10</v>
      </c>
      <c r="G81" s="54">
        <v>1.9361999999999999</v>
      </c>
      <c r="H81" s="55">
        <v>0.13120000000000001</v>
      </c>
      <c r="I81" s="55" t="s">
        <v>469</v>
      </c>
      <c r="J81" s="25">
        <v>42769</v>
      </c>
      <c r="K81" s="54">
        <v>0.38080000000000003</v>
      </c>
      <c r="L81" s="100">
        <v>5.0700000000000002E-2</v>
      </c>
      <c r="M81" s="55">
        <v>0</v>
      </c>
      <c r="N81" s="25">
        <v>42772</v>
      </c>
      <c r="O81" s="104">
        <f t="shared" si="33"/>
        <v>1.5553999999999999</v>
      </c>
      <c r="P81" s="104">
        <f t="shared" si="34"/>
        <v>8.0500000000000016E-2</v>
      </c>
      <c r="Q81" s="104" t="e">
        <f t="shared" si="35"/>
        <v>#VALUE!</v>
      </c>
      <c r="R81" s="104">
        <f t="shared" si="36"/>
        <v>408.4558823529411</v>
      </c>
      <c r="S81" s="104">
        <f t="shared" si="37"/>
        <v>158.7771203155819</v>
      </c>
      <c r="T81" s="104">
        <f t="shared" si="38"/>
        <v>0</v>
      </c>
      <c r="V81">
        <f>K81/'Soil samples'!AK66*1000</f>
        <v>22.390449820860425</v>
      </c>
      <c r="W81">
        <f>L81/'Soil samples'!AK66*1000</f>
        <v>2.9810814231030029</v>
      </c>
      <c r="X81" s="3">
        <f>M81/'Soil samples'!AK66*1000</f>
        <v>0</v>
      </c>
      <c r="Y81" s="31">
        <f t="shared" si="31"/>
        <v>0.43150000000000005</v>
      </c>
      <c r="Z81" s="104">
        <f t="shared" si="32"/>
        <v>0.43150000000000005</v>
      </c>
      <c r="AA81">
        <f t="shared" si="39"/>
        <v>4.3150000000000013</v>
      </c>
      <c r="AB81">
        <f t="shared" si="39"/>
        <v>4.3150000000000013</v>
      </c>
      <c r="AC81">
        <f t="shared" si="40"/>
        <v>0</v>
      </c>
      <c r="AD81">
        <f t="shared" si="42"/>
        <v>3.8080000000000003</v>
      </c>
      <c r="AF81">
        <f t="shared" si="41"/>
        <v>0.21575000000000008</v>
      </c>
    </row>
    <row r="82" spans="1:32" s="53" customFormat="1">
      <c r="A82" s="6" t="s">
        <v>71</v>
      </c>
      <c r="B82" s="6" t="s">
        <v>196</v>
      </c>
      <c r="C82" t="s">
        <v>13</v>
      </c>
      <c r="D82" s="8">
        <v>4</v>
      </c>
      <c r="E82">
        <v>20</v>
      </c>
      <c r="F82"/>
      <c r="G82" s="54">
        <v>0.58799999999999997</v>
      </c>
      <c r="H82" s="55">
        <v>0.1236</v>
      </c>
      <c r="I82" s="55" t="s">
        <v>469</v>
      </c>
      <c r="J82" s="25">
        <v>42769</v>
      </c>
      <c r="K82" s="54">
        <v>0.1414</v>
      </c>
      <c r="L82" s="100">
        <v>4.7800000000000002E-2</v>
      </c>
      <c r="M82" s="55">
        <v>0</v>
      </c>
      <c r="N82" s="25">
        <v>42772</v>
      </c>
      <c r="O82" s="104">
        <f t="shared" si="33"/>
        <v>0.4466</v>
      </c>
      <c r="P82" s="104">
        <f t="shared" si="34"/>
        <v>7.5800000000000006E-2</v>
      </c>
      <c r="Q82" s="104" t="e">
        <f t="shared" si="35"/>
        <v>#VALUE!</v>
      </c>
      <c r="R82" s="104">
        <f t="shared" si="36"/>
        <v>315.84158415841586</v>
      </c>
      <c r="S82" s="104">
        <f t="shared" si="37"/>
        <v>158.57740585774059</v>
      </c>
      <c r="T82" s="104">
        <f t="shared" si="38"/>
        <v>0</v>
      </c>
      <c r="U82" s="3"/>
      <c r="V82">
        <f>K82/'Soil samples'!AK67*1000</f>
        <v>4.5062336461730652</v>
      </c>
      <c r="W82">
        <f>L82/'Soil samples'!AK67*1000</f>
        <v>1.523323679540824</v>
      </c>
      <c r="X82" s="3">
        <f>M82/'Soil samples'!AK67*1000</f>
        <v>0</v>
      </c>
      <c r="Y82" s="31">
        <f t="shared" si="31"/>
        <v>0.18920000000000001</v>
      </c>
      <c r="Z82" s="104">
        <f t="shared" si="32"/>
        <v>0.18920000000000001</v>
      </c>
      <c r="AA82">
        <f t="shared" si="39"/>
        <v>1.8919999999999999</v>
      </c>
      <c r="AB82">
        <f t="shared" si="39"/>
        <v>1.8919999999999999</v>
      </c>
      <c r="AC82">
        <f t="shared" si="40"/>
        <v>0</v>
      </c>
      <c r="AD82">
        <f t="shared" si="42"/>
        <v>1.4139999999999999</v>
      </c>
      <c r="AF82">
        <f t="shared" si="41"/>
        <v>9.4600000000000004E-2</v>
      </c>
    </row>
    <row r="83" spans="1:32" s="53" customFormat="1">
      <c r="A83" s="6" t="s">
        <v>72</v>
      </c>
      <c r="B83" s="6" t="s">
        <v>196</v>
      </c>
      <c r="C83" t="s">
        <v>13</v>
      </c>
      <c r="D83" s="8">
        <v>4</v>
      </c>
      <c r="E83">
        <v>5</v>
      </c>
      <c r="F83"/>
      <c r="G83" s="54">
        <v>2.3965999999999998</v>
      </c>
      <c r="H83" s="100">
        <v>0.2626</v>
      </c>
      <c r="I83" s="55">
        <v>0.59140000000000004</v>
      </c>
      <c r="J83" s="25">
        <v>42769</v>
      </c>
      <c r="K83" s="54">
        <v>0.51080000000000003</v>
      </c>
      <c r="L83" s="100">
        <v>0.10349999999999999</v>
      </c>
      <c r="M83" s="100">
        <v>0.2356</v>
      </c>
      <c r="N83" s="25">
        <v>42772</v>
      </c>
      <c r="O83" s="104">
        <f t="shared" si="33"/>
        <v>1.8857999999999997</v>
      </c>
      <c r="P83" s="104">
        <f t="shared" si="34"/>
        <v>0.15910000000000002</v>
      </c>
      <c r="Q83" s="104">
        <f t="shared" si="35"/>
        <v>0.35580000000000001</v>
      </c>
      <c r="R83" s="104">
        <f t="shared" si="36"/>
        <v>369.18559122944396</v>
      </c>
      <c r="S83" s="104">
        <f t="shared" si="37"/>
        <v>153.71980676328505</v>
      </c>
      <c r="T83" s="104">
        <f t="shared" si="38"/>
        <v>151.01867572156198</v>
      </c>
      <c r="U83" s="3"/>
      <c r="V83">
        <f>K83/'Soil samples'!AK68*1000</f>
        <v>58.148903503621433</v>
      </c>
      <c r="W83">
        <f>L83/'Soil samples'!AK68*1000</f>
        <v>11.782324809367301</v>
      </c>
      <c r="X83" s="3">
        <f>M83/'Soil samples'!AK68*1000</f>
        <v>26.820441788279577</v>
      </c>
      <c r="Y83" s="31">
        <f t="shared" si="31"/>
        <v>0.61430000000000007</v>
      </c>
      <c r="Z83" s="104">
        <f t="shared" si="32"/>
        <v>0.8499000000000001</v>
      </c>
      <c r="AA83">
        <f t="shared" si="39"/>
        <v>6.1430000000000007</v>
      </c>
      <c r="AB83">
        <f t="shared" si="39"/>
        <v>8.4990000000000023</v>
      </c>
      <c r="AC83">
        <f t="shared" si="40"/>
        <v>2.3559999999999999</v>
      </c>
      <c r="AD83">
        <f t="shared" si="42"/>
        <v>5.1079999999999997</v>
      </c>
      <c r="AF83">
        <f t="shared" si="41"/>
        <v>0.42495000000000016</v>
      </c>
    </row>
    <row r="84" spans="1:32" s="53" customFormat="1">
      <c r="A84" s="6" t="s">
        <v>73</v>
      </c>
      <c r="B84" s="6" t="s">
        <v>196</v>
      </c>
      <c r="C84" t="s">
        <v>13</v>
      </c>
      <c r="D84" s="8">
        <v>5</v>
      </c>
      <c r="E84">
        <v>5</v>
      </c>
      <c r="F84"/>
      <c r="G84" s="54">
        <v>2.6082999999999998</v>
      </c>
      <c r="H84" s="55">
        <v>0.31380000000000002</v>
      </c>
      <c r="I84" s="55" t="s">
        <v>469</v>
      </c>
      <c r="J84" s="25">
        <v>42821</v>
      </c>
      <c r="K84" s="54">
        <v>0.5242</v>
      </c>
      <c r="L84" s="55">
        <v>0.12770000000000001</v>
      </c>
      <c r="M84" s="55">
        <v>0</v>
      </c>
      <c r="N84" s="25">
        <v>42823</v>
      </c>
      <c r="O84" s="104">
        <f t="shared" si="33"/>
        <v>2.0840999999999998</v>
      </c>
      <c r="P84" s="104">
        <f t="shared" si="34"/>
        <v>0.18610000000000002</v>
      </c>
      <c r="Q84" s="104" t="e">
        <f t="shared" si="35"/>
        <v>#VALUE!</v>
      </c>
      <c r="R84" s="104">
        <f t="shared" si="36"/>
        <v>397.57726058756197</v>
      </c>
      <c r="S84" s="104">
        <f t="shared" si="37"/>
        <v>145.7321848081441</v>
      </c>
      <c r="T84" s="104">
        <f t="shared" si="38"/>
        <v>0</v>
      </c>
      <c r="U84" s="3"/>
      <c r="V84">
        <f>K84/'Soil samples'!AK69*1000</f>
        <v>39.267788290790151</v>
      </c>
      <c r="W84">
        <f>L84/'Soil samples'!AK69*1000</f>
        <v>9.565998788122668</v>
      </c>
      <c r="X84" s="3">
        <f>M84/'Soil samples'!AK69*1000</f>
        <v>0</v>
      </c>
      <c r="Y84" s="31">
        <f t="shared" si="31"/>
        <v>0.65190000000000003</v>
      </c>
      <c r="Z84" s="104">
        <f t="shared" si="32"/>
        <v>0.65190000000000003</v>
      </c>
      <c r="AA84">
        <f t="shared" si="39"/>
        <v>6.5190000000000001</v>
      </c>
      <c r="AB84">
        <f t="shared" si="39"/>
        <v>6.5190000000000001</v>
      </c>
      <c r="AC84">
        <f t="shared" si="40"/>
        <v>0</v>
      </c>
      <c r="AD84">
        <f t="shared" si="42"/>
        <v>5.242</v>
      </c>
      <c r="AF84">
        <f t="shared" si="41"/>
        <v>0.32595000000000002</v>
      </c>
    </row>
    <row r="85" spans="1:32" s="53" customFormat="1">
      <c r="A85" s="6" t="s">
        <v>74</v>
      </c>
      <c r="B85" s="6" t="s">
        <v>196</v>
      </c>
      <c r="C85" t="s">
        <v>13</v>
      </c>
      <c r="D85" s="8">
        <v>5</v>
      </c>
      <c r="E85">
        <v>10</v>
      </c>
      <c r="F85"/>
      <c r="G85" s="54">
        <v>2.3666999999999998</v>
      </c>
      <c r="H85" s="55">
        <v>2.3E-2</v>
      </c>
      <c r="I85" s="55" t="s">
        <v>469</v>
      </c>
      <c r="J85" s="25">
        <v>42821</v>
      </c>
      <c r="K85" s="54">
        <v>0.51039999999999996</v>
      </c>
      <c r="L85" s="55">
        <v>9.2999999999999992E-3</v>
      </c>
      <c r="M85" s="55">
        <v>0</v>
      </c>
      <c r="N85" s="25">
        <v>42823</v>
      </c>
      <c r="O85" s="104">
        <f t="shared" si="33"/>
        <v>1.8562999999999998</v>
      </c>
      <c r="P85" s="104">
        <f t="shared" si="34"/>
        <v>1.37E-2</v>
      </c>
      <c r="Q85" s="104" t="e">
        <f t="shared" si="35"/>
        <v>#VALUE!</v>
      </c>
      <c r="R85" s="104">
        <f t="shared" si="36"/>
        <v>363.69514106583074</v>
      </c>
      <c r="S85" s="104">
        <f t="shared" si="37"/>
        <v>147.31182795698928</v>
      </c>
      <c r="T85" s="104">
        <f t="shared" si="38"/>
        <v>0</v>
      </c>
      <c r="U85" s="3"/>
      <c r="V85">
        <f>K85/'Soil samples'!AK70*1000</f>
        <v>15.960071115643411</v>
      </c>
      <c r="W85">
        <f>L85/'Soil samples'!AK70*1000</f>
        <v>0.29080850582970946</v>
      </c>
      <c r="X85" s="3">
        <f>M85/'Soil samples'!AK70*1000</f>
        <v>0</v>
      </c>
      <c r="Y85" s="31">
        <f t="shared" si="31"/>
        <v>0.51969999999999994</v>
      </c>
      <c r="Z85" s="104">
        <f t="shared" si="32"/>
        <v>0.51969999999999994</v>
      </c>
      <c r="AA85">
        <f t="shared" si="39"/>
        <v>5.1969999999999992</v>
      </c>
      <c r="AB85">
        <f t="shared" si="39"/>
        <v>5.1969999999999992</v>
      </c>
      <c r="AC85">
        <f t="shared" si="40"/>
        <v>0</v>
      </c>
      <c r="AD85">
        <f t="shared" si="42"/>
        <v>5.1040000000000001</v>
      </c>
      <c r="AF85">
        <f t="shared" si="41"/>
        <v>0.25984999999999997</v>
      </c>
    </row>
    <row r="86" spans="1:32" s="53" customFormat="1">
      <c r="A86" s="6" t="s">
        <v>75</v>
      </c>
      <c r="B86" s="6" t="s">
        <v>196</v>
      </c>
      <c r="C86" t="s">
        <v>13</v>
      </c>
      <c r="D86" s="8">
        <v>5</v>
      </c>
      <c r="E86">
        <v>20</v>
      </c>
      <c r="F86"/>
      <c r="G86" s="54">
        <v>1.8204</v>
      </c>
      <c r="H86" s="55">
        <v>0.1052</v>
      </c>
      <c r="I86" s="55" t="s">
        <v>469</v>
      </c>
      <c r="J86" s="25">
        <v>42821</v>
      </c>
      <c r="K86" s="54">
        <v>0.4476</v>
      </c>
      <c r="L86" s="55">
        <v>4.4900000000000002E-2</v>
      </c>
      <c r="M86" s="55">
        <v>0</v>
      </c>
      <c r="N86" s="25">
        <v>42823</v>
      </c>
      <c r="O86" s="104">
        <f t="shared" si="33"/>
        <v>1.3728</v>
      </c>
      <c r="P86" s="104">
        <f t="shared" si="34"/>
        <v>6.0299999999999999E-2</v>
      </c>
      <c r="Q86" s="104" t="e">
        <f t="shared" si="35"/>
        <v>#VALUE!</v>
      </c>
      <c r="R86" s="104">
        <f t="shared" si="36"/>
        <v>306.70241286863273</v>
      </c>
      <c r="S86" s="104">
        <f t="shared" si="37"/>
        <v>134.29844097995544</v>
      </c>
      <c r="T86" s="104">
        <f t="shared" si="38"/>
        <v>0</v>
      </c>
      <c r="U86" s="3"/>
      <c r="V86">
        <f>K86/'Soil samples'!AK71*1000</f>
        <v>9.3726029935383526</v>
      </c>
      <c r="W86">
        <f>L86/'Soil samples'!AK71*1000</f>
        <v>0.94019185524993765</v>
      </c>
      <c r="X86" s="3">
        <f>M86/'Soil samples'!AK71*1000</f>
        <v>0</v>
      </c>
      <c r="Y86" s="31">
        <f t="shared" si="31"/>
        <v>0.49249999999999999</v>
      </c>
      <c r="Z86" s="104">
        <f t="shared" si="32"/>
        <v>0.49249999999999999</v>
      </c>
      <c r="AA86">
        <f t="shared" si="39"/>
        <v>4.9249999999999998</v>
      </c>
      <c r="AB86">
        <f t="shared" si="39"/>
        <v>4.9249999999999998</v>
      </c>
      <c r="AC86">
        <f t="shared" si="40"/>
        <v>0</v>
      </c>
      <c r="AD86">
        <f t="shared" si="42"/>
        <v>4.476</v>
      </c>
      <c r="AF86">
        <f t="shared" si="41"/>
        <v>0.24625</v>
      </c>
    </row>
    <row r="87" spans="1:32" s="53" customFormat="1">
      <c r="A87" s="6" t="s">
        <v>76</v>
      </c>
      <c r="B87" s="6" t="s">
        <v>196</v>
      </c>
      <c r="C87" t="s">
        <v>13</v>
      </c>
      <c r="D87" s="8">
        <v>5</v>
      </c>
      <c r="E87">
        <v>30</v>
      </c>
      <c r="F87"/>
      <c r="G87" s="54">
        <v>5.6099999999999997E-2</v>
      </c>
      <c r="H87" s="55">
        <v>4.65E-2</v>
      </c>
      <c r="I87" s="55" t="s">
        <v>469</v>
      </c>
      <c r="J87" s="25">
        <v>42821</v>
      </c>
      <c r="K87" s="54">
        <v>1.38E-2</v>
      </c>
      <c r="L87" s="55">
        <v>8.9999999999999993E-3</v>
      </c>
      <c r="M87" s="55">
        <v>0</v>
      </c>
      <c r="N87" s="25">
        <v>42823</v>
      </c>
      <c r="O87" s="104">
        <f t="shared" si="33"/>
        <v>4.2299999999999997E-2</v>
      </c>
      <c r="P87" s="104">
        <f t="shared" si="34"/>
        <v>3.7499999999999999E-2</v>
      </c>
      <c r="Q87" s="104" t="e">
        <f t="shared" si="35"/>
        <v>#VALUE!</v>
      </c>
      <c r="R87" s="104">
        <f t="shared" si="36"/>
        <v>306.52173913043475</v>
      </c>
      <c r="S87" s="104">
        <f t="shared" si="37"/>
        <v>416.66666666666669</v>
      </c>
      <c r="T87" s="104">
        <f t="shared" si="38"/>
        <v>0</v>
      </c>
      <c r="U87" s="3"/>
      <c r="V87">
        <f>K87/'Soil samples'!AK72*1000</f>
        <v>0.11848070077772814</v>
      </c>
      <c r="W87">
        <f>L87/'Soil samples'!AK72*1000</f>
        <v>7.7270022246344439E-2</v>
      </c>
      <c r="X87" s="3">
        <f>M87/'Soil samples'!AK72*1000</f>
        <v>0</v>
      </c>
      <c r="Y87" s="31">
        <f t="shared" si="31"/>
        <v>2.2800000000000001E-2</v>
      </c>
      <c r="Z87" s="104">
        <f t="shared" si="32"/>
        <v>2.2800000000000001E-2</v>
      </c>
      <c r="AA87">
        <f t="shared" si="39"/>
        <v>0.22800000000000001</v>
      </c>
      <c r="AB87">
        <f t="shared" si="39"/>
        <v>0.22800000000000001</v>
      </c>
      <c r="AC87">
        <f t="shared" si="40"/>
        <v>0</v>
      </c>
      <c r="AD87">
        <f t="shared" si="42"/>
        <v>0.13800000000000001</v>
      </c>
      <c r="AF87">
        <f t="shared" si="41"/>
        <v>1.14E-2</v>
      </c>
    </row>
    <row r="88" spans="1:32" s="53" customFormat="1">
      <c r="A88" s="6" t="s">
        <v>77</v>
      </c>
      <c r="B88" s="6" t="s">
        <v>196</v>
      </c>
      <c r="C88" t="s">
        <v>13</v>
      </c>
      <c r="D88" s="8">
        <v>6</v>
      </c>
      <c r="E88">
        <v>5</v>
      </c>
      <c r="F88"/>
      <c r="G88" s="54">
        <v>5.2374999999999998</v>
      </c>
      <c r="H88" s="55">
        <v>2.0110999999999999</v>
      </c>
      <c r="I88" s="55">
        <v>0.51490000000000002</v>
      </c>
      <c r="J88" s="25">
        <v>42418</v>
      </c>
      <c r="K88" s="54">
        <v>1.0112000000000001</v>
      </c>
      <c r="L88" s="100">
        <v>0.56630000000000003</v>
      </c>
      <c r="M88" s="100">
        <v>0.23369999999999999</v>
      </c>
      <c r="N88" s="25">
        <v>42421</v>
      </c>
      <c r="O88" s="104">
        <f t="shared" si="33"/>
        <v>4.2263000000000002</v>
      </c>
      <c r="P88" s="104">
        <f t="shared" si="34"/>
        <v>1.4447999999999999</v>
      </c>
      <c r="Q88" s="104">
        <f t="shared" si="35"/>
        <v>0.28120000000000001</v>
      </c>
      <c r="R88" s="104">
        <f t="shared" si="36"/>
        <v>417.94897151898726</v>
      </c>
      <c r="S88" s="104">
        <f t="shared" si="37"/>
        <v>255.12978986402965</v>
      </c>
      <c r="T88" s="104">
        <f t="shared" si="38"/>
        <v>120.32520325203254</v>
      </c>
      <c r="U88" s="3"/>
      <c r="V88">
        <f>K88/'Soil samples'!AK73*1000</f>
        <v>27.032750860426756</v>
      </c>
      <c r="W88">
        <f>L88/'Soil samples'!AK73*1000</f>
        <v>15.139089015288441</v>
      </c>
      <c r="X88" s="3">
        <f>M88/'Soil samples'!AK73*1000</f>
        <v>6.2475809692263962</v>
      </c>
      <c r="Y88" s="31">
        <f t="shared" si="31"/>
        <v>1.5775000000000001</v>
      </c>
      <c r="Z88" s="104">
        <f t="shared" si="32"/>
        <v>1.8112000000000001</v>
      </c>
      <c r="AA88">
        <f t="shared" si="39"/>
        <v>15.775000000000002</v>
      </c>
      <c r="AB88">
        <f t="shared" si="39"/>
        <v>18.111999999999998</v>
      </c>
      <c r="AC88">
        <f t="shared" si="40"/>
        <v>2.3370000000000002</v>
      </c>
      <c r="AD88">
        <f t="shared" si="42"/>
        <v>10.112000000000002</v>
      </c>
      <c r="AF88">
        <f t="shared" si="41"/>
        <v>0.90559999999999996</v>
      </c>
    </row>
    <row r="89" spans="1:32" s="53" customFormat="1">
      <c r="A89" s="6" t="s">
        <v>78</v>
      </c>
      <c r="B89" s="6" t="s">
        <v>196</v>
      </c>
      <c r="C89" t="s">
        <v>13</v>
      </c>
      <c r="D89" s="8">
        <v>6</v>
      </c>
      <c r="E89">
        <v>10</v>
      </c>
      <c r="F89"/>
      <c r="G89" s="54">
        <v>0.68769999999999998</v>
      </c>
      <c r="H89" s="55">
        <v>1.0251999999999999</v>
      </c>
      <c r="I89" s="55" t="s">
        <v>469</v>
      </c>
      <c r="J89" s="25">
        <v>42418</v>
      </c>
      <c r="K89" s="54">
        <v>0.19109999999999999</v>
      </c>
      <c r="L89" s="100">
        <v>0.27829999999999999</v>
      </c>
      <c r="M89" s="55">
        <v>0</v>
      </c>
      <c r="N89" s="25">
        <v>42421</v>
      </c>
      <c r="O89" s="104">
        <f t="shared" si="33"/>
        <v>0.49659999999999999</v>
      </c>
      <c r="P89" s="104">
        <f t="shared" si="34"/>
        <v>0.7468999999999999</v>
      </c>
      <c r="Q89" s="104" t="e">
        <f t="shared" si="35"/>
        <v>#VALUE!</v>
      </c>
      <c r="R89" s="104">
        <f t="shared" si="36"/>
        <v>259.86394557823132</v>
      </c>
      <c r="S89" s="104">
        <f t="shared" si="37"/>
        <v>268.37944664031619</v>
      </c>
      <c r="T89" s="104">
        <f t="shared" si="38"/>
        <v>0</v>
      </c>
      <c r="U89" s="3"/>
      <c r="V89">
        <f>K89/'Soil samples'!AK74*1000</f>
        <v>3.1099828915435066</v>
      </c>
      <c r="W89">
        <f>L89/'Soil samples'!AK74*1000</f>
        <v>4.5290854982551432</v>
      </c>
      <c r="X89" s="3">
        <f>M89/'Soil samples'!AK74*1000</f>
        <v>0</v>
      </c>
      <c r="Y89" s="31">
        <f t="shared" si="31"/>
        <v>0.46939999999999998</v>
      </c>
      <c r="Z89" s="104">
        <f t="shared" si="32"/>
        <v>0.46939999999999998</v>
      </c>
      <c r="AA89">
        <f t="shared" si="39"/>
        <v>4.694</v>
      </c>
      <c r="AB89">
        <f t="shared" si="39"/>
        <v>4.694</v>
      </c>
      <c r="AC89">
        <f t="shared" si="40"/>
        <v>0</v>
      </c>
      <c r="AD89">
        <f t="shared" si="42"/>
        <v>1.911</v>
      </c>
      <c r="AF89">
        <f t="shared" si="41"/>
        <v>0.23470000000000002</v>
      </c>
    </row>
    <row r="90" spans="1:32" s="53" customFormat="1">
      <c r="A90" s="6" t="s">
        <v>79</v>
      </c>
      <c r="B90" s="6" t="s">
        <v>196</v>
      </c>
      <c r="C90" t="s">
        <v>13</v>
      </c>
      <c r="D90" s="8">
        <v>6</v>
      </c>
      <c r="E90">
        <v>20</v>
      </c>
      <c r="F90"/>
      <c r="G90" s="54">
        <v>0.34520000000000001</v>
      </c>
      <c r="H90" s="55">
        <v>0.6492</v>
      </c>
      <c r="I90" s="55" t="s">
        <v>469</v>
      </c>
      <c r="J90" s="25">
        <v>42418</v>
      </c>
      <c r="K90" s="54">
        <v>8.7599999999999997E-2</v>
      </c>
      <c r="L90" s="100">
        <v>0.1704</v>
      </c>
      <c r="M90" s="55">
        <v>0</v>
      </c>
      <c r="N90" s="25">
        <v>42421</v>
      </c>
      <c r="O90" s="104">
        <f t="shared" si="33"/>
        <v>0.2576</v>
      </c>
      <c r="P90" s="104">
        <f t="shared" si="34"/>
        <v>0.4788</v>
      </c>
      <c r="Q90" s="104" t="e">
        <f t="shared" si="35"/>
        <v>#VALUE!</v>
      </c>
      <c r="R90" s="104">
        <f t="shared" si="36"/>
        <v>294.06392694063925</v>
      </c>
      <c r="S90" s="104">
        <f t="shared" si="37"/>
        <v>280.98591549295776</v>
      </c>
      <c r="T90" s="104">
        <f t="shared" si="38"/>
        <v>0</v>
      </c>
      <c r="U90" s="3"/>
      <c r="V90">
        <f>K90/'Soil samples'!AK75*1000</f>
        <v>0.84248313079549997</v>
      </c>
      <c r="W90">
        <f>L90/'Soil samples'!AK75*1000</f>
        <v>1.6388028023693286</v>
      </c>
      <c r="X90" s="3">
        <f>M90/'Soil samples'!AK75*1000</f>
        <v>0</v>
      </c>
      <c r="Y90" s="31">
        <f t="shared" si="31"/>
        <v>0.25800000000000001</v>
      </c>
      <c r="Z90" s="104">
        <f t="shared" si="32"/>
        <v>0.25800000000000001</v>
      </c>
      <c r="AA90">
        <f t="shared" si="39"/>
        <v>2.58</v>
      </c>
      <c r="AB90">
        <f t="shared" si="39"/>
        <v>2.58</v>
      </c>
      <c r="AC90">
        <f t="shared" si="40"/>
        <v>0</v>
      </c>
      <c r="AD90">
        <f t="shared" si="42"/>
        <v>0.876</v>
      </c>
      <c r="AF90">
        <f t="shared" si="41"/>
        <v>0.129</v>
      </c>
    </row>
    <row r="91" spans="1:32" s="58" customFormat="1">
      <c r="A91" s="7" t="s">
        <v>80</v>
      </c>
      <c r="B91" s="7" t="s">
        <v>196</v>
      </c>
      <c r="C91" s="4" t="s">
        <v>13</v>
      </c>
      <c r="D91" s="4">
        <v>6</v>
      </c>
      <c r="E91" s="4">
        <v>30</v>
      </c>
      <c r="F91" s="4"/>
      <c r="G91" s="101">
        <v>0.62970000000000004</v>
      </c>
      <c r="H91" s="102">
        <v>0.80230000000000001</v>
      </c>
      <c r="I91" s="102" t="s">
        <v>469</v>
      </c>
      <c r="J91" s="27">
        <v>42418</v>
      </c>
      <c r="K91" s="101">
        <v>0.15079999999999999</v>
      </c>
      <c r="L91" s="102">
        <v>0.20630000000000001</v>
      </c>
      <c r="M91" s="55">
        <v>0</v>
      </c>
      <c r="N91" s="25">
        <v>42421</v>
      </c>
      <c r="O91" s="104">
        <f t="shared" si="33"/>
        <v>0.47890000000000005</v>
      </c>
      <c r="P91" s="104">
        <f t="shared" si="34"/>
        <v>0.59599999999999997</v>
      </c>
      <c r="Q91" s="104" t="e">
        <f t="shared" si="35"/>
        <v>#VALUE!</v>
      </c>
      <c r="R91" s="104">
        <f t="shared" si="36"/>
        <v>317.57294429708224</v>
      </c>
      <c r="S91" s="104">
        <f t="shared" si="37"/>
        <v>288.89966068831797</v>
      </c>
      <c r="T91" s="104">
        <f t="shared" si="38"/>
        <v>0</v>
      </c>
      <c r="U91" s="5"/>
      <c r="V91">
        <f>K91/'Soil samples'!AK76*1000</f>
        <v>1.6418643809323363</v>
      </c>
      <c r="W91">
        <f>L91/'Soil samples'!AK76*1000</f>
        <v>2.2461314442065055</v>
      </c>
      <c r="X91" s="3">
        <f>M91/'Soil samples'!AK76*1000</f>
        <v>0</v>
      </c>
      <c r="Y91" s="31">
        <f t="shared" si="31"/>
        <v>0.35709999999999997</v>
      </c>
      <c r="Z91" s="104">
        <f t="shared" si="32"/>
        <v>0.35709999999999997</v>
      </c>
      <c r="AA91">
        <f t="shared" si="39"/>
        <v>3.5709999999999997</v>
      </c>
      <c r="AB91">
        <f t="shared" si="39"/>
        <v>3.5709999999999997</v>
      </c>
      <c r="AC91">
        <f t="shared" si="40"/>
        <v>0</v>
      </c>
      <c r="AD91">
        <f t="shared" si="42"/>
        <v>1.508</v>
      </c>
      <c r="AF91">
        <f t="shared" si="41"/>
        <v>0.17854999999999999</v>
      </c>
    </row>
    <row r="92" spans="1:32" s="53" customFormat="1">
      <c r="A92" s="6" t="s">
        <v>81</v>
      </c>
      <c r="B92" s="6" t="s">
        <v>197</v>
      </c>
      <c r="C92" t="s">
        <v>12</v>
      </c>
      <c r="D92" s="8">
        <v>1</v>
      </c>
      <c r="E92">
        <v>5</v>
      </c>
      <c r="F92" t="s">
        <v>384</v>
      </c>
      <c r="G92" s="54">
        <v>1.0072000000000001</v>
      </c>
      <c r="H92" s="100">
        <v>2.9399999999999999E-2</v>
      </c>
      <c r="I92" s="100" t="s">
        <v>469</v>
      </c>
      <c r="J92" s="25">
        <v>42418</v>
      </c>
      <c r="K92" s="54">
        <v>0.30220000000000002</v>
      </c>
      <c r="L92" s="100">
        <v>4.1999999999999997E-3</v>
      </c>
      <c r="M92" s="55">
        <v>0</v>
      </c>
      <c r="N92" s="25">
        <v>42421</v>
      </c>
      <c r="O92" s="104">
        <f t="shared" si="33"/>
        <v>0.70500000000000007</v>
      </c>
      <c r="P92" s="104">
        <f t="shared" si="34"/>
        <v>2.52E-2</v>
      </c>
      <c r="Q92" s="104" t="e">
        <f t="shared" si="35"/>
        <v>#VALUE!</v>
      </c>
      <c r="R92" s="104">
        <f t="shared" si="36"/>
        <v>233.28921244209133</v>
      </c>
      <c r="S92" s="104">
        <f t="shared" si="37"/>
        <v>600</v>
      </c>
      <c r="T92" s="104">
        <f t="shared" si="38"/>
        <v>0</v>
      </c>
      <c r="U92" s="3"/>
      <c r="V92">
        <f>K92/'Soil samples'!AK77*1000</f>
        <v>17.977427936509756</v>
      </c>
      <c r="W92">
        <f>L92/'Soil samples'!AK77*1000</f>
        <v>0.24985174498127388</v>
      </c>
      <c r="X92" s="3">
        <f>M92/'Soil samples'!AK77*1000</f>
        <v>0</v>
      </c>
      <c r="Y92" s="31">
        <f t="shared" si="31"/>
        <v>0.30640000000000001</v>
      </c>
      <c r="Z92" s="104">
        <f t="shared" si="32"/>
        <v>0.30640000000000001</v>
      </c>
      <c r="AA92">
        <f t="shared" si="39"/>
        <v>3.0640000000000001</v>
      </c>
      <c r="AB92">
        <f t="shared" si="39"/>
        <v>3.0640000000000001</v>
      </c>
      <c r="AC92">
        <f t="shared" si="40"/>
        <v>0</v>
      </c>
      <c r="AD92">
        <f t="shared" si="42"/>
        <v>3.0220000000000002</v>
      </c>
      <c r="AF92">
        <f t="shared" si="41"/>
        <v>0.1532</v>
      </c>
    </row>
    <row r="93" spans="1:32" s="53" customFormat="1">
      <c r="A93" s="6" t="s">
        <v>82</v>
      </c>
      <c r="B93" s="6" t="s">
        <v>197</v>
      </c>
      <c r="C93" t="s">
        <v>12</v>
      </c>
      <c r="D93" s="8">
        <v>1</v>
      </c>
      <c r="E93">
        <v>10</v>
      </c>
      <c r="F93"/>
      <c r="G93" s="54">
        <v>0.78569999999999995</v>
      </c>
      <c r="H93" s="100">
        <v>0.1124</v>
      </c>
      <c r="I93" s="100" t="s">
        <v>469</v>
      </c>
      <c r="J93" s="25">
        <v>42418</v>
      </c>
      <c r="K93" s="54">
        <v>0.19070000000000001</v>
      </c>
      <c r="L93" s="100">
        <v>1.1299999999999999E-2</v>
      </c>
      <c r="M93" s="55">
        <v>0</v>
      </c>
      <c r="N93" s="25">
        <v>42421</v>
      </c>
      <c r="O93" s="104">
        <f t="shared" si="33"/>
        <v>0.59499999999999997</v>
      </c>
      <c r="P93" s="104">
        <f t="shared" si="34"/>
        <v>0.1011</v>
      </c>
      <c r="Q93" s="104" t="e">
        <f t="shared" si="35"/>
        <v>#VALUE!</v>
      </c>
      <c r="R93" s="104">
        <f t="shared" si="36"/>
        <v>312.00839014158362</v>
      </c>
      <c r="S93" s="104">
        <f t="shared" si="37"/>
        <v>894.69026548672571</v>
      </c>
      <c r="T93" s="104">
        <f t="shared" si="38"/>
        <v>0</v>
      </c>
      <c r="U93" s="3"/>
      <c r="V93">
        <f>K93/'Soil samples'!AK78*1000</f>
        <v>8.1647083369835354</v>
      </c>
      <c r="W93">
        <f>L93/'Soil samples'!AK78*1000</f>
        <v>0.48380285373840565</v>
      </c>
      <c r="X93" s="3">
        <f>M93/'Soil samples'!AK78*1000</f>
        <v>0</v>
      </c>
      <c r="Y93" s="31">
        <f t="shared" si="31"/>
        <v>0.20200000000000001</v>
      </c>
      <c r="Z93" s="104">
        <f t="shared" si="32"/>
        <v>0.20200000000000001</v>
      </c>
      <c r="AA93">
        <f t="shared" si="39"/>
        <v>2.02</v>
      </c>
      <c r="AB93">
        <f t="shared" si="39"/>
        <v>2.02</v>
      </c>
      <c r="AC93">
        <f t="shared" si="40"/>
        <v>0</v>
      </c>
      <c r="AD93">
        <f t="shared" si="42"/>
        <v>1.907</v>
      </c>
      <c r="AF93">
        <f t="shared" si="41"/>
        <v>0.10100000000000001</v>
      </c>
    </row>
    <row r="94" spans="1:32" s="53" customFormat="1">
      <c r="A94" s="6" t="s">
        <v>83</v>
      </c>
      <c r="B94" s="6" t="s">
        <v>197</v>
      </c>
      <c r="C94" t="s">
        <v>12</v>
      </c>
      <c r="D94" s="8">
        <v>1</v>
      </c>
      <c r="E94">
        <v>20</v>
      </c>
      <c r="F94"/>
      <c r="G94" s="54">
        <v>0.93010000000000004</v>
      </c>
      <c r="H94" s="55" t="s">
        <v>469</v>
      </c>
      <c r="I94" s="100" t="s">
        <v>469</v>
      </c>
      <c r="J94" s="25">
        <v>42418</v>
      </c>
      <c r="K94" s="54">
        <v>0.20030000000000001</v>
      </c>
      <c r="L94" s="55">
        <v>0</v>
      </c>
      <c r="M94" s="55">
        <v>0</v>
      </c>
      <c r="N94" s="25">
        <v>42421</v>
      </c>
      <c r="O94" s="104">
        <f t="shared" si="33"/>
        <v>0.7298</v>
      </c>
      <c r="P94" s="104" t="e">
        <f t="shared" si="34"/>
        <v>#VALUE!</v>
      </c>
      <c r="Q94" s="104" t="e">
        <f t="shared" si="35"/>
        <v>#VALUE!</v>
      </c>
      <c r="R94" s="104">
        <f t="shared" si="36"/>
        <v>364.35346979530703</v>
      </c>
      <c r="S94" s="104">
        <f t="shared" si="37"/>
        <v>0</v>
      </c>
      <c r="T94" s="104">
        <f t="shared" si="38"/>
        <v>0</v>
      </c>
      <c r="U94" s="3"/>
      <c r="V94">
        <f>K94/'Soil samples'!AK79*1000</f>
        <v>6.4540870950254954</v>
      </c>
      <c r="W94">
        <f>L94/'Soil samples'!AK79*1000</f>
        <v>0</v>
      </c>
      <c r="X94" s="3">
        <f>M94/'Soil samples'!AK79*1000</f>
        <v>0</v>
      </c>
      <c r="Y94" s="31">
        <f t="shared" si="31"/>
        <v>0.20030000000000001</v>
      </c>
      <c r="Z94" s="104">
        <f t="shared" si="32"/>
        <v>0.20030000000000001</v>
      </c>
      <c r="AA94">
        <f t="shared" si="39"/>
        <v>2.0030000000000001</v>
      </c>
      <c r="AB94">
        <f t="shared" si="39"/>
        <v>2.0030000000000001</v>
      </c>
      <c r="AC94">
        <f t="shared" si="40"/>
        <v>0</v>
      </c>
      <c r="AD94">
        <f t="shared" si="42"/>
        <v>2.0030000000000001</v>
      </c>
      <c r="AF94">
        <f t="shared" si="41"/>
        <v>0.10015000000000002</v>
      </c>
    </row>
    <row r="95" spans="1:32" s="53" customFormat="1">
      <c r="A95" s="6" t="s">
        <v>84</v>
      </c>
      <c r="B95" s="6" t="s">
        <v>197</v>
      </c>
      <c r="C95" t="s">
        <v>12</v>
      </c>
      <c r="D95" s="8">
        <v>2</v>
      </c>
      <c r="E95">
        <v>5</v>
      </c>
      <c r="F95"/>
      <c r="G95" s="54">
        <v>1.5869</v>
      </c>
      <c r="H95" s="100">
        <v>7.0000000000000007E-2</v>
      </c>
      <c r="I95" s="100" t="s">
        <v>469</v>
      </c>
      <c r="J95" s="25">
        <v>42418</v>
      </c>
      <c r="K95" s="54">
        <v>0.66049999999999998</v>
      </c>
      <c r="L95" s="100">
        <v>1.89E-2</v>
      </c>
      <c r="M95" s="55">
        <v>0</v>
      </c>
      <c r="N95" s="25">
        <v>42421</v>
      </c>
      <c r="O95" s="104">
        <f t="shared" si="33"/>
        <v>0.9264</v>
      </c>
      <c r="P95" s="104">
        <f t="shared" si="34"/>
        <v>5.1100000000000007E-2</v>
      </c>
      <c r="Q95" s="104" t="e">
        <f t="shared" si="35"/>
        <v>#VALUE!</v>
      </c>
      <c r="R95" s="104">
        <f t="shared" si="36"/>
        <v>140.25738077214231</v>
      </c>
      <c r="S95" s="104">
        <f t="shared" si="37"/>
        <v>270.37037037037044</v>
      </c>
      <c r="T95" s="104">
        <f t="shared" si="38"/>
        <v>0</v>
      </c>
      <c r="U95" s="3"/>
      <c r="V95">
        <f>K95/'Soil samples'!AK80*1000</f>
        <v>31.800969476219048</v>
      </c>
      <c r="W95">
        <f>L95/'Soil samples'!AK80*1000</f>
        <v>0.90997475109847092</v>
      </c>
      <c r="X95" s="3">
        <f>M95/'Soil samples'!AK80*1000</f>
        <v>0</v>
      </c>
      <c r="Y95" s="31">
        <f t="shared" si="31"/>
        <v>0.6794</v>
      </c>
      <c r="Z95" s="104">
        <f t="shared" si="32"/>
        <v>0.6794</v>
      </c>
      <c r="AA95">
        <f t="shared" si="39"/>
        <v>6.7939999999999996</v>
      </c>
      <c r="AB95">
        <f t="shared" si="39"/>
        <v>6.7939999999999996</v>
      </c>
      <c r="AC95">
        <f t="shared" si="40"/>
        <v>0</v>
      </c>
      <c r="AD95">
        <f t="shared" si="42"/>
        <v>6.6050000000000004</v>
      </c>
      <c r="AF95">
        <f t="shared" si="41"/>
        <v>0.3397</v>
      </c>
    </row>
    <row r="96" spans="1:32" s="53" customFormat="1">
      <c r="A96" s="6" t="s">
        <v>85</v>
      </c>
      <c r="B96" s="6" t="s">
        <v>197</v>
      </c>
      <c r="C96" t="s">
        <v>12</v>
      </c>
      <c r="D96" s="8">
        <v>2</v>
      </c>
      <c r="E96">
        <v>10</v>
      </c>
      <c r="F96"/>
      <c r="G96" s="54">
        <v>3.2669000000000001</v>
      </c>
      <c r="H96" s="100">
        <v>0.44490000000000002</v>
      </c>
      <c r="I96" s="100" t="s">
        <v>469</v>
      </c>
      <c r="J96" s="25">
        <v>42418</v>
      </c>
      <c r="K96" s="54">
        <v>0.38059999999999999</v>
      </c>
      <c r="L96" s="100">
        <v>0.14979999999999999</v>
      </c>
      <c r="M96" s="55">
        <v>0</v>
      </c>
      <c r="N96" s="25">
        <v>42421</v>
      </c>
      <c r="O96" s="104">
        <f t="shared" si="33"/>
        <v>2.8863000000000003</v>
      </c>
      <c r="P96" s="104">
        <f t="shared" si="34"/>
        <v>0.29510000000000003</v>
      </c>
      <c r="Q96" s="104" t="e">
        <f t="shared" si="35"/>
        <v>#VALUE!</v>
      </c>
      <c r="R96" s="104">
        <f t="shared" si="36"/>
        <v>758.35522858644254</v>
      </c>
      <c r="S96" s="104">
        <f t="shared" si="37"/>
        <v>196.99599465954608</v>
      </c>
      <c r="T96" s="104">
        <f t="shared" si="38"/>
        <v>0</v>
      </c>
      <c r="U96" s="3"/>
      <c r="V96">
        <f>K96/'Soil samples'!AK81*1000</f>
        <v>13.685570424811477</v>
      </c>
      <c r="W96">
        <f>L96/'Soil samples'!AK81*1000</f>
        <v>5.3864909344108227</v>
      </c>
      <c r="X96" s="3">
        <f>M96/'Soil samples'!AK81*1000</f>
        <v>0</v>
      </c>
      <c r="Y96" s="31">
        <f t="shared" si="31"/>
        <v>0.53039999999999998</v>
      </c>
      <c r="Z96" s="104">
        <f t="shared" si="32"/>
        <v>0.53039999999999998</v>
      </c>
      <c r="AA96">
        <f t="shared" si="39"/>
        <v>5.3040000000000003</v>
      </c>
      <c r="AB96">
        <f t="shared" si="39"/>
        <v>5.3040000000000003</v>
      </c>
      <c r="AC96">
        <f t="shared" si="40"/>
        <v>0</v>
      </c>
      <c r="AD96">
        <f t="shared" si="42"/>
        <v>3.806</v>
      </c>
      <c r="AF96">
        <f t="shared" si="41"/>
        <v>0.26520000000000005</v>
      </c>
    </row>
    <row r="97" spans="1:32" s="53" customFormat="1">
      <c r="A97" s="6" t="s">
        <v>86</v>
      </c>
      <c r="B97" s="6" t="s">
        <v>197</v>
      </c>
      <c r="C97" t="s">
        <v>12</v>
      </c>
      <c r="D97" s="8">
        <v>2</v>
      </c>
      <c r="E97">
        <v>20</v>
      </c>
      <c r="F97"/>
      <c r="G97" s="54">
        <v>2.2581000000000002</v>
      </c>
      <c r="H97" s="100">
        <v>0.51170000000000004</v>
      </c>
      <c r="I97" s="100" t="s">
        <v>469</v>
      </c>
      <c r="J97" s="25">
        <v>42418</v>
      </c>
      <c r="K97" s="54">
        <v>0.43969999999999998</v>
      </c>
      <c r="L97" s="100">
        <v>0.19020000000000001</v>
      </c>
      <c r="M97" s="55">
        <v>0</v>
      </c>
      <c r="N97" s="25">
        <v>42421</v>
      </c>
      <c r="O97" s="104">
        <f t="shared" si="33"/>
        <v>1.8184000000000002</v>
      </c>
      <c r="P97" s="104">
        <f t="shared" si="34"/>
        <v>0.32150000000000001</v>
      </c>
      <c r="Q97" s="104" t="e">
        <f t="shared" si="35"/>
        <v>#VALUE!</v>
      </c>
      <c r="R97" s="104">
        <f t="shared" si="36"/>
        <v>413.55469638389815</v>
      </c>
      <c r="S97" s="104">
        <f t="shared" si="37"/>
        <v>169.03259726603574</v>
      </c>
      <c r="T97" s="104">
        <f t="shared" si="38"/>
        <v>0</v>
      </c>
      <c r="U97" s="3"/>
      <c r="V97">
        <f>K97/'Soil samples'!AK82*1000</f>
        <v>13.921621811466196</v>
      </c>
      <c r="W97">
        <f>L97/'Soil samples'!AK82*1000</f>
        <v>6.0220433671614071</v>
      </c>
      <c r="X97" s="3">
        <f>M97/'Soil samples'!AK82*1000</f>
        <v>0</v>
      </c>
      <c r="Y97" s="31">
        <f t="shared" si="31"/>
        <v>0.62990000000000002</v>
      </c>
      <c r="Z97" s="104">
        <f t="shared" si="32"/>
        <v>0.62990000000000002</v>
      </c>
      <c r="AA97">
        <f t="shared" si="39"/>
        <v>6.2990000000000004</v>
      </c>
      <c r="AB97">
        <f t="shared" si="39"/>
        <v>6.2990000000000004</v>
      </c>
      <c r="AC97">
        <f t="shared" si="40"/>
        <v>0</v>
      </c>
      <c r="AD97">
        <f t="shared" si="42"/>
        <v>4.3970000000000002</v>
      </c>
      <c r="AF97">
        <f t="shared" si="41"/>
        <v>0.31495000000000006</v>
      </c>
    </row>
    <row r="98" spans="1:32">
      <c r="A98" s="6" t="s">
        <v>87</v>
      </c>
      <c r="B98" s="6" t="s">
        <v>197</v>
      </c>
      <c r="C98" t="s">
        <v>12</v>
      </c>
      <c r="D98" s="8">
        <v>3</v>
      </c>
      <c r="E98">
        <v>5</v>
      </c>
      <c r="G98" s="54">
        <v>1.0583</v>
      </c>
      <c r="H98" s="55" t="s">
        <v>469</v>
      </c>
      <c r="I98" s="55">
        <v>0.76229999999999998</v>
      </c>
      <c r="J98" s="25">
        <v>42769</v>
      </c>
      <c r="K98" s="54">
        <v>0.38990000000000002</v>
      </c>
      <c r="L98" s="55">
        <v>0</v>
      </c>
      <c r="M98" s="100">
        <v>0.1757</v>
      </c>
      <c r="N98" s="25">
        <v>42772</v>
      </c>
      <c r="O98" s="104">
        <f t="shared" si="33"/>
        <v>0.66839999999999999</v>
      </c>
      <c r="P98" s="104" t="e">
        <f t="shared" si="34"/>
        <v>#VALUE!</v>
      </c>
      <c r="Q98" s="104">
        <f t="shared" si="35"/>
        <v>0.58660000000000001</v>
      </c>
      <c r="R98" s="104">
        <f t="shared" si="36"/>
        <v>171.42857142857142</v>
      </c>
      <c r="S98" s="104">
        <f t="shared" si="37"/>
        <v>0</v>
      </c>
      <c r="T98" s="104">
        <f t="shared" si="38"/>
        <v>333.86454183266932</v>
      </c>
      <c r="U98" s="109" t="s">
        <v>777</v>
      </c>
      <c r="V98">
        <f>K98/'Soil samples'!AK83*1000</f>
        <v>43.859467473831188</v>
      </c>
      <c r="W98">
        <f>L98/'Soil samples'!AK83*1000</f>
        <v>0</v>
      </c>
      <c r="X98" s="3">
        <f>M98/'Soil samples'!AK83*1000</f>
        <v>19.764320172229134</v>
      </c>
      <c r="Y98" s="31">
        <f t="shared" si="31"/>
        <v>0.38990000000000002</v>
      </c>
      <c r="Z98" s="104">
        <f t="shared" si="32"/>
        <v>0.56559999999999999</v>
      </c>
      <c r="AA98">
        <f t="shared" si="39"/>
        <v>3.8990000000000005</v>
      </c>
      <c r="AB98">
        <f t="shared" si="39"/>
        <v>5.6559999999999997</v>
      </c>
      <c r="AC98">
        <f t="shared" si="40"/>
        <v>1.7569999999999999</v>
      </c>
      <c r="AD98">
        <f t="shared" si="42"/>
        <v>3.8990000000000005</v>
      </c>
      <c r="AF98">
        <f t="shared" si="41"/>
        <v>0.2828</v>
      </c>
    </row>
    <row r="99" spans="1:32">
      <c r="A99" s="6" t="s">
        <v>88</v>
      </c>
      <c r="B99" s="6" t="s">
        <v>197</v>
      </c>
      <c r="C99" t="s">
        <v>12</v>
      </c>
      <c r="D99" s="8">
        <v>3</v>
      </c>
      <c r="E99">
        <v>10</v>
      </c>
      <c r="G99" s="54">
        <v>0.45169999999999999</v>
      </c>
      <c r="H99" s="55" t="s">
        <v>469</v>
      </c>
      <c r="I99" s="55">
        <v>0.32379999999999998</v>
      </c>
      <c r="J99" s="25">
        <v>42769</v>
      </c>
      <c r="K99" s="54">
        <v>0.1565</v>
      </c>
      <c r="L99" s="55">
        <v>0</v>
      </c>
      <c r="M99" s="100">
        <v>8.0600000000000005E-2</v>
      </c>
      <c r="N99" s="25">
        <v>42772</v>
      </c>
      <c r="O99" s="104">
        <f t="shared" si="33"/>
        <v>0.29520000000000002</v>
      </c>
      <c r="P99" s="104" t="e">
        <f t="shared" si="34"/>
        <v>#VALUE!</v>
      </c>
      <c r="Q99" s="104">
        <f t="shared" si="35"/>
        <v>0.24319999999999997</v>
      </c>
      <c r="R99" s="104">
        <f t="shared" si="36"/>
        <v>188.6261980830671</v>
      </c>
      <c r="S99" s="104">
        <f t="shared" si="37"/>
        <v>0</v>
      </c>
      <c r="T99" s="104">
        <f t="shared" si="38"/>
        <v>301.73697270471462</v>
      </c>
      <c r="V99">
        <f>K99/'Soil samples'!AK84*1000</f>
        <v>1.6133055790277886</v>
      </c>
      <c r="W99">
        <f>L99/'Soil samples'!AK84*1000</f>
        <v>0</v>
      </c>
      <c r="X99" s="3">
        <f>M99/'Soil samples'!AK84*1000</f>
        <v>0.8308781448539283</v>
      </c>
      <c r="Y99" s="31">
        <f t="shared" si="31"/>
        <v>0.1565</v>
      </c>
      <c r="Z99" s="104">
        <f t="shared" si="32"/>
        <v>0.23710000000000001</v>
      </c>
      <c r="AA99">
        <f t="shared" si="39"/>
        <v>1.5649999999999999</v>
      </c>
      <c r="AB99">
        <f t="shared" si="39"/>
        <v>2.371</v>
      </c>
      <c r="AC99">
        <f t="shared" si="40"/>
        <v>0.80600000000000005</v>
      </c>
      <c r="AD99">
        <f t="shared" si="42"/>
        <v>1.5649999999999999</v>
      </c>
      <c r="AF99">
        <f t="shared" si="41"/>
        <v>0.11855</v>
      </c>
    </row>
    <row r="100" spans="1:32">
      <c r="A100" s="6" t="s">
        <v>89</v>
      </c>
      <c r="B100" s="6" t="s">
        <v>197</v>
      </c>
      <c r="C100" t="s">
        <v>12</v>
      </c>
      <c r="D100" s="8">
        <v>3</v>
      </c>
      <c r="E100">
        <v>20</v>
      </c>
      <c r="G100" s="54">
        <v>0.61409999999999998</v>
      </c>
      <c r="H100" s="55" t="s">
        <v>469</v>
      </c>
      <c r="I100" s="55">
        <v>0.43709999999999999</v>
      </c>
      <c r="J100" s="25">
        <v>42769</v>
      </c>
      <c r="K100" s="54">
        <v>0.2286</v>
      </c>
      <c r="L100" s="55">
        <v>0</v>
      </c>
      <c r="M100" s="100">
        <v>0.1192</v>
      </c>
      <c r="N100" s="25">
        <v>42772</v>
      </c>
      <c r="O100" s="104">
        <f t="shared" si="33"/>
        <v>0.38549999999999995</v>
      </c>
      <c r="P100" s="104" t="e">
        <f t="shared" si="34"/>
        <v>#VALUE!</v>
      </c>
      <c r="Q100" s="104">
        <f t="shared" si="35"/>
        <v>0.31789999999999996</v>
      </c>
      <c r="R100" s="104">
        <f t="shared" si="36"/>
        <v>168.63517060367451</v>
      </c>
      <c r="S100" s="104">
        <f t="shared" si="37"/>
        <v>0</v>
      </c>
      <c r="T100" s="104">
        <f t="shared" si="38"/>
        <v>266.69463087248317</v>
      </c>
      <c r="V100">
        <f>K100/'Soil samples'!AK85*1000</f>
        <v>3.1323757203026035</v>
      </c>
      <c r="W100">
        <f>L100/'Soil samples'!AK85*1000</f>
        <v>0</v>
      </c>
      <c r="X100" s="3">
        <f>M100/'Soil samples'!AK85*1000</f>
        <v>1.633329771916318</v>
      </c>
      <c r="Y100" s="31">
        <f>SUM(K100:L100)</f>
        <v>0.2286</v>
      </c>
      <c r="Z100" s="104">
        <f>SUM(K100:M100)</f>
        <v>0.3478</v>
      </c>
      <c r="AA100">
        <f t="shared" si="39"/>
        <v>2.286</v>
      </c>
      <c r="AB100">
        <f t="shared" si="39"/>
        <v>3.4780000000000002</v>
      </c>
      <c r="AC100">
        <f t="shared" si="40"/>
        <v>1.1919999999999999</v>
      </c>
      <c r="AD100">
        <f t="shared" si="42"/>
        <v>2.286</v>
      </c>
      <c r="AF100">
        <f t="shared" si="41"/>
        <v>0.17390000000000003</v>
      </c>
    </row>
    <row r="101" spans="1:32">
      <c r="A101" s="6" t="s">
        <v>90</v>
      </c>
      <c r="B101" s="6" t="s">
        <v>197</v>
      </c>
      <c r="C101" t="s">
        <v>12</v>
      </c>
      <c r="D101" s="8">
        <v>3</v>
      </c>
      <c r="E101">
        <v>30</v>
      </c>
      <c r="G101" s="54">
        <v>0.16300000000000001</v>
      </c>
      <c r="H101" s="100" t="s">
        <v>469</v>
      </c>
      <c r="I101" s="55" t="s">
        <v>469</v>
      </c>
      <c r="J101" s="25">
        <v>42769</v>
      </c>
      <c r="K101" s="54">
        <v>6.3600000000000004E-2</v>
      </c>
      <c r="L101" s="55">
        <v>0</v>
      </c>
      <c r="M101" s="55">
        <v>0</v>
      </c>
      <c r="N101" s="25">
        <v>42772</v>
      </c>
      <c r="O101" s="104">
        <f t="shared" si="33"/>
        <v>9.9400000000000002E-2</v>
      </c>
      <c r="P101" s="104" t="e">
        <f t="shared" si="34"/>
        <v>#VALUE!</v>
      </c>
      <c r="Q101" s="104" t="e">
        <f t="shared" si="35"/>
        <v>#VALUE!</v>
      </c>
      <c r="R101" s="104">
        <f t="shared" si="36"/>
        <v>156.28930817610063</v>
      </c>
      <c r="S101" s="104">
        <f t="shared" si="37"/>
        <v>0</v>
      </c>
      <c r="T101" s="104">
        <f t="shared" si="38"/>
        <v>0</v>
      </c>
      <c r="V101">
        <f>K101/'Soil samples'!AK86*1000</f>
        <v>0.40845702696169378</v>
      </c>
      <c r="W101">
        <f>L101/'Soil samples'!AK86*1000</f>
        <v>0</v>
      </c>
      <c r="X101" s="3">
        <f>M101/'Soil samples'!AK86*1000</f>
        <v>0</v>
      </c>
      <c r="Y101" s="31">
        <f t="shared" ref="Y101:Y164" si="43">SUM(K101:L101)</f>
        <v>6.3600000000000004E-2</v>
      </c>
      <c r="Z101" s="104">
        <f t="shared" ref="Z101:Z164" si="44">SUM(K101:M101)</f>
        <v>6.3600000000000004E-2</v>
      </c>
      <c r="AA101">
        <f t="shared" si="39"/>
        <v>0.63600000000000001</v>
      </c>
      <c r="AB101">
        <f t="shared" si="39"/>
        <v>0.63600000000000001</v>
      </c>
      <c r="AC101">
        <f t="shared" si="40"/>
        <v>0</v>
      </c>
      <c r="AD101">
        <f t="shared" si="42"/>
        <v>0.63600000000000001</v>
      </c>
      <c r="AF101">
        <f t="shared" si="41"/>
        <v>3.1800000000000002E-2</v>
      </c>
    </row>
    <row r="102" spans="1:32">
      <c r="A102" s="6" t="s">
        <v>91</v>
      </c>
      <c r="B102" s="6" t="s">
        <v>197</v>
      </c>
      <c r="C102" t="s">
        <v>12</v>
      </c>
      <c r="D102" s="8">
        <v>4</v>
      </c>
      <c r="E102">
        <v>5</v>
      </c>
      <c r="G102" s="54">
        <v>1.2897000000000001</v>
      </c>
      <c r="H102" s="55">
        <v>0.14680000000000001</v>
      </c>
      <c r="I102" s="100">
        <v>1.306</v>
      </c>
      <c r="J102" s="25">
        <v>42790</v>
      </c>
      <c r="K102" s="54">
        <v>0.29870000000000002</v>
      </c>
      <c r="L102" s="100">
        <v>4.4499999999999998E-2</v>
      </c>
      <c r="M102" s="100">
        <v>0.52410000000000001</v>
      </c>
      <c r="N102" s="25">
        <v>42794</v>
      </c>
      <c r="O102" s="104">
        <f t="shared" si="33"/>
        <v>0.9910000000000001</v>
      </c>
      <c r="P102" s="104">
        <f t="shared" si="34"/>
        <v>0.10230000000000002</v>
      </c>
      <c r="Q102" s="104">
        <f t="shared" si="35"/>
        <v>0.78190000000000004</v>
      </c>
      <c r="R102" s="104">
        <f t="shared" si="36"/>
        <v>331.77100770003346</v>
      </c>
      <c r="S102" s="104">
        <f t="shared" si="37"/>
        <v>229.88764044943824</v>
      </c>
      <c r="T102" s="104">
        <f t="shared" si="38"/>
        <v>149.18908605228009</v>
      </c>
      <c r="V102">
        <f>K102/'Soil samples'!AK87*1000</f>
        <v>9.6304706173469192</v>
      </c>
      <c r="W102">
        <f>L102/'Soil samples'!AK87*1000</f>
        <v>1.4347370019147567</v>
      </c>
      <c r="X102" s="3">
        <f>M102/'Soil samples'!AK87*1000</f>
        <v>16.897655341652225</v>
      </c>
      <c r="Y102" s="31">
        <f t="shared" si="43"/>
        <v>0.34320000000000001</v>
      </c>
      <c r="Z102" s="104">
        <f t="shared" si="44"/>
        <v>0.86729999999999996</v>
      </c>
      <c r="AA102">
        <f t="shared" si="39"/>
        <v>3.4319999999999999</v>
      </c>
      <c r="AB102">
        <f t="shared" si="39"/>
        <v>8.673</v>
      </c>
      <c r="AC102">
        <f t="shared" si="40"/>
        <v>5.2409999999999997</v>
      </c>
      <c r="AD102">
        <f t="shared" si="42"/>
        <v>2.9870000000000001</v>
      </c>
      <c r="AF102">
        <f t="shared" si="41"/>
        <v>0.43365000000000004</v>
      </c>
    </row>
    <row r="103" spans="1:32">
      <c r="A103" s="6" t="s">
        <v>92</v>
      </c>
      <c r="B103" s="6" t="s">
        <v>197</v>
      </c>
      <c r="C103" t="s">
        <v>12</v>
      </c>
      <c r="D103" s="8">
        <v>4</v>
      </c>
      <c r="E103">
        <v>10</v>
      </c>
      <c r="G103" s="54">
        <v>1.1671</v>
      </c>
      <c r="H103" s="55">
        <v>4.8099999999999997E-2</v>
      </c>
      <c r="I103" s="100">
        <v>0.24329999999999999</v>
      </c>
      <c r="J103" s="25">
        <v>42790</v>
      </c>
      <c r="K103" s="54">
        <v>0.26169999999999999</v>
      </c>
      <c r="L103" s="100">
        <v>1.67E-2</v>
      </c>
      <c r="M103" s="100">
        <v>5.67E-2</v>
      </c>
      <c r="N103" s="25">
        <v>42794</v>
      </c>
      <c r="O103" s="104">
        <f t="shared" si="33"/>
        <v>0.90539999999999998</v>
      </c>
      <c r="P103" s="104">
        <f t="shared" si="34"/>
        <v>3.1399999999999997E-2</v>
      </c>
      <c r="Q103" s="104">
        <f t="shared" si="35"/>
        <v>0.18659999999999999</v>
      </c>
      <c r="R103" s="104">
        <f t="shared" si="36"/>
        <v>345.96866641192207</v>
      </c>
      <c r="S103" s="104">
        <f t="shared" si="37"/>
        <v>188.02395209580837</v>
      </c>
      <c r="T103" s="104">
        <f t="shared" si="38"/>
        <v>329.10052910052906</v>
      </c>
      <c r="V103">
        <f>K103/'Soil samples'!AK88*1000</f>
        <v>5.3097326007162176</v>
      </c>
      <c r="W103">
        <f>L103/'Soil samples'!AK88*1000</f>
        <v>0.33883276435598331</v>
      </c>
      <c r="X103" s="3">
        <f>M103/'Soil samples'!AK88*1000</f>
        <v>1.1504082478433686</v>
      </c>
      <c r="Y103" s="31">
        <f t="shared" si="43"/>
        <v>0.27839999999999998</v>
      </c>
      <c r="Z103" s="104">
        <f t="shared" si="44"/>
        <v>0.33509999999999995</v>
      </c>
      <c r="AA103">
        <f t="shared" si="39"/>
        <v>2.7839999999999998</v>
      </c>
      <c r="AB103">
        <f t="shared" si="39"/>
        <v>3.3509999999999995</v>
      </c>
      <c r="AC103">
        <f t="shared" si="40"/>
        <v>0.56699999999999995</v>
      </c>
      <c r="AD103">
        <f t="shared" si="42"/>
        <v>2.617</v>
      </c>
      <c r="AF103">
        <f t="shared" si="41"/>
        <v>0.16754999999999998</v>
      </c>
    </row>
    <row r="104" spans="1:32">
      <c r="A104" s="6" t="s">
        <v>93</v>
      </c>
      <c r="B104" s="6" t="s">
        <v>197</v>
      </c>
      <c r="C104" t="s">
        <v>12</v>
      </c>
      <c r="D104" s="8">
        <v>4</v>
      </c>
      <c r="E104">
        <v>20</v>
      </c>
      <c r="G104" s="54">
        <v>0.59709999999999996</v>
      </c>
      <c r="H104" s="55">
        <v>4.7600000000000003E-2</v>
      </c>
      <c r="I104" s="100">
        <v>0.78149999999999997</v>
      </c>
      <c r="J104" s="25">
        <v>42790</v>
      </c>
      <c r="K104" s="54">
        <v>0.1022</v>
      </c>
      <c r="L104" s="100">
        <v>1.7299999999999999E-2</v>
      </c>
      <c r="M104" s="100">
        <v>0.27860000000000001</v>
      </c>
      <c r="N104" s="25">
        <v>42794</v>
      </c>
      <c r="O104" s="104">
        <f t="shared" si="33"/>
        <v>0.49489999999999995</v>
      </c>
      <c r="P104" s="104">
        <f t="shared" si="34"/>
        <v>3.0300000000000004E-2</v>
      </c>
      <c r="Q104" s="104">
        <f t="shared" si="35"/>
        <v>0.5028999999999999</v>
      </c>
      <c r="R104" s="104">
        <f t="shared" si="36"/>
        <v>484.24657534246569</v>
      </c>
      <c r="S104" s="104">
        <f t="shared" si="37"/>
        <v>175.14450867052028</v>
      </c>
      <c r="T104" s="104">
        <f t="shared" si="38"/>
        <v>180.50969131371139</v>
      </c>
      <c r="V104">
        <f>K104/'Soil samples'!AK89*1000</f>
        <v>1.9987827492351133</v>
      </c>
      <c r="W104">
        <f>L104/'Soil samples'!AK89*1000</f>
        <v>0.33834580784508278</v>
      </c>
      <c r="X104" s="3">
        <f>M104/'Soil samples'!AK89*1000</f>
        <v>5.4487365355861312</v>
      </c>
      <c r="Y104" s="31">
        <f t="shared" si="43"/>
        <v>0.1195</v>
      </c>
      <c r="Z104" s="104">
        <f t="shared" si="44"/>
        <v>0.39810000000000001</v>
      </c>
      <c r="AA104">
        <f t="shared" si="39"/>
        <v>1.1950000000000001</v>
      </c>
      <c r="AB104">
        <f t="shared" si="39"/>
        <v>3.9809999999999999</v>
      </c>
      <c r="AC104">
        <f t="shared" si="40"/>
        <v>2.786</v>
      </c>
      <c r="AD104">
        <f t="shared" si="42"/>
        <v>1.022</v>
      </c>
      <c r="AF104">
        <f t="shared" si="41"/>
        <v>0.19905</v>
      </c>
    </row>
    <row r="105" spans="1:32">
      <c r="A105" s="6" t="s">
        <v>94</v>
      </c>
      <c r="B105" s="6" t="s">
        <v>197</v>
      </c>
      <c r="C105" t="s">
        <v>12</v>
      </c>
      <c r="D105" s="8">
        <v>5</v>
      </c>
      <c r="E105">
        <v>5</v>
      </c>
      <c r="G105" s="54">
        <v>1.4140999999999999</v>
      </c>
      <c r="H105" s="55">
        <v>0.1963</v>
      </c>
      <c r="I105" s="55">
        <v>0.6552</v>
      </c>
      <c r="J105" s="25">
        <v>42767</v>
      </c>
      <c r="K105" s="54">
        <v>0.34439999999999998</v>
      </c>
      <c r="L105" s="100">
        <v>6.4699999999999994E-2</v>
      </c>
      <c r="M105" s="55">
        <v>0.19450000000000001</v>
      </c>
      <c r="N105" s="25">
        <v>42770</v>
      </c>
      <c r="O105" s="104">
        <f t="shared" si="33"/>
        <v>1.0696999999999999</v>
      </c>
      <c r="P105" s="104">
        <f t="shared" si="34"/>
        <v>0.13159999999999999</v>
      </c>
      <c r="Q105" s="104">
        <f t="shared" si="35"/>
        <v>0.4607</v>
      </c>
      <c r="R105" s="104">
        <f t="shared" si="36"/>
        <v>310.59814169570268</v>
      </c>
      <c r="S105" s="104">
        <f t="shared" si="37"/>
        <v>203.40030911901081</v>
      </c>
      <c r="T105" s="104">
        <f t="shared" si="38"/>
        <v>236.8637532133676</v>
      </c>
      <c r="V105">
        <f>K105/'Soil samples'!AK90*1000</f>
        <v>14.968615904190477</v>
      </c>
      <c r="W105">
        <f>L105/'Soil samples'!AK90*1000</f>
        <v>2.8120483420473978</v>
      </c>
      <c r="X105" s="3">
        <f>M105/'Soil samples'!AK90*1000</f>
        <v>8.4535301781795837</v>
      </c>
      <c r="Y105" s="31">
        <f t="shared" si="43"/>
        <v>0.40909999999999996</v>
      </c>
      <c r="Z105" s="104">
        <f t="shared" si="44"/>
        <v>0.60359999999999991</v>
      </c>
      <c r="AA105">
        <f t="shared" si="39"/>
        <v>4.0909999999999993</v>
      </c>
      <c r="AB105">
        <f t="shared" si="39"/>
        <v>6.0359999999999987</v>
      </c>
      <c r="AC105">
        <f t="shared" si="40"/>
        <v>1.9450000000000001</v>
      </c>
      <c r="AD105">
        <f t="shared" si="42"/>
        <v>3.444</v>
      </c>
      <c r="AF105">
        <f t="shared" si="41"/>
        <v>0.30179999999999996</v>
      </c>
    </row>
    <row r="106" spans="1:32">
      <c r="A106" s="6" t="s">
        <v>95</v>
      </c>
      <c r="B106" s="6" t="s">
        <v>197</v>
      </c>
      <c r="C106" t="s">
        <v>12</v>
      </c>
      <c r="D106" s="8">
        <v>5</v>
      </c>
      <c r="E106">
        <v>10</v>
      </c>
      <c r="G106" s="54">
        <v>1.6163000000000001</v>
      </c>
      <c r="H106" s="55">
        <v>0.1081</v>
      </c>
      <c r="I106" s="55">
        <v>0.57579999999999998</v>
      </c>
      <c r="J106" s="25">
        <v>42767</v>
      </c>
      <c r="K106" s="54">
        <v>0.45610000000000001</v>
      </c>
      <c r="L106" s="100">
        <v>3.3700000000000001E-2</v>
      </c>
      <c r="M106" s="55">
        <v>0.21740000000000001</v>
      </c>
      <c r="N106" s="25">
        <v>42770</v>
      </c>
      <c r="O106" s="104">
        <f t="shared" si="33"/>
        <v>1.1602000000000001</v>
      </c>
      <c r="P106" s="104">
        <f t="shared" si="34"/>
        <v>7.4399999999999994E-2</v>
      </c>
      <c r="Q106" s="104">
        <f t="shared" si="35"/>
        <v>0.35839999999999994</v>
      </c>
      <c r="R106" s="104">
        <f t="shared" si="36"/>
        <v>254.37404078053061</v>
      </c>
      <c r="S106" s="104">
        <f t="shared" si="37"/>
        <v>220.77151335311572</v>
      </c>
      <c r="T106" s="104">
        <f t="shared" si="38"/>
        <v>164.8574057037718</v>
      </c>
      <c r="V106">
        <f>K106/'Soil samples'!AK91*1000</f>
        <v>17.991784439251571</v>
      </c>
      <c r="W106">
        <f>L106/'Soil samples'!AK91*1000</f>
        <v>1.3293644718324444</v>
      </c>
      <c r="X106" s="3">
        <f>M106/'Soil samples'!AK91*1000</f>
        <v>8.5757814889131581</v>
      </c>
      <c r="Y106" s="31">
        <f t="shared" si="43"/>
        <v>0.48980000000000001</v>
      </c>
      <c r="Z106" s="104">
        <f t="shared" si="44"/>
        <v>0.70720000000000005</v>
      </c>
      <c r="AA106">
        <f t="shared" si="39"/>
        <v>4.8979999999999997</v>
      </c>
      <c r="AB106">
        <f t="shared" si="39"/>
        <v>7.072000000000001</v>
      </c>
      <c r="AC106">
        <f t="shared" si="40"/>
        <v>2.1739999999999999</v>
      </c>
      <c r="AD106">
        <f t="shared" si="42"/>
        <v>4.5609999999999999</v>
      </c>
      <c r="AF106">
        <f t="shared" si="41"/>
        <v>0.35360000000000008</v>
      </c>
    </row>
    <row r="107" spans="1:32">
      <c r="A107" s="6" t="s">
        <v>96</v>
      </c>
      <c r="B107" s="6" t="s">
        <v>197</v>
      </c>
      <c r="C107" t="s">
        <v>12</v>
      </c>
      <c r="D107" s="8">
        <v>5</v>
      </c>
      <c r="E107">
        <v>20</v>
      </c>
      <c r="G107" s="54">
        <v>0.45590000000000003</v>
      </c>
      <c r="H107" s="55">
        <v>3.8100000000000002E-2</v>
      </c>
      <c r="I107" s="55">
        <v>0.16370000000000001</v>
      </c>
      <c r="J107" s="25">
        <v>42767</v>
      </c>
      <c r="K107" s="54">
        <v>0.11600000000000001</v>
      </c>
      <c r="L107" s="100">
        <v>3.0999999999999999E-3</v>
      </c>
      <c r="M107" s="55">
        <v>5.3499999999999999E-2</v>
      </c>
      <c r="N107" s="25">
        <v>42770</v>
      </c>
      <c r="O107" s="104">
        <f t="shared" si="33"/>
        <v>0.33990000000000004</v>
      </c>
      <c r="P107" s="104">
        <f t="shared" si="34"/>
        <v>3.5000000000000003E-2</v>
      </c>
      <c r="Q107" s="104">
        <f t="shared" si="35"/>
        <v>0.11020000000000002</v>
      </c>
      <c r="R107" s="104">
        <f t="shared" si="36"/>
        <v>293.01724137931035</v>
      </c>
      <c r="S107" s="104">
        <f t="shared" si="37"/>
        <v>1129.0322580645161</v>
      </c>
      <c r="T107" s="104">
        <f t="shared" si="38"/>
        <v>205.98130841121497</v>
      </c>
      <c r="V107">
        <f>K107/'Soil samples'!AK92*1000</f>
        <v>5.2002701950231547</v>
      </c>
      <c r="W107">
        <f>L107/'Soil samples'!AK92*1000</f>
        <v>0.13897273797044637</v>
      </c>
      <c r="X107" s="3">
        <f>M107/'Soil samples'!AK92*1000</f>
        <v>2.3984004778770585</v>
      </c>
      <c r="Y107" s="31">
        <f t="shared" si="43"/>
        <v>0.11910000000000001</v>
      </c>
      <c r="Z107" s="104">
        <f t="shared" si="44"/>
        <v>0.1726</v>
      </c>
      <c r="AA107">
        <f t="shared" si="39"/>
        <v>1.1910000000000003</v>
      </c>
      <c r="AB107">
        <f t="shared" si="39"/>
        <v>1.726</v>
      </c>
      <c r="AC107">
        <f t="shared" si="40"/>
        <v>0.53500000000000003</v>
      </c>
      <c r="AD107">
        <f t="shared" si="42"/>
        <v>1.1599999999999999</v>
      </c>
      <c r="AF107">
        <f t="shared" si="41"/>
        <v>8.6300000000000002E-2</v>
      </c>
    </row>
    <row r="108" spans="1:32">
      <c r="A108" s="6" t="s">
        <v>97</v>
      </c>
      <c r="B108" s="6" t="s">
        <v>197</v>
      </c>
      <c r="C108" t="s">
        <v>12</v>
      </c>
      <c r="D108" s="8">
        <v>6</v>
      </c>
      <c r="E108">
        <v>5</v>
      </c>
      <c r="G108" s="54">
        <v>1.6956</v>
      </c>
      <c r="H108" s="55">
        <v>7.1099999999999997E-2</v>
      </c>
      <c r="I108" s="55">
        <v>2.3347000000000002</v>
      </c>
      <c r="J108" s="25">
        <v>42819</v>
      </c>
      <c r="K108" s="54">
        <v>0.34</v>
      </c>
      <c r="L108" s="55">
        <v>6.4999999999999997E-3</v>
      </c>
      <c r="M108" s="55">
        <v>0.69510000000000005</v>
      </c>
      <c r="N108" s="25">
        <v>42823</v>
      </c>
      <c r="O108" s="104">
        <f t="shared" si="33"/>
        <v>1.3555999999999999</v>
      </c>
      <c r="P108" s="104">
        <f t="shared" si="34"/>
        <v>6.4599999999999991E-2</v>
      </c>
      <c r="Q108" s="104">
        <f t="shared" si="35"/>
        <v>1.6396000000000002</v>
      </c>
      <c r="R108" s="104">
        <f t="shared" si="36"/>
        <v>398.7058823529411</v>
      </c>
      <c r="S108" s="104">
        <f t="shared" si="37"/>
        <v>993.8461538461537</v>
      </c>
      <c r="T108" s="104">
        <f t="shared" si="38"/>
        <v>235.87972953531869</v>
      </c>
      <c r="V108">
        <f>K108/'Soil samples'!AK93*1000</f>
        <v>15.582113413612637</v>
      </c>
      <c r="W108">
        <f>L108/'Soil samples'!AK93*1000</f>
        <v>0.29789334467200623</v>
      </c>
      <c r="X108" s="3">
        <f>M108/'Soil samples'!AK93*1000</f>
        <v>31.85625598177101</v>
      </c>
      <c r="Y108" s="31">
        <f t="shared" si="43"/>
        <v>0.34650000000000003</v>
      </c>
      <c r="Z108" s="104">
        <f t="shared" si="44"/>
        <v>1.0416000000000001</v>
      </c>
      <c r="AA108">
        <f t="shared" si="39"/>
        <v>3.4650000000000003</v>
      </c>
      <c r="AB108">
        <f t="shared" si="39"/>
        <v>10.416</v>
      </c>
      <c r="AC108">
        <f t="shared" si="40"/>
        <v>6.9510000000000005</v>
      </c>
      <c r="AD108">
        <f t="shared" si="42"/>
        <v>3.4000000000000004</v>
      </c>
      <c r="AF108">
        <f t="shared" si="41"/>
        <v>0.52080000000000004</v>
      </c>
    </row>
    <row r="109" spans="1:32">
      <c r="A109" s="6" t="s">
        <v>98</v>
      </c>
      <c r="B109" s="6" t="s">
        <v>197</v>
      </c>
      <c r="C109" t="s">
        <v>12</v>
      </c>
      <c r="D109" s="8">
        <v>6</v>
      </c>
      <c r="E109">
        <v>10</v>
      </c>
      <c r="G109" s="54">
        <v>1.1394</v>
      </c>
      <c r="H109" s="55" t="s">
        <v>469</v>
      </c>
      <c r="I109" s="55">
        <v>0.69669999999999999</v>
      </c>
      <c r="J109" s="25">
        <v>42819</v>
      </c>
      <c r="K109" s="54">
        <v>0.24560000000000001</v>
      </c>
      <c r="L109" s="55">
        <v>0</v>
      </c>
      <c r="M109" s="55">
        <v>0.25240000000000001</v>
      </c>
      <c r="N109" s="25">
        <v>42823</v>
      </c>
      <c r="O109" s="104">
        <f t="shared" si="33"/>
        <v>0.89379999999999993</v>
      </c>
      <c r="P109" s="104" t="e">
        <f t="shared" si="34"/>
        <v>#VALUE!</v>
      </c>
      <c r="Q109" s="104">
        <f t="shared" si="35"/>
        <v>0.44429999999999997</v>
      </c>
      <c r="R109" s="104">
        <f t="shared" si="36"/>
        <v>363.9250814332247</v>
      </c>
      <c r="S109" s="104">
        <f t="shared" si="37"/>
        <v>0</v>
      </c>
      <c r="T109" s="104">
        <f t="shared" si="38"/>
        <v>176.03011093502374</v>
      </c>
      <c r="V109">
        <f>K109/'Soil samples'!AK94*1000</f>
        <v>6.5027450354384895</v>
      </c>
      <c r="W109">
        <f>L109/'Soil samples'!AK94*1000</f>
        <v>0</v>
      </c>
      <c r="X109" s="3">
        <f>M109/'Soil samples'!AK94*1000</f>
        <v>6.6827884647584481</v>
      </c>
      <c r="Y109" s="31">
        <f t="shared" si="43"/>
        <v>0.24560000000000001</v>
      </c>
      <c r="Z109" s="104">
        <f t="shared" si="44"/>
        <v>0.498</v>
      </c>
      <c r="AA109">
        <f t="shared" si="39"/>
        <v>2.456</v>
      </c>
      <c r="AB109">
        <f t="shared" si="39"/>
        <v>4.9800000000000004</v>
      </c>
      <c r="AC109">
        <f t="shared" si="40"/>
        <v>2.524</v>
      </c>
      <c r="AD109">
        <f t="shared" si="42"/>
        <v>2.456</v>
      </c>
      <c r="AF109">
        <f t="shared" si="41"/>
        <v>0.24900000000000003</v>
      </c>
    </row>
    <row r="110" spans="1:32">
      <c r="A110" s="6" t="s">
        <v>99</v>
      </c>
      <c r="B110" s="6" t="s">
        <v>197</v>
      </c>
      <c r="C110" t="s">
        <v>12</v>
      </c>
      <c r="D110" s="8">
        <v>6</v>
      </c>
      <c r="E110">
        <v>20</v>
      </c>
      <c r="G110" s="54">
        <v>0.44319999999999998</v>
      </c>
      <c r="H110" s="55">
        <v>3.8600000000000002E-2</v>
      </c>
      <c r="I110" s="55">
        <v>0.6119</v>
      </c>
      <c r="J110" s="25">
        <v>42819</v>
      </c>
      <c r="K110" s="54">
        <v>9.7799999999999998E-2</v>
      </c>
      <c r="L110" s="55">
        <v>1.8200000000000001E-2</v>
      </c>
      <c r="M110" s="55">
        <v>0.22420000000000001</v>
      </c>
      <c r="N110" s="25">
        <v>42823</v>
      </c>
      <c r="O110" s="104">
        <f t="shared" si="33"/>
        <v>0.34539999999999998</v>
      </c>
      <c r="P110" s="104">
        <f t="shared" si="34"/>
        <v>2.0400000000000001E-2</v>
      </c>
      <c r="Q110" s="104">
        <f t="shared" si="35"/>
        <v>0.38769999999999999</v>
      </c>
      <c r="R110" s="104">
        <f t="shared" si="36"/>
        <v>353.16973415132924</v>
      </c>
      <c r="S110" s="104">
        <f t="shared" si="37"/>
        <v>112.08791208791209</v>
      </c>
      <c r="T110" s="104">
        <f t="shared" si="38"/>
        <v>172.92595896520962</v>
      </c>
      <c r="V110">
        <f>K110/'Soil samples'!AK95*1000</f>
        <v>2.9564268613297564</v>
      </c>
      <c r="W110">
        <f>L110/'Soil samples'!AK95*1000</f>
        <v>0.55017350589163161</v>
      </c>
      <c r="X110" s="3">
        <f>M110/'Soil samples'!AK95*1000</f>
        <v>6.7774120890606486</v>
      </c>
      <c r="Y110" s="31">
        <f t="shared" si="43"/>
        <v>0.11599999999999999</v>
      </c>
      <c r="Z110" s="104">
        <f t="shared" si="44"/>
        <v>0.3402</v>
      </c>
      <c r="AA110">
        <f t="shared" si="39"/>
        <v>1.1599999999999999</v>
      </c>
      <c r="AB110">
        <f t="shared" si="39"/>
        <v>3.4020000000000001</v>
      </c>
      <c r="AC110">
        <f t="shared" si="40"/>
        <v>2.242</v>
      </c>
      <c r="AD110">
        <f t="shared" si="42"/>
        <v>0.97799999999999998</v>
      </c>
      <c r="AF110">
        <f t="shared" si="41"/>
        <v>0.17010000000000003</v>
      </c>
    </row>
    <row r="111" spans="1:32">
      <c r="A111" s="6" t="s">
        <v>100</v>
      </c>
      <c r="B111" s="6" t="s">
        <v>197</v>
      </c>
      <c r="C111" t="s">
        <v>12</v>
      </c>
      <c r="D111" s="8">
        <v>6</v>
      </c>
      <c r="E111">
        <v>30</v>
      </c>
      <c r="G111" s="54">
        <v>0.36230000000000001</v>
      </c>
      <c r="H111" s="55" t="s">
        <v>469</v>
      </c>
      <c r="I111" s="55">
        <v>0.1106</v>
      </c>
      <c r="J111" s="25">
        <v>42819</v>
      </c>
      <c r="K111" s="54">
        <v>8.1100000000000005E-2</v>
      </c>
      <c r="L111" s="55">
        <v>0</v>
      </c>
      <c r="M111" s="55">
        <v>3.4599999999999999E-2</v>
      </c>
      <c r="N111" s="25">
        <v>42823</v>
      </c>
      <c r="O111" s="104">
        <f t="shared" si="33"/>
        <v>0.28120000000000001</v>
      </c>
      <c r="P111" s="104" t="e">
        <f t="shared" si="34"/>
        <v>#VALUE!</v>
      </c>
      <c r="Q111" s="104">
        <f t="shared" si="35"/>
        <v>7.6000000000000012E-2</v>
      </c>
      <c r="R111" s="104">
        <f t="shared" si="36"/>
        <v>346.7324290998767</v>
      </c>
      <c r="S111" s="104">
        <f t="shared" si="37"/>
        <v>0</v>
      </c>
      <c r="T111" s="104">
        <f t="shared" si="38"/>
        <v>219.6531791907515</v>
      </c>
      <c r="V111">
        <f>K111/'Soil samples'!AK96*1000</f>
        <v>1.6329448341823052</v>
      </c>
      <c r="W111">
        <f>L111/'Soil samples'!AK96*1000</f>
        <v>0</v>
      </c>
      <c r="X111" s="3">
        <f>M111/'Soil samples'!AK96*1000</f>
        <v>0.6966694360383201</v>
      </c>
      <c r="Y111" s="31">
        <f t="shared" si="43"/>
        <v>8.1100000000000005E-2</v>
      </c>
      <c r="Z111" s="104">
        <f t="shared" si="44"/>
        <v>0.1157</v>
      </c>
      <c r="AA111">
        <f t="shared" si="39"/>
        <v>0.81100000000000005</v>
      </c>
      <c r="AB111">
        <f t="shared" si="39"/>
        <v>1.157</v>
      </c>
      <c r="AC111">
        <f t="shared" si="40"/>
        <v>0.34599999999999997</v>
      </c>
      <c r="AD111">
        <f t="shared" si="42"/>
        <v>0.81100000000000005</v>
      </c>
      <c r="AF111">
        <f t="shared" si="41"/>
        <v>5.7850000000000006E-2</v>
      </c>
    </row>
    <row r="112" spans="1:32">
      <c r="A112" s="6" t="s">
        <v>101</v>
      </c>
      <c r="B112" s="6" t="s">
        <v>197</v>
      </c>
      <c r="C112" t="s">
        <v>13</v>
      </c>
      <c r="D112" s="8">
        <v>1</v>
      </c>
      <c r="E112">
        <v>5</v>
      </c>
      <c r="G112" s="54">
        <v>0.88580000000000003</v>
      </c>
      <c r="H112" s="55">
        <v>0.1216</v>
      </c>
      <c r="I112" s="55" t="s">
        <v>469</v>
      </c>
      <c r="J112" s="25">
        <v>42418</v>
      </c>
      <c r="K112" s="54">
        <v>0.24310000000000001</v>
      </c>
      <c r="L112" s="100">
        <v>5.1499999999999997E-2</v>
      </c>
      <c r="M112" s="55">
        <v>0</v>
      </c>
      <c r="N112" s="25">
        <v>42421</v>
      </c>
      <c r="O112" s="104">
        <f t="shared" si="33"/>
        <v>0.64270000000000005</v>
      </c>
      <c r="P112" s="104">
        <f t="shared" si="34"/>
        <v>7.0099999999999996E-2</v>
      </c>
      <c r="Q112" s="104" t="e">
        <f t="shared" si="35"/>
        <v>#VALUE!</v>
      </c>
      <c r="R112" s="104">
        <f t="shared" si="36"/>
        <v>264.37679967091736</v>
      </c>
      <c r="S112" s="104">
        <f t="shared" si="37"/>
        <v>136.11650485436891</v>
      </c>
      <c r="T112" s="104">
        <f t="shared" si="38"/>
        <v>0</v>
      </c>
      <c r="V112">
        <f>K112/'Soil samples'!AK97*1000</f>
        <v>31.905888889367532</v>
      </c>
      <c r="W112">
        <f>L112/'Soil samples'!AK97*1000</f>
        <v>6.7591660954439643</v>
      </c>
      <c r="X112" s="3">
        <f>M112/'Soil samples'!AK97*1000</f>
        <v>0</v>
      </c>
      <c r="Y112" s="31">
        <f t="shared" si="43"/>
        <v>0.29460000000000003</v>
      </c>
      <c r="Z112" s="104">
        <f t="shared" si="44"/>
        <v>0.29460000000000003</v>
      </c>
      <c r="AA112">
        <f t="shared" si="39"/>
        <v>2.9460000000000006</v>
      </c>
      <c r="AB112">
        <f t="shared" si="39"/>
        <v>2.9460000000000006</v>
      </c>
      <c r="AC112">
        <f t="shared" si="40"/>
        <v>0</v>
      </c>
      <c r="AD112">
        <f t="shared" si="42"/>
        <v>2.431</v>
      </c>
      <c r="AF112">
        <f t="shared" si="41"/>
        <v>0.14730000000000004</v>
      </c>
    </row>
    <row r="113" spans="1:32">
      <c r="A113" s="6" t="s">
        <v>102</v>
      </c>
      <c r="B113" s="6" t="s">
        <v>197</v>
      </c>
      <c r="C113" t="s">
        <v>13</v>
      </c>
      <c r="D113" s="8">
        <v>1</v>
      </c>
      <c r="E113">
        <v>10</v>
      </c>
      <c r="G113" s="54">
        <v>0.90639999999999998</v>
      </c>
      <c r="H113" s="55">
        <v>0.1208</v>
      </c>
      <c r="I113" s="55" t="s">
        <v>469</v>
      </c>
      <c r="J113" s="25">
        <v>42418</v>
      </c>
      <c r="K113" s="54">
        <v>0.21160000000000001</v>
      </c>
      <c r="L113" s="100">
        <v>4.8899999999999999E-2</v>
      </c>
      <c r="M113" s="55">
        <v>0</v>
      </c>
      <c r="N113" s="25">
        <v>42421</v>
      </c>
      <c r="O113" s="104">
        <f t="shared" si="33"/>
        <v>0.69479999999999997</v>
      </c>
      <c r="P113" s="104">
        <f t="shared" si="34"/>
        <v>7.1900000000000006E-2</v>
      </c>
      <c r="Q113" s="104" t="e">
        <f t="shared" si="35"/>
        <v>#VALUE!</v>
      </c>
      <c r="R113" s="104">
        <f t="shared" si="36"/>
        <v>328.35538752362947</v>
      </c>
      <c r="S113" s="104">
        <f t="shared" si="37"/>
        <v>147.03476482617589</v>
      </c>
      <c r="T113" s="104">
        <f t="shared" si="38"/>
        <v>0</v>
      </c>
      <c r="V113">
        <f>K113/'Soil samples'!AK98*1000</f>
        <v>10.69316240602412</v>
      </c>
      <c r="W113">
        <f>L113/'Soil samples'!AK98*1000</f>
        <v>2.4711514255887495</v>
      </c>
      <c r="X113" s="3">
        <f>M113/'Soil samples'!AK98*1000</f>
        <v>0</v>
      </c>
      <c r="Y113" s="31">
        <f t="shared" si="43"/>
        <v>0.26050000000000001</v>
      </c>
      <c r="Z113" s="104">
        <f t="shared" si="44"/>
        <v>0.26050000000000001</v>
      </c>
      <c r="AA113">
        <f t="shared" si="39"/>
        <v>2.605</v>
      </c>
      <c r="AB113">
        <f t="shared" si="39"/>
        <v>2.605</v>
      </c>
      <c r="AC113">
        <f t="shared" si="40"/>
        <v>0</v>
      </c>
      <c r="AD113">
        <f t="shared" si="42"/>
        <v>2.1160000000000001</v>
      </c>
      <c r="AF113">
        <f t="shared" si="41"/>
        <v>0.13025</v>
      </c>
    </row>
    <row r="114" spans="1:32">
      <c r="A114" s="6" t="s">
        <v>103</v>
      </c>
      <c r="B114" s="6" t="s">
        <v>197</v>
      </c>
      <c r="C114" t="s">
        <v>13</v>
      </c>
      <c r="D114" s="8">
        <v>1</v>
      </c>
      <c r="E114">
        <v>20</v>
      </c>
      <c r="G114" s="54">
        <v>0.56769999999999998</v>
      </c>
      <c r="H114" s="55">
        <v>0.41589999999999999</v>
      </c>
      <c r="I114" s="55" t="s">
        <v>469</v>
      </c>
      <c r="J114" s="25">
        <v>42418</v>
      </c>
      <c r="K114" s="54">
        <v>0.15670000000000001</v>
      </c>
      <c r="L114" s="100">
        <v>0.17269999999999999</v>
      </c>
      <c r="M114" s="55">
        <v>0</v>
      </c>
      <c r="N114" s="25">
        <v>42421</v>
      </c>
      <c r="O114" s="104">
        <f t="shared" si="33"/>
        <v>0.41099999999999998</v>
      </c>
      <c r="P114" s="104">
        <f t="shared" si="34"/>
        <v>0.2432</v>
      </c>
      <c r="Q114" s="104" t="e">
        <f t="shared" si="35"/>
        <v>#VALUE!</v>
      </c>
      <c r="R114" s="104">
        <f t="shared" si="36"/>
        <v>262.28462029355455</v>
      </c>
      <c r="S114" s="104">
        <f t="shared" si="37"/>
        <v>140.82223508975102</v>
      </c>
      <c r="T114" s="104">
        <f t="shared" si="38"/>
        <v>0</v>
      </c>
      <c r="V114">
        <f>K114/'Soil samples'!AK99*1000</f>
        <v>5.3595093930074817</v>
      </c>
      <c r="W114">
        <f>L114/'Soil samples'!AK99*1000</f>
        <v>5.906747110225858</v>
      </c>
      <c r="X114" s="3">
        <f>M114/'Soil samples'!AK99*1000</f>
        <v>0</v>
      </c>
      <c r="Y114" s="31">
        <f t="shared" si="43"/>
        <v>0.32940000000000003</v>
      </c>
      <c r="Z114" s="104">
        <f t="shared" si="44"/>
        <v>0.32940000000000003</v>
      </c>
      <c r="AA114">
        <f t="shared" si="39"/>
        <v>3.2940000000000005</v>
      </c>
      <c r="AB114">
        <f t="shared" si="39"/>
        <v>3.2940000000000005</v>
      </c>
      <c r="AC114">
        <f t="shared" si="40"/>
        <v>0</v>
      </c>
      <c r="AD114">
        <f t="shared" si="42"/>
        <v>1.5669999999999999</v>
      </c>
      <c r="AF114">
        <f t="shared" si="41"/>
        <v>0.16470000000000004</v>
      </c>
    </row>
    <row r="115" spans="1:32">
      <c r="A115" s="6" t="s">
        <v>104</v>
      </c>
      <c r="B115" s="6" t="s">
        <v>197</v>
      </c>
      <c r="C115" t="s">
        <v>13</v>
      </c>
      <c r="D115" s="8">
        <v>2</v>
      </c>
      <c r="E115">
        <v>5</v>
      </c>
      <c r="G115" s="54">
        <v>2.3271000000000002</v>
      </c>
      <c r="H115" s="55">
        <v>6.8599999999999994E-2</v>
      </c>
      <c r="I115" s="55" t="s">
        <v>469</v>
      </c>
      <c r="J115" s="25">
        <v>42798</v>
      </c>
      <c r="K115" s="54">
        <v>0.40910000000000002</v>
      </c>
      <c r="L115" s="55">
        <v>3.3099999999999997E-2</v>
      </c>
      <c r="M115" s="55">
        <v>0</v>
      </c>
      <c r="N115" s="25">
        <v>42801</v>
      </c>
      <c r="O115" s="104">
        <f t="shared" si="33"/>
        <v>1.9180000000000001</v>
      </c>
      <c r="P115" s="104">
        <f t="shared" si="34"/>
        <v>3.5499999999999997E-2</v>
      </c>
      <c r="Q115" s="104" t="e">
        <f t="shared" si="35"/>
        <v>#VALUE!</v>
      </c>
      <c r="R115" s="104">
        <f t="shared" si="36"/>
        <v>468.83402591053533</v>
      </c>
      <c r="S115" s="104">
        <f t="shared" si="37"/>
        <v>107.25075528700907</v>
      </c>
      <c r="T115" s="104">
        <f t="shared" si="38"/>
        <v>0</v>
      </c>
      <c r="U115" s="3" t="s">
        <v>696</v>
      </c>
      <c r="V115">
        <f>K115/'Soil samples'!AK100*1000</f>
        <v>25.466798695214532</v>
      </c>
      <c r="W115">
        <f>L115/'Soil samples'!AK100*1000</f>
        <v>2.0605011899574697</v>
      </c>
      <c r="X115" s="3">
        <f>M115/'Soil samples'!AK100*1000</f>
        <v>0</v>
      </c>
      <c r="Y115" s="31">
        <f t="shared" si="43"/>
        <v>0.44220000000000004</v>
      </c>
      <c r="Z115" s="104">
        <f t="shared" si="44"/>
        <v>0.44220000000000004</v>
      </c>
      <c r="AA115">
        <f t="shared" si="39"/>
        <v>4.4219999999999997</v>
      </c>
      <c r="AB115">
        <f t="shared" si="39"/>
        <v>4.4219999999999997</v>
      </c>
      <c r="AC115">
        <f t="shared" si="40"/>
        <v>0</v>
      </c>
      <c r="AD115">
        <f t="shared" si="42"/>
        <v>4.0910000000000002</v>
      </c>
      <c r="AF115">
        <f t="shared" si="41"/>
        <v>0.22109999999999999</v>
      </c>
    </row>
    <row r="116" spans="1:32">
      <c r="A116" s="6" t="s">
        <v>105</v>
      </c>
      <c r="B116" s="6" t="s">
        <v>197</v>
      </c>
      <c r="C116" t="s">
        <v>13</v>
      </c>
      <c r="D116" s="8">
        <v>2</v>
      </c>
      <c r="E116">
        <v>10</v>
      </c>
      <c r="G116" s="54">
        <v>1.6074999999999999</v>
      </c>
      <c r="H116" s="55">
        <v>7.46E-2</v>
      </c>
      <c r="I116" s="55" t="s">
        <v>469</v>
      </c>
      <c r="J116" s="25">
        <v>42798</v>
      </c>
      <c r="K116" s="54">
        <v>0.35210000000000002</v>
      </c>
      <c r="L116" s="55">
        <v>3.0499999999999999E-2</v>
      </c>
      <c r="M116" s="55">
        <v>0</v>
      </c>
      <c r="N116" s="25">
        <v>42801</v>
      </c>
      <c r="O116" s="104">
        <f t="shared" si="33"/>
        <v>1.2553999999999998</v>
      </c>
      <c r="P116" s="104">
        <f t="shared" si="34"/>
        <v>4.41E-2</v>
      </c>
      <c r="Q116" s="104" t="e">
        <f t="shared" si="35"/>
        <v>#VALUE!</v>
      </c>
      <c r="R116" s="104">
        <f t="shared" si="36"/>
        <v>356.54643567168409</v>
      </c>
      <c r="S116" s="104">
        <f t="shared" si="37"/>
        <v>144.59016393442624</v>
      </c>
      <c r="T116" s="104">
        <f t="shared" si="38"/>
        <v>0</v>
      </c>
      <c r="U116" s="3" t="s">
        <v>696</v>
      </c>
      <c r="V116">
        <f>K116/'Soil samples'!AK101*1000</f>
        <v>14.347381805907265</v>
      </c>
      <c r="W116">
        <f>L116/'Soil samples'!AK101*1000</f>
        <v>1.2428149533660084</v>
      </c>
      <c r="X116" s="3">
        <f>M116/'Soil samples'!AK101*1000</f>
        <v>0</v>
      </c>
      <c r="Y116" s="31">
        <f t="shared" si="43"/>
        <v>0.38260000000000005</v>
      </c>
      <c r="Z116" s="104">
        <f t="shared" si="44"/>
        <v>0.38260000000000005</v>
      </c>
      <c r="AA116">
        <f t="shared" si="39"/>
        <v>3.8260000000000005</v>
      </c>
      <c r="AB116">
        <f t="shared" si="39"/>
        <v>3.8260000000000005</v>
      </c>
      <c r="AC116">
        <f t="shared" si="40"/>
        <v>0</v>
      </c>
      <c r="AD116">
        <f t="shared" si="42"/>
        <v>3.5210000000000004</v>
      </c>
      <c r="AF116">
        <f t="shared" si="41"/>
        <v>0.19130000000000003</v>
      </c>
    </row>
    <row r="117" spans="1:32">
      <c r="A117" s="6" t="s">
        <v>106</v>
      </c>
      <c r="B117" s="6" t="s">
        <v>197</v>
      </c>
      <c r="C117" t="s">
        <v>13</v>
      </c>
      <c r="D117" s="8">
        <v>2</v>
      </c>
      <c r="E117">
        <v>20</v>
      </c>
      <c r="G117" s="54">
        <v>1.3612</v>
      </c>
      <c r="H117" s="55">
        <v>0.2387</v>
      </c>
      <c r="I117" s="55" t="s">
        <v>469</v>
      </c>
      <c r="J117" s="25">
        <v>42798</v>
      </c>
      <c r="K117" s="54">
        <v>0.28639999999999999</v>
      </c>
      <c r="L117" s="55">
        <v>9.9500000000000005E-2</v>
      </c>
      <c r="M117" s="55">
        <v>0</v>
      </c>
      <c r="N117" s="25">
        <v>42801</v>
      </c>
      <c r="O117" s="104">
        <f t="shared" si="33"/>
        <v>1.0748</v>
      </c>
      <c r="P117" s="104">
        <f t="shared" si="34"/>
        <v>0.13919999999999999</v>
      </c>
      <c r="Q117" s="104" t="e">
        <f t="shared" si="35"/>
        <v>#VALUE!</v>
      </c>
      <c r="R117" s="104">
        <f t="shared" si="36"/>
        <v>375.27932960893855</v>
      </c>
      <c r="S117" s="104">
        <f t="shared" si="37"/>
        <v>139.89949748743717</v>
      </c>
      <c r="T117" s="104">
        <f t="shared" si="38"/>
        <v>0</v>
      </c>
      <c r="U117" s="3" t="s">
        <v>696</v>
      </c>
      <c r="V117">
        <f>K117/'Soil samples'!AK102*1000</f>
        <v>10.323031990359988</v>
      </c>
      <c r="W117">
        <f>L117/'Soil samples'!AK102*1000</f>
        <v>3.5863885581034181</v>
      </c>
      <c r="X117" s="3">
        <f>M117/'Soil samples'!AK102*1000</f>
        <v>0</v>
      </c>
      <c r="Y117" s="31">
        <f t="shared" si="43"/>
        <v>0.38590000000000002</v>
      </c>
      <c r="Z117" s="104">
        <f t="shared" si="44"/>
        <v>0.38590000000000002</v>
      </c>
      <c r="AA117">
        <f t="shared" si="39"/>
        <v>3.859</v>
      </c>
      <c r="AB117">
        <f t="shared" si="39"/>
        <v>3.859</v>
      </c>
      <c r="AC117">
        <f t="shared" si="40"/>
        <v>0</v>
      </c>
      <c r="AD117">
        <f t="shared" si="42"/>
        <v>2.8639999999999999</v>
      </c>
      <c r="AF117">
        <f t="shared" si="41"/>
        <v>0.19295000000000001</v>
      </c>
    </row>
    <row r="118" spans="1:32">
      <c r="A118" s="6" t="s">
        <v>107</v>
      </c>
      <c r="B118" s="6" t="s">
        <v>197</v>
      </c>
      <c r="C118" t="s">
        <v>13</v>
      </c>
      <c r="D118" s="8">
        <v>2</v>
      </c>
      <c r="E118">
        <v>30</v>
      </c>
      <c r="G118" s="54">
        <v>0.6744</v>
      </c>
      <c r="H118" s="55">
        <v>0.2084</v>
      </c>
      <c r="I118" s="55" t="s">
        <v>469</v>
      </c>
      <c r="J118" s="25">
        <v>42798</v>
      </c>
      <c r="K118" s="54">
        <v>0.16200000000000001</v>
      </c>
      <c r="L118" s="55">
        <v>7.3099999999999998E-2</v>
      </c>
      <c r="M118" s="55">
        <v>0</v>
      </c>
      <c r="N118" s="25">
        <v>42801</v>
      </c>
      <c r="O118" s="104">
        <f t="shared" si="33"/>
        <v>0.51239999999999997</v>
      </c>
      <c r="P118" s="104">
        <f t="shared" si="34"/>
        <v>0.1353</v>
      </c>
      <c r="Q118" s="104" t="e">
        <f t="shared" si="35"/>
        <v>#VALUE!</v>
      </c>
      <c r="R118" s="104">
        <f t="shared" si="36"/>
        <v>316.29629629629625</v>
      </c>
      <c r="S118" s="104">
        <f t="shared" si="37"/>
        <v>185.08891928864571</v>
      </c>
      <c r="T118" s="104">
        <f t="shared" si="38"/>
        <v>0</v>
      </c>
      <c r="U118" s="3" t="s">
        <v>696</v>
      </c>
      <c r="V118">
        <f>K118/'Soil samples'!AK103*1000</f>
        <v>3.8407616775301028</v>
      </c>
      <c r="W118">
        <f>L118/'Soil samples'!AK103*1000</f>
        <v>1.7330844359719164</v>
      </c>
      <c r="X118" s="3">
        <f>M118/'Soil samples'!AK103*1000</f>
        <v>0</v>
      </c>
      <c r="Y118" s="31">
        <f t="shared" si="43"/>
        <v>0.2351</v>
      </c>
      <c r="Z118" s="104">
        <f t="shared" si="44"/>
        <v>0.2351</v>
      </c>
      <c r="AA118">
        <f t="shared" si="39"/>
        <v>2.351</v>
      </c>
      <c r="AB118">
        <f t="shared" si="39"/>
        <v>2.351</v>
      </c>
      <c r="AC118">
        <f t="shared" si="40"/>
        <v>0</v>
      </c>
      <c r="AD118">
        <f t="shared" si="42"/>
        <v>1.62</v>
      </c>
      <c r="AF118">
        <f t="shared" si="41"/>
        <v>0.11755</v>
      </c>
    </row>
    <row r="119" spans="1:32">
      <c r="A119" s="6" t="s">
        <v>108</v>
      </c>
      <c r="B119" s="6" t="s">
        <v>197</v>
      </c>
      <c r="C119" t="s">
        <v>13</v>
      </c>
      <c r="D119" s="8">
        <v>3</v>
      </c>
      <c r="E119">
        <v>5</v>
      </c>
      <c r="G119" s="54">
        <v>0.9143</v>
      </c>
      <c r="H119" s="55">
        <v>0.10539999999999999</v>
      </c>
      <c r="I119" s="55" t="s">
        <v>469</v>
      </c>
      <c r="J119" s="25">
        <v>42819</v>
      </c>
      <c r="K119" s="54">
        <v>0.19969999999999999</v>
      </c>
      <c r="L119" s="55">
        <v>4.5499999999999999E-2</v>
      </c>
      <c r="M119" s="55">
        <v>0</v>
      </c>
      <c r="N119" s="25">
        <v>42823</v>
      </c>
      <c r="O119" s="104">
        <f t="shared" si="33"/>
        <v>0.71460000000000001</v>
      </c>
      <c r="P119" s="104">
        <f t="shared" si="34"/>
        <v>5.9899999999999995E-2</v>
      </c>
      <c r="Q119" s="104" t="e">
        <f t="shared" si="35"/>
        <v>#VALUE!</v>
      </c>
      <c r="R119" s="104">
        <f t="shared" si="36"/>
        <v>357.83675513269907</v>
      </c>
      <c r="S119" s="104">
        <f t="shared" si="37"/>
        <v>131.64835164835165</v>
      </c>
      <c r="T119" s="104">
        <f t="shared" si="38"/>
        <v>0</v>
      </c>
      <c r="V119">
        <f>K119/'Soil samples'!AK104*1000</f>
        <v>17.964000834499963</v>
      </c>
      <c r="W119">
        <f>L119/'Soil samples'!AK104*1000</f>
        <v>4.0929496142701467</v>
      </c>
      <c r="X119" s="3">
        <f>M119/'Soil samples'!AK104*1000</f>
        <v>0</v>
      </c>
      <c r="Y119" s="31">
        <f t="shared" si="43"/>
        <v>0.24519999999999997</v>
      </c>
      <c r="Z119" s="104">
        <f t="shared" si="44"/>
        <v>0.24519999999999997</v>
      </c>
      <c r="AA119">
        <f t="shared" si="39"/>
        <v>2.4519999999999995</v>
      </c>
      <c r="AB119">
        <f t="shared" si="39"/>
        <v>2.4519999999999995</v>
      </c>
      <c r="AC119">
        <f t="shared" si="40"/>
        <v>0</v>
      </c>
      <c r="AD119">
        <f t="shared" si="42"/>
        <v>1.9970000000000001</v>
      </c>
      <c r="AF119">
        <f t="shared" si="41"/>
        <v>0.12259999999999999</v>
      </c>
    </row>
    <row r="120" spans="1:32">
      <c r="A120" s="6" t="s">
        <v>109</v>
      </c>
      <c r="B120" s="6" t="s">
        <v>197</v>
      </c>
      <c r="C120" t="s">
        <v>13</v>
      </c>
      <c r="D120" s="8">
        <v>3</v>
      </c>
      <c r="E120">
        <v>10</v>
      </c>
      <c r="G120" s="54">
        <v>0.27200000000000002</v>
      </c>
      <c r="H120" s="55">
        <v>3.8399999999999997E-2</v>
      </c>
      <c r="I120" s="55" t="s">
        <v>469</v>
      </c>
      <c r="J120" s="25">
        <v>42819</v>
      </c>
      <c r="K120" s="54">
        <v>7.4800000000000005E-2</v>
      </c>
      <c r="L120" s="55">
        <v>1.37E-2</v>
      </c>
      <c r="M120" s="55">
        <v>0</v>
      </c>
      <c r="N120" s="25">
        <v>42823</v>
      </c>
      <c r="O120" s="104">
        <f t="shared" si="33"/>
        <v>0.19720000000000001</v>
      </c>
      <c r="P120" s="104">
        <f t="shared" si="34"/>
        <v>2.4699999999999996E-2</v>
      </c>
      <c r="Q120" s="104" t="e">
        <f t="shared" si="35"/>
        <v>#VALUE!</v>
      </c>
      <c r="R120" s="104">
        <f t="shared" si="36"/>
        <v>263.63636363636363</v>
      </c>
      <c r="S120" s="104">
        <f t="shared" si="37"/>
        <v>180.29197080291968</v>
      </c>
      <c r="T120" s="104">
        <f t="shared" si="38"/>
        <v>0</v>
      </c>
      <c r="V120">
        <f>K120/'Soil samples'!AK105*1000</f>
        <v>6.4301674797490413</v>
      </c>
      <c r="W120">
        <f>L120/'Soil samples'!AK105*1000</f>
        <v>1.1777178405422708</v>
      </c>
      <c r="X120" s="3">
        <f>M120/'Soil samples'!AK105*1000</f>
        <v>0</v>
      </c>
      <c r="Y120" s="31">
        <f t="shared" si="43"/>
        <v>8.8500000000000009E-2</v>
      </c>
      <c r="Z120" s="104">
        <f t="shared" si="44"/>
        <v>8.8500000000000009E-2</v>
      </c>
      <c r="AA120">
        <f t="shared" si="39"/>
        <v>0.88500000000000012</v>
      </c>
      <c r="AB120">
        <f t="shared" si="39"/>
        <v>0.88500000000000012</v>
      </c>
      <c r="AC120">
        <f t="shared" si="40"/>
        <v>0</v>
      </c>
      <c r="AD120">
        <f t="shared" si="42"/>
        <v>0.748</v>
      </c>
      <c r="AF120">
        <f t="shared" si="41"/>
        <v>4.4250000000000012E-2</v>
      </c>
    </row>
    <row r="121" spans="1:32">
      <c r="A121" s="6" t="s">
        <v>110</v>
      </c>
      <c r="B121" s="6" t="s">
        <v>197</v>
      </c>
      <c r="C121" t="s">
        <v>13</v>
      </c>
      <c r="D121" s="8">
        <v>3</v>
      </c>
      <c r="E121">
        <v>20</v>
      </c>
      <c r="G121" s="54">
        <v>0.68210000000000004</v>
      </c>
      <c r="H121" s="55">
        <v>0.10580000000000001</v>
      </c>
      <c r="I121" s="55" t="s">
        <v>469</v>
      </c>
      <c r="J121" s="25">
        <v>42819</v>
      </c>
      <c r="K121" s="54">
        <v>0.18509999999999999</v>
      </c>
      <c r="L121" s="55">
        <v>4.0399999999999998E-2</v>
      </c>
      <c r="M121" s="55">
        <v>0</v>
      </c>
      <c r="N121" s="25">
        <v>42823</v>
      </c>
      <c r="O121" s="104">
        <f t="shared" si="33"/>
        <v>0.49700000000000005</v>
      </c>
      <c r="P121" s="104">
        <f t="shared" si="34"/>
        <v>6.5400000000000014E-2</v>
      </c>
      <c r="Q121" s="104" t="e">
        <f t="shared" si="35"/>
        <v>#VALUE!</v>
      </c>
      <c r="R121" s="104">
        <f t="shared" si="36"/>
        <v>268.50351161534309</v>
      </c>
      <c r="S121" s="104">
        <f t="shared" si="37"/>
        <v>161.88118811881191</v>
      </c>
      <c r="T121" s="104">
        <f t="shared" si="38"/>
        <v>0</v>
      </c>
      <c r="V121">
        <f>K121/'Soil samples'!AK106*1000</f>
        <v>4.1314494122489904</v>
      </c>
      <c r="W121">
        <f>L121/'Soil samples'!AK106*1000</f>
        <v>0.9017318004044258</v>
      </c>
      <c r="X121" s="3">
        <f>M121/'Soil samples'!AK106*1000</f>
        <v>0</v>
      </c>
      <c r="Y121" s="31">
        <f t="shared" si="43"/>
        <v>0.22549999999999998</v>
      </c>
      <c r="Z121" s="104">
        <f t="shared" si="44"/>
        <v>0.22549999999999998</v>
      </c>
      <c r="AA121">
        <f t="shared" si="39"/>
        <v>2.2549999999999999</v>
      </c>
      <c r="AB121">
        <f t="shared" si="39"/>
        <v>2.2549999999999999</v>
      </c>
      <c r="AC121">
        <f t="shared" si="40"/>
        <v>0</v>
      </c>
      <c r="AD121">
        <f t="shared" si="42"/>
        <v>1.8509999999999998</v>
      </c>
      <c r="AF121">
        <f t="shared" si="41"/>
        <v>0.11275</v>
      </c>
    </row>
    <row r="122" spans="1:32">
      <c r="A122" s="6" t="s">
        <v>111</v>
      </c>
      <c r="B122" s="6" t="s">
        <v>197</v>
      </c>
      <c r="C122" t="s">
        <v>13</v>
      </c>
      <c r="D122" s="8">
        <v>3</v>
      </c>
      <c r="E122">
        <v>30</v>
      </c>
      <c r="G122" s="54">
        <v>0.13930000000000001</v>
      </c>
      <c r="H122" s="100" t="s">
        <v>469</v>
      </c>
      <c r="I122" s="55" t="s">
        <v>469</v>
      </c>
      <c r="J122" s="25">
        <v>42819</v>
      </c>
      <c r="K122" s="54">
        <v>4.65E-2</v>
      </c>
      <c r="L122" s="55">
        <v>0</v>
      </c>
      <c r="M122" s="55">
        <v>0</v>
      </c>
      <c r="N122" s="25">
        <v>42823</v>
      </c>
      <c r="O122" s="104">
        <f t="shared" si="33"/>
        <v>9.2800000000000007E-2</v>
      </c>
      <c r="P122" s="104" t="e">
        <f t="shared" si="34"/>
        <v>#VALUE!</v>
      </c>
      <c r="Q122" s="104" t="e">
        <f t="shared" si="35"/>
        <v>#VALUE!</v>
      </c>
      <c r="R122" s="104">
        <f t="shared" si="36"/>
        <v>199.5698924731183</v>
      </c>
      <c r="S122" s="104">
        <f t="shared" si="37"/>
        <v>0</v>
      </c>
      <c r="T122" s="104">
        <f t="shared" si="38"/>
        <v>0</v>
      </c>
      <c r="V122">
        <f>K122/'Soil samples'!AK107*1000</f>
        <v>1.0607095288486685</v>
      </c>
      <c r="W122">
        <f>L122/'Soil samples'!AK107*1000</f>
        <v>0</v>
      </c>
      <c r="X122" s="3">
        <f>M122/'Soil samples'!AK107*1000</f>
        <v>0</v>
      </c>
      <c r="Y122" s="31">
        <f t="shared" si="43"/>
        <v>4.65E-2</v>
      </c>
      <c r="Z122" s="104">
        <f t="shared" si="44"/>
        <v>4.65E-2</v>
      </c>
      <c r="AA122">
        <f t="shared" si="39"/>
        <v>0.46500000000000002</v>
      </c>
      <c r="AB122">
        <f t="shared" si="39"/>
        <v>0.46500000000000002</v>
      </c>
      <c r="AC122">
        <f t="shared" si="40"/>
        <v>0</v>
      </c>
      <c r="AD122">
        <f t="shared" si="42"/>
        <v>0.46500000000000002</v>
      </c>
      <c r="AF122">
        <f t="shared" si="41"/>
        <v>2.3250000000000003E-2</v>
      </c>
    </row>
    <row r="123" spans="1:32">
      <c r="A123" s="6" t="s">
        <v>112</v>
      </c>
      <c r="B123" s="6" t="s">
        <v>197</v>
      </c>
      <c r="C123" t="s">
        <v>13</v>
      </c>
      <c r="D123" s="8">
        <v>4</v>
      </c>
      <c r="E123">
        <v>5</v>
      </c>
      <c r="G123" s="54">
        <v>1.5740000000000001</v>
      </c>
      <c r="H123" s="55" t="s">
        <v>469</v>
      </c>
      <c r="I123" s="55" t="s">
        <v>469</v>
      </c>
      <c r="J123" s="25">
        <v>42769</v>
      </c>
      <c r="K123" s="54">
        <v>0.40239999999999998</v>
      </c>
      <c r="L123" s="55">
        <v>0</v>
      </c>
      <c r="M123" s="55">
        <v>0</v>
      </c>
      <c r="N123" s="25">
        <v>42772</v>
      </c>
      <c r="O123" s="104">
        <f t="shared" si="33"/>
        <v>1.1716000000000002</v>
      </c>
      <c r="P123" s="104" t="e">
        <f t="shared" si="34"/>
        <v>#VALUE!</v>
      </c>
      <c r="Q123" s="104" t="e">
        <f t="shared" si="35"/>
        <v>#VALUE!</v>
      </c>
      <c r="R123" s="104">
        <f t="shared" si="36"/>
        <v>291.15308151093444</v>
      </c>
      <c r="S123" s="104">
        <f t="shared" si="37"/>
        <v>0</v>
      </c>
      <c r="T123" s="104">
        <f t="shared" si="38"/>
        <v>0</v>
      </c>
      <c r="V123">
        <f>K123/'Soil samples'!AK108*1000</f>
        <v>130.77853843617095</v>
      </c>
      <c r="W123">
        <f>L123/'Soil samples'!AK108*1000</f>
        <v>0</v>
      </c>
      <c r="X123" s="3">
        <f>M123/'Soil samples'!AK108*1000</f>
        <v>0</v>
      </c>
      <c r="Y123" s="31">
        <f t="shared" si="43"/>
        <v>0.40239999999999998</v>
      </c>
      <c r="Z123" s="104">
        <f t="shared" si="44"/>
        <v>0.40239999999999998</v>
      </c>
      <c r="AA123">
        <f t="shared" si="39"/>
        <v>4.024</v>
      </c>
      <c r="AB123">
        <f t="shared" si="39"/>
        <v>4.024</v>
      </c>
      <c r="AC123">
        <f t="shared" si="40"/>
        <v>0</v>
      </c>
      <c r="AD123">
        <f t="shared" si="42"/>
        <v>4.024</v>
      </c>
      <c r="AF123">
        <f t="shared" si="41"/>
        <v>0.20120000000000002</v>
      </c>
    </row>
    <row r="124" spans="1:32">
      <c r="A124" s="6" t="s">
        <v>113</v>
      </c>
      <c r="B124" s="6" t="s">
        <v>197</v>
      </c>
      <c r="C124" t="s">
        <v>13</v>
      </c>
      <c r="D124" s="8">
        <v>4</v>
      </c>
      <c r="E124">
        <v>10</v>
      </c>
      <c r="G124" s="54">
        <v>1.2035</v>
      </c>
      <c r="H124" s="100">
        <v>7.9500000000000001E-2</v>
      </c>
      <c r="I124" s="55" t="s">
        <v>469</v>
      </c>
      <c r="J124" s="25">
        <v>42769</v>
      </c>
      <c r="K124" s="54">
        <v>0.29930000000000001</v>
      </c>
      <c r="L124" s="100">
        <v>3.5700000000000003E-2</v>
      </c>
      <c r="M124" s="55">
        <v>0</v>
      </c>
      <c r="N124" s="25">
        <v>42772</v>
      </c>
      <c r="O124" s="104">
        <f t="shared" si="33"/>
        <v>0.9042</v>
      </c>
      <c r="P124" s="104">
        <f t="shared" si="34"/>
        <v>4.3799999999999999E-2</v>
      </c>
      <c r="Q124" s="104" t="e">
        <f t="shared" si="35"/>
        <v>#VALUE!</v>
      </c>
      <c r="R124" s="104">
        <f t="shared" si="36"/>
        <v>302.10491146007348</v>
      </c>
      <c r="S124" s="104">
        <f t="shared" si="37"/>
        <v>122.68907563025209</v>
      </c>
      <c r="T124" s="104">
        <f t="shared" si="38"/>
        <v>0</v>
      </c>
      <c r="V124">
        <f>K124/'Soil samples'!AK109*1000</f>
        <v>21.009296009786485</v>
      </c>
      <c r="W124">
        <f>L124/'Soil samples'!AK109*1000</f>
        <v>2.5059534498809803</v>
      </c>
      <c r="X124" s="3">
        <f>M124/'Soil samples'!AK109*1000</f>
        <v>0</v>
      </c>
      <c r="Y124" s="31">
        <f t="shared" si="43"/>
        <v>0.33500000000000002</v>
      </c>
      <c r="Z124" s="104">
        <f t="shared" si="44"/>
        <v>0.33500000000000002</v>
      </c>
      <c r="AA124">
        <f t="shared" si="39"/>
        <v>3.35</v>
      </c>
      <c r="AB124">
        <f t="shared" si="39"/>
        <v>3.35</v>
      </c>
      <c r="AC124">
        <f t="shared" si="40"/>
        <v>0</v>
      </c>
      <c r="AD124">
        <f t="shared" si="42"/>
        <v>2.9929999999999999</v>
      </c>
      <c r="AF124">
        <f t="shared" si="41"/>
        <v>0.16750000000000001</v>
      </c>
    </row>
    <row r="125" spans="1:32">
      <c r="A125" s="6" t="s">
        <v>114</v>
      </c>
      <c r="B125" s="6" t="s">
        <v>197</v>
      </c>
      <c r="C125" t="s">
        <v>13</v>
      </c>
      <c r="D125" s="8">
        <v>4</v>
      </c>
      <c r="E125">
        <v>20</v>
      </c>
      <c r="G125" s="54">
        <v>0.38490000000000002</v>
      </c>
      <c r="H125" s="55">
        <v>9.1499999999999998E-2</v>
      </c>
      <c r="I125" s="55" t="s">
        <v>469</v>
      </c>
      <c r="J125" s="25">
        <v>42769</v>
      </c>
      <c r="K125" s="54">
        <v>0.1242</v>
      </c>
      <c r="L125" s="100">
        <v>4.0599999999999997E-2</v>
      </c>
      <c r="M125" s="55">
        <v>0</v>
      </c>
      <c r="N125" s="25">
        <v>42772</v>
      </c>
      <c r="O125" s="104">
        <f t="shared" si="33"/>
        <v>0.26070000000000004</v>
      </c>
      <c r="P125" s="104">
        <f t="shared" si="34"/>
        <v>5.0900000000000001E-2</v>
      </c>
      <c r="Q125" s="104" t="e">
        <f t="shared" si="35"/>
        <v>#VALUE!</v>
      </c>
      <c r="R125" s="104">
        <f t="shared" si="36"/>
        <v>209.90338164251213</v>
      </c>
      <c r="S125" s="104">
        <f t="shared" si="37"/>
        <v>125.36945812807883</v>
      </c>
      <c r="T125" s="104">
        <f t="shared" si="38"/>
        <v>0</v>
      </c>
      <c r="V125">
        <f>K125/'Soil samples'!AK110*1000</f>
        <v>2.5079539227328511</v>
      </c>
      <c r="W125">
        <f>L125/'Soil samples'!AK110*1000</f>
        <v>0.81983034833296076</v>
      </c>
      <c r="X125" s="3">
        <f>M125/'Soil samples'!AK110*1000</f>
        <v>0</v>
      </c>
      <c r="Y125" s="31">
        <f t="shared" si="43"/>
        <v>0.1648</v>
      </c>
      <c r="Z125" s="104">
        <f t="shared" si="44"/>
        <v>0.1648</v>
      </c>
      <c r="AA125">
        <f t="shared" si="39"/>
        <v>1.6479999999999999</v>
      </c>
      <c r="AB125">
        <f t="shared" si="39"/>
        <v>1.6479999999999999</v>
      </c>
      <c r="AC125">
        <f t="shared" si="40"/>
        <v>0</v>
      </c>
      <c r="AD125">
        <f t="shared" si="42"/>
        <v>1.242</v>
      </c>
      <c r="AF125">
        <f t="shared" si="41"/>
        <v>8.2400000000000001E-2</v>
      </c>
    </row>
    <row r="126" spans="1:32">
      <c r="A126" s="6" t="s">
        <v>115</v>
      </c>
      <c r="B126" s="6" t="s">
        <v>197</v>
      </c>
      <c r="C126" t="s">
        <v>13</v>
      </c>
      <c r="D126" s="8">
        <v>4</v>
      </c>
      <c r="E126">
        <v>30</v>
      </c>
      <c r="F126" t="s">
        <v>383</v>
      </c>
      <c r="G126" s="54">
        <v>0.31309999999999999</v>
      </c>
      <c r="H126" s="55">
        <v>0.19750000000000001</v>
      </c>
      <c r="I126" s="55" t="s">
        <v>469</v>
      </c>
      <c r="J126" s="25">
        <v>42769</v>
      </c>
      <c r="K126" s="54">
        <v>9.6000000000000002E-2</v>
      </c>
      <c r="L126" s="100">
        <v>8.6499999999999994E-2</v>
      </c>
      <c r="M126" s="55">
        <v>0</v>
      </c>
      <c r="N126" s="25">
        <v>42772</v>
      </c>
      <c r="O126" s="104">
        <f t="shared" si="33"/>
        <v>0.21709999999999999</v>
      </c>
      <c r="P126" s="104">
        <f t="shared" si="34"/>
        <v>0.11100000000000002</v>
      </c>
      <c r="Q126" s="104" t="e">
        <f t="shared" si="35"/>
        <v>#VALUE!</v>
      </c>
      <c r="R126" s="104">
        <f t="shared" si="36"/>
        <v>226.14583333333331</v>
      </c>
      <c r="S126" s="104">
        <f t="shared" si="37"/>
        <v>128.32369942196536</v>
      </c>
      <c r="T126" s="104">
        <f t="shared" si="38"/>
        <v>0</v>
      </c>
      <c r="V126">
        <f>K126/'Soil samples'!AK111*1000</f>
        <v>2.0725744752090631</v>
      </c>
      <c r="W126">
        <f>L126/'Soil samples'!AK111*1000</f>
        <v>1.867475959433166</v>
      </c>
      <c r="X126" s="3">
        <f>M126/'Soil samples'!AK111*1000</f>
        <v>0</v>
      </c>
      <c r="Y126" s="31">
        <f t="shared" si="43"/>
        <v>0.1825</v>
      </c>
      <c r="Z126" s="104">
        <f t="shared" si="44"/>
        <v>0.1825</v>
      </c>
      <c r="AA126">
        <f t="shared" si="39"/>
        <v>1.825</v>
      </c>
      <c r="AB126">
        <f t="shared" si="39"/>
        <v>1.825</v>
      </c>
      <c r="AC126">
        <f t="shared" si="40"/>
        <v>0</v>
      </c>
      <c r="AD126">
        <f t="shared" si="42"/>
        <v>0.96</v>
      </c>
      <c r="AF126">
        <f t="shared" si="41"/>
        <v>9.1249999999999998E-2</v>
      </c>
    </row>
    <row r="127" spans="1:32">
      <c r="A127" s="6" t="s">
        <v>116</v>
      </c>
      <c r="B127" s="6" t="s">
        <v>197</v>
      </c>
      <c r="C127" t="s">
        <v>13</v>
      </c>
      <c r="D127" s="8">
        <v>5</v>
      </c>
      <c r="E127">
        <v>5</v>
      </c>
      <c r="G127" s="54">
        <v>0.17380000000000001</v>
      </c>
      <c r="H127" s="55">
        <v>8.6499999999999994E-2</v>
      </c>
      <c r="I127" s="55" t="s">
        <v>469</v>
      </c>
      <c r="J127" s="25">
        <v>42748</v>
      </c>
      <c r="K127" s="54">
        <v>6.0900000000000003E-2</v>
      </c>
      <c r="L127" s="100">
        <v>4.9500000000000002E-2</v>
      </c>
      <c r="M127" s="55">
        <v>0</v>
      </c>
      <c r="N127" s="25">
        <v>42751</v>
      </c>
      <c r="O127" s="104">
        <f t="shared" si="33"/>
        <v>0.1129</v>
      </c>
      <c r="P127" s="104">
        <f t="shared" si="34"/>
        <v>3.6999999999999991E-2</v>
      </c>
      <c r="Q127" s="104" t="e">
        <f t="shared" si="35"/>
        <v>#VALUE!</v>
      </c>
      <c r="R127" s="104">
        <f t="shared" si="36"/>
        <v>185.38587848932676</v>
      </c>
      <c r="S127" s="104">
        <f t="shared" si="37"/>
        <v>74.747474747474726</v>
      </c>
      <c r="T127" s="104">
        <f t="shared" si="38"/>
        <v>0</v>
      </c>
      <c r="V127">
        <f>K127/'Soil samples'!AK112*1000</f>
        <v>4.6685055004972424</v>
      </c>
      <c r="W127">
        <f>L127/'Soil samples'!AK112*1000</f>
        <v>3.7945980669066257</v>
      </c>
      <c r="X127" s="3">
        <f>M127/'Soil samples'!AK112*1000</f>
        <v>0</v>
      </c>
      <c r="Y127" s="31">
        <f t="shared" si="43"/>
        <v>0.1104</v>
      </c>
      <c r="Z127" s="104">
        <f t="shared" si="44"/>
        <v>0.1104</v>
      </c>
      <c r="AA127">
        <f t="shared" si="39"/>
        <v>1.1040000000000001</v>
      </c>
      <c r="AB127">
        <f t="shared" si="39"/>
        <v>1.1040000000000001</v>
      </c>
      <c r="AC127">
        <f t="shared" si="40"/>
        <v>0</v>
      </c>
      <c r="AD127">
        <f t="shared" si="42"/>
        <v>0.60899999999999999</v>
      </c>
      <c r="AF127">
        <f t="shared" si="41"/>
        <v>5.5200000000000006E-2</v>
      </c>
    </row>
    <row r="128" spans="1:32">
      <c r="A128" s="6" t="s">
        <v>117</v>
      </c>
      <c r="B128" s="6" t="s">
        <v>197</v>
      </c>
      <c r="C128" t="s">
        <v>13</v>
      </c>
      <c r="D128" s="8">
        <v>5</v>
      </c>
      <c r="E128">
        <v>10</v>
      </c>
      <c r="G128" s="54">
        <v>0.42549999999999999</v>
      </c>
      <c r="H128" s="55">
        <v>9.9099999999999994E-2</v>
      </c>
      <c r="I128" s="55" t="s">
        <v>469</v>
      </c>
      <c r="J128" s="25">
        <v>42748</v>
      </c>
      <c r="K128" s="54">
        <v>0.115</v>
      </c>
      <c r="L128" s="100">
        <v>4.9099999999999998E-2</v>
      </c>
      <c r="M128" s="55">
        <v>0</v>
      </c>
      <c r="N128" s="25">
        <v>42751</v>
      </c>
      <c r="O128" s="104">
        <f t="shared" si="33"/>
        <v>0.3105</v>
      </c>
      <c r="P128" s="104">
        <f t="shared" si="34"/>
        <v>4.9999999999999996E-2</v>
      </c>
      <c r="Q128" s="104" t="e">
        <f t="shared" si="35"/>
        <v>#VALUE!</v>
      </c>
      <c r="R128" s="104">
        <f t="shared" si="36"/>
        <v>270</v>
      </c>
      <c r="S128" s="104">
        <f t="shared" si="37"/>
        <v>101.83299389002036</v>
      </c>
      <c r="T128" s="104">
        <f t="shared" si="38"/>
        <v>0</v>
      </c>
      <c r="V128">
        <f>K128/'Soil samples'!AK113*1000</f>
        <v>5.4790710610485354</v>
      </c>
      <c r="W128">
        <f>L128/'Soil samples'!AK113*1000</f>
        <v>2.3393251225868092</v>
      </c>
      <c r="X128" s="3">
        <f>M128/'Soil samples'!AK113*1000</f>
        <v>0</v>
      </c>
      <c r="Y128" s="31">
        <f t="shared" si="43"/>
        <v>0.1641</v>
      </c>
      <c r="Z128" s="104">
        <f t="shared" si="44"/>
        <v>0.1641</v>
      </c>
      <c r="AA128">
        <f t="shared" si="39"/>
        <v>1.641</v>
      </c>
      <c r="AB128">
        <f t="shared" si="39"/>
        <v>1.641</v>
      </c>
      <c r="AC128">
        <f t="shared" si="40"/>
        <v>0</v>
      </c>
      <c r="AD128">
        <f t="shared" si="42"/>
        <v>1.1499999999999999</v>
      </c>
      <c r="AF128">
        <f t="shared" si="41"/>
        <v>8.2050000000000012E-2</v>
      </c>
    </row>
    <row r="129" spans="1:32">
      <c r="A129" s="6" t="s">
        <v>118</v>
      </c>
      <c r="B129" s="6" t="s">
        <v>197</v>
      </c>
      <c r="C129" t="s">
        <v>13</v>
      </c>
      <c r="D129" s="8">
        <v>5</v>
      </c>
      <c r="E129">
        <v>20</v>
      </c>
      <c r="G129" s="54">
        <v>0.15659999999999999</v>
      </c>
      <c r="H129" s="55">
        <v>5.6500000000000002E-2</v>
      </c>
      <c r="I129" s="55" t="s">
        <v>469</v>
      </c>
      <c r="J129" s="25">
        <v>42748</v>
      </c>
      <c r="K129" s="54">
        <v>5.5E-2</v>
      </c>
      <c r="L129" s="100">
        <v>2.2700000000000001E-2</v>
      </c>
      <c r="M129" s="55">
        <v>0</v>
      </c>
      <c r="N129" s="25">
        <v>42751</v>
      </c>
      <c r="O129" s="104">
        <f t="shared" si="33"/>
        <v>0.1016</v>
      </c>
      <c r="P129" s="104">
        <f t="shared" si="34"/>
        <v>3.3799999999999997E-2</v>
      </c>
      <c r="Q129" s="104" t="e">
        <f t="shared" si="35"/>
        <v>#VALUE!</v>
      </c>
      <c r="R129" s="104">
        <f t="shared" si="36"/>
        <v>184.72727272727272</v>
      </c>
      <c r="S129" s="104">
        <f t="shared" si="37"/>
        <v>148.89867841409691</v>
      </c>
      <c r="T129" s="104">
        <f t="shared" si="38"/>
        <v>0</v>
      </c>
      <c r="V129">
        <f>K129/'Soil samples'!AK114*1000</f>
        <v>1.4459848337408718</v>
      </c>
      <c r="W129">
        <f>L129/'Soil samples'!AK114*1000</f>
        <v>0.596797376834869</v>
      </c>
      <c r="X129" s="3">
        <f>M129/'Soil samples'!AK114*1000</f>
        <v>0</v>
      </c>
      <c r="Y129" s="31">
        <f t="shared" si="43"/>
        <v>7.7700000000000005E-2</v>
      </c>
      <c r="Z129" s="104">
        <f t="shared" si="44"/>
        <v>7.7700000000000005E-2</v>
      </c>
      <c r="AA129">
        <f t="shared" si="39"/>
        <v>0.77700000000000002</v>
      </c>
      <c r="AB129">
        <f t="shared" si="39"/>
        <v>0.77700000000000002</v>
      </c>
      <c r="AC129">
        <f t="shared" si="40"/>
        <v>0</v>
      </c>
      <c r="AD129">
        <f t="shared" si="42"/>
        <v>0.55000000000000004</v>
      </c>
      <c r="AF129">
        <f t="shared" si="41"/>
        <v>3.8850000000000003E-2</v>
      </c>
    </row>
    <row r="130" spans="1:32">
      <c r="A130" s="6" t="s">
        <v>119</v>
      </c>
      <c r="B130" s="6" t="s">
        <v>197</v>
      </c>
      <c r="C130" t="s">
        <v>13</v>
      </c>
      <c r="D130" s="8">
        <v>5</v>
      </c>
      <c r="E130">
        <v>30</v>
      </c>
      <c r="F130" t="s">
        <v>383</v>
      </c>
      <c r="G130" s="54">
        <v>7.1800000000000003E-2</v>
      </c>
      <c r="H130" s="55" t="s">
        <v>469</v>
      </c>
      <c r="I130" s="55" t="s">
        <v>469</v>
      </c>
      <c r="J130" s="25">
        <v>42748</v>
      </c>
      <c r="K130" s="54">
        <v>2.2100000000000002E-2</v>
      </c>
      <c r="L130" s="55">
        <v>0</v>
      </c>
      <c r="M130" s="55">
        <v>0</v>
      </c>
      <c r="N130" s="25">
        <v>42751</v>
      </c>
      <c r="O130" s="104">
        <f t="shared" si="33"/>
        <v>4.9700000000000001E-2</v>
      </c>
      <c r="P130" s="104" t="e">
        <f t="shared" si="34"/>
        <v>#VALUE!</v>
      </c>
      <c r="Q130" s="104" t="e">
        <f t="shared" si="35"/>
        <v>#VALUE!</v>
      </c>
      <c r="R130" s="104">
        <f t="shared" si="36"/>
        <v>224.88687782805431</v>
      </c>
      <c r="S130" s="104">
        <f t="shared" si="37"/>
        <v>0</v>
      </c>
      <c r="T130" s="104">
        <f t="shared" si="38"/>
        <v>0</v>
      </c>
      <c r="V130">
        <f>K130/'Soil samples'!AK115*1000</f>
        <v>0.38399461435281762</v>
      </c>
      <c r="W130">
        <f>L130/'Soil samples'!AK115*1000</f>
        <v>0</v>
      </c>
      <c r="X130" s="3">
        <f>M130/'Soil samples'!AK115*1000</f>
        <v>0</v>
      </c>
      <c r="Y130" s="31">
        <f t="shared" si="43"/>
        <v>2.2100000000000002E-2</v>
      </c>
      <c r="Z130" s="104">
        <f t="shared" si="44"/>
        <v>2.2100000000000002E-2</v>
      </c>
      <c r="AA130">
        <f t="shared" si="39"/>
        <v>0.22100000000000003</v>
      </c>
      <c r="AB130">
        <f t="shared" si="39"/>
        <v>0.22100000000000003</v>
      </c>
      <c r="AC130">
        <f t="shared" si="40"/>
        <v>0</v>
      </c>
      <c r="AD130">
        <f t="shared" si="42"/>
        <v>0.22100000000000003</v>
      </c>
      <c r="AF130">
        <f t="shared" si="41"/>
        <v>1.1050000000000003E-2</v>
      </c>
    </row>
    <row r="131" spans="1:32">
      <c r="A131" s="6" t="s">
        <v>120</v>
      </c>
      <c r="B131" s="6" t="s">
        <v>197</v>
      </c>
      <c r="C131" t="s">
        <v>13</v>
      </c>
      <c r="D131" s="8">
        <v>6</v>
      </c>
      <c r="E131">
        <v>5</v>
      </c>
      <c r="G131" s="54">
        <v>1.1978</v>
      </c>
      <c r="H131" s="100">
        <v>0.19500000000000001</v>
      </c>
      <c r="I131" s="55" t="s">
        <v>469</v>
      </c>
      <c r="J131" s="25">
        <v>42767</v>
      </c>
      <c r="K131" s="54">
        <v>0.27979999999999999</v>
      </c>
      <c r="L131" s="100">
        <v>9.4500000000000001E-2</v>
      </c>
      <c r="M131" s="55">
        <v>0</v>
      </c>
      <c r="N131" s="25">
        <v>42770</v>
      </c>
      <c r="O131" s="104">
        <f t="shared" ref="O131:O194" si="45">G131-K131</f>
        <v>0.91799999999999993</v>
      </c>
      <c r="P131" s="104">
        <f t="shared" ref="P131:P194" si="46">H131-L131</f>
        <v>0.10050000000000001</v>
      </c>
      <c r="Q131" s="104" t="e">
        <f t="shared" ref="Q131:Q194" si="47">I131-M131</f>
        <v>#VALUE!</v>
      </c>
      <c r="R131" s="104">
        <f t="shared" ref="R131:R194" si="48">IF(K131&gt;0,O131/K131*100,0)</f>
        <v>328.09149392423154</v>
      </c>
      <c r="S131" s="104">
        <f t="shared" ref="S131:S194" si="49">IF(L131&gt;0,P131/L131*100,0)</f>
        <v>106.34920634920636</v>
      </c>
      <c r="T131" s="104">
        <f t="shared" ref="T131:T194" si="50">IF(M131&gt;0,Q131/M131*100,0)</f>
        <v>0</v>
      </c>
      <c r="V131">
        <f>K131/'Soil samples'!AK116*1000</f>
        <v>36.526433978178048</v>
      </c>
      <c r="W131">
        <f>L131/'Soil samples'!AK116*1000</f>
        <v>12.336483241378932</v>
      </c>
      <c r="X131" s="3">
        <f>M131/'Soil samples'!AK116*1000</f>
        <v>0</v>
      </c>
      <c r="Y131" s="31">
        <f t="shared" si="43"/>
        <v>0.37429999999999997</v>
      </c>
      <c r="Z131" s="104">
        <f t="shared" si="44"/>
        <v>0.37429999999999997</v>
      </c>
      <c r="AA131">
        <f t="shared" si="39"/>
        <v>3.7429999999999994</v>
      </c>
      <c r="AB131">
        <f t="shared" si="39"/>
        <v>3.7429999999999994</v>
      </c>
      <c r="AC131">
        <f t="shared" si="40"/>
        <v>0</v>
      </c>
      <c r="AD131">
        <f t="shared" si="42"/>
        <v>2.798</v>
      </c>
      <c r="AF131">
        <f t="shared" si="41"/>
        <v>0.18714999999999998</v>
      </c>
    </row>
    <row r="132" spans="1:32">
      <c r="A132" s="6" t="s">
        <v>121</v>
      </c>
      <c r="B132" s="6" t="s">
        <v>197</v>
      </c>
      <c r="C132" t="s">
        <v>13</v>
      </c>
      <c r="D132" s="8">
        <v>6</v>
      </c>
      <c r="E132">
        <v>10</v>
      </c>
      <c r="G132" s="54">
        <v>0.32929999999999998</v>
      </c>
      <c r="H132" s="100">
        <v>0.12970000000000001</v>
      </c>
      <c r="I132" s="55" t="s">
        <v>469</v>
      </c>
      <c r="J132" s="25">
        <v>42767</v>
      </c>
      <c r="K132" s="54">
        <v>0.1172</v>
      </c>
      <c r="L132" s="100">
        <v>6.25E-2</v>
      </c>
      <c r="M132" s="55">
        <v>0</v>
      </c>
      <c r="N132" s="25">
        <v>42770</v>
      </c>
      <c r="O132" s="104">
        <f t="shared" si="45"/>
        <v>0.21209999999999998</v>
      </c>
      <c r="P132" s="104">
        <f t="shared" si="46"/>
        <v>6.720000000000001E-2</v>
      </c>
      <c r="Q132" s="104" t="e">
        <f t="shared" si="47"/>
        <v>#VALUE!</v>
      </c>
      <c r="R132" s="104">
        <f t="shared" si="48"/>
        <v>180.97269624573377</v>
      </c>
      <c r="S132" s="104">
        <f t="shared" si="49"/>
        <v>107.52000000000001</v>
      </c>
      <c r="T132" s="104">
        <f t="shared" si="50"/>
        <v>0</v>
      </c>
      <c r="V132">
        <f>K132/'Soil samples'!AK117*1000</f>
        <v>5.2677874935922633</v>
      </c>
      <c r="W132">
        <f>L132/'Soil samples'!AK117*1000</f>
        <v>2.8091870166340991</v>
      </c>
      <c r="X132" s="3">
        <f>M132/'Soil samples'!AK117*1000</f>
        <v>0</v>
      </c>
      <c r="Y132" s="31">
        <f t="shared" si="43"/>
        <v>0.1797</v>
      </c>
      <c r="Z132" s="104">
        <f t="shared" si="44"/>
        <v>0.1797</v>
      </c>
      <c r="AA132">
        <f t="shared" si="39"/>
        <v>1.7969999999999999</v>
      </c>
      <c r="AB132">
        <f t="shared" si="39"/>
        <v>1.7969999999999999</v>
      </c>
      <c r="AC132">
        <f t="shared" si="40"/>
        <v>0</v>
      </c>
      <c r="AD132">
        <f t="shared" si="42"/>
        <v>1.1719999999999999</v>
      </c>
      <c r="AF132">
        <f t="shared" si="41"/>
        <v>8.9849999999999999E-2</v>
      </c>
    </row>
    <row r="133" spans="1:32" s="4" customFormat="1">
      <c r="A133" s="7" t="s">
        <v>122</v>
      </c>
      <c r="B133" s="7" t="s">
        <v>197</v>
      </c>
      <c r="C133" s="4" t="s">
        <v>13</v>
      </c>
      <c r="D133" s="4">
        <v>6</v>
      </c>
      <c r="E133" s="4">
        <v>20</v>
      </c>
      <c r="G133" s="101">
        <v>9.7100000000000006E-2</v>
      </c>
      <c r="H133" s="102" t="s">
        <v>469</v>
      </c>
      <c r="I133" s="102" t="s">
        <v>469</v>
      </c>
      <c r="J133" s="27">
        <v>42767</v>
      </c>
      <c r="K133" s="101">
        <v>3.04E-2</v>
      </c>
      <c r="L133" s="102">
        <v>0</v>
      </c>
      <c r="M133" s="55">
        <v>0</v>
      </c>
      <c r="N133" s="27">
        <v>42770</v>
      </c>
      <c r="O133" s="104">
        <f t="shared" si="45"/>
        <v>6.6700000000000009E-2</v>
      </c>
      <c r="P133" s="104" t="e">
        <f t="shared" si="46"/>
        <v>#VALUE!</v>
      </c>
      <c r="Q133" s="104" t="e">
        <f t="shared" si="47"/>
        <v>#VALUE!</v>
      </c>
      <c r="R133" s="104">
        <f t="shared" si="48"/>
        <v>219.40789473684214</v>
      </c>
      <c r="S133" s="104">
        <f t="shared" si="49"/>
        <v>0</v>
      </c>
      <c r="T133" s="104">
        <f t="shared" si="50"/>
        <v>0</v>
      </c>
      <c r="U133" s="5"/>
      <c r="V133">
        <f>K133/'Soil samples'!AK118*1000</f>
        <v>0.25777513404055608</v>
      </c>
      <c r="W133">
        <f>L133/'Soil samples'!AK118*1000</f>
        <v>0</v>
      </c>
      <c r="X133" s="3">
        <f>M133/'Soil samples'!AK118*1000</f>
        <v>0</v>
      </c>
      <c r="Y133" s="31">
        <f t="shared" si="43"/>
        <v>3.04E-2</v>
      </c>
      <c r="Z133" s="104">
        <f t="shared" si="44"/>
        <v>3.04E-2</v>
      </c>
      <c r="AA133">
        <f t="shared" ref="AA133:AB196" si="51">Y133*10000/1000</f>
        <v>0.30399999999999999</v>
      </c>
      <c r="AB133">
        <f t="shared" si="51"/>
        <v>0.30399999999999999</v>
      </c>
      <c r="AC133">
        <f t="shared" ref="AC133:AC196" si="52">M133*10000/1000</f>
        <v>0</v>
      </c>
      <c r="AD133">
        <f t="shared" si="42"/>
        <v>0.30399999999999999</v>
      </c>
      <c r="AF133">
        <f t="shared" ref="AF133:AF196" si="53">AB133*0.05</f>
        <v>1.52E-2</v>
      </c>
    </row>
    <row r="134" spans="1:32">
      <c r="A134" s="6" t="s">
        <v>123</v>
      </c>
      <c r="B134" s="6" t="s">
        <v>198</v>
      </c>
      <c r="C134" t="s">
        <v>12</v>
      </c>
      <c r="D134" s="8">
        <v>1</v>
      </c>
      <c r="E134">
        <v>5</v>
      </c>
      <c r="F134" s="13" t="s">
        <v>379</v>
      </c>
      <c r="G134" s="54">
        <v>1.6552</v>
      </c>
      <c r="H134" s="55" t="s">
        <v>469</v>
      </c>
      <c r="I134" s="55">
        <v>0.41770000000000002</v>
      </c>
      <c r="J134" s="25">
        <v>42790</v>
      </c>
      <c r="K134" s="54">
        <v>0.2482</v>
      </c>
      <c r="L134" s="55">
        <v>0</v>
      </c>
      <c r="M134" s="100">
        <v>0.15540000000000001</v>
      </c>
      <c r="N134" s="25">
        <v>42794</v>
      </c>
      <c r="O134" s="104">
        <f t="shared" si="45"/>
        <v>1.407</v>
      </c>
      <c r="P134" s="104" t="e">
        <f t="shared" si="46"/>
        <v>#VALUE!</v>
      </c>
      <c r="Q134" s="104">
        <f t="shared" si="47"/>
        <v>0.26229999999999998</v>
      </c>
      <c r="R134" s="104">
        <f t="shared" si="48"/>
        <v>566.88154713940366</v>
      </c>
      <c r="S134" s="104">
        <f t="shared" si="49"/>
        <v>0</v>
      </c>
      <c r="T134" s="104">
        <f t="shared" si="50"/>
        <v>168.79021879021877</v>
      </c>
      <c r="V134">
        <f>K134/'Soil samples'!AK119*1000</f>
        <v>13.313790377806981</v>
      </c>
      <c r="W134">
        <f>L134/'Soil samples'!AK119*1000</f>
        <v>0</v>
      </c>
      <c r="X134" s="3">
        <f>M134/'Soil samples'!AK119*1000</f>
        <v>8.3358703654762483</v>
      </c>
      <c r="Y134" s="31">
        <f t="shared" si="43"/>
        <v>0.2482</v>
      </c>
      <c r="Z134" s="104">
        <f t="shared" si="44"/>
        <v>0.40360000000000001</v>
      </c>
      <c r="AA134">
        <f t="shared" si="51"/>
        <v>2.4820000000000002</v>
      </c>
      <c r="AB134">
        <f t="shared" si="51"/>
        <v>4.0359999999999996</v>
      </c>
      <c r="AC134">
        <f t="shared" si="52"/>
        <v>1.554</v>
      </c>
      <c r="AD134">
        <f t="shared" ref="AD134:AD197" si="54">K134*10000/1000</f>
        <v>2.4820000000000002</v>
      </c>
      <c r="AF134">
        <f t="shared" si="53"/>
        <v>0.20179999999999998</v>
      </c>
    </row>
    <row r="135" spans="1:32">
      <c r="A135" s="6" t="s">
        <v>124</v>
      </c>
      <c r="B135" s="6" t="s">
        <v>198</v>
      </c>
      <c r="C135" t="s">
        <v>12</v>
      </c>
      <c r="D135" s="8">
        <v>1</v>
      </c>
      <c r="E135">
        <v>10</v>
      </c>
      <c r="F135" s="14" t="s">
        <v>380</v>
      </c>
      <c r="G135" s="54">
        <v>1.3253999999999999</v>
      </c>
      <c r="H135" s="55" t="s">
        <v>469</v>
      </c>
      <c r="I135" s="55">
        <v>0.29509999999999997</v>
      </c>
      <c r="J135" s="25">
        <v>42790</v>
      </c>
      <c r="K135" s="54">
        <v>0.1777</v>
      </c>
      <c r="L135" s="100">
        <v>0</v>
      </c>
      <c r="M135" s="100">
        <v>8.4599999999999995E-2</v>
      </c>
      <c r="N135" s="25">
        <v>42794</v>
      </c>
      <c r="O135" s="104">
        <f t="shared" si="45"/>
        <v>1.1476999999999999</v>
      </c>
      <c r="P135" s="104" t="e">
        <f t="shared" si="46"/>
        <v>#VALUE!</v>
      </c>
      <c r="Q135" s="104">
        <f t="shared" si="47"/>
        <v>0.21049999999999996</v>
      </c>
      <c r="R135" s="104">
        <f t="shared" si="48"/>
        <v>645.86381541924595</v>
      </c>
      <c r="S135" s="104">
        <f t="shared" si="49"/>
        <v>0</v>
      </c>
      <c r="T135" s="104">
        <f t="shared" si="50"/>
        <v>248.81796690307328</v>
      </c>
      <c r="V135">
        <f>K135/'Soil samples'!AK120*1000</f>
        <v>4.1142303747080833</v>
      </c>
      <c r="W135">
        <f>L135/'Soil samples'!AK120*1000</f>
        <v>0</v>
      </c>
      <c r="X135" s="3">
        <f>M135/'Soil samples'!AK120*1000</f>
        <v>1.9587163179533136</v>
      </c>
      <c r="Y135" s="31">
        <f t="shared" si="43"/>
        <v>0.1777</v>
      </c>
      <c r="Z135" s="104">
        <f t="shared" si="44"/>
        <v>0.26229999999999998</v>
      </c>
      <c r="AA135">
        <f t="shared" si="51"/>
        <v>1.7769999999999999</v>
      </c>
      <c r="AB135">
        <f t="shared" si="51"/>
        <v>2.6230000000000002</v>
      </c>
      <c r="AC135">
        <f t="shared" si="52"/>
        <v>0.84599999999999997</v>
      </c>
      <c r="AD135">
        <f t="shared" si="54"/>
        <v>1.7769999999999999</v>
      </c>
      <c r="AF135">
        <f t="shared" si="53"/>
        <v>0.13115000000000002</v>
      </c>
    </row>
    <row r="136" spans="1:32">
      <c r="A136" s="6" t="s">
        <v>125</v>
      </c>
      <c r="B136" s="6" t="s">
        <v>198</v>
      </c>
      <c r="C136" t="s">
        <v>12</v>
      </c>
      <c r="D136" s="8">
        <v>1</v>
      </c>
      <c r="E136">
        <v>20</v>
      </c>
      <c r="F136" t="s">
        <v>381</v>
      </c>
      <c r="G136" s="54">
        <v>1.0843</v>
      </c>
      <c r="H136" s="55" t="s">
        <v>469</v>
      </c>
      <c r="I136" s="55">
        <v>0.1179</v>
      </c>
      <c r="J136" s="25">
        <v>42790</v>
      </c>
      <c r="K136" s="54">
        <v>0.15909999999999999</v>
      </c>
      <c r="L136" s="100">
        <v>0</v>
      </c>
      <c r="M136" s="100">
        <v>4.4600000000000001E-2</v>
      </c>
      <c r="N136" s="25">
        <v>42794</v>
      </c>
      <c r="O136" s="104">
        <f t="shared" si="45"/>
        <v>0.92520000000000002</v>
      </c>
      <c r="P136" s="104" t="e">
        <f t="shared" si="46"/>
        <v>#VALUE!</v>
      </c>
      <c r="Q136" s="104">
        <f t="shared" si="47"/>
        <v>7.3300000000000004E-2</v>
      </c>
      <c r="R136" s="104">
        <f t="shared" si="48"/>
        <v>581.52105593966064</v>
      </c>
      <c r="S136" s="104">
        <f t="shared" si="49"/>
        <v>0</v>
      </c>
      <c r="T136" s="104">
        <f t="shared" si="50"/>
        <v>164.34977578475335</v>
      </c>
      <c r="V136">
        <f>K136/'Soil samples'!AK121*1000</f>
        <v>3.9711959368206204</v>
      </c>
      <c r="W136">
        <f>L136/'Soil samples'!AK121*1000</f>
        <v>0</v>
      </c>
      <c r="X136" s="3">
        <f>M136/'Soil samples'!AK121*1000</f>
        <v>1.1132328018994322</v>
      </c>
      <c r="Y136" s="31">
        <f t="shared" si="43"/>
        <v>0.15909999999999999</v>
      </c>
      <c r="Z136" s="104">
        <f t="shared" si="44"/>
        <v>0.20369999999999999</v>
      </c>
      <c r="AA136">
        <f t="shared" si="51"/>
        <v>1.591</v>
      </c>
      <c r="AB136">
        <f t="shared" si="51"/>
        <v>2.0369999999999999</v>
      </c>
      <c r="AC136">
        <f t="shared" si="52"/>
        <v>0.44600000000000001</v>
      </c>
      <c r="AD136">
        <f t="shared" si="54"/>
        <v>1.591</v>
      </c>
      <c r="AF136">
        <f t="shared" si="53"/>
        <v>0.10185</v>
      </c>
    </row>
    <row r="137" spans="1:32">
      <c r="A137" s="6" t="s">
        <v>126</v>
      </c>
      <c r="B137" s="6" t="s">
        <v>198</v>
      </c>
      <c r="C137" t="s">
        <v>12</v>
      </c>
      <c r="D137" s="8">
        <v>1</v>
      </c>
      <c r="E137">
        <v>30</v>
      </c>
      <c r="F137" t="s">
        <v>382</v>
      </c>
      <c r="G137" s="54">
        <v>0.3004</v>
      </c>
      <c r="H137" s="55" t="s">
        <v>469</v>
      </c>
      <c r="I137" s="55">
        <v>0.99529999999999996</v>
      </c>
      <c r="J137" s="25">
        <v>42790</v>
      </c>
      <c r="K137" s="54">
        <v>5.6800000000000003E-2</v>
      </c>
      <c r="L137" s="100">
        <v>0</v>
      </c>
      <c r="M137" s="100">
        <v>0.35170000000000001</v>
      </c>
      <c r="N137" s="25">
        <v>42794</v>
      </c>
      <c r="O137" s="104">
        <f t="shared" si="45"/>
        <v>0.24359999999999998</v>
      </c>
      <c r="P137" s="104" t="e">
        <f t="shared" si="46"/>
        <v>#VALUE!</v>
      </c>
      <c r="Q137" s="104">
        <f t="shared" si="47"/>
        <v>0.64359999999999995</v>
      </c>
      <c r="R137" s="104">
        <f t="shared" si="48"/>
        <v>428.87323943661971</v>
      </c>
      <c r="S137" s="104">
        <f t="shared" si="49"/>
        <v>0</v>
      </c>
      <c r="T137" s="104">
        <f t="shared" si="50"/>
        <v>182.99687233437587</v>
      </c>
      <c r="V137">
        <f>K137/'Soil samples'!AK122*1000</f>
        <v>1.5285525680397118</v>
      </c>
      <c r="W137">
        <f>L137/'Soil samples'!AK122*1000</f>
        <v>0</v>
      </c>
      <c r="X137" s="3">
        <f>M137/'Soil samples'!AK122*1000</f>
        <v>9.4646467989360321</v>
      </c>
      <c r="Y137" s="31">
        <f t="shared" si="43"/>
        <v>5.6800000000000003E-2</v>
      </c>
      <c r="Z137" s="104">
        <f t="shared" si="44"/>
        <v>0.40850000000000003</v>
      </c>
      <c r="AA137">
        <f t="shared" si="51"/>
        <v>0.56799999999999995</v>
      </c>
      <c r="AB137">
        <f t="shared" si="51"/>
        <v>4.0850000000000009</v>
      </c>
      <c r="AC137">
        <f t="shared" si="52"/>
        <v>3.5169999999999999</v>
      </c>
      <c r="AD137">
        <f t="shared" si="54"/>
        <v>0.56799999999999995</v>
      </c>
      <c r="AF137">
        <f t="shared" si="53"/>
        <v>0.20425000000000004</v>
      </c>
    </row>
    <row r="138" spans="1:32">
      <c r="A138" s="6" t="s">
        <v>127</v>
      </c>
      <c r="B138" s="6" t="s">
        <v>198</v>
      </c>
      <c r="C138" t="s">
        <v>12</v>
      </c>
      <c r="D138" s="8">
        <v>2</v>
      </c>
      <c r="E138">
        <v>5</v>
      </c>
      <c r="F138" t="s">
        <v>376</v>
      </c>
      <c r="G138" s="54">
        <v>6.6340000000000003</v>
      </c>
      <c r="H138" s="55">
        <v>0.29339999999999999</v>
      </c>
      <c r="I138" s="55">
        <v>0.77039999999999997</v>
      </c>
      <c r="J138" s="25">
        <v>42777</v>
      </c>
      <c r="K138" s="54">
        <v>0.87039999999999995</v>
      </c>
      <c r="L138" s="100">
        <v>7.2300000000000003E-2</v>
      </c>
      <c r="M138" s="100">
        <v>0.26300000000000001</v>
      </c>
      <c r="N138" s="25">
        <v>42780</v>
      </c>
      <c r="O138" s="104">
        <f t="shared" si="45"/>
        <v>5.7636000000000003</v>
      </c>
      <c r="P138" s="104">
        <f t="shared" si="46"/>
        <v>0.22109999999999999</v>
      </c>
      <c r="Q138" s="104">
        <f t="shared" si="47"/>
        <v>0.50739999999999996</v>
      </c>
      <c r="R138" s="104">
        <f t="shared" si="48"/>
        <v>662.17830882352939</v>
      </c>
      <c r="S138" s="104">
        <f t="shared" si="49"/>
        <v>305.80912863070535</v>
      </c>
      <c r="T138" s="104">
        <f t="shared" si="50"/>
        <v>192.92775665399239</v>
      </c>
      <c r="V138">
        <f>K138/'Soil samples'!AK123*1000</f>
        <v>228.31804198457857</v>
      </c>
      <c r="W138">
        <f>L138/'Soil samples'!AK123*1000</f>
        <v>18.965296915768647</v>
      </c>
      <c r="X138" s="3">
        <f>M138/'Soil samples'!AK123*1000</f>
        <v>68.988562777968937</v>
      </c>
      <c r="Y138" s="31">
        <f t="shared" si="43"/>
        <v>0.94269999999999998</v>
      </c>
      <c r="Z138" s="104">
        <f t="shared" si="44"/>
        <v>1.2057</v>
      </c>
      <c r="AA138">
        <f t="shared" si="51"/>
        <v>9.4269999999999996</v>
      </c>
      <c r="AB138">
        <f t="shared" si="51"/>
        <v>12.057</v>
      </c>
      <c r="AC138">
        <f t="shared" si="52"/>
        <v>2.63</v>
      </c>
      <c r="AD138">
        <f t="shared" si="54"/>
        <v>8.7040000000000006</v>
      </c>
      <c r="AF138">
        <f t="shared" si="53"/>
        <v>0.60285000000000011</v>
      </c>
    </row>
    <row r="139" spans="1:32">
      <c r="A139" s="6" t="s">
        <v>650</v>
      </c>
      <c r="B139" s="6" t="s">
        <v>198</v>
      </c>
      <c r="C139" s="6" t="s">
        <v>12</v>
      </c>
      <c r="D139">
        <v>2</v>
      </c>
      <c r="E139">
        <v>10</v>
      </c>
      <c r="G139" s="6">
        <v>3.3311999999999999</v>
      </c>
      <c r="H139" s="6">
        <v>0.1323</v>
      </c>
      <c r="I139" s="6" t="s">
        <v>469</v>
      </c>
      <c r="J139" s="25">
        <v>43011</v>
      </c>
      <c r="K139" s="6">
        <v>0.48330000000000001</v>
      </c>
      <c r="L139" s="6">
        <v>3.0099999999999998E-2</v>
      </c>
      <c r="M139" s="6">
        <v>0</v>
      </c>
      <c r="N139" s="25">
        <v>43018</v>
      </c>
      <c r="O139" s="104">
        <f t="shared" si="45"/>
        <v>2.8479000000000001</v>
      </c>
      <c r="P139" s="104">
        <f t="shared" si="46"/>
        <v>0.1022</v>
      </c>
      <c r="Q139" s="104" t="e">
        <f t="shared" si="47"/>
        <v>#VALUE!</v>
      </c>
      <c r="R139" s="104">
        <f t="shared" si="48"/>
        <v>589.26132836747365</v>
      </c>
      <c r="S139" s="104">
        <f t="shared" si="49"/>
        <v>339.53488372093028</v>
      </c>
      <c r="T139" s="104">
        <f t="shared" si="50"/>
        <v>0</v>
      </c>
      <c r="Y139" s="31">
        <f t="shared" si="43"/>
        <v>0.51339999999999997</v>
      </c>
      <c r="Z139" s="104">
        <f t="shared" si="44"/>
        <v>0.51339999999999997</v>
      </c>
      <c r="AA139">
        <f t="shared" si="51"/>
        <v>5.1340000000000003</v>
      </c>
      <c r="AB139">
        <f t="shared" si="51"/>
        <v>5.1340000000000003</v>
      </c>
      <c r="AC139">
        <f t="shared" si="52"/>
        <v>0</v>
      </c>
      <c r="AD139">
        <f t="shared" si="54"/>
        <v>4.8330000000000002</v>
      </c>
      <c r="AF139">
        <f t="shared" si="53"/>
        <v>0.25670000000000004</v>
      </c>
    </row>
    <row r="140" spans="1:32">
      <c r="A140" s="7" t="s">
        <v>1100</v>
      </c>
      <c r="B140" s="4" t="s">
        <v>198</v>
      </c>
      <c r="C140" s="4" t="s">
        <v>12</v>
      </c>
      <c r="D140">
        <v>2</v>
      </c>
      <c r="E140">
        <v>20</v>
      </c>
      <c r="G140" s="4">
        <v>1.0484</v>
      </c>
      <c r="H140" s="4">
        <v>3.9600000000000003E-2</v>
      </c>
      <c r="I140" s="4">
        <v>0.21970000000000001</v>
      </c>
      <c r="J140" s="27">
        <v>43011</v>
      </c>
      <c r="K140" s="4">
        <v>0.15260000000000001</v>
      </c>
      <c r="L140" s="4">
        <v>8.9999999999999993E-3</v>
      </c>
      <c r="M140" s="4">
        <v>4.7899999999999998E-2</v>
      </c>
      <c r="N140" s="27">
        <v>43018</v>
      </c>
      <c r="O140" s="104">
        <f t="shared" si="45"/>
        <v>0.89579999999999993</v>
      </c>
      <c r="P140" s="104">
        <f t="shared" si="46"/>
        <v>3.0600000000000002E-2</v>
      </c>
      <c r="Q140" s="104">
        <f t="shared" si="47"/>
        <v>0.17180000000000001</v>
      </c>
      <c r="R140" s="104">
        <f t="shared" si="48"/>
        <v>587.02490170380065</v>
      </c>
      <c r="S140" s="104">
        <f t="shared" si="49"/>
        <v>340.00000000000006</v>
      </c>
      <c r="T140" s="104">
        <f t="shared" si="50"/>
        <v>358.66388308977037</v>
      </c>
      <c r="Y140" s="31">
        <f t="shared" si="43"/>
        <v>0.16160000000000002</v>
      </c>
      <c r="Z140" s="104">
        <f t="shared" si="44"/>
        <v>0.20950000000000002</v>
      </c>
      <c r="AA140">
        <f t="shared" si="51"/>
        <v>1.6160000000000003</v>
      </c>
      <c r="AB140">
        <f t="shared" si="51"/>
        <v>2.0950000000000002</v>
      </c>
      <c r="AC140">
        <f t="shared" si="52"/>
        <v>0.47899999999999998</v>
      </c>
      <c r="AD140">
        <f t="shared" si="54"/>
        <v>1.5260000000000002</v>
      </c>
      <c r="AF140">
        <f t="shared" si="53"/>
        <v>0.10475000000000001</v>
      </c>
    </row>
    <row r="141" spans="1:32">
      <c r="A141" s="6" t="s">
        <v>578</v>
      </c>
      <c r="B141" s="6" t="s">
        <v>198</v>
      </c>
      <c r="C141" t="s">
        <v>12</v>
      </c>
      <c r="D141" s="6">
        <v>3</v>
      </c>
      <c r="E141">
        <v>5</v>
      </c>
      <c r="F141" t="s">
        <v>712</v>
      </c>
      <c r="G141" s="54" t="s">
        <v>469</v>
      </c>
      <c r="H141" s="54" t="s">
        <v>469</v>
      </c>
      <c r="I141" s="54" t="s">
        <v>469</v>
      </c>
      <c r="J141" s="54" t="s">
        <v>469</v>
      </c>
      <c r="K141" s="54" t="s">
        <v>469</v>
      </c>
      <c r="L141" s="54" t="s">
        <v>469</v>
      </c>
      <c r="M141" s="54" t="s">
        <v>469</v>
      </c>
      <c r="N141" s="54" t="s">
        <v>469</v>
      </c>
      <c r="O141" s="104" t="e">
        <f t="shared" si="45"/>
        <v>#VALUE!</v>
      </c>
      <c r="P141" s="104" t="e">
        <f t="shared" si="46"/>
        <v>#VALUE!</v>
      </c>
      <c r="Q141" s="104" t="e">
        <f t="shared" si="47"/>
        <v>#VALUE!</v>
      </c>
      <c r="R141" s="104" t="e">
        <f t="shared" si="48"/>
        <v>#VALUE!</v>
      </c>
      <c r="S141" s="104" t="e">
        <f t="shared" si="49"/>
        <v>#VALUE!</v>
      </c>
      <c r="T141" s="104" t="e">
        <f t="shared" si="50"/>
        <v>#VALUE!</v>
      </c>
      <c r="V141" t="e">
        <f>K141/'Soil samples'!AK124*1000</f>
        <v>#VALUE!</v>
      </c>
      <c r="W141" t="e">
        <f>L141/'Soil samples'!AK124*1000</f>
        <v>#VALUE!</v>
      </c>
      <c r="X141" s="3" t="e">
        <f>M141/'Soil samples'!AK124*1000</f>
        <v>#VALUE!</v>
      </c>
      <c r="Y141" s="31" t="s">
        <v>469</v>
      </c>
      <c r="Z141" s="104" t="s">
        <v>469</v>
      </c>
      <c r="AA141" s="104" t="s">
        <v>469</v>
      </c>
      <c r="AB141" s="104" t="s">
        <v>469</v>
      </c>
      <c r="AC141" s="104" t="s">
        <v>469</v>
      </c>
      <c r="AD141" s="104" t="s">
        <v>469</v>
      </c>
      <c r="AF141" t="s">
        <v>469</v>
      </c>
    </row>
    <row r="142" spans="1:32">
      <c r="A142" s="6" t="s">
        <v>128</v>
      </c>
      <c r="B142" s="6" t="s">
        <v>198</v>
      </c>
      <c r="C142" t="s">
        <v>12</v>
      </c>
      <c r="D142" s="8">
        <v>4</v>
      </c>
      <c r="E142">
        <v>5</v>
      </c>
      <c r="F142" t="s">
        <v>376</v>
      </c>
      <c r="G142" s="54">
        <v>2.8988</v>
      </c>
      <c r="H142" s="55">
        <v>0.2152</v>
      </c>
      <c r="I142" s="55">
        <v>0.4481</v>
      </c>
      <c r="J142" s="25">
        <v>42821</v>
      </c>
      <c r="K142" s="54">
        <v>0.4773</v>
      </c>
      <c r="L142" s="55">
        <v>3.8800000000000001E-2</v>
      </c>
      <c r="M142" s="55">
        <v>0.14779999999999999</v>
      </c>
      <c r="N142" s="25">
        <v>42823</v>
      </c>
      <c r="O142" s="104">
        <f t="shared" si="45"/>
        <v>2.4215</v>
      </c>
      <c r="P142" s="104">
        <f t="shared" si="46"/>
        <v>0.1764</v>
      </c>
      <c r="Q142" s="104">
        <f t="shared" si="47"/>
        <v>0.30030000000000001</v>
      </c>
      <c r="R142" s="104">
        <f t="shared" si="48"/>
        <v>507.33291430965846</v>
      </c>
      <c r="S142" s="104">
        <f t="shared" si="49"/>
        <v>454.63917525773195</v>
      </c>
      <c r="T142" s="104">
        <f t="shared" si="50"/>
        <v>203.17997293640056</v>
      </c>
      <c r="V142">
        <f>K142/'Soil samples'!AK125*1000</f>
        <v>80.36381074168807</v>
      </c>
      <c r="W142">
        <f>L142/'Soil samples'!AK125*1000</f>
        <v>6.5328218243819336</v>
      </c>
      <c r="X142" s="3">
        <f>M142/'Soil samples'!AK125*1000</f>
        <v>24.885336743393037</v>
      </c>
      <c r="Y142" s="31">
        <f t="shared" si="43"/>
        <v>0.5161</v>
      </c>
      <c r="Z142" s="104">
        <f t="shared" si="44"/>
        <v>0.66389999999999993</v>
      </c>
      <c r="AA142">
        <f t="shared" si="51"/>
        <v>5.1609999999999996</v>
      </c>
      <c r="AB142">
        <f t="shared" si="51"/>
        <v>6.6389999999999993</v>
      </c>
      <c r="AC142">
        <f t="shared" si="52"/>
        <v>1.4779999999999998</v>
      </c>
      <c r="AD142">
        <f t="shared" si="54"/>
        <v>4.7729999999999997</v>
      </c>
      <c r="AF142">
        <f t="shared" si="53"/>
        <v>0.33194999999999997</v>
      </c>
    </row>
    <row r="143" spans="1:32">
      <c r="A143" s="6" t="s">
        <v>129</v>
      </c>
      <c r="B143" s="6" t="s">
        <v>198</v>
      </c>
      <c r="C143" t="s">
        <v>12</v>
      </c>
      <c r="D143" s="8">
        <v>4</v>
      </c>
      <c r="E143">
        <v>10</v>
      </c>
      <c r="G143" s="54">
        <v>1.2329000000000001</v>
      </c>
      <c r="H143" s="55" t="s">
        <v>469</v>
      </c>
      <c r="I143" s="55">
        <v>0.128</v>
      </c>
      <c r="J143" s="25">
        <v>42821</v>
      </c>
      <c r="K143" s="54">
        <v>0.20019999999999999</v>
      </c>
      <c r="L143" s="55">
        <v>0</v>
      </c>
      <c r="M143" s="55">
        <v>3.9800000000000002E-2</v>
      </c>
      <c r="N143" s="25">
        <v>42823</v>
      </c>
      <c r="O143" s="104">
        <f t="shared" si="45"/>
        <v>1.0327000000000002</v>
      </c>
      <c r="P143" s="104" t="e">
        <f t="shared" si="46"/>
        <v>#VALUE!</v>
      </c>
      <c r="Q143" s="104">
        <f t="shared" si="47"/>
        <v>8.8200000000000001E-2</v>
      </c>
      <c r="R143" s="104">
        <f t="shared" si="48"/>
        <v>515.8341658341659</v>
      </c>
      <c r="S143" s="104">
        <f t="shared" si="49"/>
        <v>0</v>
      </c>
      <c r="T143" s="104">
        <f t="shared" si="50"/>
        <v>221.608040201005</v>
      </c>
      <c r="V143">
        <f>K143/'Soil samples'!AK126*1000</f>
        <v>7.5828836574952563</v>
      </c>
      <c r="W143">
        <f>L143/'Soil samples'!AK126*1000</f>
        <v>0</v>
      </c>
      <c r="X143" s="3">
        <f>M143/'Soil samples'!AK126*1000</f>
        <v>1.507486361480076</v>
      </c>
      <c r="Y143" s="31">
        <f t="shared" si="43"/>
        <v>0.20019999999999999</v>
      </c>
      <c r="Z143" s="104">
        <f t="shared" si="44"/>
        <v>0.24</v>
      </c>
      <c r="AA143">
        <f t="shared" si="51"/>
        <v>2.0019999999999998</v>
      </c>
      <c r="AB143">
        <f t="shared" si="51"/>
        <v>2.4</v>
      </c>
      <c r="AC143">
        <f t="shared" si="52"/>
        <v>0.39800000000000002</v>
      </c>
      <c r="AD143">
        <f t="shared" si="54"/>
        <v>2.0019999999999998</v>
      </c>
      <c r="AF143">
        <f t="shared" si="53"/>
        <v>0.12</v>
      </c>
    </row>
    <row r="144" spans="1:32">
      <c r="A144" s="6" t="s">
        <v>130</v>
      </c>
      <c r="B144" s="6" t="s">
        <v>198</v>
      </c>
      <c r="C144" t="s">
        <v>12</v>
      </c>
      <c r="D144" s="8">
        <v>4</v>
      </c>
      <c r="E144">
        <v>20</v>
      </c>
      <c r="G144" s="54">
        <v>0.87470000000000003</v>
      </c>
      <c r="H144" s="55">
        <v>9.6100000000000005E-2</v>
      </c>
      <c r="I144" s="55">
        <v>0.71840000000000004</v>
      </c>
      <c r="J144" s="25">
        <v>42821</v>
      </c>
      <c r="K144" s="54">
        <v>0.13780000000000001</v>
      </c>
      <c r="L144" s="55">
        <v>1.9800000000000002E-2</v>
      </c>
      <c r="M144" s="55">
        <v>0.27039999999999997</v>
      </c>
      <c r="N144" s="25">
        <v>42823</v>
      </c>
      <c r="O144" s="104">
        <f t="shared" si="45"/>
        <v>0.7369</v>
      </c>
      <c r="P144" s="104">
        <f t="shared" si="46"/>
        <v>7.6300000000000007E-2</v>
      </c>
      <c r="Q144" s="104">
        <f t="shared" si="47"/>
        <v>0.44800000000000006</v>
      </c>
      <c r="R144" s="104">
        <f t="shared" si="48"/>
        <v>534.76052249637155</v>
      </c>
      <c r="S144" s="104">
        <f t="shared" si="49"/>
        <v>385.35353535353534</v>
      </c>
      <c r="T144" s="104">
        <f t="shared" si="50"/>
        <v>165.68047337278111</v>
      </c>
      <c r="V144">
        <f>K144/'Soil samples'!AK127*1000</f>
        <v>3.4508891136755135</v>
      </c>
      <c r="W144">
        <f>L144/'Soil samples'!AK127*1000</f>
        <v>0.49584618614495773</v>
      </c>
      <c r="X144" s="3">
        <f>M144/'Soil samples'!AK127*1000</f>
        <v>6.7715559966462893</v>
      </c>
      <c r="Y144" s="31">
        <f t="shared" si="43"/>
        <v>0.15760000000000002</v>
      </c>
      <c r="Z144" s="104">
        <f t="shared" si="44"/>
        <v>0.42799999999999999</v>
      </c>
      <c r="AA144">
        <f t="shared" si="51"/>
        <v>1.5760000000000003</v>
      </c>
      <c r="AB144">
        <f t="shared" si="51"/>
        <v>4.28</v>
      </c>
      <c r="AC144">
        <f t="shared" si="52"/>
        <v>2.7039999999999997</v>
      </c>
      <c r="AD144">
        <f t="shared" si="54"/>
        <v>1.3779999999999999</v>
      </c>
      <c r="AF144">
        <f t="shared" si="53"/>
        <v>0.21400000000000002</v>
      </c>
    </row>
    <row r="145" spans="1:32">
      <c r="A145" s="6" t="s">
        <v>131</v>
      </c>
      <c r="B145" s="6" t="s">
        <v>198</v>
      </c>
      <c r="C145" t="s">
        <v>12</v>
      </c>
      <c r="D145" s="8">
        <v>4</v>
      </c>
      <c r="E145">
        <v>30</v>
      </c>
      <c r="G145" s="54">
        <v>0.17860000000000001</v>
      </c>
      <c r="H145" s="55" t="s">
        <v>469</v>
      </c>
      <c r="I145" s="55">
        <v>0.47620000000000001</v>
      </c>
      <c r="J145" s="25">
        <v>42821</v>
      </c>
      <c r="K145" s="54">
        <v>0.40200000000000002</v>
      </c>
      <c r="L145" s="55">
        <v>0</v>
      </c>
      <c r="M145" s="55">
        <v>0.18720000000000001</v>
      </c>
      <c r="N145" s="25">
        <v>42823</v>
      </c>
      <c r="O145" s="104">
        <f t="shared" si="45"/>
        <v>-0.22340000000000002</v>
      </c>
      <c r="P145" s="104" t="e">
        <f t="shared" si="46"/>
        <v>#VALUE!</v>
      </c>
      <c r="Q145" s="104">
        <f t="shared" si="47"/>
        <v>0.28900000000000003</v>
      </c>
      <c r="R145" s="104">
        <f t="shared" si="48"/>
        <v>-55.572139303482594</v>
      </c>
      <c r="S145" s="104">
        <f t="shared" si="49"/>
        <v>0</v>
      </c>
      <c r="T145" s="104">
        <f t="shared" si="50"/>
        <v>154.38034188034189</v>
      </c>
      <c r="V145">
        <f>K145/'Soil samples'!AK128*1000</f>
        <v>8.4657681191219627</v>
      </c>
      <c r="W145">
        <f>L145/'Soil samples'!AK128*1000</f>
        <v>0</v>
      </c>
      <c r="X145" s="3">
        <f>M145/'Soil samples'!AK128*1000</f>
        <v>3.9422681390538088</v>
      </c>
      <c r="Y145" s="31">
        <f t="shared" si="43"/>
        <v>0.40200000000000002</v>
      </c>
      <c r="Z145" s="104">
        <f t="shared" si="44"/>
        <v>0.58920000000000006</v>
      </c>
      <c r="AA145">
        <f t="shared" si="51"/>
        <v>4.0200000000000005</v>
      </c>
      <c r="AB145">
        <f t="shared" si="51"/>
        <v>5.8920000000000012</v>
      </c>
      <c r="AC145">
        <f t="shared" si="52"/>
        <v>1.8720000000000001</v>
      </c>
      <c r="AD145">
        <f t="shared" si="54"/>
        <v>4.0200000000000005</v>
      </c>
      <c r="AF145">
        <f t="shared" si="53"/>
        <v>0.29460000000000008</v>
      </c>
    </row>
    <row r="146" spans="1:32">
      <c r="A146" s="6" t="s">
        <v>132</v>
      </c>
      <c r="B146" s="6" t="s">
        <v>198</v>
      </c>
      <c r="C146" t="s">
        <v>12</v>
      </c>
      <c r="D146" s="8">
        <v>5</v>
      </c>
      <c r="E146">
        <v>5</v>
      </c>
      <c r="G146" s="54">
        <v>4.4116</v>
      </c>
      <c r="H146" s="55">
        <v>0.24179999999999999</v>
      </c>
      <c r="I146" s="55">
        <v>0.31640000000000001</v>
      </c>
      <c r="J146" s="25">
        <v>42767</v>
      </c>
      <c r="K146" s="54">
        <v>0.65910000000000002</v>
      </c>
      <c r="L146" s="100">
        <v>6.3799999999999996E-2</v>
      </c>
      <c r="M146" s="55">
        <v>0.12130000000000001</v>
      </c>
      <c r="N146" s="25">
        <v>42770</v>
      </c>
      <c r="O146" s="104">
        <f t="shared" si="45"/>
        <v>3.7524999999999999</v>
      </c>
      <c r="P146" s="104">
        <f t="shared" si="46"/>
        <v>0.17799999999999999</v>
      </c>
      <c r="Q146" s="104">
        <f t="shared" si="47"/>
        <v>0.1951</v>
      </c>
      <c r="R146" s="104">
        <f t="shared" si="48"/>
        <v>569.33697466241847</v>
      </c>
      <c r="S146" s="104">
        <f t="shared" si="49"/>
        <v>278.99686520376179</v>
      </c>
      <c r="T146" s="104">
        <f t="shared" si="50"/>
        <v>160.84089035449298</v>
      </c>
      <c r="V146">
        <f>K146/'Soil samples'!AK129*1000</f>
        <v>154.18281252089182</v>
      </c>
      <c r="W146">
        <f>L146/'Soil samples'!AK129*1000</f>
        <v>14.924690394223783</v>
      </c>
      <c r="X146" s="3">
        <f>M146/'Soil samples'!AK129*1000</f>
        <v>28.375626094347105</v>
      </c>
      <c r="Y146" s="31">
        <f t="shared" si="43"/>
        <v>0.72289999999999999</v>
      </c>
      <c r="Z146" s="104">
        <f t="shared" si="44"/>
        <v>0.84419999999999995</v>
      </c>
      <c r="AA146">
        <f t="shared" si="51"/>
        <v>7.2290000000000001</v>
      </c>
      <c r="AB146">
        <f t="shared" si="51"/>
        <v>8.4420000000000002</v>
      </c>
      <c r="AC146">
        <f t="shared" si="52"/>
        <v>1.2130000000000001</v>
      </c>
      <c r="AD146">
        <f t="shared" si="54"/>
        <v>6.5910000000000002</v>
      </c>
      <c r="AF146">
        <f t="shared" si="53"/>
        <v>0.42210000000000003</v>
      </c>
    </row>
    <row r="147" spans="1:32">
      <c r="A147" s="6" t="s">
        <v>133</v>
      </c>
      <c r="B147" s="6" t="s">
        <v>198</v>
      </c>
      <c r="C147" t="s">
        <v>12</v>
      </c>
      <c r="D147" s="8">
        <v>5</v>
      </c>
      <c r="E147">
        <v>10</v>
      </c>
      <c r="G147" s="54">
        <v>2.0118</v>
      </c>
      <c r="H147" s="55">
        <v>7.4099999999999999E-2</v>
      </c>
      <c r="I147" s="55" t="s">
        <v>469</v>
      </c>
      <c r="J147" s="25">
        <v>42767</v>
      </c>
      <c r="K147" s="54">
        <v>0.33210000000000001</v>
      </c>
      <c r="L147" s="100">
        <v>1.61E-2</v>
      </c>
      <c r="M147" s="55">
        <v>0</v>
      </c>
      <c r="N147" s="25">
        <v>42770</v>
      </c>
      <c r="O147" s="104">
        <f t="shared" si="45"/>
        <v>1.6797</v>
      </c>
      <c r="P147" s="104">
        <f t="shared" si="46"/>
        <v>5.7999999999999996E-2</v>
      </c>
      <c r="Q147" s="104" t="e">
        <f t="shared" si="47"/>
        <v>#VALUE!</v>
      </c>
      <c r="R147" s="104">
        <f t="shared" si="48"/>
        <v>505.78139114724479</v>
      </c>
      <c r="S147" s="104">
        <f t="shared" si="49"/>
        <v>360.2484472049689</v>
      </c>
      <c r="T147" s="104">
        <f t="shared" si="50"/>
        <v>0</v>
      </c>
      <c r="V147">
        <f>K147/'Soil samples'!AK130*1000</f>
        <v>8.9878816915801814</v>
      </c>
      <c r="W147">
        <f>L147/'Soil samples'!AK130*1000</f>
        <v>0.43572687514134578</v>
      </c>
      <c r="X147" s="3">
        <f>M147/'Soil samples'!AK130*1000</f>
        <v>0</v>
      </c>
      <c r="Y147" s="31">
        <f t="shared" si="43"/>
        <v>0.34820000000000001</v>
      </c>
      <c r="Z147" s="104">
        <f t="shared" si="44"/>
        <v>0.34820000000000001</v>
      </c>
      <c r="AA147">
        <f t="shared" si="51"/>
        <v>3.4820000000000002</v>
      </c>
      <c r="AB147">
        <f t="shared" si="51"/>
        <v>3.4820000000000002</v>
      </c>
      <c r="AC147">
        <f t="shared" si="52"/>
        <v>0</v>
      </c>
      <c r="AD147">
        <f t="shared" si="54"/>
        <v>3.3210000000000002</v>
      </c>
      <c r="AF147">
        <f t="shared" si="53"/>
        <v>0.17410000000000003</v>
      </c>
    </row>
    <row r="148" spans="1:32">
      <c r="A148" s="6" t="s">
        <v>134</v>
      </c>
      <c r="B148" s="6" t="s">
        <v>198</v>
      </c>
      <c r="C148" t="s">
        <v>12</v>
      </c>
      <c r="D148" s="8">
        <v>5</v>
      </c>
      <c r="E148">
        <v>20</v>
      </c>
      <c r="G148" s="54">
        <v>2.4796999999999998</v>
      </c>
      <c r="H148" s="55">
        <v>9.2799999999999994E-2</v>
      </c>
      <c r="I148" s="55" t="s">
        <v>469</v>
      </c>
      <c r="J148" s="25">
        <v>42767</v>
      </c>
      <c r="K148" s="54">
        <v>0.36120000000000002</v>
      </c>
      <c r="L148" s="100">
        <v>2.81E-2</v>
      </c>
      <c r="M148" s="55">
        <v>0</v>
      </c>
      <c r="N148" s="25">
        <v>42770</v>
      </c>
      <c r="O148" s="104">
        <f t="shared" si="45"/>
        <v>2.1184999999999996</v>
      </c>
      <c r="P148" s="104">
        <f t="shared" si="46"/>
        <v>6.4699999999999994E-2</v>
      </c>
      <c r="Q148" s="104" t="e">
        <f t="shared" si="47"/>
        <v>#VALUE!</v>
      </c>
      <c r="R148" s="104">
        <f t="shared" si="48"/>
        <v>586.51716500553698</v>
      </c>
      <c r="S148" s="104">
        <f t="shared" si="49"/>
        <v>230.24911032028464</v>
      </c>
      <c r="T148" s="104">
        <f t="shared" si="50"/>
        <v>0</v>
      </c>
      <c r="V148">
        <f>K148/'Soil samples'!AK131*1000</f>
        <v>7.6984352727404159</v>
      </c>
      <c r="W148">
        <f>L148/'Soil samples'!AK131*1000</f>
        <v>0.59890927786269565</v>
      </c>
      <c r="X148" s="3">
        <f>M148/'Soil samples'!AK131*1000</f>
        <v>0</v>
      </c>
      <c r="Y148" s="31">
        <f t="shared" si="43"/>
        <v>0.38930000000000003</v>
      </c>
      <c r="Z148" s="104">
        <f t="shared" si="44"/>
        <v>0.38930000000000003</v>
      </c>
      <c r="AA148">
        <f t="shared" si="51"/>
        <v>3.8930000000000002</v>
      </c>
      <c r="AB148">
        <f t="shared" si="51"/>
        <v>3.8930000000000002</v>
      </c>
      <c r="AC148">
        <f t="shared" si="52"/>
        <v>0</v>
      </c>
      <c r="AD148">
        <f t="shared" si="54"/>
        <v>3.6120000000000001</v>
      </c>
      <c r="AF148">
        <f t="shared" si="53"/>
        <v>0.19465000000000002</v>
      </c>
    </row>
    <row r="149" spans="1:32">
      <c r="A149" s="6" t="s">
        <v>135</v>
      </c>
      <c r="B149" s="6" t="s">
        <v>198</v>
      </c>
      <c r="C149" t="s">
        <v>12</v>
      </c>
      <c r="D149" s="8">
        <v>6</v>
      </c>
      <c r="E149">
        <v>5</v>
      </c>
      <c r="F149" t="s">
        <v>376</v>
      </c>
      <c r="G149" s="54">
        <v>6.3297999999999996</v>
      </c>
      <c r="H149" s="55">
        <v>4.4499999999999998E-2</v>
      </c>
      <c r="I149" s="55">
        <v>0.52669999999999995</v>
      </c>
      <c r="J149" s="25">
        <v>42755</v>
      </c>
      <c r="K149" s="54">
        <v>1.2343</v>
      </c>
      <c r="L149" s="100">
        <v>1.21E-2</v>
      </c>
      <c r="M149" s="55">
        <v>0.1676</v>
      </c>
      <c r="O149" s="104">
        <f t="shared" si="45"/>
        <v>5.0954999999999995</v>
      </c>
      <c r="P149" s="104">
        <f t="shared" si="46"/>
        <v>3.2399999999999998E-2</v>
      </c>
      <c r="Q149" s="104">
        <f t="shared" si="47"/>
        <v>0.35909999999999997</v>
      </c>
      <c r="R149" s="104">
        <f t="shared" si="48"/>
        <v>412.8250830430203</v>
      </c>
      <c r="S149" s="104">
        <f t="shared" si="49"/>
        <v>267.76859504132233</v>
      </c>
      <c r="T149" s="104">
        <f t="shared" si="50"/>
        <v>214.26014319809065</v>
      </c>
      <c r="V149" t="e">
        <f>K149/'Soil samples'!AK132*1000</f>
        <v>#VALUE!</v>
      </c>
      <c r="W149" t="e">
        <f>L149/'Soil samples'!AK132*1000</f>
        <v>#VALUE!</v>
      </c>
      <c r="X149" s="3" t="e">
        <f>M149/'Soil samples'!AK132*1000</f>
        <v>#VALUE!</v>
      </c>
      <c r="Y149" s="31">
        <f t="shared" si="43"/>
        <v>1.2464</v>
      </c>
      <c r="Z149" s="104">
        <f t="shared" si="44"/>
        <v>1.4139999999999999</v>
      </c>
      <c r="AA149">
        <f t="shared" si="51"/>
        <v>12.464</v>
      </c>
      <c r="AB149">
        <f t="shared" si="51"/>
        <v>14.14</v>
      </c>
      <c r="AC149">
        <f t="shared" si="52"/>
        <v>1.6759999999999999</v>
      </c>
      <c r="AD149">
        <f t="shared" si="54"/>
        <v>12.343</v>
      </c>
      <c r="AF149">
        <f t="shared" si="53"/>
        <v>0.70700000000000007</v>
      </c>
    </row>
    <row r="150" spans="1:32">
      <c r="A150" s="6" t="s">
        <v>136</v>
      </c>
      <c r="B150" s="6" t="s">
        <v>198</v>
      </c>
      <c r="C150" t="s">
        <v>12</v>
      </c>
      <c r="D150" s="8">
        <v>6</v>
      </c>
      <c r="E150">
        <v>10</v>
      </c>
      <c r="G150" s="54">
        <v>0.76039999999999996</v>
      </c>
      <c r="H150" s="55">
        <v>1.9699999999999999E-2</v>
      </c>
      <c r="I150" s="55" t="s">
        <v>469</v>
      </c>
      <c r="J150" s="25">
        <v>42755</v>
      </c>
      <c r="K150" s="54">
        <v>0.16089999999999999</v>
      </c>
      <c r="L150" s="100">
        <v>0.186</v>
      </c>
      <c r="M150" s="55">
        <v>0</v>
      </c>
      <c r="O150" s="104">
        <f t="shared" si="45"/>
        <v>0.59949999999999992</v>
      </c>
      <c r="P150" s="104">
        <f t="shared" si="46"/>
        <v>-0.1663</v>
      </c>
      <c r="Q150" s="104" t="e">
        <f t="shared" si="47"/>
        <v>#VALUE!</v>
      </c>
      <c r="R150" s="104">
        <f t="shared" si="48"/>
        <v>372.59167184586698</v>
      </c>
      <c r="S150" s="104">
        <f t="shared" si="49"/>
        <v>-89.408602150537646</v>
      </c>
      <c r="T150" s="104">
        <f t="shared" si="50"/>
        <v>0</v>
      </c>
      <c r="V150">
        <f>K150/'Soil samples'!AK133*1000</f>
        <v>5.3354790926754312</v>
      </c>
      <c r="W150">
        <f>L150/'Soil samples'!AK133*1000</f>
        <v>6.1678005670455587</v>
      </c>
      <c r="X150" s="3">
        <f>M150/'Soil samples'!AK133*1000</f>
        <v>0</v>
      </c>
      <c r="Y150" s="31">
        <f t="shared" si="43"/>
        <v>0.34689999999999999</v>
      </c>
      <c r="Z150" s="104">
        <f t="shared" si="44"/>
        <v>0.34689999999999999</v>
      </c>
      <c r="AA150">
        <f t="shared" si="51"/>
        <v>3.4689999999999999</v>
      </c>
      <c r="AB150">
        <f t="shared" si="51"/>
        <v>3.4689999999999999</v>
      </c>
      <c r="AC150">
        <f t="shared" si="52"/>
        <v>0</v>
      </c>
      <c r="AD150">
        <f t="shared" si="54"/>
        <v>1.6089999999999998</v>
      </c>
      <c r="AF150">
        <f t="shared" si="53"/>
        <v>0.17344999999999999</v>
      </c>
    </row>
    <row r="151" spans="1:32">
      <c r="A151" s="6" t="s">
        <v>137</v>
      </c>
      <c r="B151" s="6" t="s">
        <v>198</v>
      </c>
      <c r="C151" t="s">
        <v>12</v>
      </c>
      <c r="D151" s="8">
        <v>6</v>
      </c>
      <c r="E151">
        <v>20</v>
      </c>
      <c r="G151" s="54">
        <v>0.68669999999999998</v>
      </c>
      <c r="H151" s="55">
        <v>3.6999999999999998E-2</v>
      </c>
      <c r="I151" s="55" t="s">
        <v>469</v>
      </c>
      <c r="J151" s="25">
        <v>42755</v>
      </c>
      <c r="K151" s="54">
        <v>0.14219999999999999</v>
      </c>
      <c r="L151" s="100">
        <v>1.1599999999999999E-2</v>
      </c>
      <c r="M151" s="55">
        <v>0</v>
      </c>
      <c r="O151" s="104">
        <f t="shared" si="45"/>
        <v>0.54449999999999998</v>
      </c>
      <c r="P151" s="104">
        <f t="shared" si="46"/>
        <v>2.5399999999999999E-2</v>
      </c>
      <c r="Q151" s="104" t="e">
        <f t="shared" si="47"/>
        <v>#VALUE!</v>
      </c>
      <c r="R151" s="104">
        <f t="shared" si="48"/>
        <v>382.91139240506328</v>
      </c>
      <c r="S151" s="104">
        <f t="shared" si="49"/>
        <v>218.9655172413793</v>
      </c>
      <c r="T151" s="104">
        <f t="shared" si="50"/>
        <v>0</v>
      </c>
      <c r="V151">
        <f>K151/'Soil samples'!AK134*1000</f>
        <v>4.0658169955677854</v>
      </c>
      <c r="W151">
        <f>L151/'Soil samples'!AK134*1000</f>
        <v>0.33167002214195712</v>
      </c>
      <c r="X151" s="3">
        <f>M151/'Soil samples'!AK134*1000</f>
        <v>0</v>
      </c>
      <c r="Y151" s="31">
        <f t="shared" si="43"/>
        <v>0.15379999999999999</v>
      </c>
      <c r="Z151" s="104">
        <f t="shared" si="44"/>
        <v>0.15379999999999999</v>
      </c>
      <c r="AA151">
        <f t="shared" si="51"/>
        <v>1.538</v>
      </c>
      <c r="AB151">
        <f t="shared" si="51"/>
        <v>1.538</v>
      </c>
      <c r="AC151">
        <f t="shared" si="52"/>
        <v>0</v>
      </c>
      <c r="AD151">
        <f t="shared" si="54"/>
        <v>1.4219999999999999</v>
      </c>
      <c r="AF151">
        <f t="shared" si="53"/>
        <v>7.690000000000001E-2</v>
      </c>
    </row>
    <row r="152" spans="1:32">
      <c r="A152" s="6" t="s">
        <v>138</v>
      </c>
      <c r="B152" s="6" t="s">
        <v>198</v>
      </c>
      <c r="C152" t="s">
        <v>12</v>
      </c>
      <c r="D152" s="8">
        <v>6</v>
      </c>
      <c r="E152">
        <v>30</v>
      </c>
      <c r="G152" s="54">
        <v>0.36270000000000002</v>
      </c>
      <c r="H152" s="100">
        <v>3.8699999999999998E-2</v>
      </c>
      <c r="I152" s="55" t="s">
        <v>469</v>
      </c>
      <c r="J152" s="25">
        <v>42755</v>
      </c>
      <c r="K152" s="54">
        <v>7.1499999999999994E-2</v>
      </c>
      <c r="L152" s="100">
        <v>1.09E-2</v>
      </c>
      <c r="M152" s="55">
        <v>0</v>
      </c>
      <c r="O152" s="104">
        <f t="shared" si="45"/>
        <v>0.29120000000000001</v>
      </c>
      <c r="P152" s="104">
        <f t="shared" si="46"/>
        <v>2.7799999999999998E-2</v>
      </c>
      <c r="Q152" s="104" t="e">
        <f t="shared" si="47"/>
        <v>#VALUE!</v>
      </c>
      <c r="R152" s="104">
        <f t="shared" si="48"/>
        <v>407.27272727272731</v>
      </c>
      <c r="S152" s="104">
        <f t="shared" si="49"/>
        <v>255.04587155963301</v>
      </c>
      <c r="T152" s="104">
        <f t="shared" si="50"/>
        <v>0</v>
      </c>
      <c r="V152">
        <f>K152/'Soil samples'!AK135*1000</f>
        <v>1.8153090959065108</v>
      </c>
      <c r="W152">
        <f>L152/'Soil samples'!AK135*1000</f>
        <v>0.27673942860672684</v>
      </c>
      <c r="X152" s="3">
        <f>M152/'Soil samples'!AK135*1000</f>
        <v>0</v>
      </c>
      <c r="Y152" s="31">
        <f t="shared" si="43"/>
        <v>8.2400000000000001E-2</v>
      </c>
      <c r="Z152" s="104">
        <f t="shared" si="44"/>
        <v>8.2400000000000001E-2</v>
      </c>
      <c r="AA152">
        <f t="shared" si="51"/>
        <v>0.82399999999999995</v>
      </c>
      <c r="AB152">
        <f t="shared" si="51"/>
        <v>0.82399999999999995</v>
      </c>
      <c r="AC152">
        <f t="shared" si="52"/>
        <v>0</v>
      </c>
      <c r="AD152">
        <f t="shared" si="54"/>
        <v>0.71499999999999986</v>
      </c>
      <c r="AF152">
        <f t="shared" si="53"/>
        <v>4.1200000000000001E-2</v>
      </c>
    </row>
    <row r="153" spans="1:32">
      <c r="A153" s="6" t="s">
        <v>139</v>
      </c>
      <c r="B153" s="6" t="s">
        <v>198</v>
      </c>
      <c r="C153" t="s">
        <v>13</v>
      </c>
      <c r="D153" s="8">
        <v>1</v>
      </c>
      <c r="E153">
        <v>5</v>
      </c>
      <c r="F153" t="s">
        <v>377</v>
      </c>
      <c r="G153" s="54">
        <v>0.2051</v>
      </c>
      <c r="H153" s="55">
        <v>8.43E-2</v>
      </c>
      <c r="I153" s="55" t="s">
        <v>469</v>
      </c>
      <c r="J153" s="25">
        <v>42822</v>
      </c>
      <c r="K153" s="54">
        <v>9.2299999999999993E-2</v>
      </c>
      <c r="L153" s="55">
        <v>4.5900000000000003E-2</v>
      </c>
      <c r="M153" s="55">
        <v>0</v>
      </c>
      <c r="N153" s="25">
        <v>42825</v>
      </c>
      <c r="O153" s="104">
        <f t="shared" si="45"/>
        <v>0.11280000000000001</v>
      </c>
      <c r="P153" s="104">
        <f t="shared" si="46"/>
        <v>3.8399999999999997E-2</v>
      </c>
      <c r="Q153" s="104" t="e">
        <f t="shared" si="47"/>
        <v>#VALUE!</v>
      </c>
      <c r="R153" s="104">
        <f t="shared" si="48"/>
        <v>122.2101841820152</v>
      </c>
      <c r="S153" s="104">
        <f t="shared" si="49"/>
        <v>83.660130718954235</v>
      </c>
      <c r="T153" s="104">
        <f t="shared" si="50"/>
        <v>0</v>
      </c>
      <c r="V153">
        <f>K153/'Soil samples'!AK136*1000</f>
        <v>13.585085311250285</v>
      </c>
      <c r="W153">
        <f>L153/'Soil samples'!AK136*1000</f>
        <v>6.7557466499066976</v>
      </c>
      <c r="X153" s="3">
        <f>M153/'Soil samples'!AK136*1000</f>
        <v>0</v>
      </c>
      <c r="Y153" s="31">
        <f t="shared" si="43"/>
        <v>0.13819999999999999</v>
      </c>
      <c r="Z153" s="104">
        <f t="shared" si="44"/>
        <v>0.13819999999999999</v>
      </c>
      <c r="AA153">
        <f t="shared" si="51"/>
        <v>1.3819999999999999</v>
      </c>
      <c r="AB153">
        <f t="shared" si="51"/>
        <v>1.3819999999999999</v>
      </c>
      <c r="AC153">
        <f t="shared" si="52"/>
        <v>0</v>
      </c>
      <c r="AD153">
        <f t="shared" si="54"/>
        <v>0.92299999999999993</v>
      </c>
      <c r="AF153">
        <f t="shared" si="53"/>
        <v>6.9099999999999995E-2</v>
      </c>
    </row>
    <row r="154" spans="1:32">
      <c r="A154" s="6" t="s">
        <v>140</v>
      </c>
      <c r="B154" s="6" t="s">
        <v>198</v>
      </c>
      <c r="C154" t="s">
        <v>13</v>
      </c>
      <c r="D154" s="8">
        <v>1</v>
      </c>
      <c r="E154">
        <v>10</v>
      </c>
      <c r="F154" t="s">
        <v>378</v>
      </c>
      <c r="G154" s="54">
        <v>0.1963</v>
      </c>
      <c r="H154" s="55">
        <v>0.42349999999999999</v>
      </c>
      <c r="I154" s="55" t="s">
        <v>469</v>
      </c>
      <c r="J154" s="25">
        <v>42821</v>
      </c>
      <c r="K154" s="54">
        <v>8.6400000000000005E-2</v>
      </c>
      <c r="L154" s="55">
        <v>0.22</v>
      </c>
      <c r="M154" s="55">
        <v>0</v>
      </c>
      <c r="N154" s="25">
        <v>42823</v>
      </c>
      <c r="O154" s="104">
        <f t="shared" si="45"/>
        <v>0.1099</v>
      </c>
      <c r="P154" s="104">
        <f t="shared" si="46"/>
        <v>0.20349999999999999</v>
      </c>
      <c r="Q154" s="104" t="e">
        <f t="shared" si="47"/>
        <v>#VALUE!</v>
      </c>
      <c r="R154" s="104">
        <f t="shared" si="48"/>
        <v>127.19907407407408</v>
      </c>
      <c r="S154" s="104">
        <f t="shared" si="49"/>
        <v>92.5</v>
      </c>
      <c r="T154" s="104">
        <f t="shared" si="50"/>
        <v>0</v>
      </c>
      <c r="V154">
        <f>K154/'Soil samples'!AK137*1000</f>
        <v>4.3311672391929132</v>
      </c>
      <c r="W154">
        <f>L154/'Soil samples'!AK137*1000</f>
        <v>11.02843509979677</v>
      </c>
      <c r="X154" s="3">
        <f>M154/'Soil samples'!AK137*1000</f>
        <v>0</v>
      </c>
      <c r="Y154" s="31">
        <f t="shared" si="43"/>
        <v>0.30640000000000001</v>
      </c>
      <c r="Z154" s="104">
        <f t="shared" si="44"/>
        <v>0.30640000000000001</v>
      </c>
      <c r="AA154">
        <f t="shared" si="51"/>
        <v>3.0640000000000001</v>
      </c>
      <c r="AB154">
        <f t="shared" si="51"/>
        <v>3.0640000000000001</v>
      </c>
      <c r="AC154">
        <f t="shared" si="52"/>
        <v>0</v>
      </c>
      <c r="AD154">
        <f t="shared" si="54"/>
        <v>0.86399999999999999</v>
      </c>
      <c r="AF154">
        <f t="shared" si="53"/>
        <v>0.1532</v>
      </c>
    </row>
    <row r="155" spans="1:32">
      <c r="A155" s="6" t="s">
        <v>141</v>
      </c>
      <c r="B155" s="6" t="s">
        <v>198</v>
      </c>
      <c r="C155" t="s">
        <v>13</v>
      </c>
      <c r="D155" s="8">
        <v>2</v>
      </c>
      <c r="E155">
        <v>5</v>
      </c>
      <c r="F155" s="13" t="s">
        <v>379</v>
      </c>
      <c r="G155" s="54">
        <v>0.1489</v>
      </c>
      <c r="H155" s="100">
        <v>0.20580000000000001</v>
      </c>
      <c r="I155" s="100" t="s">
        <v>469</v>
      </c>
      <c r="J155" s="25">
        <v>42792</v>
      </c>
      <c r="K155" s="54">
        <v>5.16E-2</v>
      </c>
      <c r="L155" s="100">
        <v>9.3100000000000002E-2</v>
      </c>
      <c r="M155" s="55">
        <v>0</v>
      </c>
      <c r="N155" s="25">
        <v>42794</v>
      </c>
      <c r="O155" s="104">
        <f t="shared" si="45"/>
        <v>9.7299999999999998E-2</v>
      </c>
      <c r="P155" s="104">
        <f t="shared" si="46"/>
        <v>0.11270000000000001</v>
      </c>
      <c r="Q155" s="104" t="e">
        <f t="shared" si="47"/>
        <v>#VALUE!</v>
      </c>
      <c r="R155" s="104">
        <f t="shared" si="48"/>
        <v>188.56589147286823</v>
      </c>
      <c r="S155" s="104">
        <f t="shared" si="49"/>
        <v>121.05263157894737</v>
      </c>
      <c r="T155" s="104">
        <f t="shared" si="50"/>
        <v>0</v>
      </c>
      <c r="U155" s="3" t="s">
        <v>688</v>
      </c>
      <c r="V155">
        <f>K155/'Soil samples'!AK138*1000</f>
        <v>5.7206190179130791</v>
      </c>
      <c r="W155">
        <f>L155/'Soil samples'!AK138*1000</f>
        <v>10.321504468366427</v>
      </c>
      <c r="X155" s="3">
        <f>M155/'Soil samples'!AK138*1000</f>
        <v>0</v>
      </c>
      <c r="Y155" s="31">
        <f t="shared" si="43"/>
        <v>0.1447</v>
      </c>
      <c r="Z155" s="104">
        <f t="shared" si="44"/>
        <v>0.1447</v>
      </c>
      <c r="AA155">
        <f t="shared" si="51"/>
        <v>1.4470000000000001</v>
      </c>
      <c r="AB155">
        <f t="shared" si="51"/>
        <v>1.4470000000000001</v>
      </c>
      <c r="AC155">
        <f t="shared" si="52"/>
        <v>0</v>
      </c>
      <c r="AD155">
        <f t="shared" si="54"/>
        <v>0.51600000000000001</v>
      </c>
      <c r="AF155">
        <f t="shared" si="53"/>
        <v>7.2350000000000012E-2</v>
      </c>
    </row>
    <row r="156" spans="1:32">
      <c r="A156" s="6" t="s">
        <v>142</v>
      </c>
      <c r="B156" s="6" t="s">
        <v>198</v>
      </c>
      <c r="C156" t="s">
        <v>13</v>
      </c>
      <c r="D156" s="8">
        <v>2</v>
      </c>
      <c r="E156">
        <v>10</v>
      </c>
      <c r="F156" s="14" t="s">
        <v>380</v>
      </c>
      <c r="G156" s="54">
        <v>0.22309999999999999</v>
      </c>
      <c r="H156" s="55">
        <v>0.36209999999999998</v>
      </c>
      <c r="I156" s="55" t="s">
        <v>469</v>
      </c>
      <c r="J156" s="25">
        <v>42792</v>
      </c>
      <c r="K156" s="54">
        <v>8.9300000000000004E-2</v>
      </c>
      <c r="L156" s="100">
        <v>0.1623</v>
      </c>
      <c r="M156" s="55">
        <v>0</v>
      </c>
      <c r="N156" s="25">
        <v>42794</v>
      </c>
      <c r="O156" s="104">
        <f t="shared" si="45"/>
        <v>0.13379999999999997</v>
      </c>
      <c r="P156" s="104">
        <f t="shared" si="46"/>
        <v>0.19979999999999998</v>
      </c>
      <c r="Q156" s="104" t="e">
        <f t="shared" si="47"/>
        <v>#VALUE!</v>
      </c>
      <c r="R156" s="104">
        <f t="shared" si="48"/>
        <v>149.83202687569985</v>
      </c>
      <c r="S156" s="104">
        <f t="shared" si="49"/>
        <v>123.1053604436229</v>
      </c>
      <c r="T156" s="104">
        <f t="shared" si="50"/>
        <v>0</v>
      </c>
      <c r="V156">
        <f>K156/'Soil samples'!AK139*1000</f>
        <v>7.4569667504678261</v>
      </c>
      <c r="W156">
        <f>L156/'Soil samples'!AK139*1000</f>
        <v>13.55280743114141</v>
      </c>
      <c r="X156" s="3">
        <f>M156/'Soil samples'!AK139*1000</f>
        <v>0</v>
      </c>
      <c r="Y156" s="31">
        <f t="shared" si="43"/>
        <v>0.25159999999999999</v>
      </c>
      <c r="Z156" s="104">
        <f t="shared" si="44"/>
        <v>0.25159999999999999</v>
      </c>
      <c r="AA156">
        <f t="shared" si="51"/>
        <v>2.516</v>
      </c>
      <c r="AB156">
        <f t="shared" si="51"/>
        <v>2.516</v>
      </c>
      <c r="AC156">
        <f t="shared" si="52"/>
        <v>0</v>
      </c>
      <c r="AD156">
        <f t="shared" si="54"/>
        <v>0.89300000000000002</v>
      </c>
      <c r="AF156">
        <f t="shared" si="53"/>
        <v>0.1258</v>
      </c>
    </row>
    <row r="157" spans="1:32">
      <c r="A157" s="6" t="s">
        <v>143</v>
      </c>
      <c r="B157" s="6" t="s">
        <v>198</v>
      </c>
      <c r="C157" t="s">
        <v>13</v>
      </c>
      <c r="D157" s="8">
        <v>2</v>
      </c>
      <c r="E157">
        <v>20</v>
      </c>
      <c r="F157" t="s">
        <v>381</v>
      </c>
      <c r="G157" s="54">
        <v>0.17610000000000001</v>
      </c>
      <c r="H157" s="55">
        <v>0.25159999999999999</v>
      </c>
      <c r="I157" s="55" t="s">
        <v>469</v>
      </c>
      <c r="J157" s="25">
        <v>42790</v>
      </c>
      <c r="K157" s="54">
        <v>7.3899999999999993E-2</v>
      </c>
      <c r="L157" s="100">
        <v>0.1104</v>
      </c>
      <c r="M157" s="55">
        <v>0</v>
      </c>
      <c r="N157" s="25">
        <v>42794</v>
      </c>
      <c r="O157" s="104">
        <f t="shared" si="45"/>
        <v>0.10220000000000001</v>
      </c>
      <c r="P157" s="104">
        <f t="shared" si="46"/>
        <v>0.14119999999999999</v>
      </c>
      <c r="Q157" s="104" t="e">
        <f t="shared" si="47"/>
        <v>#VALUE!</v>
      </c>
      <c r="R157" s="104">
        <f t="shared" si="48"/>
        <v>138.29499323410016</v>
      </c>
      <c r="S157" s="104">
        <f t="shared" si="49"/>
        <v>127.89855072463767</v>
      </c>
      <c r="T157" s="104">
        <f t="shared" si="50"/>
        <v>0</v>
      </c>
      <c r="V157">
        <f>K157/'Soil samples'!AK140*1000</f>
        <v>2.1712958250951191</v>
      </c>
      <c r="W157">
        <f>L157/'Soil samples'!AK140*1000</f>
        <v>3.243722044526403</v>
      </c>
      <c r="X157" s="3">
        <f>M157/'Soil samples'!AK140*1000</f>
        <v>0</v>
      </c>
      <c r="Y157" s="31">
        <f t="shared" si="43"/>
        <v>0.18429999999999999</v>
      </c>
      <c r="Z157" s="104">
        <f t="shared" si="44"/>
        <v>0.18429999999999999</v>
      </c>
      <c r="AA157">
        <f t="shared" si="51"/>
        <v>1.843</v>
      </c>
      <c r="AB157">
        <f t="shared" si="51"/>
        <v>1.843</v>
      </c>
      <c r="AC157">
        <f t="shared" si="52"/>
        <v>0</v>
      </c>
      <c r="AD157">
        <f t="shared" si="54"/>
        <v>0.73899999999999988</v>
      </c>
      <c r="AF157">
        <f t="shared" si="53"/>
        <v>9.215000000000001E-2</v>
      </c>
    </row>
    <row r="158" spans="1:32">
      <c r="A158" s="6" t="s">
        <v>144</v>
      </c>
      <c r="B158" s="6" t="s">
        <v>198</v>
      </c>
      <c r="C158" t="s">
        <v>13</v>
      </c>
      <c r="D158" s="8">
        <v>3</v>
      </c>
      <c r="E158">
        <v>5</v>
      </c>
      <c r="F158" t="s">
        <v>379</v>
      </c>
      <c r="G158" s="54">
        <v>0.64890000000000003</v>
      </c>
      <c r="H158" s="55">
        <v>0.32419999999999999</v>
      </c>
      <c r="I158" s="55" t="s">
        <v>469</v>
      </c>
      <c r="J158" s="25">
        <v>42777</v>
      </c>
      <c r="K158" s="54">
        <v>0.1888</v>
      </c>
      <c r="L158" s="100">
        <v>0.14610000000000001</v>
      </c>
      <c r="M158" s="55">
        <v>0</v>
      </c>
      <c r="N158" s="25">
        <v>42780</v>
      </c>
      <c r="O158" s="104">
        <f t="shared" si="45"/>
        <v>0.46010000000000006</v>
      </c>
      <c r="P158" s="104">
        <f t="shared" si="46"/>
        <v>0.17809999999999998</v>
      </c>
      <c r="Q158" s="104" t="e">
        <f t="shared" si="47"/>
        <v>#VALUE!</v>
      </c>
      <c r="R158" s="104">
        <f t="shared" si="48"/>
        <v>243.69703389830511</v>
      </c>
      <c r="S158" s="104">
        <f t="shared" si="49"/>
        <v>121.90280629705678</v>
      </c>
      <c r="T158" s="104">
        <f t="shared" si="50"/>
        <v>0</v>
      </c>
      <c r="V158">
        <f>K158/'Soil samples'!AK141*1000</f>
        <v>18.280644150368737</v>
      </c>
      <c r="W158">
        <f>L158/'Soil samples'!AK141*1000</f>
        <v>14.146197618479198</v>
      </c>
      <c r="X158" s="3">
        <f>M158/'Soil samples'!AK141*1000</f>
        <v>0</v>
      </c>
      <c r="Y158" s="31">
        <f t="shared" si="43"/>
        <v>0.33489999999999998</v>
      </c>
      <c r="Z158" s="104">
        <f t="shared" si="44"/>
        <v>0.33489999999999998</v>
      </c>
      <c r="AA158">
        <f t="shared" si="51"/>
        <v>3.3489999999999998</v>
      </c>
      <c r="AB158">
        <f t="shared" si="51"/>
        <v>3.3489999999999998</v>
      </c>
      <c r="AC158">
        <f t="shared" si="52"/>
        <v>0</v>
      </c>
      <c r="AD158">
        <f t="shared" si="54"/>
        <v>1.8879999999999999</v>
      </c>
      <c r="AF158">
        <f t="shared" si="53"/>
        <v>0.16744999999999999</v>
      </c>
    </row>
    <row r="159" spans="1:32">
      <c r="A159" s="6" t="s">
        <v>145</v>
      </c>
      <c r="B159" s="6" t="s">
        <v>198</v>
      </c>
      <c r="C159" t="s">
        <v>13</v>
      </c>
      <c r="D159" s="8">
        <v>4</v>
      </c>
      <c r="E159">
        <v>5</v>
      </c>
      <c r="F159" t="s">
        <v>377</v>
      </c>
      <c r="G159" s="54">
        <v>0.92459999999999998</v>
      </c>
      <c r="H159" s="55">
        <v>6.4799999999999996E-2</v>
      </c>
      <c r="I159" s="100" t="s">
        <v>469</v>
      </c>
      <c r="J159" s="25">
        <v>42792</v>
      </c>
      <c r="K159" s="54">
        <v>0.2069</v>
      </c>
      <c r="L159" s="100">
        <v>1.29E-2</v>
      </c>
      <c r="M159" s="55">
        <v>0</v>
      </c>
      <c r="N159" s="25">
        <v>42794</v>
      </c>
      <c r="O159" s="104">
        <f t="shared" si="45"/>
        <v>0.7177</v>
      </c>
      <c r="P159" s="104">
        <f t="shared" si="46"/>
        <v>5.1899999999999995E-2</v>
      </c>
      <c r="Q159" s="104" t="e">
        <f t="shared" si="47"/>
        <v>#VALUE!</v>
      </c>
      <c r="R159" s="104">
        <f t="shared" si="48"/>
        <v>346.8825519574674</v>
      </c>
      <c r="S159" s="104">
        <f t="shared" si="49"/>
        <v>402.32558139534876</v>
      </c>
      <c r="T159" s="104">
        <f t="shared" si="50"/>
        <v>0</v>
      </c>
      <c r="V159">
        <f>K159/'Soil samples'!AK142*1000</f>
        <v>89.915956355662857</v>
      </c>
      <c r="W159">
        <f>L159/'Soil samples'!AK142*1000</f>
        <v>5.6061664426682016</v>
      </c>
      <c r="X159" s="3">
        <f>M159/'Soil samples'!AK142*1000</f>
        <v>0</v>
      </c>
      <c r="Y159" s="31">
        <f t="shared" si="43"/>
        <v>0.2198</v>
      </c>
      <c r="Z159" s="104">
        <f t="shared" si="44"/>
        <v>0.2198</v>
      </c>
      <c r="AA159">
        <f t="shared" si="51"/>
        <v>2.198</v>
      </c>
      <c r="AB159">
        <f t="shared" si="51"/>
        <v>2.198</v>
      </c>
      <c r="AC159">
        <f t="shared" si="52"/>
        <v>0</v>
      </c>
      <c r="AD159">
        <f t="shared" si="54"/>
        <v>2.069</v>
      </c>
      <c r="AF159">
        <f t="shared" si="53"/>
        <v>0.1099</v>
      </c>
    </row>
    <row r="160" spans="1:32">
      <c r="A160" s="6" t="s">
        <v>146</v>
      </c>
      <c r="B160" s="6" t="s">
        <v>198</v>
      </c>
      <c r="C160" t="s">
        <v>13</v>
      </c>
      <c r="D160" s="8">
        <v>4</v>
      </c>
      <c r="E160">
        <v>10</v>
      </c>
      <c r="F160" t="s">
        <v>380</v>
      </c>
      <c r="G160" s="54">
        <v>0.44979999999999998</v>
      </c>
      <c r="H160" s="55">
        <v>0.20630000000000001</v>
      </c>
      <c r="I160" s="100" t="s">
        <v>469</v>
      </c>
      <c r="J160" s="25">
        <v>42791</v>
      </c>
      <c r="K160" s="54">
        <v>0.1241</v>
      </c>
      <c r="L160" s="100">
        <v>9.4399999999999998E-2</v>
      </c>
      <c r="M160" s="55">
        <v>0</v>
      </c>
      <c r="N160" s="25">
        <v>42794</v>
      </c>
      <c r="O160" s="104">
        <f t="shared" si="45"/>
        <v>0.32569999999999999</v>
      </c>
      <c r="P160" s="104">
        <f t="shared" si="46"/>
        <v>0.11190000000000001</v>
      </c>
      <c r="Q160" s="104" t="e">
        <f t="shared" si="47"/>
        <v>#VALUE!</v>
      </c>
      <c r="R160" s="104">
        <f t="shared" si="48"/>
        <v>262.44963738920222</v>
      </c>
      <c r="S160" s="104">
        <f t="shared" si="49"/>
        <v>118.53813559322035</v>
      </c>
      <c r="T160" s="104">
        <f t="shared" si="50"/>
        <v>0</v>
      </c>
      <c r="V160">
        <f>K160/'Soil samples'!AK143*1000</f>
        <v>5.7204472258074324</v>
      </c>
      <c r="W160">
        <f>L160/'Soil samples'!AK143*1000</f>
        <v>4.3514119106867177</v>
      </c>
      <c r="X160" s="3">
        <f>M160/'Soil samples'!AK143*1000</f>
        <v>0</v>
      </c>
      <c r="Y160" s="31">
        <f t="shared" si="43"/>
        <v>0.2185</v>
      </c>
      <c r="Z160" s="104">
        <f t="shared" si="44"/>
        <v>0.2185</v>
      </c>
      <c r="AA160">
        <f t="shared" si="51"/>
        <v>2.1850000000000001</v>
      </c>
      <c r="AB160">
        <f t="shared" si="51"/>
        <v>2.1850000000000001</v>
      </c>
      <c r="AC160">
        <f t="shared" si="52"/>
        <v>0</v>
      </c>
      <c r="AD160">
        <f t="shared" si="54"/>
        <v>1.2410000000000001</v>
      </c>
      <c r="AF160">
        <f t="shared" si="53"/>
        <v>0.10925000000000001</v>
      </c>
    </row>
    <row r="161" spans="1:32">
      <c r="A161" s="6" t="s">
        <v>147</v>
      </c>
      <c r="B161" s="6" t="s">
        <v>198</v>
      </c>
      <c r="C161" t="s">
        <v>13</v>
      </c>
      <c r="D161" s="8">
        <v>5</v>
      </c>
      <c r="E161">
        <v>5</v>
      </c>
      <c r="F161" s="13" t="s">
        <v>379</v>
      </c>
      <c r="G161" s="54">
        <v>0.38250000000000001</v>
      </c>
      <c r="H161" s="55">
        <v>9.5100000000000004E-2</v>
      </c>
      <c r="I161" s="55" t="s">
        <v>469</v>
      </c>
      <c r="J161" s="25">
        <v>42767</v>
      </c>
      <c r="K161" s="54">
        <v>0.1132</v>
      </c>
      <c r="L161" s="100">
        <v>4.87E-2</v>
      </c>
      <c r="M161" s="55">
        <v>0</v>
      </c>
      <c r="N161" s="25">
        <v>42769</v>
      </c>
      <c r="O161" s="104">
        <f t="shared" si="45"/>
        <v>0.26929999999999998</v>
      </c>
      <c r="P161" s="104">
        <f t="shared" si="46"/>
        <v>4.6400000000000004E-2</v>
      </c>
      <c r="Q161" s="104" t="e">
        <f t="shared" si="47"/>
        <v>#VALUE!</v>
      </c>
      <c r="R161" s="104">
        <f t="shared" si="48"/>
        <v>237.89752650176678</v>
      </c>
      <c r="S161" s="104">
        <f t="shared" si="49"/>
        <v>95.277207392197127</v>
      </c>
      <c r="T161" s="104">
        <f t="shared" si="50"/>
        <v>0</v>
      </c>
      <c r="V161">
        <f>K161/'Soil samples'!AK144*1000</f>
        <v>17.23200669367662</v>
      </c>
      <c r="W161">
        <f>L161/'Soil samples'!AK144*1000</f>
        <v>7.4134163072619392</v>
      </c>
      <c r="X161" s="3">
        <f>M161/'Soil samples'!AK144*1000</f>
        <v>0</v>
      </c>
      <c r="Y161" s="31">
        <f t="shared" si="43"/>
        <v>0.16189999999999999</v>
      </c>
      <c r="Z161" s="104">
        <f t="shared" si="44"/>
        <v>0.16189999999999999</v>
      </c>
      <c r="AA161">
        <f t="shared" si="51"/>
        <v>1.6189999999999998</v>
      </c>
      <c r="AB161">
        <f t="shared" si="51"/>
        <v>1.6189999999999998</v>
      </c>
      <c r="AC161">
        <f t="shared" si="52"/>
        <v>0</v>
      </c>
      <c r="AD161">
        <f t="shared" si="54"/>
        <v>1.1319999999999999</v>
      </c>
      <c r="AF161">
        <f t="shared" si="53"/>
        <v>8.0949999999999994E-2</v>
      </c>
    </row>
    <row r="162" spans="1:32">
      <c r="A162" s="6" t="s">
        <v>148</v>
      </c>
      <c r="B162" s="6" t="s">
        <v>198</v>
      </c>
      <c r="C162" t="s">
        <v>13</v>
      </c>
      <c r="D162" s="8">
        <v>5</v>
      </c>
      <c r="E162">
        <v>10</v>
      </c>
      <c r="F162" s="14" t="s">
        <v>380</v>
      </c>
      <c r="G162" s="54">
        <v>0.25609999999999999</v>
      </c>
      <c r="H162" s="55">
        <v>0.12759999999999999</v>
      </c>
      <c r="I162" s="55" t="s">
        <v>469</v>
      </c>
      <c r="J162" s="25">
        <v>42767</v>
      </c>
      <c r="K162" s="54">
        <v>6.3700000000000007E-2</v>
      </c>
      <c r="L162" s="100">
        <v>6.1100000000000002E-2</v>
      </c>
      <c r="M162" s="55">
        <v>0</v>
      </c>
      <c r="N162" s="25">
        <v>42769</v>
      </c>
      <c r="O162" s="104">
        <f t="shared" si="45"/>
        <v>0.19239999999999999</v>
      </c>
      <c r="P162" s="104">
        <f t="shared" si="46"/>
        <v>6.649999999999999E-2</v>
      </c>
      <c r="Q162" s="104" t="e">
        <f t="shared" si="47"/>
        <v>#VALUE!</v>
      </c>
      <c r="R162" s="104">
        <f t="shared" si="48"/>
        <v>302.04081632653055</v>
      </c>
      <c r="S162" s="104">
        <f t="shared" si="49"/>
        <v>108.83797054009818</v>
      </c>
      <c r="T162" s="104">
        <f t="shared" si="50"/>
        <v>0</v>
      </c>
      <c r="V162">
        <f>K162/'Soil samples'!AK145*1000</f>
        <v>8.1356466234919669</v>
      </c>
      <c r="W162">
        <f>L162/'Soil samples'!AK145*1000</f>
        <v>7.8035794143698451</v>
      </c>
      <c r="X162" s="3">
        <f>M162/'Soil samples'!AK145*1000</f>
        <v>0</v>
      </c>
      <c r="Y162" s="31">
        <f t="shared" si="43"/>
        <v>0.12480000000000001</v>
      </c>
      <c r="Z162" s="104">
        <f t="shared" si="44"/>
        <v>0.12480000000000001</v>
      </c>
      <c r="AA162">
        <f t="shared" si="51"/>
        <v>1.248</v>
      </c>
      <c r="AB162">
        <f t="shared" si="51"/>
        <v>1.248</v>
      </c>
      <c r="AC162">
        <f t="shared" si="52"/>
        <v>0</v>
      </c>
      <c r="AD162">
        <f t="shared" si="54"/>
        <v>0.63700000000000012</v>
      </c>
      <c r="AF162">
        <f t="shared" si="53"/>
        <v>6.2400000000000004E-2</v>
      </c>
    </row>
    <row r="163" spans="1:32">
      <c r="A163" s="6" t="s">
        <v>149</v>
      </c>
      <c r="B163" s="6" t="s">
        <v>198</v>
      </c>
      <c r="C163" t="s">
        <v>13</v>
      </c>
      <c r="D163" s="8">
        <v>5</v>
      </c>
      <c r="E163">
        <v>20</v>
      </c>
      <c r="F163" t="s">
        <v>381</v>
      </c>
      <c r="G163" s="54">
        <v>0.1176</v>
      </c>
      <c r="H163" s="55">
        <v>0.123</v>
      </c>
      <c r="I163" s="55" t="s">
        <v>469</v>
      </c>
      <c r="J163" s="25">
        <v>42767</v>
      </c>
      <c r="K163" s="54">
        <v>4.4200000000000003E-2</v>
      </c>
      <c r="L163" s="100">
        <v>4.6100000000000002E-2</v>
      </c>
      <c r="M163" s="55">
        <v>0</v>
      </c>
      <c r="N163" s="25">
        <v>42769</v>
      </c>
      <c r="O163" s="104">
        <f t="shared" si="45"/>
        <v>7.3399999999999993E-2</v>
      </c>
      <c r="P163" s="104">
        <f t="shared" si="46"/>
        <v>7.6899999999999996E-2</v>
      </c>
      <c r="Q163" s="104" t="e">
        <f t="shared" si="47"/>
        <v>#VALUE!</v>
      </c>
      <c r="R163" s="104">
        <f t="shared" si="48"/>
        <v>166.06334841628956</v>
      </c>
      <c r="S163" s="104">
        <f t="shared" si="49"/>
        <v>166.81127982646419</v>
      </c>
      <c r="T163" s="104">
        <f t="shared" si="50"/>
        <v>0</v>
      </c>
      <c r="V163">
        <f>K163/'Soil samples'!AK146*1000</f>
        <v>4.9833306998488771</v>
      </c>
      <c r="W163">
        <f>L163/'Soil samples'!AK146*1000</f>
        <v>5.1975462729193032</v>
      </c>
      <c r="X163" s="3">
        <f>M163/'Soil samples'!AK146*1000</f>
        <v>0</v>
      </c>
      <c r="Y163" s="31">
        <f t="shared" si="43"/>
        <v>9.0300000000000005E-2</v>
      </c>
      <c r="Z163" s="104">
        <f t="shared" si="44"/>
        <v>9.0300000000000005E-2</v>
      </c>
      <c r="AA163">
        <f t="shared" si="51"/>
        <v>0.90300000000000002</v>
      </c>
      <c r="AB163">
        <f t="shared" si="51"/>
        <v>0.90300000000000002</v>
      </c>
      <c r="AC163">
        <f t="shared" si="52"/>
        <v>0</v>
      </c>
      <c r="AD163">
        <f t="shared" si="54"/>
        <v>0.44200000000000006</v>
      </c>
      <c r="AF163">
        <f t="shared" si="53"/>
        <v>4.5150000000000003E-2</v>
      </c>
    </row>
    <row r="164" spans="1:32">
      <c r="A164" s="6" t="s">
        <v>150</v>
      </c>
      <c r="B164" s="6" t="s">
        <v>198</v>
      </c>
      <c r="C164" t="s">
        <v>13</v>
      </c>
      <c r="D164" s="8">
        <v>5</v>
      </c>
      <c r="E164">
        <v>30</v>
      </c>
      <c r="F164" t="s">
        <v>382</v>
      </c>
      <c r="G164" s="54">
        <v>7.0699999999999999E-2</v>
      </c>
      <c r="H164" s="55" t="s">
        <v>469</v>
      </c>
      <c r="I164" s="55" t="s">
        <v>469</v>
      </c>
      <c r="J164" s="25">
        <v>42767</v>
      </c>
      <c r="K164" s="54">
        <v>3.0800000000000001E-2</v>
      </c>
      <c r="L164" s="55">
        <v>0</v>
      </c>
      <c r="M164" s="55">
        <v>0</v>
      </c>
      <c r="N164" s="25">
        <v>42769</v>
      </c>
      <c r="O164" s="104">
        <f t="shared" si="45"/>
        <v>3.9899999999999998E-2</v>
      </c>
      <c r="P164" s="104" t="e">
        <f t="shared" si="46"/>
        <v>#VALUE!</v>
      </c>
      <c r="Q164" s="104" t="e">
        <f t="shared" si="47"/>
        <v>#VALUE!</v>
      </c>
      <c r="R164" s="104">
        <f t="shared" si="48"/>
        <v>129.54545454545453</v>
      </c>
      <c r="S164" s="104">
        <f t="shared" si="49"/>
        <v>0</v>
      </c>
      <c r="T164" s="104">
        <f t="shared" si="50"/>
        <v>0</v>
      </c>
      <c r="V164">
        <f>K164/'Soil samples'!AK147*1000</f>
        <v>1.3308573745971233</v>
      </c>
      <c r="W164">
        <f>L164/'Soil samples'!AK147*1000</f>
        <v>0</v>
      </c>
      <c r="X164" s="3">
        <f>M164/'Soil samples'!AK147*1000</f>
        <v>0</v>
      </c>
      <c r="Y164" s="31">
        <f t="shared" si="43"/>
        <v>3.0800000000000001E-2</v>
      </c>
      <c r="Z164" s="104">
        <f t="shared" si="44"/>
        <v>3.0800000000000001E-2</v>
      </c>
      <c r="AA164">
        <f t="shared" si="51"/>
        <v>0.308</v>
      </c>
      <c r="AB164">
        <f t="shared" si="51"/>
        <v>0.308</v>
      </c>
      <c r="AC164">
        <f t="shared" si="52"/>
        <v>0</v>
      </c>
      <c r="AD164">
        <f t="shared" si="54"/>
        <v>0.308</v>
      </c>
      <c r="AF164">
        <f t="shared" si="53"/>
        <v>1.54E-2</v>
      </c>
    </row>
    <row r="165" spans="1:32">
      <c r="A165" s="6" t="s">
        <v>151</v>
      </c>
      <c r="B165" s="6" t="s">
        <v>198</v>
      </c>
      <c r="C165" t="s">
        <v>13</v>
      </c>
      <c r="D165" s="8">
        <v>6</v>
      </c>
      <c r="E165">
        <v>5</v>
      </c>
      <c r="F165" s="13" t="s">
        <v>379</v>
      </c>
      <c r="G165" s="54">
        <v>0.68240000000000001</v>
      </c>
      <c r="H165" s="55">
        <v>0.1232</v>
      </c>
      <c r="I165" s="55" t="s">
        <v>469</v>
      </c>
      <c r="J165" s="25">
        <v>42755</v>
      </c>
      <c r="K165" s="54">
        <v>0.22900000000000001</v>
      </c>
      <c r="L165" s="100">
        <v>6.0100000000000001E-2</v>
      </c>
      <c r="M165" s="55">
        <v>0</v>
      </c>
      <c r="O165" s="104">
        <f t="shared" si="45"/>
        <v>0.45340000000000003</v>
      </c>
      <c r="P165" s="104">
        <f t="shared" si="46"/>
        <v>6.3100000000000003E-2</v>
      </c>
      <c r="Q165" s="104" t="e">
        <f t="shared" si="47"/>
        <v>#VALUE!</v>
      </c>
      <c r="R165" s="104">
        <f t="shared" si="48"/>
        <v>197.99126637554585</v>
      </c>
      <c r="S165" s="104">
        <f t="shared" si="49"/>
        <v>104.99168053244591</v>
      </c>
      <c r="T165" s="104">
        <f t="shared" si="50"/>
        <v>0</v>
      </c>
      <c r="V165">
        <f>K165/'Soil samples'!AK148*1000</f>
        <v>25.217948505551341</v>
      </c>
      <c r="W165">
        <f>L165/'Soil samples'!AK148*1000</f>
        <v>6.6183349571337793</v>
      </c>
      <c r="X165" s="3">
        <f>M165/'Soil samples'!AK148*1000</f>
        <v>0</v>
      </c>
      <c r="Y165" s="31">
        <f t="shared" ref="Y165:Y209" si="55">SUM(K165:L165)</f>
        <v>0.28910000000000002</v>
      </c>
      <c r="Z165" s="104">
        <f t="shared" ref="Z165:Z209" si="56">SUM(K165:M165)</f>
        <v>0.28910000000000002</v>
      </c>
      <c r="AA165">
        <f t="shared" si="51"/>
        <v>2.8910000000000005</v>
      </c>
      <c r="AB165">
        <f t="shared" si="51"/>
        <v>2.8910000000000005</v>
      </c>
      <c r="AC165">
        <f t="shared" si="52"/>
        <v>0</v>
      </c>
      <c r="AD165">
        <f t="shared" si="54"/>
        <v>2.29</v>
      </c>
      <c r="AF165">
        <f t="shared" si="53"/>
        <v>0.14455000000000004</v>
      </c>
    </row>
    <row r="166" spans="1:32">
      <c r="A166" s="6" t="s">
        <v>152</v>
      </c>
      <c r="B166" s="6" t="s">
        <v>198</v>
      </c>
      <c r="C166" t="s">
        <v>13</v>
      </c>
      <c r="D166" s="8">
        <v>6</v>
      </c>
      <c r="E166">
        <v>10</v>
      </c>
      <c r="F166" s="14" t="s">
        <v>380</v>
      </c>
      <c r="G166" s="54">
        <v>0.40179999999999999</v>
      </c>
      <c r="H166" s="55">
        <v>0.11360000000000001</v>
      </c>
      <c r="I166" s="55" t="s">
        <v>469</v>
      </c>
      <c r="J166" s="25">
        <v>42755</v>
      </c>
      <c r="K166" s="54">
        <v>0.12559999999999999</v>
      </c>
      <c r="L166" s="100">
        <v>3.85E-2</v>
      </c>
      <c r="M166" s="55">
        <v>0</v>
      </c>
      <c r="O166" s="104">
        <f t="shared" si="45"/>
        <v>0.2762</v>
      </c>
      <c r="P166" s="104">
        <f t="shared" si="46"/>
        <v>7.51E-2</v>
      </c>
      <c r="Q166" s="104" t="e">
        <f t="shared" si="47"/>
        <v>#VALUE!</v>
      </c>
      <c r="R166" s="104">
        <f t="shared" si="48"/>
        <v>219.90445859872611</v>
      </c>
      <c r="S166" s="104">
        <f t="shared" si="49"/>
        <v>195.06493506493507</v>
      </c>
      <c r="T166" s="104">
        <f t="shared" si="50"/>
        <v>0</v>
      </c>
      <c r="V166">
        <f>K166/'Soil samples'!AK149*1000</f>
        <v>10.325029708372977</v>
      </c>
      <c r="W166">
        <f>L166/'Soil samples'!AK149*1000</f>
        <v>3.1649175459582772</v>
      </c>
      <c r="X166" s="3">
        <f>M166/'Soil samples'!AK149*1000</f>
        <v>0</v>
      </c>
      <c r="Y166" s="31">
        <f t="shared" si="55"/>
        <v>0.1641</v>
      </c>
      <c r="Z166" s="104">
        <f t="shared" si="56"/>
        <v>0.1641</v>
      </c>
      <c r="AA166">
        <f t="shared" si="51"/>
        <v>1.641</v>
      </c>
      <c r="AB166">
        <f t="shared" si="51"/>
        <v>1.641</v>
      </c>
      <c r="AC166">
        <f t="shared" si="52"/>
        <v>0</v>
      </c>
      <c r="AD166">
        <f t="shared" si="54"/>
        <v>1.256</v>
      </c>
      <c r="AF166">
        <f t="shared" si="53"/>
        <v>8.2050000000000012E-2</v>
      </c>
    </row>
    <row r="167" spans="1:32" s="4" customFormat="1">
      <c r="A167" s="7" t="s">
        <v>153</v>
      </c>
      <c r="B167" s="7" t="s">
        <v>198</v>
      </c>
      <c r="C167" s="4" t="s">
        <v>13</v>
      </c>
      <c r="D167" s="4">
        <v>6</v>
      </c>
      <c r="E167" s="4">
        <v>20</v>
      </c>
      <c r="F167" s="4" t="s">
        <v>381</v>
      </c>
      <c r="G167" s="101">
        <v>0.28560000000000002</v>
      </c>
      <c r="H167" s="102">
        <v>4.2900000000000001E-2</v>
      </c>
      <c r="I167" s="102" t="s">
        <v>469</v>
      </c>
      <c r="J167" s="27">
        <v>42755</v>
      </c>
      <c r="K167" s="101">
        <v>0.1013</v>
      </c>
      <c r="L167" s="103">
        <v>1.9199999999999998E-2</v>
      </c>
      <c r="M167" s="55">
        <v>0</v>
      </c>
      <c r="N167" s="5"/>
      <c r="O167" s="104">
        <f t="shared" si="45"/>
        <v>0.18430000000000002</v>
      </c>
      <c r="P167" s="104">
        <f t="shared" si="46"/>
        <v>2.3700000000000002E-2</v>
      </c>
      <c r="Q167" s="104" t="e">
        <f t="shared" si="47"/>
        <v>#VALUE!</v>
      </c>
      <c r="R167" s="104">
        <f t="shared" si="48"/>
        <v>181.93484698914116</v>
      </c>
      <c r="S167" s="104">
        <f t="shared" si="49"/>
        <v>123.43750000000003</v>
      </c>
      <c r="T167" s="104">
        <f t="shared" si="50"/>
        <v>0</v>
      </c>
      <c r="U167" s="5"/>
      <c r="V167">
        <f>K167/'Soil samples'!AK150*1000</f>
        <v>7.7924561715478182</v>
      </c>
      <c r="W167">
        <f>L167/'Soil samples'!AK150*1000</f>
        <v>1.4769512190890237</v>
      </c>
      <c r="X167" s="3">
        <f>M167/'Soil samples'!AK150*1000</f>
        <v>0</v>
      </c>
      <c r="Y167" s="31">
        <f t="shared" si="55"/>
        <v>0.1205</v>
      </c>
      <c r="Z167" s="104">
        <f t="shared" si="56"/>
        <v>0.1205</v>
      </c>
      <c r="AA167">
        <f t="shared" si="51"/>
        <v>1.2050000000000001</v>
      </c>
      <c r="AB167">
        <f t="shared" si="51"/>
        <v>1.2050000000000001</v>
      </c>
      <c r="AC167">
        <f t="shared" si="52"/>
        <v>0</v>
      </c>
      <c r="AD167">
        <f t="shared" si="54"/>
        <v>1.0129999999999999</v>
      </c>
      <c r="AF167">
        <f t="shared" si="53"/>
        <v>6.0250000000000005E-2</v>
      </c>
    </row>
    <row r="168" spans="1:32">
      <c r="A168" s="6" t="s">
        <v>154</v>
      </c>
      <c r="B168" s="6" t="s">
        <v>548</v>
      </c>
      <c r="C168" t="s">
        <v>12</v>
      </c>
      <c r="D168" s="8">
        <v>1</v>
      </c>
      <c r="E168">
        <v>5</v>
      </c>
      <c r="G168" s="54">
        <v>2.246</v>
      </c>
      <c r="H168" s="100">
        <v>3.27E-2</v>
      </c>
      <c r="I168" s="100" t="s">
        <v>469</v>
      </c>
      <c r="J168" s="25">
        <v>42792</v>
      </c>
      <c r="K168" s="54">
        <v>0.40129999999999999</v>
      </c>
      <c r="L168" s="100">
        <v>4.4000000000000003E-3</v>
      </c>
      <c r="M168" s="55">
        <v>0</v>
      </c>
      <c r="N168" s="25">
        <v>42794</v>
      </c>
      <c r="O168" s="104">
        <f t="shared" si="45"/>
        <v>1.8447</v>
      </c>
      <c r="P168" s="104">
        <f t="shared" si="46"/>
        <v>2.8299999999999999E-2</v>
      </c>
      <c r="Q168" s="104" t="e">
        <f t="shared" si="47"/>
        <v>#VALUE!</v>
      </c>
      <c r="R168" s="104">
        <f t="shared" si="48"/>
        <v>459.68103663094945</v>
      </c>
      <c r="S168" s="104">
        <f t="shared" si="49"/>
        <v>643.18181818181813</v>
      </c>
      <c r="T168" s="104">
        <f t="shared" si="50"/>
        <v>0</v>
      </c>
      <c r="V168">
        <f>K168/'Soil samples'!AK151*1000</f>
        <v>66.061434712037297</v>
      </c>
      <c r="W168">
        <f>L168/'Soil samples'!AK151*1000</f>
        <v>0.72432173618979345</v>
      </c>
      <c r="X168" s="3">
        <f>M168/'Soil samples'!AK151*1000</f>
        <v>0</v>
      </c>
      <c r="Y168" s="31">
        <f t="shared" si="55"/>
        <v>0.40570000000000001</v>
      </c>
      <c r="Z168" s="104">
        <f t="shared" si="56"/>
        <v>0.40570000000000001</v>
      </c>
      <c r="AA168">
        <f t="shared" si="51"/>
        <v>4.0570000000000004</v>
      </c>
      <c r="AB168">
        <f t="shared" si="51"/>
        <v>4.0570000000000004</v>
      </c>
      <c r="AC168">
        <f t="shared" si="52"/>
        <v>0</v>
      </c>
      <c r="AD168">
        <f t="shared" si="54"/>
        <v>4.0129999999999999</v>
      </c>
      <c r="AF168">
        <f t="shared" si="53"/>
        <v>0.20285000000000003</v>
      </c>
    </row>
    <row r="169" spans="1:32">
      <c r="A169" s="6" t="s">
        <v>155</v>
      </c>
      <c r="B169" s="6" t="s">
        <v>548</v>
      </c>
      <c r="C169" t="s">
        <v>12</v>
      </c>
      <c r="D169" s="8">
        <v>1</v>
      </c>
      <c r="E169">
        <v>10</v>
      </c>
      <c r="G169" s="54">
        <v>1.6526000000000001</v>
      </c>
      <c r="H169" s="55" t="s">
        <v>469</v>
      </c>
      <c r="I169" s="100" t="s">
        <v>469</v>
      </c>
      <c r="J169" s="25">
        <v>42792</v>
      </c>
      <c r="K169" s="54">
        <v>0.28549999999999998</v>
      </c>
      <c r="L169" s="100">
        <v>0</v>
      </c>
      <c r="M169" s="55">
        <v>0</v>
      </c>
      <c r="N169" s="25">
        <v>42794</v>
      </c>
      <c r="O169" s="104">
        <f t="shared" si="45"/>
        <v>1.3671000000000002</v>
      </c>
      <c r="P169" s="104" t="e">
        <f t="shared" si="46"/>
        <v>#VALUE!</v>
      </c>
      <c r="Q169" s="104" t="e">
        <f t="shared" si="47"/>
        <v>#VALUE!</v>
      </c>
      <c r="R169" s="104">
        <f t="shared" si="48"/>
        <v>478.844133099825</v>
      </c>
      <c r="S169" s="104">
        <f t="shared" si="49"/>
        <v>0</v>
      </c>
      <c r="T169" s="104">
        <f t="shared" si="50"/>
        <v>0</v>
      </c>
      <c r="V169">
        <f>K169/'Soil samples'!AK152*1000</f>
        <v>9.088691518706332</v>
      </c>
      <c r="W169">
        <f>L169/'Soil samples'!AK152*1000</f>
        <v>0</v>
      </c>
      <c r="X169" s="3">
        <f>M169/'Soil samples'!AK152*1000</f>
        <v>0</v>
      </c>
      <c r="Y169" s="31">
        <f t="shared" si="55"/>
        <v>0.28549999999999998</v>
      </c>
      <c r="Z169" s="104">
        <f t="shared" si="56"/>
        <v>0.28549999999999998</v>
      </c>
      <c r="AA169">
        <f t="shared" si="51"/>
        <v>2.8549999999999995</v>
      </c>
      <c r="AB169">
        <f t="shared" si="51"/>
        <v>2.8549999999999995</v>
      </c>
      <c r="AC169">
        <f t="shared" si="52"/>
        <v>0</v>
      </c>
      <c r="AD169">
        <f t="shared" si="54"/>
        <v>2.8549999999999995</v>
      </c>
      <c r="AF169">
        <f t="shared" si="53"/>
        <v>0.14274999999999999</v>
      </c>
    </row>
    <row r="170" spans="1:32">
      <c r="A170" s="6" t="s">
        <v>156</v>
      </c>
      <c r="B170" s="6" t="s">
        <v>548</v>
      </c>
      <c r="C170" t="s">
        <v>12</v>
      </c>
      <c r="D170" s="8">
        <v>1</v>
      </c>
      <c r="E170">
        <v>20</v>
      </c>
      <c r="G170" s="54">
        <v>1.3048999999999999</v>
      </c>
      <c r="H170" s="100">
        <v>4.24E-2</v>
      </c>
      <c r="I170" s="100" t="s">
        <v>469</v>
      </c>
      <c r="J170" s="25">
        <v>42791</v>
      </c>
      <c r="K170" s="54">
        <v>0.24590000000000001</v>
      </c>
      <c r="L170" s="100">
        <v>1.04E-2</v>
      </c>
      <c r="M170" s="55">
        <v>0</v>
      </c>
      <c r="N170" s="25">
        <v>42794</v>
      </c>
      <c r="O170" s="104">
        <f t="shared" si="45"/>
        <v>1.0589999999999999</v>
      </c>
      <c r="P170" s="104">
        <f t="shared" si="46"/>
        <v>3.2000000000000001E-2</v>
      </c>
      <c r="Q170" s="104" t="e">
        <f t="shared" si="47"/>
        <v>#VALUE!</v>
      </c>
      <c r="R170" s="104">
        <f t="shared" si="48"/>
        <v>430.66287108580718</v>
      </c>
      <c r="S170" s="104">
        <f t="shared" si="49"/>
        <v>307.69230769230774</v>
      </c>
      <c r="T170" s="104">
        <f t="shared" si="50"/>
        <v>0</v>
      </c>
      <c r="V170">
        <f>K170/'Soil samples'!AK153*1000</f>
        <v>6.341002762874723</v>
      </c>
      <c r="W170">
        <f>L170/'Soil samples'!AK153*1000</f>
        <v>0.26818393141072433</v>
      </c>
      <c r="X170" s="3">
        <f>M170/'Soil samples'!AK153*1000</f>
        <v>0</v>
      </c>
      <c r="Y170" s="31">
        <f t="shared" si="55"/>
        <v>0.25630000000000003</v>
      </c>
      <c r="Z170" s="104">
        <f t="shared" si="56"/>
        <v>0.25630000000000003</v>
      </c>
      <c r="AA170">
        <f t="shared" si="51"/>
        <v>2.5630000000000006</v>
      </c>
      <c r="AB170">
        <f t="shared" si="51"/>
        <v>2.5630000000000006</v>
      </c>
      <c r="AC170">
        <f t="shared" si="52"/>
        <v>0</v>
      </c>
      <c r="AD170">
        <f t="shared" si="54"/>
        <v>2.4590000000000001</v>
      </c>
      <c r="AF170">
        <f t="shared" si="53"/>
        <v>0.12815000000000004</v>
      </c>
    </row>
    <row r="171" spans="1:32">
      <c r="A171" s="6" t="s">
        <v>157</v>
      </c>
      <c r="B171" s="6" t="s">
        <v>548</v>
      </c>
      <c r="C171" t="s">
        <v>12</v>
      </c>
      <c r="D171" s="8">
        <v>1</v>
      </c>
      <c r="E171">
        <v>30</v>
      </c>
      <c r="G171" s="54">
        <v>0.33939999999999998</v>
      </c>
      <c r="H171" s="55">
        <v>7.6700000000000004E-2</v>
      </c>
      <c r="I171" s="55" t="s">
        <v>469</v>
      </c>
      <c r="J171" s="25">
        <v>42791</v>
      </c>
      <c r="K171" s="54">
        <v>6.7400000000000002E-2</v>
      </c>
      <c r="L171" s="100">
        <v>1.8200000000000001E-2</v>
      </c>
      <c r="M171" s="55">
        <v>0</v>
      </c>
      <c r="N171" s="25">
        <v>42794</v>
      </c>
      <c r="O171" s="104">
        <f t="shared" si="45"/>
        <v>0.27199999999999996</v>
      </c>
      <c r="P171" s="104">
        <f t="shared" si="46"/>
        <v>5.8500000000000003E-2</v>
      </c>
      <c r="Q171" s="104" t="e">
        <f t="shared" si="47"/>
        <v>#VALUE!</v>
      </c>
      <c r="R171" s="104">
        <f t="shared" si="48"/>
        <v>403.560830860534</v>
      </c>
      <c r="S171" s="104">
        <f t="shared" si="49"/>
        <v>321.42857142857144</v>
      </c>
      <c r="T171" s="104">
        <f t="shared" si="50"/>
        <v>0</v>
      </c>
      <c r="V171">
        <f>K171/'Soil samples'!AK154*1000</f>
        <v>1.4780207642567242</v>
      </c>
      <c r="W171">
        <f>L171/'Soil samples'!AK154*1000</f>
        <v>0.39910946453223117</v>
      </c>
      <c r="X171" s="3">
        <f>M171/'Soil samples'!AK154*1000</f>
        <v>0</v>
      </c>
      <c r="Y171" s="31">
        <f t="shared" si="55"/>
        <v>8.5600000000000009E-2</v>
      </c>
      <c r="Z171" s="104">
        <f t="shared" si="56"/>
        <v>8.5600000000000009E-2</v>
      </c>
      <c r="AA171">
        <f t="shared" si="51"/>
        <v>0.85600000000000009</v>
      </c>
      <c r="AB171">
        <f t="shared" si="51"/>
        <v>0.85600000000000009</v>
      </c>
      <c r="AC171">
        <f t="shared" si="52"/>
        <v>0</v>
      </c>
      <c r="AD171">
        <f t="shared" si="54"/>
        <v>0.67400000000000004</v>
      </c>
      <c r="AF171">
        <f t="shared" si="53"/>
        <v>4.2800000000000005E-2</v>
      </c>
    </row>
    <row r="172" spans="1:32">
      <c r="A172" s="6" t="s">
        <v>158</v>
      </c>
      <c r="B172" s="6" t="s">
        <v>548</v>
      </c>
      <c r="C172" t="s">
        <v>12</v>
      </c>
      <c r="D172" s="8">
        <v>2</v>
      </c>
      <c r="E172">
        <v>5</v>
      </c>
      <c r="F172" t="s">
        <v>376</v>
      </c>
      <c r="G172" s="54">
        <v>11.184699999999999</v>
      </c>
      <c r="H172" s="55" t="s">
        <v>469</v>
      </c>
      <c r="I172" s="55" t="s">
        <v>469</v>
      </c>
      <c r="J172" s="25">
        <v>42819</v>
      </c>
      <c r="K172" s="54">
        <v>1.3345</v>
      </c>
      <c r="L172" s="55">
        <v>0</v>
      </c>
      <c r="M172" s="55">
        <v>0</v>
      </c>
      <c r="N172" s="25">
        <v>42823</v>
      </c>
      <c r="O172" s="104">
        <f t="shared" si="45"/>
        <v>9.8501999999999992</v>
      </c>
      <c r="P172" s="104" t="e">
        <f t="shared" si="46"/>
        <v>#VALUE!</v>
      </c>
      <c r="Q172" s="104" t="e">
        <f t="shared" si="47"/>
        <v>#VALUE!</v>
      </c>
      <c r="R172" s="104">
        <f t="shared" si="48"/>
        <v>738.11914574747095</v>
      </c>
      <c r="S172" s="104">
        <f t="shared" si="49"/>
        <v>0</v>
      </c>
      <c r="T172" s="104">
        <f t="shared" si="50"/>
        <v>0</v>
      </c>
      <c r="V172" t="e">
        <f>K172/'Soil samples'!AK155*1000</f>
        <v>#VALUE!</v>
      </c>
      <c r="W172" t="e">
        <f>L172/'Soil samples'!AK155*1000</f>
        <v>#VALUE!</v>
      </c>
      <c r="X172" s="3" t="e">
        <f>M172/'Soil samples'!AK155*1000</f>
        <v>#VALUE!</v>
      </c>
      <c r="Y172" s="31">
        <f t="shared" si="55"/>
        <v>1.3345</v>
      </c>
      <c r="Z172" s="104">
        <f t="shared" si="56"/>
        <v>1.3345</v>
      </c>
      <c r="AA172">
        <f t="shared" si="51"/>
        <v>13.345000000000001</v>
      </c>
      <c r="AB172">
        <f t="shared" si="51"/>
        <v>13.345000000000001</v>
      </c>
      <c r="AC172">
        <f t="shared" si="52"/>
        <v>0</v>
      </c>
      <c r="AD172">
        <f t="shared" si="54"/>
        <v>13.345000000000001</v>
      </c>
      <c r="AF172">
        <f t="shared" si="53"/>
        <v>0.66725000000000012</v>
      </c>
    </row>
    <row r="173" spans="1:32">
      <c r="A173" s="6" t="s">
        <v>159</v>
      </c>
      <c r="B173" s="6" t="s">
        <v>548</v>
      </c>
      <c r="C173" t="s">
        <v>12</v>
      </c>
      <c r="D173" s="8">
        <v>2</v>
      </c>
      <c r="E173">
        <v>10</v>
      </c>
      <c r="G173" s="54">
        <v>0.42970000000000003</v>
      </c>
      <c r="H173" s="55" t="s">
        <v>469</v>
      </c>
      <c r="I173" s="55" t="s">
        <v>469</v>
      </c>
      <c r="J173" s="25">
        <v>42819</v>
      </c>
      <c r="K173" s="54">
        <v>6.9800000000000001E-2</v>
      </c>
      <c r="L173" s="55">
        <v>0</v>
      </c>
      <c r="M173" s="55">
        <v>0</v>
      </c>
      <c r="N173" s="25">
        <v>42823</v>
      </c>
      <c r="O173" s="104">
        <f t="shared" si="45"/>
        <v>0.3599</v>
      </c>
      <c r="P173" s="104" t="e">
        <f t="shared" si="46"/>
        <v>#VALUE!</v>
      </c>
      <c r="Q173" s="104" t="e">
        <f t="shared" si="47"/>
        <v>#VALUE!</v>
      </c>
      <c r="R173" s="104">
        <f t="shared" si="48"/>
        <v>515.6160458452722</v>
      </c>
      <c r="S173" s="104">
        <f t="shared" si="49"/>
        <v>0</v>
      </c>
      <c r="T173" s="104">
        <f t="shared" si="50"/>
        <v>0</v>
      </c>
      <c r="V173">
        <f>K173/'Soil samples'!AK156*1000</f>
        <v>1.9019893698938872</v>
      </c>
      <c r="W173">
        <f>L173/'Soil samples'!AK156*1000</f>
        <v>0</v>
      </c>
      <c r="X173" s="3">
        <f>M173/'Soil samples'!AK156*1000</f>
        <v>0</v>
      </c>
      <c r="Y173" s="31">
        <f t="shared" si="55"/>
        <v>6.9800000000000001E-2</v>
      </c>
      <c r="Z173" s="104">
        <f t="shared" si="56"/>
        <v>6.9800000000000001E-2</v>
      </c>
      <c r="AA173">
        <f t="shared" si="51"/>
        <v>0.69799999999999995</v>
      </c>
      <c r="AB173">
        <f t="shared" si="51"/>
        <v>0.69799999999999995</v>
      </c>
      <c r="AC173">
        <f t="shared" si="52"/>
        <v>0</v>
      </c>
      <c r="AD173">
        <f t="shared" si="54"/>
        <v>0.69799999999999995</v>
      </c>
      <c r="AF173">
        <f t="shared" si="53"/>
        <v>3.49E-2</v>
      </c>
    </row>
    <row r="174" spans="1:32">
      <c r="A174" s="6" t="s">
        <v>160</v>
      </c>
      <c r="B174" s="6" t="s">
        <v>548</v>
      </c>
      <c r="C174" t="s">
        <v>12</v>
      </c>
      <c r="D174" s="8">
        <v>2</v>
      </c>
      <c r="E174">
        <v>20</v>
      </c>
      <c r="G174" s="54">
        <v>0.10979999999999999</v>
      </c>
      <c r="H174" s="55" t="s">
        <v>469</v>
      </c>
      <c r="I174" s="55" t="s">
        <v>469</v>
      </c>
      <c r="J174" s="25">
        <v>42819</v>
      </c>
      <c r="K174" s="54">
        <v>2.1899999999999999E-2</v>
      </c>
      <c r="L174" s="55">
        <v>0</v>
      </c>
      <c r="M174" s="55">
        <v>0</v>
      </c>
      <c r="N174" s="25">
        <v>42823</v>
      </c>
      <c r="O174" s="104">
        <f t="shared" si="45"/>
        <v>8.7899999999999992E-2</v>
      </c>
      <c r="P174" s="104" t="e">
        <f t="shared" si="46"/>
        <v>#VALUE!</v>
      </c>
      <c r="Q174" s="104" t="e">
        <f t="shared" si="47"/>
        <v>#VALUE!</v>
      </c>
      <c r="R174" s="104">
        <f t="shared" si="48"/>
        <v>401.36986301369859</v>
      </c>
      <c r="S174" s="104">
        <f t="shared" si="49"/>
        <v>0</v>
      </c>
      <c r="T174" s="104">
        <f t="shared" si="50"/>
        <v>0</v>
      </c>
      <c r="U174" s="3" t="s">
        <v>709</v>
      </c>
      <c r="V174">
        <f>K174/'Soil samples'!AK157*1000</f>
        <v>0.57648812135635208</v>
      </c>
      <c r="W174">
        <f>L174/'Soil samples'!AK157*1000</f>
        <v>0</v>
      </c>
      <c r="X174" s="3">
        <f>M174/'Soil samples'!AK157*1000</f>
        <v>0</v>
      </c>
      <c r="Y174" s="31">
        <f t="shared" si="55"/>
        <v>2.1899999999999999E-2</v>
      </c>
      <c r="Z174" s="104">
        <f t="shared" si="56"/>
        <v>2.1899999999999999E-2</v>
      </c>
      <c r="AA174">
        <f t="shared" si="51"/>
        <v>0.219</v>
      </c>
      <c r="AB174">
        <f t="shared" si="51"/>
        <v>0.219</v>
      </c>
      <c r="AC174">
        <f t="shared" si="52"/>
        <v>0</v>
      </c>
      <c r="AD174">
        <f t="shared" si="54"/>
        <v>0.219</v>
      </c>
      <c r="AF174">
        <f t="shared" si="53"/>
        <v>1.0950000000000001E-2</v>
      </c>
    </row>
    <row r="175" spans="1:32">
      <c r="A175" s="6" t="s">
        <v>161</v>
      </c>
      <c r="B175" s="6" t="s">
        <v>548</v>
      </c>
      <c r="C175" t="s">
        <v>12</v>
      </c>
      <c r="D175" s="8">
        <v>2</v>
      </c>
      <c r="E175">
        <v>30</v>
      </c>
      <c r="G175" s="54">
        <v>2.0799999999999999E-2</v>
      </c>
      <c r="H175" s="55" t="s">
        <v>469</v>
      </c>
      <c r="I175" s="55" t="s">
        <v>469</v>
      </c>
      <c r="J175" s="25">
        <v>42819</v>
      </c>
      <c r="K175" s="54">
        <v>8.0000000000000002E-3</v>
      </c>
      <c r="L175" s="55">
        <v>0</v>
      </c>
      <c r="M175" s="55">
        <v>0</v>
      </c>
      <c r="N175" s="25">
        <v>42823</v>
      </c>
      <c r="O175" s="104">
        <f t="shared" si="45"/>
        <v>1.2799999999999999E-2</v>
      </c>
      <c r="P175" s="104" t="e">
        <f t="shared" si="46"/>
        <v>#VALUE!</v>
      </c>
      <c r="Q175" s="104" t="e">
        <f t="shared" si="47"/>
        <v>#VALUE!</v>
      </c>
      <c r="R175" s="104">
        <f t="shared" si="48"/>
        <v>160</v>
      </c>
      <c r="S175" s="104">
        <f t="shared" si="49"/>
        <v>0</v>
      </c>
      <c r="T175" s="104">
        <f t="shared" si="50"/>
        <v>0</v>
      </c>
      <c r="U175" s="3" t="s">
        <v>708</v>
      </c>
      <c r="V175">
        <f>K175/'Soil samples'!AK158*1000</f>
        <v>0.18818705672845343</v>
      </c>
      <c r="W175">
        <f>L175/'Soil samples'!AK158*1000</f>
        <v>0</v>
      </c>
      <c r="X175" s="3">
        <f>M175/'Soil samples'!AK158*1000</f>
        <v>0</v>
      </c>
      <c r="Y175" s="31">
        <f t="shared" si="55"/>
        <v>8.0000000000000002E-3</v>
      </c>
      <c r="Z175" s="104">
        <f t="shared" si="56"/>
        <v>8.0000000000000002E-3</v>
      </c>
      <c r="AA175">
        <f t="shared" si="51"/>
        <v>0.08</v>
      </c>
      <c r="AB175">
        <f t="shared" si="51"/>
        <v>0.08</v>
      </c>
      <c r="AC175">
        <f t="shared" si="52"/>
        <v>0</v>
      </c>
      <c r="AD175">
        <f t="shared" si="54"/>
        <v>0.08</v>
      </c>
      <c r="AF175">
        <f t="shared" si="53"/>
        <v>4.0000000000000001E-3</v>
      </c>
    </row>
    <row r="176" spans="1:32">
      <c r="A176" s="6" t="s">
        <v>162</v>
      </c>
      <c r="B176" s="6" t="s">
        <v>548</v>
      </c>
      <c r="C176" t="s">
        <v>12</v>
      </c>
      <c r="D176" s="8">
        <v>3</v>
      </c>
      <c r="E176">
        <v>5</v>
      </c>
      <c r="F176" t="s">
        <v>385</v>
      </c>
      <c r="G176" s="54">
        <v>12.872299999999999</v>
      </c>
      <c r="H176" s="55">
        <v>0.12839999999999999</v>
      </c>
      <c r="I176" s="55" t="s">
        <v>469</v>
      </c>
      <c r="J176" s="25">
        <v>42767</v>
      </c>
      <c r="K176" s="54">
        <v>1.8829</v>
      </c>
      <c r="L176" s="100">
        <v>4.7100000000000003E-2</v>
      </c>
      <c r="M176" s="55">
        <v>0</v>
      </c>
      <c r="N176" s="25">
        <v>42769</v>
      </c>
      <c r="O176" s="104">
        <f t="shared" si="45"/>
        <v>10.9894</v>
      </c>
      <c r="P176" s="104">
        <f t="shared" si="46"/>
        <v>8.1299999999999983E-2</v>
      </c>
      <c r="Q176" s="104" t="e">
        <f t="shared" si="47"/>
        <v>#VALUE!</v>
      </c>
      <c r="R176" s="104">
        <f t="shared" si="48"/>
        <v>583.64225396993993</v>
      </c>
      <c r="S176" s="104">
        <f t="shared" si="49"/>
        <v>172.61146496815283</v>
      </c>
      <c r="T176" s="104">
        <f t="shared" si="50"/>
        <v>0</v>
      </c>
      <c r="V176" t="e">
        <f>K176/'Soil samples'!AK159*1000</f>
        <v>#VALUE!</v>
      </c>
      <c r="W176" t="e">
        <f>L176/'Soil samples'!AK159*1000</f>
        <v>#VALUE!</v>
      </c>
      <c r="X176" s="3" t="e">
        <f>M176/'Soil samples'!AK159*1000</f>
        <v>#VALUE!</v>
      </c>
      <c r="Y176" s="31">
        <f t="shared" si="55"/>
        <v>1.93</v>
      </c>
      <c r="Z176" s="104">
        <f t="shared" si="56"/>
        <v>1.93</v>
      </c>
      <c r="AA176">
        <f t="shared" si="51"/>
        <v>19.3</v>
      </c>
      <c r="AB176">
        <f t="shared" si="51"/>
        <v>19.3</v>
      </c>
      <c r="AC176">
        <f t="shared" si="52"/>
        <v>0</v>
      </c>
      <c r="AD176">
        <f t="shared" si="54"/>
        <v>18.829000000000001</v>
      </c>
      <c r="AF176">
        <f t="shared" si="53"/>
        <v>0.96500000000000008</v>
      </c>
    </row>
    <row r="177" spans="1:32">
      <c r="A177" s="6" t="s">
        <v>163</v>
      </c>
      <c r="B177" s="6" t="s">
        <v>548</v>
      </c>
      <c r="C177" t="s">
        <v>12</v>
      </c>
      <c r="D177" s="8">
        <v>3</v>
      </c>
      <c r="E177">
        <v>10</v>
      </c>
      <c r="F177" t="s">
        <v>385</v>
      </c>
      <c r="G177" s="54">
        <v>10.425000000000001</v>
      </c>
      <c r="H177" s="55" t="s">
        <v>469</v>
      </c>
      <c r="I177" s="55" t="s">
        <v>469</v>
      </c>
      <c r="J177" s="25">
        <v>42769</v>
      </c>
      <c r="K177" s="54">
        <v>1.5753999999999999</v>
      </c>
      <c r="L177" s="55">
        <v>0</v>
      </c>
      <c r="M177" s="55">
        <v>0</v>
      </c>
      <c r="N177" s="25">
        <v>42772</v>
      </c>
      <c r="O177" s="104">
        <f t="shared" si="45"/>
        <v>8.8496000000000006</v>
      </c>
      <c r="P177" s="104" t="e">
        <f t="shared" si="46"/>
        <v>#VALUE!</v>
      </c>
      <c r="Q177" s="104" t="e">
        <f t="shared" si="47"/>
        <v>#VALUE!</v>
      </c>
      <c r="R177" s="104">
        <f t="shared" si="48"/>
        <v>561.73670179002158</v>
      </c>
      <c r="S177" s="104">
        <f t="shared" si="49"/>
        <v>0</v>
      </c>
      <c r="T177" s="104">
        <f t="shared" si="50"/>
        <v>0</v>
      </c>
      <c r="V177" t="e">
        <f>K177/'Soil samples'!AK160*1000</f>
        <v>#VALUE!</v>
      </c>
      <c r="W177" t="e">
        <f>L177/'Soil samples'!AK160*1000</f>
        <v>#VALUE!</v>
      </c>
      <c r="X177" s="3" t="e">
        <f>M177/'Soil samples'!AK160*1000</f>
        <v>#VALUE!</v>
      </c>
      <c r="Y177" s="31">
        <f t="shared" si="55"/>
        <v>1.5753999999999999</v>
      </c>
      <c r="Z177" s="104">
        <f t="shared" si="56"/>
        <v>1.5753999999999999</v>
      </c>
      <c r="AA177">
        <f t="shared" si="51"/>
        <v>15.754</v>
      </c>
      <c r="AB177">
        <f t="shared" si="51"/>
        <v>15.754</v>
      </c>
      <c r="AC177">
        <f t="shared" si="52"/>
        <v>0</v>
      </c>
      <c r="AD177">
        <f t="shared" si="54"/>
        <v>15.754</v>
      </c>
      <c r="AF177">
        <f t="shared" si="53"/>
        <v>0.78770000000000007</v>
      </c>
    </row>
    <row r="178" spans="1:32">
      <c r="A178" s="6" t="s">
        <v>164</v>
      </c>
      <c r="B178" s="6" t="s">
        <v>548</v>
      </c>
      <c r="C178" t="s">
        <v>12</v>
      </c>
      <c r="D178" s="8">
        <v>3</v>
      </c>
      <c r="E178">
        <v>20</v>
      </c>
      <c r="F178" t="s">
        <v>385</v>
      </c>
      <c r="G178" s="54">
        <v>0.49959999999999999</v>
      </c>
      <c r="H178" s="55" t="s">
        <v>469</v>
      </c>
      <c r="I178" s="55" t="s">
        <v>469</v>
      </c>
      <c r="J178" s="25">
        <v>42769</v>
      </c>
      <c r="K178" s="54">
        <v>7.4099999999999999E-2</v>
      </c>
      <c r="L178" s="55">
        <v>0</v>
      </c>
      <c r="M178" s="55">
        <v>0</v>
      </c>
      <c r="N178" s="25">
        <v>42772</v>
      </c>
      <c r="O178" s="104">
        <f t="shared" si="45"/>
        <v>0.42549999999999999</v>
      </c>
      <c r="P178" s="104" t="e">
        <f t="shared" si="46"/>
        <v>#VALUE!</v>
      </c>
      <c r="Q178" s="104" t="e">
        <f t="shared" si="47"/>
        <v>#VALUE!</v>
      </c>
      <c r="R178" s="104">
        <f t="shared" si="48"/>
        <v>574.22402159244268</v>
      </c>
      <c r="S178" s="104">
        <f t="shared" si="49"/>
        <v>0</v>
      </c>
      <c r="T178" s="104">
        <f t="shared" si="50"/>
        <v>0</v>
      </c>
      <c r="V178">
        <f>K178/'Soil samples'!AK161*1000</f>
        <v>1.9284891421420844</v>
      </c>
      <c r="W178">
        <f>L178/'Soil samples'!AK161*1000</f>
        <v>0</v>
      </c>
      <c r="X178" s="3">
        <f>M178/'Soil samples'!AK161*1000</f>
        <v>0</v>
      </c>
      <c r="Y178" s="31">
        <f t="shared" si="55"/>
        <v>7.4099999999999999E-2</v>
      </c>
      <c r="Z178" s="104">
        <f t="shared" si="56"/>
        <v>7.4099999999999999E-2</v>
      </c>
      <c r="AA178">
        <f t="shared" si="51"/>
        <v>0.74099999999999999</v>
      </c>
      <c r="AB178">
        <f t="shared" si="51"/>
        <v>0.74099999999999999</v>
      </c>
      <c r="AC178">
        <f t="shared" si="52"/>
        <v>0</v>
      </c>
      <c r="AD178">
        <f t="shared" si="54"/>
        <v>0.74099999999999999</v>
      </c>
      <c r="AF178">
        <f t="shared" si="53"/>
        <v>3.705E-2</v>
      </c>
    </row>
    <row r="179" spans="1:32">
      <c r="A179" s="6" t="s">
        <v>165</v>
      </c>
      <c r="B179" s="6" t="s">
        <v>548</v>
      </c>
      <c r="C179" t="s">
        <v>12</v>
      </c>
      <c r="D179" s="8">
        <v>3</v>
      </c>
      <c r="E179">
        <v>30</v>
      </c>
      <c r="F179" t="s">
        <v>385</v>
      </c>
      <c r="G179" s="54">
        <v>0.14510000000000001</v>
      </c>
      <c r="H179" s="55" t="s">
        <v>469</v>
      </c>
      <c r="I179" s="55" t="s">
        <v>469</v>
      </c>
      <c r="J179" s="25">
        <v>42769</v>
      </c>
      <c r="K179" s="54">
        <v>2.41E-2</v>
      </c>
      <c r="L179" s="55">
        <v>0</v>
      </c>
      <c r="M179" s="55">
        <v>0</v>
      </c>
      <c r="N179" s="25">
        <v>42772</v>
      </c>
      <c r="O179" s="104">
        <f t="shared" si="45"/>
        <v>0.12100000000000001</v>
      </c>
      <c r="P179" s="104" t="e">
        <f t="shared" si="46"/>
        <v>#VALUE!</v>
      </c>
      <c r="Q179" s="104" t="e">
        <f t="shared" si="47"/>
        <v>#VALUE!</v>
      </c>
      <c r="R179" s="104">
        <f t="shared" si="48"/>
        <v>502.07468879668056</v>
      </c>
      <c r="S179" s="104">
        <f t="shared" si="49"/>
        <v>0</v>
      </c>
      <c r="T179" s="104">
        <f t="shared" si="50"/>
        <v>0</v>
      </c>
      <c r="V179">
        <f>K179/'Soil samples'!AK162*1000</f>
        <v>0.50901106672024132</v>
      </c>
      <c r="W179">
        <f>L179/'Soil samples'!AK162*1000</f>
        <v>0</v>
      </c>
      <c r="X179" s="3">
        <f>M179/'Soil samples'!AK162*1000</f>
        <v>0</v>
      </c>
      <c r="Y179" s="31">
        <f t="shared" si="55"/>
        <v>2.41E-2</v>
      </c>
      <c r="Z179" s="104">
        <f t="shared" si="56"/>
        <v>2.41E-2</v>
      </c>
      <c r="AA179">
        <f t="shared" si="51"/>
        <v>0.24099999999999999</v>
      </c>
      <c r="AB179">
        <f t="shared" si="51"/>
        <v>0.24099999999999999</v>
      </c>
      <c r="AC179">
        <f t="shared" si="52"/>
        <v>0</v>
      </c>
      <c r="AD179">
        <f t="shared" si="54"/>
        <v>0.24099999999999999</v>
      </c>
      <c r="AF179">
        <f t="shared" si="53"/>
        <v>1.205E-2</v>
      </c>
    </row>
    <row r="180" spans="1:32">
      <c r="A180" s="6" t="s">
        <v>166</v>
      </c>
      <c r="B180" s="6" t="s">
        <v>548</v>
      </c>
      <c r="C180" t="s">
        <v>12</v>
      </c>
      <c r="D180" s="8">
        <v>4</v>
      </c>
      <c r="E180">
        <v>5</v>
      </c>
      <c r="G180" s="54">
        <v>3.7919999999999998</v>
      </c>
      <c r="H180" s="100" t="s">
        <v>469</v>
      </c>
      <c r="I180" s="100" t="s">
        <v>469</v>
      </c>
      <c r="J180" s="25">
        <v>42777</v>
      </c>
      <c r="K180" s="54">
        <v>0.72640000000000005</v>
      </c>
      <c r="L180" s="100">
        <v>0</v>
      </c>
      <c r="M180" s="55">
        <v>0</v>
      </c>
      <c r="N180" s="25">
        <v>42780</v>
      </c>
      <c r="O180" s="104">
        <f t="shared" si="45"/>
        <v>3.0655999999999999</v>
      </c>
      <c r="P180" s="104" t="e">
        <f t="shared" si="46"/>
        <v>#VALUE!</v>
      </c>
      <c r="Q180" s="104" t="e">
        <f t="shared" si="47"/>
        <v>#VALUE!</v>
      </c>
      <c r="R180" s="104">
        <f t="shared" si="48"/>
        <v>422.02643171806164</v>
      </c>
      <c r="S180" s="104">
        <f t="shared" si="49"/>
        <v>0</v>
      </c>
      <c r="T180" s="104">
        <f t="shared" si="50"/>
        <v>0</v>
      </c>
      <c r="V180">
        <f>K180/'Soil samples'!AK163*1000</f>
        <v>46.362051462178762</v>
      </c>
      <c r="W180">
        <f>L180/'Soil samples'!AK163*1000</f>
        <v>0</v>
      </c>
      <c r="X180" s="3">
        <f>M180/'Soil samples'!AK163*1000</f>
        <v>0</v>
      </c>
      <c r="Y180" s="31">
        <f t="shared" si="55"/>
        <v>0.72640000000000005</v>
      </c>
      <c r="Z180" s="104">
        <f t="shared" si="56"/>
        <v>0.72640000000000005</v>
      </c>
      <c r="AA180">
        <f t="shared" si="51"/>
        <v>7.2640000000000011</v>
      </c>
      <c r="AB180">
        <f t="shared" si="51"/>
        <v>7.2640000000000011</v>
      </c>
      <c r="AC180">
        <f t="shared" si="52"/>
        <v>0</v>
      </c>
      <c r="AD180">
        <f t="shared" si="54"/>
        <v>7.2640000000000011</v>
      </c>
      <c r="AF180">
        <f t="shared" si="53"/>
        <v>0.36320000000000008</v>
      </c>
    </row>
    <row r="181" spans="1:32">
      <c r="A181" s="6" t="s">
        <v>167</v>
      </c>
      <c r="B181" s="6" t="s">
        <v>548</v>
      </c>
      <c r="C181" t="s">
        <v>12</v>
      </c>
      <c r="D181" s="8">
        <v>4</v>
      </c>
      <c r="E181">
        <v>10</v>
      </c>
      <c r="G181" s="54">
        <v>6.2229999999999999</v>
      </c>
      <c r="H181" s="100" t="s">
        <v>469</v>
      </c>
      <c r="I181" s="100" t="s">
        <v>469</v>
      </c>
      <c r="J181" s="25">
        <v>42777</v>
      </c>
      <c r="K181" s="54">
        <v>0.92349999999999999</v>
      </c>
      <c r="L181" s="100">
        <v>0</v>
      </c>
      <c r="M181" s="55">
        <v>0</v>
      </c>
      <c r="N181" s="25">
        <v>42780</v>
      </c>
      <c r="O181" s="104">
        <f t="shared" si="45"/>
        <v>5.2995000000000001</v>
      </c>
      <c r="P181" s="104" t="e">
        <f t="shared" si="46"/>
        <v>#VALUE!</v>
      </c>
      <c r="Q181" s="104" t="e">
        <f t="shared" si="47"/>
        <v>#VALUE!</v>
      </c>
      <c r="R181" s="104">
        <f t="shared" si="48"/>
        <v>573.84948565240938</v>
      </c>
      <c r="S181" s="104">
        <f t="shared" si="49"/>
        <v>0</v>
      </c>
      <c r="T181" s="104">
        <f t="shared" si="50"/>
        <v>0</v>
      </c>
      <c r="V181">
        <f>K181/'Soil samples'!AK164*1000</f>
        <v>39.598965603552386</v>
      </c>
      <c r="W181">
        <f>L181/'Soil samples'!AK164*1000</f>
        <v>0</v>
      </c>
      <c r="X181" s="3">
        <f>M181/'Soil samples'!AK164*1000</f>
        <v>0</v>
      </c>
      <c r="Y181" s="31">
        <f t="shared" si="55"/>
        <v>0.92349999999999999</v>
      </c>
      <c r="Z181" s="104">
        <f t="shared" si="56"/>
        <v>0.92349999999999999</v>
      </c>
      <c r="AA181">
        <f t="shared" si="51"/>
        <v>9.2349999999999994</v>
      </c>
      <c r="AB181">
        <f t="shared" si="51"/>
        <v>9.2349999999999994</v>
      </c>
      <c r="AC181">
        <f t="shared" si="52"/>
        <v>0</v>
      </c>
      <c r="AD181">
        <f t="shared" si="54"/>
        <v>9.2349999999999994</v>
      </c>
      <c r="AF181">
        <f t="shared" si="53"/>
        <v>0.46174999999999999</v>
      </c>
    </row>
    <row r="182" spans="1:32">
      <c r="A182" s="6" t="s">
        <v>168</v>
      </c>
      <c r="B182" s="6" t="s">
        <v>548</v>
      </c>
      <c r="C182" t="s">
        <v>12</v>
      </c>
      <c r="D182" s="8">
        <v>4</v>
      </c>
      <c r="E182">
        <v>20</v>
      </c>
      <c r="G182" s="54">
        <v>2.2509999999999999</v>
      </c>
      <c r="H182" s="100">
        <v>8.6999999999999994E-2</v>
      </c>
      <c r="I182" s="100" t="s">
        <v>469</v>
      </c>
      <c r="J182" s="25">
        <v>42777</v>
      </c>
      <c r="K182" s="54">
        <v>0.3584</v>
      </c>
      <c r="L182" s="100">
        <v>1.8700000000000001E-2</v>
      </c>
      <c r="M182" s="55">
        <v>0</v>
      </c>
      <c r="N182" s="25">
        <v>42780</v>
      </c>
      <c r="O182" s="104">
        <f t="shared" si="45"/>
        <v>1.8925999999999998</v>
      </c>
      <c r="P182" s="104">
        <f t="shared" si="46"/>
        <v>6.83E-2</v>
      </c>
      <c r="Q182" s="104" t="e">
        <f t="shared" si="47"/>
        <v>#VALUE!</v>
      </c>
      <c r="R182" s="104">
        <f t="shared" si="48"/>
        <v>528.06919642857133</v>
      </c>
      <c r="S182" s="104">
        <f t="shared" si="49"/>
        <v>365.2406417112299</v>
      </c>
      <c r="T182" s="104">
        <f t="shared" si="50"/>
        <v>0</v>
      </c>
      <c r="V182">
        <f>K182/'Soil samples'!AK165*1000</f>
        <v>10.923676223478408</v>
      </c>
      <c r="W182">
        <f>L182/'Soil samples'!AK165*1000</f>
        <v>0.56995743688349954</v>
      </c>
      <c r="X182" s="3">
        <f>M182/'Soil samples'!AK165*1000</f>
        <v>0</v>
      </c>
      <c r="Y182" s="31">
        <f t="shared" si="55"/>
        <v>0.37709999999999999</v>
      </c>
      <c r="Z182" s="104">
        <f t="shared" si="56"/>
        <v>0.37709999999999999</v>
      </c>
      <c r="AA182">
        <f t="shared" si="51"/>
        <v>3.7709999999999999</v>
      </c>
      <c r="AB182">
        <f t="shared" si="51"/>
        <v>3.7709999999999999</v>
      </c>
      <c r="AC182">
        <f t="shared" si="52"/>
        <v>0</v>
      </c>
      <c r="AD182">
        <f t="shared" si="54"/>
        <v>3.5840000000000001</v>
      </c>
      <c r="AF182">
        <f t="shared" si="53"/>
        <v>0.18855</v>
      </c>
    </row>
    <row r="183" spans="1:32">
      <c r="A183" s="6" t="s">
        <v>169</v>
      </c>
      <c r="B183" s="6" t="s">
        <v>548</v>
      </c>
      <c r="C183" t="s">
        <v>12</v>
      </c>
      <c r="D183" s="8">
        <v>4</v>
      </c>
      <c r="E183">
        <v>30</v>
      </c>
      <c r="G183" s="54">
        <v>0.80640000000000001</v>
      </c>
      <c r="H183" s="100" t="s">
        <v>469</v>
      </c>
      <c r="I183" s="100" t="s">
        <v>469</v>
      </c>
      <c r="J183" s="25">
        <v>42777</v>
      </c>
      <c r="K183" s="54">
        <v>0.1414</v>
      </c>
      <c r="L183" s="100">
        <v>0</v>
      </c>
      <c r="M183" s="55">
        <v>0</v>
      </c>
      <c r="N183" s="25">
        <v>42780</v>
      </c>
      <c r="O183" s="104">
        <f t="shared" si="45"/>
        <v>0.66500000000000004</v>
      </c>
      <c r="P183" s="104" t="e">
        <f t="shared" si="46"/>
        <v>#VALUE!</v>
      </c>
      <c r="Q183" s="104" t="e">
        <f t="shared" si="47"/>
        <v>#VALUE!</v>
      </c>
      <c r="R183" s="104">
        <f t="shared" si="48"/>
        <v>470.29702970297035</v>
      </c>
      <c r="S183" s="104">
        <f t="shared" si="49"/>
        <v>0</v>
      </c>
      <c r="T183" s="104">
        <f t="shared" si="50"/>
        <v>0</v>
      </c>
      <c r="V183">
        <f>K183/'Soil samples'!AK166*1000</f>
        <v>3.2826110911071251</v>
      </c>
      <c r="W183">
        <f>L183/'Soil samples'!AK166*1000</f>
        <v>0</v>
      </c>
      <c r="X183" s="3">
        <f>M183/'Soil samples'!AK166*1000</f>
        <v>0</v>
      </c>
      <c r="Y183" s="31">
        <f t="shared" si="55"/>
        <v>0.1414</v>
      </c>
      <c r="Z183" s="104">
        <f t="shared" si="56"/>
        <v>0.1414</v>
      </c>
      <c r="AA183">
        <f t="shared" si="51"/>
        <v>1.4139999999999999</v>
      </c>
      <c r="AB183">
        <f t="shared" si="51"/>
        <v>1.4139999999999999</v>
      </c>
      <c r="AC183">
        <f t="shared" si="52"/>
        <v>0</v>
      </c>
      <c r="AD183">
        <f t="shared" si="54"/>
        <v>1.4139999999999999</v>
      </c>
      <c r="AF183">
        <f t="shared" si="53"/>
        <v>7.0699999999999999E-2</v>
      </c>
    </row>
    <row r="184" spans="1:32">
      <c r="A184" s="6" t="s">
        <v>170</v>
      </c>
      <c r="B184" s="6" t="s">
        <v>548</v>
      </c>
      <c r="C184" t="s">
        <v>12</v>
      </c>
      <c r="D184" s="8">
        <v>5</v>
      </c>
      <c r="E184">
        <v>5</v>
      </c>
      <c r="F184" t="s">
        <v>376</v>
      </c>
      <c r="G184" s="54">
        <v>1.5914999999999999</v>
      </c>
      <c r="H184" s="55">
        <v>0.1343</v>
      </c>
      <c r="I184" s="55">
        <v>0.2341</v>
      </c>
      <c r="J184" s="25">
        <v>42755</v>
      </c>
      <c r="K184" s="54">
        <v>0.37590000000000001</v>
      </c>
      <c r="L184" s="100">
        <v>3.8800000000000001E-2</v>
      </c>
      <c r="M184" s="55">
        <v>5.3600000000000002E-2</v>
      </c>
      <c r="N184" s="25"/>
      <c r="O184" s="104">
        <f t="shared" si="45"/>
        <v>1.2155999999999998</v>
      </c>
      <c r="P184" s="104">
        <f t="shared" si="46"/>
        <v>9.5500000000000002E-2</v>
      </c>
      <c r="Q184" s="104">
        <f t="shared" si="47"/>
        <v>0.18049999999999999</v>
      </c>
      <c r="R184" s="104">
        <f t="shared" si="48"/>
        <v>323.38387869114121</v>
      </c>
      <c r="S184" s="104">
        <f t="shared" si="49"/>
        <v>246.13402061855672</v>
      </c>
      <c r="T184" s="104">
        <f t="shared" si="50"/>
        <v>336.75373134328356</v>
      </c>
      <c r="V184" t="e">
        <f>K184/'Soil samples'!AK167*1000</f>
        <v>#VALUE!</v>
      </c>
      <c r="W184" t="e">
        <f>L184/'Soil samples'!AK167*1000</f>
        <v>#VALUE!</v>
      </c>
      <c r="X184" s="3" t="e">
        <f>M184/'Soil samples'!AK167*1000</f>
        <v>#VALUE!</v>
      </c>
      <c r="Y184" s="31">
        <f t="shared" si="55"/>
        <v>0.41470000000000001</v>
      </c>
      <c r="Z184" s="104">
        <f t="shared" si="56"/>
        <v>0.46829999999999999</v>
      </c>
      <c r="AA184">
        <f t="shared" si="51"/>
        <v>4.1470000000000002</v>
      </c>
      <c r="AB184">
        <f t="shared" si="51"/>
        <v>4.6829999999999998</v>
      </c>
      <c r="AC184">
        <f t="shared" si="52"/>
        <v>0.53600000000000003</v>
      </c>
      <c r="AD184">
        <f t="shared" si="54"/>
        <v>3.7589999999999999</v>
      </c>
      <c r="AF184">
        <f t="shared" si="53"/>
        <v>0.23415</v>
      </c>
    </row>
    <row r="185" spans="1:32">
      <c r="A185" s="6" t="s">
        <v>171</v>
      </c>
      <c r="B185" s="6" t="s">
        <v>548</v>
      </c>
      <c r="C185" t="s">
        <v>12</v>
      </c>
      <c r="D185" s="8">
        <v>5</v>
      </c>
      <c r="E185">
        <v>10</v>
      </c>
      <c r="G185" s="54">
        <v>0.3982</v>
      </c>
      <c r="H185" s="55" t="s">
        <v>469</v>
      </c>
      <c r="I185" s="55" t="s">
        <v>469</v>
      </c>
      <c r="J185" s="25">
        <v>42755</v>
      </c>
      <c r="K185" s="54">
        <v>8.4900000000000003E-2</v>
      </c>
      <c r="L185" s="55">
        <v>0</v>
      </c>
      <c r="M185" s="55">
        <v>0</v>
      </c>
      <c r="O185" s="104">
        <f t="shared" si="45"/>
        <v>0.31330000000000002</v>
      </c>
      <c r="P185" s="104" t="e">
        <f t="shared" si="46"/>
        <v>#VALUE!</v>
      </c>
      <c r="Q185" s="104" t="e">
        <f t="shared" si="47"/>
        <v>#VALUE!</v>
      </c>
      <c r="R185" s="104">
        <f t="shared" si="48"/>
        <v>369.02237926972907</v>
      </c>
      <c r="S185" s="104">
        <f t="shared" si="49"/>
        <v>0</v>
      </c>
      <c r="T185" s="104">
        <f t="shared" si="50"/>
        <v>0</v>
      </c>
      <c r="V185">
        <f>K185/'Soil samples'!AK168*1000</f>
        <v>2.0257021507357811</v>
      </c>
      <c r="W185">
        <f>L185/'Soil samples'!AK168*1000</f>
        <v>0</v>
      </c>
      <c r="X185" s="3">
        <f>M185/'Soil samples'!AK168*1000</f>
        <v>0</v>
      </c>
      <c r="Y185" s="31">
        <f t="shared" si="55"/>
        <v>8.4900000000000003E-2</v>
      </c>
      <c r="Z185" s="104">
        <f t="shared" si="56"/>
        <v>8.4900000000000003E-2</v>
      </c>
      <c r="AA185">
        <f t="shared" si="51"/>
        <v>0.84899999999999998</v>
      </c>
      <c r="AB185">
        <f t="shared" si="51"/>
        <v>0.84899999999999998</v>
      </c>
      <c r="AC185">
        <f t="shared" si="52"/>
        <v>0</v>
      </c>
      <c r="AD185">
        <f t="shared" si="54"/>
        <v>0.84899999999999998</v>
      </c>
      <c r="AF185">
        <f t="shared" si="53"/>
        <v>4.2450000000000002E-2</v>
      </c>
    </row>
    <row r="186" spans="1:32">
      <c r="A186" s="6" t="s">
        <v>172</v>
      </c>
      <c r="B186" s="6" t="s">
        <v>548</v>
      </c>
      <c r="C186" t="s">
        <v>12</v>
      </c>
      <c r="D186" s="8">
        <v>5</v>
      </c>
      <c r="E186">
        <v>20</v>
      </c>
      <c r="G186" s="54">
        <v>0.49940000000000001</v>
      </c>
      <c r="H186" s="55" t="s">
        <v>469</v>
      </c>
      <c r="I186" s="55" t="s">
        <v>469</v>
      </c>
      <c r="J186" s="25">
        <v>42755</v>
      </c>
      <c r="K186" s="54">
        <v>9.11E-2</v>
      </c>
      <c r="L186" s="55">
        <v>0</v>
      </c>
      <c r="M186" s="55">
        <v>0</v>
      </c>
      <c r="O186" s="104">
        <f t="shared" si="45"/>
        <v>0.4083</v>
      </c>
      <c r="P186" s="104" t="e">
        <f t="shared" si="46"/>
        <v>#VALUE!</v>
      </c>
      <c r="Q186" s="104" t="e">
        <f t="shared" si="47"/>
        <v>#VALUE!</v>
      </c>
      <c r="R186" s="104">
        <f t="shared" si="48"/>
        <v>448.18880351262351</v>
      </c>
      <c r="S186" s="104">
        <f t="shared" si="49"/>
        <v>0</v>
      </c>
      <c r="T186" s="104">
        <f t="shared" si="50"/>
        <v>0</v>
      </c>
      <c r="V186">
        <f>K186/'Soil samples'!AK169*1000</f>
        <v>2.5201563596271419</v>
      </c>
      <c r="W186">
        <f>L186/'Soil samples'!AK169*1000</f>
        <v>0</v>
      </c>
      <c r="X186" s="3">
        <f>M186/'Soil samples'!AK169*1000</f>
        <v>0</v>
      </c>
      <c r="Y186" s="31">
        <f t="shared" si="55"/>
        <v>9.11E-2</v>
      </c>
      <c r="Z186" s="104">
        <f t="shared" si="56"/>
        <v>9.11E-2</v>
      </c>
      <c r="AA186">
        <f t="shared" si="51"/>
        <v>0.91100000000000003</v>
      </c>
      <c r="AB186">
        <f t="shared" si="51"/>
        <v>0.91100000000000003</v>
      </c>
      <c r="AC186">
        <f t="shared" si="52"/>
        <v>0</v>
      </c>
      <c r="AD186">
        <f t="shared" si="54"/>
        <v>0.91100000000000003</v>
      </c>
      <c r="AF186">
        <f t="shared" si="53"/>
        <v>4.5550000000000007E-2</v>
      </c>
    </row>
    <row r="187" spans="1:32">
      <c r="A187" s="6" t="s">
        <v>173</v>
      </c>
      <c r="B187" s="6" t="s">
        <v>548</v>
      </c>
      <c r="C187" t="s">
        <v>12</v>
      </c>
      <c r="D187" s="8">
        <v>5</v>
      </c>
      <c r="E187">
        <v>30</v>
      </c>
      <c r="G187" s="54">
        <v>0.1721</v>
      </c>
      <c r="H187" s="55" t="s">
        <v>469</v>
      </c>
      <c r="I187" s="55" t="s">
        <v>469</v>
      </c>
      <c r="J187" s="25">
        <v>42755</v>
      </c>
      <c r="K187" s="54">
        <v>3.8600000000000002E-2</v>
      </c>
      <c r="L187" s="55">
        <v>0</v>
      </c>
      <c r="M187" s="55">
        <v>0</v>
      </c>
      <c r="O187" s="104">
        <f t="shared" si="45"/>
        <v>0.13350000000000001</v>
      </c>
      <c r="P187" s="104" t="e">
        <f t="shared" si="46"/>
        <v>#VALUE!</v>
      </c>
      <c r="Q187" s="104" t="e">
        <f t="shared" si="47"/>
        <v>#VALUE!</v>
      </c>
      <c r="R187" s="104">
        <f t="shared" si="48"/>
        <v>345.85492227979273</v>
      </c>
      <c r="S187" s="104">
        <f t="shared" si="49"/>
        <v>0</v>
      </c>
      <c r="T187" s="104">
        <f t="shared" si="50"/>
        <v>0</v>
      </c>
      <c r="V187">
        <f>K187/'Soil samples'!AK170*1000</f>
        <v>1.0025854284689935</v>
      </c>
      <c r="W187">
        <f>L187/'Soil samples'!AK170*1000</f>
        <v>0</v>
      </c>
      <c r="X187" s="3">
        <f>M187/'Soil samples'!AK170*1000</f>
        <v>0</v>
      </c>
      <c r="Y187" s="31">
        <f t="shared" si="55"/>
        <v>3.8600000000000002E-2</v>
      </c>
      <c r="Z187" s="104">
        <f t="shared" si="56"/>
        <v>3.8600000000000002E-2</v>
      </c>
      <c r="AA187">
        <f t="shared" si="51"/>
        <v>0.38600000000000001</v>
      </c>
      <c r="AB187">
        <f t="shared" si="51"/>
        <v>0.38600000000000001</v>
      </c>
      <c r="AC187">
        <f t="shared" si="52"/>
        <v>0</v>
      </c>
      <c r="AD187">
        <f t="shared" si="54"/>
        <v>0.38600000000000001</v>
      </c>
      <c r="AF187">
        <f t="shared" si="53"/>
        <v>1.9300000000000001E-2</v>
      </c>
    </row>
    <row r="188" spans="1:32">
      <c r="A188" s="6" t="s">
        <v>174</v>
      </c>
      <c r="B188" s="6" t="s">
        <v>548</v>
      </c>
      <c r="C188" t="s">
        <v>12</v>
      </c>
      <c r="D188" s="8">
        <v>6</v>
      </c>
      <c r="E188">
        <v>5</v>
      </c>
      <c r="F188" t="s">
        <v>376</v>
      </c>
      <c r="G188" s="54">
        <v>6.5861000000000001</v>
      </c>
      <c r="H188" s="55">
        <v>0.56289999999999996</v>
      </c>
      <c r="I188" s="55" t="s">
        <v>469</v>
      </c>
      <c r="J188" s="25">
        <v>42822</v>
      </c>
      <c r="K188" s="54">
        <v>0.92079999999999995</v>
      </c>
      <c r="L188" s="55">
        <v>9.4700000000000006E-2</v>
      </c>
      <c r="M188" s="55">
        <v>0</v>
      </c>
      <c r="N188" s="25">
        <v>42825</v>
      </c>
      <c r="O188" s="104">
        <f t="shared" si="45"/>
        <v>5.6653000000000002</v>
      </c>
      <c r="P188" s="104">
        <f t="shared" si="46"/>
        <v>0.46819999999999995</v>
      </c>
      <c r="Q188" s="104" t="e">
        <f t="shared" si="47"/>
        <v>#VALUE!</v>
      </c>
      <c r="R188" s="104">
        <f t="shared" si="48"/>
        <v>615.25847089487411</v>
      </c>
      <c r="S188" s="104">
        <f t="shared" si="49"/>
        <v>494.403379091869</v>
      </c>
      <c r="T188" s="104">
        <f t="shared" si="50"/>
        <v>0</v>
      </c>
      <c r="V188">
        <f>K188/'Soil samples'!AK171*1000</f>
        <v>626.52993070689945</v>
      </c>
      <c r="W188">
        <f>L188/'Soil samples'!AK171*1000</f>
        <v>64.435691179347714</v>
      </c>
      <c r="X188" s="3">
        <f>M188/'Soil samples'!AK171*1000</f>
        <v>0</v>
      </c>
      <c r="Y188" s="31">
        <f t="shared" si="55"/>
        <v>1.0154999999999998</v>
      </c>
      <c r="Z188" s="104">
        <f t="shared" si="56"/>
        <v>1.0154999999999998</v>
      </c>
      <c r="AA188">
        <f t="shared" si="51"/>
        <v>10.154999999999998</v>
      </c>
      <c r="AB188">
        <f t="shared" si="51"/>
        <v>10.154999999999998</v>
      </c>
      <c r="AC188">
        <f t="shared" si="52"/>
        <v>0</v>
      </c>
      <c r="AD188">
        <f t="shared" si="54"/>
        <v>9.2080000000000002</v>
      </c>
      <c r="AF188">
        <f t="shared" si="53"/>
        <v>0.50774999999999992</v>
      </c>
    </row>
    <row r="189" spans="1:32">
      <c r="A189" s="6" t="s">
        <v>175</v>
      </c>
      <c r="B189" s="6" t="s">
        <v>548</v>
      </c>
      <c r="C189" t="s">
        <v>12</v>
      </c>
      <c r="D189" s="8">
        <v>6</v>
      </c>
      <c r="E189">
        <v>10</v>
      </c>
      <c r="G189" s="54">
        <v>1.2828999999999999</v>
      </c>
      <c r="H189" s="55">
        <v>0.22059999999999999</v>
      </c>
      <c r="I189" s="55" t="s">
        <v>469</v>
      </c>
      <c r="J189" s="25">
        <v>42821</v>
      </c>
      <c r="K189" s="54">
        <v>0.1978</v>
      </c>
      <c r="L189" s="55">
        <v>3.5200000000000002E-2</v>
      </c>
      <c r="M189" s="55">
        <v>0</v>
      </c>
      <c r="N189" s="25">
        <v>42823</v>
      </c>
      <c r="O189" s="104">
        <f t="shared" si="45"/>
        <v>1.0851</v>
      </c>
      <c r="P189" s="104">
        <f t="shared" si="46"/>
        <v>0.18539999999999998</v>
      </c>
      <c r="Q189" s="104" t="e">
        <f t="shared" si="47"/>
        <v>#VALUE!</v>
      </c>
      <c r="R189" s="104">
        <f t="shared" si="48"/>
        <v>548.58442871587454</v>
      </c>
      <c r="S189" s="104">
        <f t="shared" si="49"/>
        <v>526.70454545454538</v>
      </c>
      <c r="T189" s="104">
        <f t="shared" si="50"/>
        <v>0</v>
      </c>
      <c r="V189">
        <f>K189/'Soil samples'!AK172*1000</f>
        <v>10.976310171120794</v>
      </c>
      <c r="W189">
        <f>L189/'Soil samples'!AK172*1000</f>
        <v>1.9533170779749849</v>
      </c>
      <c r="X189" s="3">
        <f>M189/'Soil samples'!AK172*1000</f>
        <v>0</v>
      </c>
      <c r="Y189" s="31">
        <f t="shared" si="55"/>
        <v>0.23300000000000001</v>
      </c>
      <c r="Z189" s="104">
        <f t="shared" si="56"/>
        <v>0.23300000000000001</v>
      </c>
      <c r="AA189">
        <f t="shared" si="51"/>
        <v>2.33</v>
      </c>
      <c r="AB189">
        <f t="shared" si="51"/>
        <v>2.33</v>
      </c>
      <c r="AC189">
        <f t="shared" si="52"/>
        <v>0</v>
      </c>
      <c r="AD189">
        <f t="shared" si="54"/>
        <v>1.978</v>
      </c>
      <c r="AF189">
        <f t="shared" si="53"/>
        <v>0.11650000000000001</v>
      </c>
    </row>
    <row r="190" spans="1:32">
      <c r="A190" s="6" t="s">
        <v>176</v>
      </c>
      <c r="B190" s="6" t="s">
        <v>548</v>
      </c>
      <c r="C190" t="s">
        <v>12</v>
      </c>
      <c r="D190" s="8">
        <v>6</v>
      </c>
      <c r="E190">
        <v>20</v>
      </c>
      <c r="G190" s="54">
        <v>0.5333</v>
      </c>
      <c r="H190" s="55">
        <v>8.6199999999999999E-2</v>
      </c>
      <c r="I190" s="55" t="s">
        <v>469</v>
      </c>
      <c r="J190" s="25">
        <v>42821</v>
      </c>
      <c r="K190" s="54">
        <v>9.8299999999999998E-2</v>
      </c>
      <c r="L190" s="55">
        <v>2.1000000000000001E-2</v>
      </c>
      <c r="M190" s="55">
        <v>0</v>
      </c>
      <c r="N190" s="25">
        <v>42823</v>
      </c>
      <c r="O190" s="104">
        <f t="shared" si="45"/>
        <v>0.435</v>
      </c>
      <c r="P190" s="104">
        <f t="shared" si="46"/>
        <v>6.5199999999999994E-2</v>
      </c>
      <c r="Q190" s="104" t="e">
        <f t="shared" si="47"/>
        <v>#VALUE!</v>
      </c>
      <c r="R190" s="104">
        <f t="shared" si="48"/>
        <v>442.52288911495424</v>
      </c>
      <c r="S190" s="104">
        <f t="shared" si="49"/>
        <v>310.47619047619042</v>
      </c>
      <c r="T190" s="104">
        <f t="shared" si="50"/>
        <v>0</v>
      </c>
      <c r="V190">
        <f>K190/'Soil samples'!AK173*1000</f>
        <v>2.7480388922212864</v>
      </c>
      <c r="W190">
        <f>L190/'Soil samples'!AK173*1000</f>
        <v>0.58706832895876937</v>
      </c>
      <c r="X190" s="3">
        <f>M190/'Soil samples'!AK173*1000</f>
        <v>0</v>
      </c>
      <c r="Y190" s="31">
        <f t="shared" si="55"/>
        <v>0.1193</v>
      </c>
      <c r="Z190" s="104">
        <f t="shared" si="56"/>
        <v>0.1193</v>
      </c>
      <c r="AA190">
        <f t="shared" si="51"/>
        <v>1.1930000000000001</v>
      </c>
      <c r="AB190">
        <f t="shared" si="51"/>
        <v>1.1930000000000001</v>
      </c>
      <c r="AC190">
        <f t="shared" si="52"/>
        <v>0</v>
      </c>
      <c r="AD190">
        <f t="shared" si="54"/>
        <v>0.98299999999999998</v>
      </c>
      <c r="AF190">
        <f t="shared" si="53"/>
        <v>5.9650000000000009E-2</v>
      </c>
    </row>
    <row r="191" spans="1:32">
      <c r="A191" s="6" t="s">
        <v>177</v>
      </c>
      <c r="B191" s="6" t="s">
        <v>548</v>
      </c>
      <c r="C191" t="s">
        <v>12</v>
      </c>
      <c r="D191" s="8">
        <v>6</v>
      </c>
      <c r="E191">
        <v>30</v>
      </c>
      <c r="G191" s="54">
        <v>0.18640000000000001</v>
      </c>
      <c r="H191" s="55" t="s">
        <v>469</v>
      </c>
      <c r="I191" s="55" t="s">
        <v>469</v>
      </c>
      <c r="J191" s="25">
        <v>42821</v>
      </c>
      <c r="K191" s="54">
        <v>3.9100000000000003E-2</v>
      </c>
      <c r="L191" s="55">
        <v>0</v>
      </c>
      <c r="M191" s="55">
        <v>0</v>
      </c>
      <c r="N191" s="25">
        <v>42823</v>
      </c>
      <c r="O191" s="104">
        <f t="shared" si="45"/>
        <v>0.14730000000000001</v>
      </c>
      <c r="P191" s="104" t="e">
        <f t="shared" si="46"/>
        <v>#VALUE!</v>
      </c>
      <c r="Q191" s="104" t="e">
        <f t="shared" si="47"/>
        <v>#VALUE!</v>
      </c>
      <c r="R191" s="104">
        <f t="shared" si="48"/>
        <v>376.72634271099741</v>
      </c>
      <c r="S191" s="104">
        <f t="shared" si="49"/>
        <v>0</v>
      </c>
      <c r="T191" s="104">
        <f t="shared" si="50"/>
        <v>0</v>
      </c>
      <c r="V191">
        <f>K191/'Soil samples'!AK174*1000</f>
        <v>0.99185092581499479</v>
      </c>
      <c r="W191">
        <f>L191/'Soil samples'!AK174*1000</f>
        <v>0</v>
      </c>
      <c r="X191" s="3">
        <f>M191/'Soil samples'!AK174*1000</f>
        <v>0</v>
      </c>
      <c r="Y191" s="31">
        <f t="shared" si="55"/>
        <v>3.9100000000000003E-2</v>
      </c>
      <c r="Z191" s="104">
        <f t="shared" si="56"/>
        <v>3.9100000000000003E-2</v>
      </c>
      <c r="AA191">
        <f t="shared" si="51"/>
        <v>0.39100000000000001</v>
      </c>
      <c r="AB191">
        <f t="shared" si="51"/>
        <v>0.39100000000000001</v>
      </c>
      <c r="AC191">
        <f t="shared" si="52"/>
        <v>0</v>
      </c>
      <c r="AD191">
        <f t="shared" si="54"/>
        <v>0.39100000000000001</v>
      </c>
      <c r="AF191">
        <f t="shared" si="53"/>
        <v>1.9550000000000001E-2</v>
      </c>
    </row>
    <row r="192" spans="1:32">
      <c r="A192" s="6" t="s">
        <v>178</v>
      </c>
      <c r="B192" s="6" t="s">
        <v>548</v>
      </c>
      <c r="C192" t="s">
        <v>13</v>
      </c>
      <c r="D192" s="8">
        <v>1</v>
      </c>
      <c r="E192">
        <v>5</v>
      </c>
      <c r="G192" s="54">
        <v>1.2184999999999999</v>
      </c>
      <c r="H192" s="55">
        <v>0.67779999999999996</v>
      </c>
      <c r="I192" s="55" t="s">
        <v>469</v>
      </c>
      <c r="J192" s="25">
        <v>42777</v>
      </c>
      <c r="K192" s="54">
        <v>0.33910000000000001</v>
      </c>
      <c r="L192" s="100">
        <v>0.24840000000000001</v>
      </c>
      <c r="M192" s="55">
        <v>0</v>
      </c>
      <c r="N192" s="25">
        <v>42780</v>
      </c>
      <c r="O192" s="104">
        <f t="shared" si="45"/>
        <v>0.87939999999999996</v>
      </c>
      <c r="P192" s="104">
        <f t="shared" si="46"/>
        <v>0.42939999999999995</v>
      </c>
      <c r="Q192" s="104" t="e">
        <f t="shared" si="47"/>
        <v>#VALUE!</v>
      </c>
      <c r="R192" s="104">
        <f t="shared" si="48"/>
        <v>259.33352993217341</v>
      </c>
      <c r="S192" s="104">
        <f t="shared" si="49"/>
        <v>172.86634460547501</v>
      </c>
      <c r="T192" s="104">
        <f t="shared" si="50"/>
        <v>0</v>
      </c>
      <c r="V192">
        <f>K192/'Soil samples'!AK175*1000</f>
        <v>35.921687419201639</v>
      </c>
      <c r="W192">
        <f>L192/'Soil samples'!AK175*1000</f>
        <v>26.313615909553782</v>
      </c>
      <c r="X192" s="3">
        <f>M192/'Soil samples'!AK175*1000</f>
        <v>0</v>
      </c>
      <c r="Y192" s="31">
        <f t="shared" si="55"/>
        <v>0.58750000000000002</v>
      </c>
      <c r="Z192" s="104">
        <f t="shared" si="56"/>
        <v>0.58750000000000002</v>
      </c>
      <c r="AA192">
        <f t="shared" si="51"/>
        <v>5.875</v>
      </c>
      <c r="AB192">
        <f t="shared" si="51"/>
        <v>5.875</v>
      </c>
      <c r="AC192">
        <f t="shared" si="52"/>
        <v>0</v>
      </c>
      <c r="AD192">
        <f t="shared" si="54"/>
        <v>3.391</v>
      </c>
      <c r="AF192">
        <f t="shared" si="53"/>
        <v>0.29375000000000001</v>
      </c>
    </row>
    <row r="193" spans="1:32">
      <c r="A193" s="6" t="s">
        <v>179</v>
      </c>
      <c r="B193" s="6" t="s">
        <v>548</v>
      </c>
      <c r="C193" t="s">
        <v>13</v>
      </c>
      <c r="D193" s="8">
        <v>1</v>
      </c>
      <c r="E193">
        <v>10</v>
      </c>
      <c r="G193" s="54">
        <v>0.66679999999999995</v>
      </c>
      <c r="H193" s="55">
        <v>0.2268</v>
      </c>
      <c r="I193" s="55" t="s">
        <v>469</v>
      </c>
      <c r="J193" s="25">
        <v>42777</v>
      </c>
      <c r="K193" s="54">
        <v>0.19500000000000001</v>
      </c>
      <c r="L193" s="100">
        <v>6.6699999999999995E-2</v>
      </c>
      <c r="M193" s="55">
        <v>0</v>
      </c>
      <c r="N193" s="25">
        <v>42780</v>
      </c>
      <c r="O193" s="104">
        <f t="shared" si="45"/>
        <v>0.47179999999999994</v>
      </c>
      <c r="P193" s="104">
        <f t="shared" si="46"/>
        <v>0.16010000000000002</v>
      </c>
      <c r="Q193" s="104" t="e">
        <f t="shared" si="47"/>
        <v>#VALUE!</v>
      </c>
      <c r="R193" s="104">
        <f t="shared" si="48"/>
        <v>241.9487179487179</v>
      </c>
      <c r="S193" s="104">
        <f t="shared" si="49"/>
        <v>240.02998500749629</v>
      </c>
      <c r="T193" s="104">
        <f t="shared" si="50"/>
        <v>0</v>
      </c>
      <c r="V193">
        <f>K193/'Soil samples'!AK176*1000</f>
        <v>6.8206764147180996</v>
      </c>
      <c r="W193">
        <f>L193/'Soil samples'!AK176*1000</f>
        <v>2.3330211121112674</v>
      </c>
      <c r="X193" s="3">
        <f>M193/'Soil samples'!AK176*1000</f>
        <v>0</v>
      </c>
      <c r="Y193" s="31">
        <f t="shared" si="55"/>
        <v>0.26169999999999999</v>
      </c>
      <c r="Z193" s="104">
        <f t="shared" si="56"/>
        <v>0.26169999999999999</v>
      </c>
      <c r="AA193">
        <f t="shared" si="51"/>
        <v>2.617</v>
      </c>
      <c r="AB193">
        <f t="shared" si="51"/>
        <v>2.617</v>
      </c>
      <c r="AC193">
        <f t="shared" si="52"/>
        <v>0</v>
      </c>
      <c r="AD193">
        <f t="shared" si="54"/>
        <v>1.95</v>
      </c>
      <c r="AF193">
        <f t="shared" si="53"/>
        <v>0.13084999999999999</v>
      </c>
    </row>
    <row r="194" spans="1:32">
      <c r="A194" s="6" t="s">
        <v>180</v>
      </c>
      <c r="B194" s="6" t="s">
        <v>548</v>
      </c>
      <c r="C194" t="s">
        <v>13</v>
      </c>
      <c r="D194" s="8">
        <v>1</v>
      </c>
      <c r="E194">
        <v>20</v>
      </c>
      <c r="G194" s="54">
        <v>2.7E-2</v>
      </c>
      <c r="H194" s="55">
        <v>9.69E-2</v>
      </c>
      <c r="I194" s="55" t="s">
        <v>469</v>
      </c>
      <c r="J194" s="25">
        <v>42777</v>
      </c>
      <c r="K194" s="54">
        <v>7.7000000000000002E-3</v>
      </c>
      <c r="L194" s="100">
        <v>2.41E-2</v>
      </c>
      <c r="M194" s="55">
        <v>0</v>
      </c>
      <c r="N194" s="25">
        <v>42780</v>
      </c>
      <c r="O194" s="104">
        <f t="shared" si="45"/>
        <v>1.9299999999999998E-2</v>
      </c>
      <c r="P194" s="104">
        <f t="shared" si="46"/>
        <v>7.2800000000000004E-2</v>
      </c>
      <c r="Q194" s="104" t="e">
        <f t="shared" si="47"/>
        <v>#VALUE!</v>
      </c>
      <c r="R194" s="104">
        <f t="shared" si="48"/>
        <v>250.64935064935062</v>
      </c>
      <c r="S194" s="104">
        <f t="shared" si="49"/>
        <v>302.07468879668056</v>
      </c>
      <c r="T194" s="104">
        <f t="shared" si="50"/>
        <v>0</v>
      </c>
      <c r="V194">
        <f>K194/'Soil samples'!AK177*1000</f>
        <v>0.23906582661853168</v>
      </c>
      <c r="W194">
        <f>L194/'Soil samples'!AK177*1000</f>
        <v>0.7482449898060537</v>
      </c>
      <c r="X194" s="3">
        <f>M194/'Soil samples'!AK177*1000</f>
        <v>0</v>
      </c>
      <c r="Y194" s="31">
        <f t="shared" si="55"/>
        <v>3.1800000000000002E-2</v>
      </c>
      <c r="Z194" s="104">
        <f t="shared" si="56"/>
        <v>3.1800000000000002E-2</v>
      </c>
      <c r="AA194">
        <f t="shared" si="51"/>
        <v>0.318</v>
      </c>
      <c r="AB194">
        <f t="shared" si="51"/>
        <v>0.318</v>
      </c>
      <c r="AC194">
        <f t="shared" si="52"/>
        <v>0</v>
      </c>
      <c r="AD194">
        <f t="shared" si="54"/>
        <v>7.6999999999999999E-2</v>
      </c>
      <c r="AF194">
        <f t="shared" si="53"/>
        <v>1.5900000000000001E-2</v>
      </c>
    </row>
    <row r="195" spans="1:32">
      <c r="A195" s="6" t="s">
        <v>181</v>
      </c>
      <c r="B195" s="6" t="s">
        <v>548</v>
      </c>
      <c r="C195" t="s">
        <v>13</v>
      </c>
      <c r="D195" s="8">
        <v>2</v>
      </c>
      <c r="E195">
        <v>5</v>
      </c>
      <c r="G195" s="54">
        <v>3.2006999999999999</v>
      </c>
      <c r="H195" s="55">
        <v>0.496</v>
      </c>
      <c r="I195" s="55" t="s">
        <v>469</v>
      </c>
      <c r="J195" s="25">
        <v>42767</v>
      </c>
      <c r="K195" s="54">
        <v>0.63580000000000003</v>
      </c>
      <c r="L195" s="100">
        <v>0.15029999999999999</v>
      </c>
      <c r="M195" s="55">
        <v>0</v>
      </c>
      <c r="N195" s="25">
        <v>42769</v>
      </c>
      <c r="O195" s="104">
        <f t="shared" ref="O195:O209" si="57">G195-K195</f>
        <v>2.5648999999999997</v>
      </c>
      <c r="P195" s="104">
        <f t="shared" ref="P195:P209" si="58">H195-L195</f>
        <v>0.34570000000000001</v>
      </c>
      <c r="Q195" s="104" t="e">
        <f t="shared" ref="Q195:Q209" si="59">I195-M195</f>
        <v>#VALUE!</v>
      </c>
      <c r="R195" s="104">
        <f t="shared" ref="R195:R209" si="60">IF(K195&gt;0,O195/K195*100,0)</f>
        <v>403.41302296319589</v>
      </c>
      <c r="S195" s="104">
        <f t="shared" ref="S195:S209" si="61">IF(L195&gt;0,P195/L195*100,0)</f>
        <v>230.0066533599468</v>
      </c>
      <c r="T195" s="104">
        <f t="shared" ref="T195:T209" si="62">IF(M195&gt;0,Q195/M195*100,0)</f>
        <v>0</v>
      </c>
      <c r="V195">
        <f>K195/'Soil samples'!AK178*1000</f>
        <v>40.838206657949272</v>
      </c>
      <c r="W195">
        <f>L195/'Soil samples'!AK178*1000</f>
        <v>9.653951652547617</v>
      </c>
      <c r="X195" s="3">
        <f>M195/'Soil samples'!AK178*1000</f>
        <v>0</v>
      </c>
      <c r="Y195" s="31">
        <f t="shared" si="55"/>
        <v>0.78610000000000002</v>
      </c>
      <c r="Z195" s="104">
        <f t="shared" si="56"/>
        <v>0.78610000000000002</v>
      </c>
      <c r="AA195">
        <f t="shared" si="51"/>
        <v>7.8609999999999998</v>
      </c>
      <c r="AB195">
        <f t="shared" si="51"/>
        <v>7.8609999999999998</v>
      </c>
      <c r="AC195">
        <f t="shared" si="52"/>
        <v>0</v>
      </c>
      <c r="AD195">
        <f t="shared" si="54"/>
        <v>6.3579999999999997</v>
      </c>
      <c r="AF195">
        <f t="shared" si="53"/>
        <v>0.39305000000000001</v>
      </c>
    </row>
    <row r="196" spans="1:32">
      <c r="A196" s="6" t="s">
        <v>182</v>
      </c>
      <c r="B196" s="6" t="s">
        <v>548</v>
      </c>
      <c r="C196" t="s">
        <v>13</v>
      </c>
      <c r="D196" s="8">
        <v>2</v>
      </c>
      <c r="E196">
        <v>10</v>
      </c>
      <c r="G196" s="54">
        <v>1.9241999999999999</v>
      </c>
      <c r="H196" s="55">
        <v>0.51300000000000001</v>
      </c>
      <c r="I196" s="55" t="s">
        <v>469</v>
      </c>
      <c r="J196" s="25">
        <v>42767</v>
      </c>
      <c r="K196" s="54">
        <v>0.39879999999999999</v>
      </c>
      <c r="L196" s="100">
        <v>0.15090000000000001</v>
      </c>
      <c r="M196" s="55">
        <v>0</v>
      </c>
      <c r="N196" s="25">
        <v>42769</v>
      </c>
      <c r="O196" s="104">
        <f t="shared" si="57"/>
        <v>1.5253999999999999</v>
      </c>
      <c r="P196" s="104">
        <f t="shared" si="58"/>
        <v>0.36209999999999998</v>
      </c>
      <c r="Q196" s="104" t="e">
        <f t="shared" si="59"/>
        <v>#VALUE!</v>
      </c>
      <c r="R196" s="104">
        <f t="shared" si="60"/>
        <v>382.49749247743227</v>
      </c>
      <c r="S196" s="104">
        <f t="shared" si="61"/>
        <v>239.96023856858844</v>
      </c>
      <c r="T196" s="104">
        <f t="shared" si="62"/>
        <v>0</v>
      </c>
      <c r="V196">
        <f>K196/'Soil samples'!AK179*1000</f>
        <v>19.790630623452738</v>
      </c>
      <c r="W196">
        <f>L196/'Soil samples'!AK179*1000</f>
        <v>7.4884808452332452</v>
      </c>
      <c r="X196" s="3">
        <f>M196/'Soil samples'!AK179*1000</f>
        <v>0</v>
      </c>
      <c r="Y196" s="31">
        <f t="shared" si="55"/>
        <v>0.54969999999999997</v>
      </c>
      <c r="Z196" s="104">
        <f t="shared" si="56"/>
        <v>0.54969999999999997</v>
      </c>
      <c r="AA196">
        <f t="shared" si="51"/>
        <v>5.4969999999999999</v>
      </c>
      <c r="AB196">
        <f t="shared" si="51"/>
        <v>5.4969999999999999</v>
      </c>
      <c r="AC196">
        <f t="shared" si="52"/>
        <v>0</v>
      </c>
      <c r="AD196">
        <f t="shared" si="54"/>
        <v>3.988</v>
      </c>
      <c r="AF196">
        <f t="shared" si="53"/>
        <v>0.27484999999999998</v>
      </c>
    </row>
    <row r="197" spans="1:32">
      <c r="A197" s="6" t="s">
        <v>183</v>
      </c>
      <c r="B197" s="6" t="s">
        <v>548</v>
      </c>
      <c r="C197" t="s">
        <v>13</v>
      </c>
      <c r="D197" s="8">
        <v>2</v>
      </c>
      <c r="E197">
        <v>20</v>
      </c>
      <c r="G197" s="54">
        <v>1.5159</v>
      </c>
      <c r="H197" s="55">
        <v>0.31950000000000001</v>
      </c>
      <c r="I197" s="55" t="s">
        <v>469</v>
      </c>
      <c r="J197" s="25">
        <v>42767</v>
      </c>
      <c r="K197" s="54">
        <v>0.3372</v>
      </c>
      <c r="L197" s="100">
        <v>9.4600000000000004E-2</v>
      </c>
      <c r="M197" s="55">
        <v>0</v>
      </c>
      <c r="N197" s="25">
        <v>42769</v>
      </c>
      <c r="O197" s="104">
        <f t="shared" si="57"/>
        <v>1.1787000000000001</v>
      </c>
      <c r="P197" s="104">
        <f t="shared" si="58"/>
        <v>0.22489999999999999</v>
      </c>
      <c r="Q197" s="104" t="e">
        <f t="shared" si="59"/>
        <v>#VALUE!</v>
      </c>
      <c r="R197" s="104">
        <f t="shared" si="60"/>
        <v>349.55516014234877</v>
      </c>
      <c r="S197" s="104">
        <f t="shared" si="61"/>
        <v>237.73784355179703</v>
      </c>
      <c r="T197" s="104">
        <f t="shared" si="62"/>
        <v>0</v>
      </c>
      <c r="V197">
        <f>K197/'Soil samples'!AK180*1000</f>
        <v>11.992073715223237</v>
      </c>
      <c r="W197">
        <f>L197/'Soil samples'!AK180*1000</f>
        <v>3.3643243578295325</v>
      </c>
      <c r="X197" s="3">
        <f>M197/'Soil samples'!AK180*1000</f>
        <v>0</v>
      </c>
      <c r="Y197" s="31">
        <f t="shared" si="55"/>
        <v>0.43180000000000002</v>
      </c>
      <c r="Z197" s="104">
        <f t="shared" si="56"/>
        <v>0.43180000000000002</v>
      </c>
      <c r="AA197">
        <f t="shared" ref="AA197:AB209" si="63">Y197*10000/1000</f>
        <v>4.3179999999999996</v>
      </c>
      <c r="AB197">
        <f t="shared" si="63"/>
        <v>4.3179999999999996</v>
      </c>
      <c r="AC197">
        <f t="shared" ref="AC197:AC209" si="64">M197*10000/1000</f>
        <v>0</v>
      </c>
      <c r="AD197">
        <f t="shared" si="54"/>
        <v>3.3719999999999999</v>
      </c>
      <c r="AF197">
        <f t="shared" ref="AF197:AF209" si="65">AB197*0.05</f>
        <v>0.21589999999999998</v>
      </c>
    </row>
    <row r="198" spans="1:32">
      <c r="A198" s="6" t="s">
        <v>184</v>
      </c>
      <c r="B198" s="6" t="s">
        <v>548</v>
      </c>
      <c r="C198" t="s">
        <v>13</v>
      </c>
      <c r="D198" s="8">
        <v>3</v>
      </c>
      <c r="E198">
        <v>5</v>
      </c>
      <c r="G198" s="54">
        <v>0.3821</v>
      </c>
      <c r="H198" s="55">
        <v>0.19570000000000001</v>
      </c>
      <c r="I198" s="55" t="s">
        <v>469</v>
      </c>
      <c r="J198" s="25">
        <v>42819</v>
      </c>
      <c r="K198" s="54">
        <v>0.14030000000000001</v>
      </c>
      <c r="L198" s="55">
        <v>9.4600000000000004E-2</v>
      </c>
      <c r="M198" s="55">
        <v>0</v>
      </c>
      <c r="N198" s="25">
        <v>42823</v>
      </c>
      <c r="O198" s="104">
        <f t="shared" si="57"/>
        <v>0.24179999999999999</v>
      </c>
      <c r="P198" s="104">
        <f t="shared" si="58"/>
        <v>0.10110000000000001</v>
      </c>
      <c r="Q198" s="104" t="e">
        <f t="shared" si="59"/>
        <v>#VALUE!</v>
      </c>
      <c r="R198" s="104">
        <f t="shared" si="60"/>
        <v>172.34497505345686</v>
      </c>
      <c r="S198" s="104">
        <f t="shared" si="61"/>
        <v>106.87103594080338</v>
      </c>
      <c r="T198" s="104">
        <f t="shared" si="62"/>
        <v>0</v>
      </c>
      <c r="V198">
        <f>K198/'Soil samples'!AK181*1000</f>
        <v>8.4063976394586639</v>
      </c>
      <c r="W198">
        <f>L198/'Soil samples'!AK181*1000</f>
        <v>5.6681768830562334</v>
      </c>
      <c r="X198" s="3">
        <f>M198/'Soil samples'!AK181*1000</f>
        <v>0</v>
      </c>
      <c r="Y198" s="31">
        <f t="shared" si="55"/>
        <v>0.2349</v>
      </c>
      <c r="Z198" s="104">
        <f t="shared" si="56"/>
        <v>0.2349</v>
      </c>
      <c r="AA198">
        <f t="shared" si="63"/>
        <v>2.3490000000000002</v>
      </c>
      <c r="AB198">
        <f t="shared" si="63"/>
        <v>2.3490000000000002</v>
      </c>
      <c r="AC198">
        <f t="shared" si="64"/>
        <v>0</v>
      </c>
      <c r="AD198">
        <f t="shared" ref="AD198:AD209" si="66">K198*10000/1000</f>
        <v>1.403</v>
      </c>
      <c r="AF198">
        <f t="shared" si="65"/>
        <v>0.11745000000000001</v>
      </c>
    </row>
    <row r="199" spans="1:32">
      <c r="A199" s="6" t="s">
        <v>185</v>
      </c>
      <c r="B199" s="6" t="s">
        <v>548</v>
      </c>
      <c r="C199" t="s">
        <v>13</v>
      </c>
      <c r="D199" s="8">
        <v>4</v>
      </c>
      <c r="E199">
        <v>5</v>
      </c>
      <c r="G199" s="54">
        <v>1.1160000000000001</v>
      </c>
      <c r="H199" s="55">
        <v>0.48609999999999998</v>
      </c>
      <c r="I199" s="55" t="s">
        <v>469</v>
      </c>
      <c r="J199" s="25">
        <v>42819</v>
      </c>
      <c r="K199" s="54">
        <v>0.2858</v>
      </c>
      <c r="L199" s="55">
        <v>0.19109999999999999</v>
      </c>
      <c r="M199" s="55">
        <v>0</v>
      </c>
      <c r="N199" s="25">
        <v>42823</v>
      </c>
      <c r="O199" s="104">
        <f t="shared" si="57"/>
        <v>0.83020000000000005</v>
      </c>
      <c r="P199" s="104">
        <f t="shared" si="58"/>
        <v>0.29499999999999998</v>
      </c>
      <c r="Q199" s="104" t="e">
        <f t="shared" si="59"/>
        <v>#VALUE!</v>
      </c>
      <c r="R199" s="104">
        <f t="shared" si="60"/>
        <v>290.48285514345696</v>
      </c>
      <c r="S199" s="104">
        <f t="shared" si="61"/>
        <v>154.36944008372581</v>
      </c>
      <c r="T199" s="104">
        <f t="shared" si="62"/>
        <v>0</v>
      </c>
      <c r="V199">
        <f>K199/'Soil samples'!AK182*1000</f>
        <v>45.171611665015824</v>
      </c>
      <c r="W199">
        <f>L199/'Soil samples'!AK182*1000</f>
        <v>30.203971270764605</v>
      </c>
      <c r="X199" s="3">
        <f>M199/'Soil samples'!AK182*1000</f>
        <v>0</v>
      </c>
      <c r="Y199" s="31">
        <f t="shared" si="55"/>
        <v>0.47689999999999999</v>
      </c>
      <c r="Z199" s="104">
        <f t="shared" si="56"/>
        <v>0.47689999999999999</v>
      </c>
      <c r="AA199">
        <f t="shared" si="63"/>
        <v>4.7690000000000001</v>
      </c>
      <c r="AB199">
        <f t="shared" si="63"/>
        <v>4.7690000000000001</v>
      </c>
      <c r="AC199">
        <f t="shared" si="64"/>
        <v>0</v>
      </c>
      <c r="AD199">
        <f t="shared" si="66"/>
        <v>2.8580000000000001</v>
      </c>
      <c r="AF199">
        <f t="shared" si="65"/>
        <v>0.23845000000000002</v>
      </c>
    </row>
    <row r="200" spans="1:32">
      <c r="A200" s="6" t="s">
        <v>186</v>
      </c>
      <c r="B200" s="6" t="s">
        <v>548</v>
      </c>
      <c r="C200" t="s">
        <v>13</v>
      </c>
      <c r="D200" s="8">
        <v>4</v>
      </c>
      <c r="E200">
        <v>10</v>
      </c>
      <c r="G200" s="54">
        <v>0.2024</v>
      </c>
      <c r="H200" s="55">
        <v>0.1033</v>
      </c>
      <c r="I200" s="55" t="s">
        <v>469</v>
      </c>
      <c r="J200" s="25">
        <v>42819</v>
      </c>
      <c r="K200" s="54">
        <v>7.5200000000000003E-2</v>
      </c>
      <c r="L200" s="55">
        <v>4.8000000000000001E-2</v>
      </c>
      <c r="M200" s="55">
        <v>0</v>
      </c>
      <c r="N200" s="25">
        <v>42823</v>
      </c>
      <c r="O200" s="104">
        <f t="shared" si="57"/>
        <v>0.12719999999999998</v>
      </c>
      <c r="P200" s="104">
        <f t="shared" si="58"/>
        <v>5.5300000000000002E-2</v>
      </c>
      <c r="Q200" s="104" t="e">
        <f t="shared" si="59"/>
        <v>#VALUE!</v>
      </c>
      <c r="R200" s="104">
        <f t="shared" si="60"/>
        <v>169.14893617021275</v>
      </c>
      <c r="S200" s="104">
        <f t="shared" si="61"/>
        <v>115.20833333333333</v>
      </c>
      <c r="T200" s="104">
        <f t="shared" si="62"/>
        <v>0</v>
      </c>
      <c r="V200">
        <f>K200/'Soil samples'!AK183*1000</f>
        <v>6.2179214469875532</v>
      </c>
      <c r="W200">
        <f>L200/'Soil samples'!AK183*1000</f>
        <v>3.9688860299920554</v>
      </c>
      <c r="X200" s="3">
        <f>M200/'Soil samples'!AK183*1000</f>
        <v>0</v>
      </c>
      <c r="Y200" s="31">
        <f t="shared" si="55"/>
        <v>0.1232</v>
      </c>
      <c r="Z200" s="104">
        <f t="shared" si="56"/>
        <v>0.1232</v>
      </c>
      <c r="AA200">
        <f t="shared" si="63"/>
        <v>1.232</v>
      </c>
      <c r="AB200">
        <f t="shared" si="63"/>
        <v>1.232</v>
      </c>
      <c r="AC200">
        <f t="shared" si="64"/>
        <v>0</v>
      </c>
      <c r="AD200">
        <f t="shared" si="66"/>
        <v>0.752</v>
      </c>
      <c r="AF200">
        <f t="shared" si="65"/>
        <v>6.1600000000000002E-2</v>
      </c>
    </row>
    <row r="201" spans="1:32">
      <c r="A201" s="6" t="s">
        <v>187</v>
      </c>
      <c r="B201" s="6" t="s">
        <v>548</v>
      </c>
      <c r="C201" t="s">
        <v>13</v>
      </c>
      <c r="D201" s="8">
        <v>4</v>
      </c>
      <c r="E201">
        <v>20</v>
      </c>
      <c r="G201" s="54">
        <v>0.24679999999999999</v>
      </c>
      <c r="H201" s="55">
        <v>4.0300000000000002E-2</v>
      </c>
      <c r="I201" s="55" t="s">
        <v>469</v>
      </c>
      <c r="J201" s="25">
        <v>42819</v>
      </c>
      <c r="K201" s="54">
        <v>7.5700000000000003E-2</v>
      </c>
      <c r="L201" s="55">
        <v>1.7600000000000001E-2</v>
      </c>
      <c r="M201" s="55">
        <v>0</v>
      </c>
      <c r="N201" s="25">
        <v>42823</v>
      </c>
      <c r="O201" s="104">
        <f t="shared" si="57"/>
        <v>0.17109999999999997</v>
      </c>
      <c r="P201" s="104">
        <f t="shared" si="58"/>
        <v>2.2700000000000001E-2</v>
      </c>
      <c r="Q201" s="104" t="e">
        <f t="shared" si="59"/>
        <v>#VALUE!</v>
      </c>
      <c r="R201" s="104">
        <f t="shared" si="60"/>
        <v>226.02377807133416</v>
      </c>
      <c r="S201" s="104">
        <f t="shared" si="61"/>
        <v>128.97727272727272</v>
      </c>
      <c r="T201" s="104">
        <f t="shared" si="62"/>
        <v>0</v>
      </c>
      <c r="V201">
        <f>K201/'Soil samples'!AK184*1000</f>
        <v>2.9061092921483263</v>
      </c>
      <c r="W201">
        <f>L201/'Soil samples'!AK184*1000</f>
        <v>0.67566081296975622</v>
      </c>
      <c r="X201" s="3">
        <f>M201/'Soil samples'!AK184*1000</f>
        <v>0</v>
      </c>
      <c r="Y201" s="31">
        <f t="shared" si="55"/>
        <v>9.3300000000000008E-2</v>
      </c>
      <c r="Z201" s="104">
        <f t="shared" si="56"/>
        <v>9.3300000000000008E-2</v>
      </c>
      <c r="AA201">
        <f t="shared" si="63"/>
        <v>0.93300000000000016</v>
      </c>
      <c r="AB201">
        <f t="shared" si="63"/>
        <v>0.93300000000000016</v>
      </c>
      <c r="AC201">
        <f t="shared" si="64"/>
        <v>0</v>
      </c>
      <c r="AD201">
        <f t="shared" si="66"/>
        <v>0.75700000000000001</v>
      </c>
      <c r="AF201">
        <f t="shared" si="65"/>
        <v>4.6650000000000011E-2</v>
      </c>
    </row>
    <row r="202" spans="1:32">
      <c r="A202" s="6" t="s">
        <v>188</v>
      </c>
      <c r="B202" s="6" t="s">
        <v>548</v>
      </c>
      <c r="C202" t="s">
        <v>13</v>
      </c>
      <c r="D202" s="8">
        <v>5</v>
      </c>
      <c r="E202">
        <v>5</v>
      </c>
      <c r="G202" s="54">
        <v>2.1667999999999998</v>
      </c>
      <c r="H202" s="55">
        <v>1.0199</v>
      </c>
      <c r="I202" s="55" t="s">
        <v>469</v>
      </c>
      <c r="J202" s="25">
        <v>42791</v>
      </c>
      <c r="K202" s="54">
        <v>0.4022</v>
      </c>
      <c r="L202" s="100">
        <v>0.31759999999999999</v>
      </c>
      <c r="M202" s="55">
        <v>0</v>
      </c>
      <c r="N202" s="25">
        <v>42794</v>
      </c>
      <c r="O202" s="104">
        <f t="shared" si="57"/>
        <v>1.7645999999999997</v>
      </c>
      <c r="P202" s="104">
        <f t="shared" si="58"/>
        <v>0.70230000000000004</v>
      </c>
      <c r="Q202" s="104" t="e">
        <f t="shared" si="59"/>
        <v>#VALUE!</v>
      </c>
      <c r="R202" s="104">
        <f t="shared" si="60"/>
        <v>438.73694679264037</v>
      </c>
      <c r="S202" s="104">
        <f t="shared" si="61"/>
        <v>221.12720403022669</v>
      </c>
      <c r="T202" s="104">
        <f t="shared" si="62"/>
        <v>0</v>
      </c>
      <c r="V202">
        <f>K202/'Soil samples'!AK185*1000</f>
        <v>40.380941271977946</v>
      </c>
      <c r="W202">
        <f>L202/'Soil samples'!AK185*1000</f>
        <v>31.887088383839369</v>
      </c>
      <c r="X202" s="3">
        <f>M202/'Soil samples'!AK185*1000</f>
        <v>0</v>
      </c>
      <c r="Y202" s="31">
        <f t="shared" si="55"/>
        <v>0.7198</v>
      </c>
      <c r="Z202" s="104">
        <f t="shared" si="56"/>
        <v>0.7198</v>
      </c>
      <c r="AA202">
        <f t="shared" si="63"/>
        <v>7.1980000000000004</v>
      </c>
      <c r="AB202">
        <f t="shared" si="63"/>
        <v>7.1980000000000004</v>
      </c>
      <c r="AC202">
        <f t="shared" si="64"/>
        <v>0</v>
      </c>
      <c r="AD202">
        <f t="shared" si="66"/>
        <v>4.0220000000000002</v>
      </c>
      <c r="AF202">
        <f t="shared" si="65"/>
        <v>0.35990000000000005</v>
      </c>
    </row>
    <row r="203" spans="1:32">
      <c r="A203" s="6" t="s">
        <v>189</v>
      </c>
      <c r="B203" s="6" t="s">
        <v>548</v>
      </c>
      <c r="C203" t="s">
        <v>13</v>
      </c>
      <c r="D203" s="8">
        <v>5</v>
      </c>
      <c r="E203">
        <v>10</v>
      </c>
      <c r="G203" s="54">
        <v>1.0712999999999999</v>
      </c>
      <c r="H203" s="55">
        <v>0.27779999999999999</v>
      </c>
      <c r="I203" s="55" t="s">
        <v>469</v>
      </c>
      <c r="J203" s="25">
        <v>42791</v>
      </c>
      <c r="K203" s="54">
        <v>0.24299999999999999</v>
      </c>
      <c r="L203" s="100">
        <v>9.5600000000000004E-2</v>
      </c>
      <c r="M203" s="55">
        <v>0</v>
      </c>
      <c r="N203" s="25">
        <v>42794</v>
      </c>
      <c r="O203" s="104">
        <f t="shared" si="57"/>
        <v>0.82829999999999993</v>
      </c>
      <c r="P203" s="104">
        <f t="shared" si="58"/>
        <v>0.18219999999999997</v>
      </c>
      <c r="Q203" s="104" t="e">
        <f t="shared" si="59"/>
        <v>#VALUE!</v>
      </c>
      <c r="R203" s="104">
        <f t="shared" si="60"/>
        <v>340.86419753086415</v>
      </c>
      <c r="S203" s="104">
        <f t="shared" si="61"/>
        <v>190.58577405857739</v>
      </c>
      <c r="T203" s="104">
        <f t="shared" si="62"/>
        <v>0</v>
      </c>
      <c r="V203">
        <f>K203/'Soil samples'!AK186*1000</f>
        <v>13.318586680148011</v>
      </c>
      <c r="W203">
        <f>L203/'Soil samples'!AK186*1000</f>
        <v>5.2397402741652259</v>
      </c>
      <c r="X203" s="3">
        <f>M203/'Soil samples'!AK186*1000</f>
        <v>0</v>
      </c>
      <c r="Y203" s="31">
        <f t="shared" si="55"/>
        <v>0.33860000000000001</v>
      </c>
      <c r="Z203" s="104">
        <f t="shared" si="56"/>
        <v>0.33860000000000001</v>
      </c>
      <c r="AA203">
        <f t="shared" si="63"/>
        <v>3.3860000000000001</v>
      </c>
      <c r="AB203">
        <f t="shared" si="63"/>
        <v>3.3860000000000001</v>
      </c>
      <c r="AC203">
        <f t="shared" si="64"/>
        <v>0</v>
      </c>
      <c r="AD203">
        <f t="shared" si="66"/>
        <v>2.4300000000000002</v>
      </c>
      <c r="AF203">
        <f t="shared" si="65"/>
        <v>0.16930000000000001</v>
      </c>
    </row>
    <row r="204" spans="1:32">
      <c r="A204" s="6" t="s">
        <v>190</v>
      </c>
      <c r="B204" s="6" t="s">
        <v>548</v>
      </c>
      <c r="C204" t="s">
        <v>13</v>
      </c>
      <c r="D204" s="8">
        <v>5</v>
      </c>
      <c r="E204">
        <v>20</v>
      </c>
      <c r="G204" s="54">
        <v>0.68730000000000002</v>
      </c>
      <c r="H204" s="55">
        <v>0.1031</v>
      </c>
      <c r="I204" s="55" t="s">
        <v>469</v>
      </c>
      <c r="J204" s="25">
        <v>42791</v>
      </c>
      <c r="K204" s="54">
        <v>0.1089</v>
      </c>
      <c r="L204" s="100">
        <v>2.3099999999999999E-2</v>
      </c>
      <c r="M204" s="55">
        <v>0</v>
      </c>
      <c r="N204" s="25">
        <v>42794</v>
      </c>
      <c r="O204" s="104">
        <f t="shared" si="57"/>
        <v>0.57840000000000003</v>
      </c>
      <c r="P204" s="104">
        <f t="shared" si="58"/>
        <v>0.08</v>
      </c>
      <c r="Q204" s="104" t="e">
        <f t="shared" si="59"/>
        <v>#VALUE!</v>
      </c>
      <c r="R204" s="104">
        <f t="shared" si="60"/>
        <v>531.12947658402209</v>
      </c>
      <c r="S204" s="104">
        <f t="shared" si="61"/>
        <v>346.32034632034635</v>
      </c>
      <c r="T204" s="104">
        <f t="shared" si="62"/>
        <v>0</v>
      </c>
      <c r="V204">
        <f>K204/'Soil samples'!AK187*1000</f>
        <v>2.9943563113216114</v>
      </c>
      <c r="W204">
        <f>L204/'Soil samples'!AK187*1000</f>
        <v>0.63516649028034178</v>
      </c>
      <c r="X204" s="3">
        <f>M204/'Soil samples'!AK187*1000</f>
        <v>0</v>
      </c>
      <c r="Y204" s="31">
        <f t="shared" si="55"/>
        <v>0.13200000000000001</v>
      </c>
      <c r="Z204" s="104">
        <f t="shared" si="56"/>
        <v>0.13200000000000001</v>
      </c>
      <c r="AA204">
        <f t="shared" si="63"/>
        <v>1.32</v>
      </c>
      <c r="AB204">
        <f t="shared" si="63"/>
        <v>1.32</v>
      </c>
      <c r="AC204">
        <f t="shared" si="64"/>
        <v>0</v>
      </c>
      <c r="AD204">
        <f t="shared" si="66"/>
        <v>1.089</v>
      </c>
      <c r="AF204">
        <f t="shared" si="65"/>
        <v>6.6000000000000003E-2</v>
      </c>
    </row>
    <row r="205" spans="1:32">
      <c r="A205" s="6" t="s">
        <v>191</v>
      </c>
      <c r="B205" s="6" t="s">
        <v>548</v>
      </c>
      <c r="C205" t="s">
        <v>13</v>
      </c>
      <c r="D205" s="8">
        <v>5</v>
      </c>
      <c r="E205">
        <v>30</v>
      </c>
      <c r="G205" s="54">
        <v>0.3367</v>
      </c>
      <c r="H205" s="55">
        <v>0.13170000000000001</v>
      </c>
      <c r="I205" s="55" t="s">
        <v>469</v>
      </c>
      <c r="J205" s="25">
        <v>42791</v>
      </c>
      <c r="K205" s="54">
        <v>4.2900000000000001E-2</v>
      </c>
      <c r="L205" s="100">
        <v>2.53E-2</v>
      </c>
      <c r="M205" s="55">
        <v>0</v>
      </c>
      <c r="N205" s="25">
        <v>42794</v>
      </c>
      <c r="O205" s="104">
        <f t="shared" si="57"/>
        <v>0.29380000000000001</v>
      </c>
      <c r="P205" s="104">
        <f t="shared" si="58"/>
        <v>0.10640000000000001</v>
      </c>
      <c r="Q205" s="104" t="e">
        <f t="shared" si="59"/>
        <v>#VALUE!</v>
      </c>
      <c r="R205" s="104">
        <f t="shared" si="60"/>
        <v>684.84848484848487</v>
      </c>
      <c r="S205" s="104">
        <f t="shared" si="61"/>
        <v>420.5533596837945</v>
      </c>
      <c r="T205" s="104">
        <f t="shared" si="62"/>
        <v>0</v>
      </c>
      <c r="V205">
        <f>K205/'Soil samples'!AK188*1000</f>
        <v>1.2209180374182718</v>
      </c>
      <c r="W205">
        <f>L205/'Soil samples'!AK188*1000</f>
        <v>0.72002858616974996</v>
      </c>
      <c r="X205" s="3">
        <f>M205/'Soil samples'!AK188*1000</f>
        <v>0</v>
      </c>
      <c r="Y205" s="31">
        <f t="shared" si="55"/>
        <v>6.8199999999999997E-2</v>
      </c>
      <c r="Z205" s="104">
        <f t="shared" si="56"/>
        <v>6.8199999999999997E-2</v>
      </c>
      <c r="AA205">
        <f t="shared" si="63"/>
        <v>0.68200000000000005</v>
      </c>
      <c r="AB205">
        <f t="shared" si="63"/>
        <v>0.68200000000000005</v>
      </c>
      <c r="AC205">
        <f t="shared" si="64"/>
        <v>0</v>
      </c>
      <c r="AD205">
        <f t="shared" si="66"/>
        <v>0.42899999999999999</v>
      </c>
      <c r="AF205">
        <f t="shared" si="65"/>
        <v>3.4100000000000005E-2</v>
      </c>
    </row>
    <row r="206" spans="1:32">
      <c r="A206" s="6" t="s">
        <v>192</v>
      </c>
      <c r="B206" s="6" t="s">
        <v>548</v>
      </c>
      <c r="C206" t="s">
        <v>13</v>
      </c>
      <c r="D206" s="8">
        <v>6</v>
      </c>
      <c r="E206">
        <v>5</v>
      </c>
      <c r="G206" s="54">
        <v>0.37319999999999998</v>
      </c>
      <c r="H206" s="55">
        <v>1.0092000000000001</v>
      </c>
      <c r="I206" s="55" t="s">
        <v>469</v>
      </c>
      <c r="J206" s="25">
        <v>42755</v>
      </c>
      <c r="K206" s="54">
        <v>0.13880000000000001</v>
      </c>
      <c r="L206" s="100">
        <v>0.33660000000000001</v>
      </c>
      <c r="M206" s="55">
        <v>0</v>
      </c>
      <c r="O206" s="104">
        <f t="shared" si="57"/>
        <v>0.23439999999999997</v>
      </c>
      <c r="P206" s="104">
        <f t="shared" si="58"/>
        <v>0.67260000000000009</v>
      </c>
      <c r="Q206" s="104" t="e">
        <f t="shared" si="59"/>
        <v>#VALUE!</v>
      </c>
      <c r="R206" s="104">
        <f t="shared" si="60"/>
        <v>168.87608069164261</v>
      </c>
      <c r="S206" s="104">
        <f t="shared" si="61"/>
        <v>199.82174688057043</v>
      </c>
      <c r="T206" s="104">
        <f t="shared" si="62"/>
        <v>0</v>
      </c>
      <c r="U206" t="s">
        <v>544</v>
      </c>
      <c r="V206">
        <f>K206/'Soil samples'!AK189*1000</f>
        <v>11.937019863842382</v>
      </c>
      <c r="W206">
        <f>L206/'Soil samples'!AK189*1000</f>
        <v>28.948133185658108</v>
      </c>
      <c r="X206" s="3">
        <f>M206/'Soil samples'!AK189*1000</f>
        <v>0</v>
      </c>
      <c r="Y206" s="31">
        <f t="shared" si="55"/>
        <v>0.47540000000000004</v>
      </c>
      <c r="Z206" s="104">
        <f t="shared" si="56"/>
        <v>0.47540000000000004</v>
      </c>
      <c r="AA206">
        <f t="shared" si="63"/>
        <v>4.7539999999999996</v>
      </c>
      <c r="AB206">
        <f t="shared" si="63"/>
        <v>4.7539999999999996</v>
      </c>
      <c r="AC206">
        <f t="shared" si="64"/>
        <v>0</v>
      </c>
      <c r="AD206">
        <f t="shared" si="66"/>
        <v>1.3879999999999999</v>
      </c>
      <c r="AF206">
        <f t="shared" si="65"/>
        <v>0.23769999999999999</v>
      </c>
    </row>
    <row r="207" spans="1:32">
      <c r="A207" s="6" t="s">
        <v>193</v>
      </c>
      <c r="B207" s="6" t="s">
        <v>548</v>
      </c>
      <c r="C207" t="s">
        <v>13</v>
      </c>
      <c r="D207" s="8">
        <v>6</v>
      </c>
      <c r="E207">
        <v>10</v>
      </c>
      <c r="G207" s="54">
        <v>0.28160000000000002</v>
      </c>
      <c r="H207" s="55">
        <v>0.22509999999999999</v>
      </c>
      <c r="I207" s="55" t="s">
        <v>469</v>
      </c>
      <c r="J207" s="25">
        <v>42755</v>
      </c>
      <c r="K207" s="54">
        <v>7.5800000000000006E-2</v>
      </c>
      <c r="L207" s="100">
        <v>5.9900000000000002E-2</v>
      </c>
      <c r="M207" s="55">
        <v>0</v>
      </c>
      <c r="O207" s="104">
        <f t="shared" si="57"/>
        <v>0.20580000000000001</v>
      </c>
      <c r="P207" s="104">
        <f t="shared" si="58"/>
        <v>0.16519999999999999</v>
      </c>
      <c r="Q207" s="104" t="e">
        <f t="shared" si="59"/>
        <v>#VALUE!</v>
      </c>
      <c r="R207" s="104">
        <f t="shared" si="60"/>
        <v>271.50395778364117</v>
      </c>
      <c r="S207" s="104">
        <f t="shared" si="61"/>
        <v>275.79298831385637</v>
      </c>
      <c r="T207" s="104">
        <f t="shared" si="62"/>
        <v>0</v>
      </c>
      <c r="U207" t="s">
        <v>544</v>
      </c>
      <c r="V207">
        <f>K207/'Soil samples'!AK190*1000</f>
        <v>3.5630267731441192</v>
      </c>
      <c r="W207">
        <f>L207/'Soil samples'!AK190*1000</f>
        <v>2.8156372521284001</v>
      </c>
      <c r="X207" s="3">
        <f>M207/'Soil samples'!AK190*1000</f>
        <v>0</v>
      </c>
      <c r="Y207" s="31">
        <f t="shared" si="55"/>
        <v>0.13570000000000002</v>
      </c>
      <c r="Z207" s="104">
        <f t="shared" si="56"/>
        <v>0.13570000000000002</v>
      </c>
      <c r="AA207">
        <f t="shared" si="63"/>
        <v>1.3570000000000002</v>
      </c>
      <c r="AB207">
        <f t="shared" si="63"/>
        <v>1.3570000000000002</v>
      </c>
      <c r="AC207">
        <f t="shared" si="64"/>
        <v>0</v>
      </c>
      <c r="AD207">
        <f t="shared" si="66"/>
        <v>0.75800000000000012</v>
      </c>
      <c r="AF207">
        <f t="shared" si="65"/>
        <v>6.7850000000000008E-2</v>
      </c>
    </row>
    <row r="208" spans="1:32">
      <c r="A208" s="6" t="s">
        <v>194</v>
      </c>
      <c r="B208" s="6" t="s">
        <v>548</v>
      </c>
      <c r="C208" t="s">
        <v>13</v>
      </c>
      <c r="D208" s="8">
        <v>6</v>
      </c>
      <c r="E208">
        <v>20</v>
      </c>
      <c r="G208" s="54">
        <v>0.76449999999999996</v>
      </c>
      <c r="H208" s="55">
        <v>0.22989999999999999</v>
      </c>
      <c r="I208" s="55" t="s">
        <v>469</v>
      </c>
      <c r="J208" s="25">
        <v>42755</v>
      </c>
      <c r="K208" s="54">
        <v>0.122</v>
      </c>
      <c r="L208" s="100">
        <v>4.07E-2</v>
      </c>
      <c r="M208" s="55">
        <v>0</v>
      </c>
      <c r="O208" s="104">
        <f t="shared" si="57"/>
        <v>0.64249999999999996</v>
      </c>
      <c r="P208" s="104">
        <f t="shared" si="58"/>
        <v>0.18919999999999998</v>
      </c>
      <c r="Q208" s="104" t="e">
        <f t="shared" si="59"/>
        <v>#VALUE!</v>
      </c>
      <c r="R208" s="104">
        <f t="shared" si="60"/>
        <v>526.63934426229503</v>
      </c>
      <c r="S208" s="104">
        <f t="shared" si="61"/>
        <v>464.86486486486484</v>
      </c>
      <c r="T208" s="104">
        <f t="shared" si="62"/>
        <v>0</v>
      </c>
      <c r="V208">
        <f>K208/'Soil samples'!AK191*1000</f>
        <v>4.2958427869156388</v>
      </c>
      <c r="W208">
        <f>L208/'Soil samples'!AK191*1000</f>
        <v>1.4331213231759548</v>
      </c>
      <c r="X208" s="3">
        <f>M208/'Soil samples'!AK191*1000</f>
        <v>0</v>
      </c>
      <c r="Y208" s="31">
        <f t="shared" si="55"/>
        <v>0.16270000000000001</v>
      </c>
      <c r="Z208" s="104">
        <f t="shared" si="56"/>
        <v>0.16270000000000001</v>
      </c>
      <c r="AA208">
        <f t="shared" si="63"/>
        <v>1.627</v>
      </c>
      <c r="AB208">
        <f t="shared" si="63"/>
        <v>1.627</v>
      </c>
      <c r="AC208">
        <f t="shared" si="64"/>
        <v>0</v>
      </c>
      <c r="AD208">
        <f t="shared" si="66"/>
        <v>1.22</v>
      </c>
      <c r="AF208">
        <f t="shared" si="65"/>
        <v>8.1350000000000006E-2</v>
      </c>
    </row>
    <row r="209" spans="1:32" s="4" customFormat="1">
      <c r="A209" s="7" t="s">
        <v>195</v>
      </c>
      <c r="B209" s="6" t="s">
        <v>548</v>
      </c>
      <c r="C209" s="4" t="s">
        <v>13</v>
      </c>
      <c r="D209" s="4">
        <v>6</v>
      </c>
      <c r="E209" s="4">
        <v>30</v>
      </c>
      <c r="G209" s="101">
        <v>9.4799999999999995E-2</v>
      </c>
      <c r="H209" s="102">
        <v>7.6499999999999999E-2</v>
      </c>
      <c r="I209" s="102" t="s">
        <v>469</v>
      </c>
      <c r="J209" s="27">
        <v>42755</v>
      </c>
      <c r="K209" s="101">
        <v>1.8200000000000001E-2</v>
      </c>
      <c r="L209" s="103">
        <v>1.5900000000000001E-2</v>
      </c>
      <c r="M209" s="55">
        <v>0</v>
      </c>
      <c r="N209" s="5"/>
      <c r="O209" s="104">
        <f t="shared" si="57"/>
        <v>7.6600000000000001E-2</v>
      </c>
      <c r="P209" s="104">
        <f t="shared" si="58"/>
        <v>6.0600000000000001E-2</v>
      </c>
      <c r="Q209" s="104" t="e">
        <f t="shared" si="59"/>
        <v>#VALUE!</v>
      </c>
      <c r="R209" s="104">
        <f t="shared" si="60"/>
        <v>420.87912087912088</v>
      </c>
      <c r="S209" s="104">
        <f t="shared" si="61"/>
        <v>381.1320754716981</v>
      </c>
      <c r="T209" s="104">
        <f t="shared" si="62"/>
        <v>0</v>
      </c>
      <c r="U209" s="5"/>
      <c r="V209">
        <f>K209/'Soil samples'!AK192*1000</f>
        <v>0.27781146506743704</v>
      </c>
      <c r="W209">
        <f>L209/'Soil samples'!AK192*1000</f>
        <v>0.24270342277869497</v>
      </c>
      <c r="X209" s="3">
        <f>M209/'Soil samples'!AK192*1000</f>
        <v>0</v>
      </c>
      <c r="Y209" s="31">
        <f t="shared" si="55"/>
        <v>3.4100000000000005E-2</v>
      </c>
      <c r="Z209" s="104">
        <f t="shared" si="56"/>
        <v>3.4100000000000005E-2</v>
      </c>
      <c r="AA209">
        <f t="shared" si="63"/>
        <v>0.34100000000000008</v>
      </c>
      <c r="AB209">
        <f t="shared" si="63"/>
        <v>0.34100000000000008</v>
      </c>
      <c r="AC209">
        <f t="shared" si="64"/>
        <v>0</v>
      </c>
      <c r="AD209">
        <f t="shared" si="66"/>
        <v>0.182</v>
      </c>
      <c r="AF209">
        <f t="shared" si="65"/>
        <v>1.7050000000000006E-2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S192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S4" sqref="S4"/>
    </sheetView>
  </sheetViews>
  <sheetFormatPr baseColWidth="10" defaultColWidth="8.83203125" defaultRowHeight="16"/>
  <cols>
    <col min="8" max="8" width="11.83203125" bestFit="1" customWidth="1"/>
    <col min="9" max="9" width="12.5" bestFit="1" customWidth="1"/>
    <col min="10" max="10" width="9.5" bestFit="1" customWidth="1"/>
    <col min="11" max="11" width="8.5" bestFit="1" customWidth="1"/>
    <col min="12" max="12" width="11.83203125" style="3" bestFit="1" customWidth="1"/>
    <col min="13" max="13" width="18.1640625" style="31" bestFit="1" customWidth="1"/>
    <col min="14" max="14" width="19.1640625" style="105" bestFit="1" customWidth="1"/>
    <col min="15" max="15" width="14.5" bestFit="1" customWidth="1"/>
    <col min="16" max="16" width="10.6640625" bestFit="1" customWidth="1"/>
    <col min="17" max="17" width="14.1640625" bestFit="1" customWidth="1"/>
    <col min="18" max="18" width="12.6640625" style="141" bestFit="1" customWidth="1"/>
    <col min="19" max="19" width="12.6640625" style="141" customWidth="1"/>
    <col min="20" max="20" width="12.6640625" style="149" customWidth="1"/>
    <col min="21" max="23" width="12.6640625" style="141" customWidth="1"/>
    <col min="24" max="24" width="12.6640625" style="149" customWidth="1"/>
    <col min="25" max="25" width="14.33203125" bestFit="1" customWidth="1"/>
    <col min="26" max="26" width="10.6640625" bestFit="1" customWidth="1"/>
    <col min="27" max="27" width="14.1640625" bestFit="1" customWidth="1"/>
    <col min="28" max="28" width="12.5" style="175" bestFit="1" customWidth="1"/>
    <col min="29" max="29" width="12.5" style="175" customWidth="1"/>
    <col min="30" max="30" width="12.5" style="174" customWidth="1"/>
    <col min="31" max="33" width="12.5" style="175" customWidth="1"/>
    <col min="34" max="34" width="12.5" style="174" customWidth="1"/>
    <col min="35" max="35" width="14.5" bestFit="1" customWidth="1"/>
    <col min="36" max="36" width="11" bestFit="1" customWidth="1"/>
    <col min="37" max="37" width="14.5" bestFit="1" customWidth="1"/>
    <col min="38" max="38" width="13" style="175" bestFit="1" customWidth="1"/>
    <col min="39" max="39" width="13" style="175" customWidth="1"/>
    <col min="40" max="40" width="13" style="174" customWidth="1"/>
    <col min="41" max="42" width="13" style="175" customWidth="1"/>
    <col min="43" max="43" width="13" style="174" customWidth="1"/>
    <col min="44" max="44" width="13.6640625" bestFit="1" customWidth="1"/>
    <col min="45" max="45" width="10" bestFit="1" customWidth="1"/>
    <col min="46" max="46" width="13.5" bestFit="1" customWidth="1"/>
    <col min="47" max="47" width="11.83203125" style="175" bestFit="1" customWidth="1"/>
    <col min="48" max="48" width="11.83203125" style="175" customWidth="1"/>
    <col min="49" max="49" width="11.83203125" style="174" customWidth="1"/>
    <col min="50" max="51" width="11.83203125" style="175" customWidth="1"/>
    <col min="52" max="52" width="11.83203125" style="174" customWidth="1"/>
    <col min="53" max="53" width="11.83203125" bestFit="1" customWidth="1"/>
    <col min="54" max="54" width="11" bestFit="1" customWidth="1"/>
    <col min="55" max="55" width="14.5" bestFit="1" customWidth="1"/>
    <col min="56" max="56" width="13" style="175" bestFit="1" customWidth="1"/>
    <col min="57" max="57" width="13" style="175" customWidth="1"/>
    <col min="58" max="58" width="13" style="174" customWidth="1"/>
    <col min="59" max="60" width="13" style="175" customWidth="1"/>
    <col min="61" max="61" width="13" style="174" customWidth="1"/>
    <col min="63" max="63" width="9.33203125" bestFit="1" customWidth="1"/>
    <col min="64" max="64" width="9.6640625" bestFit="1" customWidth="1"/>
    <col min="65" max="65" width="11.83203125" style="52" bestFit="1" customWidth="1"/>
    <col min="66" max="66" width="11.6640625" style="52" bestFit="1" customWidth="1"/>
    <col min="67" max="67" width="11.1640625" style="31" bestFit="1" customWidth="1"/>
    <col min="68" max="68" width="11.1640625" style="31" customWidth="1"/>
    <col min="69" max="69" width="13.6640625" style="31" bestFit="1" customWidth="1"/>
    <col min="70" max="71" width="8.83203125" style="31"/>
  </cols>
  <sheetData>
    <row r="1" spans="1:71" ht="19">
      <c r="A1" s="19"/>
      <c r="B1" s="19"/>
      <c r="C1" s="19"/>
      <c r="D1" s="19"/>
      <c r="E1" s="21"/>
      <c r="F1" s="20" t="s">
        <v>757</v>
      </c>
      <c r="G1" s="21"/>
      <c r="O1" s="1" t="s">
        <v>887</v>
      </c>
      <c r="Y1" s="1" t="s">
        <v>888</v>
      </c>
    </row>
    <row r="2" spans="1:71">
      <c r="A2" s="9"/>
      <c r="B2" s="9"/>
      <c r="C2" s="9"/>
      <c r="D2" s="9"/>
      <c r="E2" s="23"/>
      <c r="F2" s="22"/>
      <c r="G2" s="23"/>
      <c r="U2" s="141" t="s">
        <v>1024</v>
      </c>
      <c r="Y2" t="s">
        <v>847</v>
      </c>
      <c r="AE2" s="175" t="s">
        <v>1024</v>
      </c>
      <c r="AI2" t="s">
        <v>1222</v>
      </c>
      <c r="AO2" s="175" t="s">
        <v>1024</v>
      </c>
      <c r="AR2" t="s">
        <v>1230</v>
      </c>
      <c r="AX2" s="175" t="s">
        <v>1024</v>
      </c>
      <c r="BA2" t="s">
        <v>860</v>
      </c>
      <c r="BG2" s="175" t="s">
        <v>1024</v>
      </c>
      <c r="BL2" t="s">
        <v>881</v>
      </c>
    </row>
    <row r="3" spans="1:71">
      <c r="A3" s="1" t="s">
        <v>10</v>
      </c>
      <c r="B3" s="1" t="s">
        <v>8</v>
      </c>
      <c r="C3" s="1" t="s">
        <v>11</v>
      </c>
      <c r="D3" s="1" t="s">
        <v>212</v>
      </c>
      <c r="E3" s="2" t="s">
        <v>20</v>
      </c>
      <c r="F3" s="18" t="s">
        <v>462</v>
      </c>
      <c r="G3" s="2" t="s">
        <v>375</v>
      </c>
      <c r="H3" s="107" t="s">
        <v>754</v>
      </c>
      <c r="I3" s="107" t="s">
        <v>755</v>
      </c>
      <c r="J3" s="107" t="s">
        <v>1221</v>
      </c>
      <c r="K3" s="107" t="s">
        <v>1220</v>
      </c>
      <c r="L3" s="125" t="s">
        <v>791</v>
      </c>
      <c r="M3" s="126" t="s">
        <v>849</v>
      </c>
      <c r="N3" s="127" t="s">
        <v>850</v>
      </c>
      <c r="O3" s="107" t="s">
        <v>1060</v>
      </c>
      <c r="P3" s="107" t="s">
        <v>792</v>
      </c>
      <c r="Q3" s="107" t="s">
        <v>793</v>
      </c>
      <c r="R3" s="142" t="s">
        <v>794</v>
      </c>
      <c r="S3" s="142" t="s">
        <v>878</v>
      </c>
      <c r="T3" s="150" t="s">
        <v>879</v>
      </c>
      <c r="U3" s="107" t="s">
        <v>1060</v>
      </c>
      <c r="V3" s="142" t="s">
        <v>880</v>
      </c>
      <c r="W3" s="142" t="s">
        <v>885</v>
      </c>
      <c r="X3" s="150" t="s">
        <v>886</v>
      </c>
      <c r="Y3" s="107" t="s">
        <v>1061</v>
      </c>
      <c r="Z3" s="107" t="s">
        <v>795</v>
      </c>
      <c r="AA3" s="107" t="s">
        <v>796</v>
      </c>
      <c r="AB3" s="176" t="s">
        <v>797</v>
      </c>
      <c r="AC3" s="142" t="s">
        <v>1025</v>
      </c>
      <c r="AD3" s="150" t="s">
        <v>1026</v>
      </c>
      <c r="AE3" s="107" t="s">
        <v>1061</v>
      </c>
      <c r="AF3" s="176" t="s">
        <v>1027</v>
      </c>
      <c r="AG3" s="142" t="s">
        <v>1028</v>
      </c>
      <c r="AH3" s="150" t="s">
        <v>1029</v>
      </c>
      <c r="AI3" s="107" t="s">
        <v>1223</v>
      </c>
      <c r="AJ3" s="107" t="s">
        <v>1224</v>
      </c>
      <c r="AK3" s="107" t="s">
        <v>1225</v>
      </c>
      <c r="AL3" s="176" t="s">
        <v>1226</v>
      </c>
      <c r="AM3" s="142" t="s">
        <v>1227</v>
      </c>
      <c r="AN3" s="150" t="s">
        <v>1219</v>
      </c>
      <c r="AO3" s="176" t="s">
        <v>1226</v>
      </c>
      <c r="AP3" s="142" t="s">
        <v>1227</v>
      </c>
      <c r="AQ3" s="150" t="s">
        <v>1219</v>
      </c>
      <c r="AR3" s="107" t="s">
        <v>1231</v>
      </c>
      <c r="AS3" s="107" t="s">
        <v>1232</v>
      </c>
      <c r="AT3" s="107" t="s">
        <v>1233</v>
      </c>
      <c r="AU3" s="176" t="s">
        <v>1234</v>
      </c>
      <c r="AV3" s="142" t="s">
        <v>1235</v>
      </c>
      <c r="AW3" s="150" t="s">
        <v>1218</v>
      </c>
      <c r="AX3" s="176" t="s">
        <v>1234</v>
      </c>
      <c r="AY3" s="142" t="s">
        <v>1235</v>
      </c>
      <c r="AZ3" s="150" t="s">
        <v>1218</v>
      </c>
      <c r="BA3" s="107" t="s">
        <v>791</v>
      </c>
      <c r="BB3" s="107" t="s">
        <v>804</v>
      </c>
      <c r="BC3" s="107" t="s">
        <v>805</v>
      </c>
      <c r="BD3" s="176" t="s">
        <v>806</v>
      </c>
      <c r="BE3" s="142" t="s">
        <v>1032</v>
      </c>
      <c r="BF3" s="150" t="s">
        <v>1033</v>
      </c>
      <c r="BG3" s="176" t="s">
        <v>806</v>
      </c>
      <c r="BH3" s="142" t="s">
        <v>1032</v>
      </c>
      <c r="BI3" s="150" t="s">
        <v>1033</v>
      </c>
      <c r="BJ3" s="1"/>
      <c r="BK3" s="1"/>
      <c r="BL3" s="138" t="s">
        <v>822</v>
      </c>
      <c r="BM3" s="146" t="s">
        <v>865</v>
      </c>
      <c r="BN3" s="147" t="s">
        <v>867</v>
      </c>
      <c r="BO3" s="148" t="s">
        <v>882</v>
      </c>
      <c r="BP3" s="148" t="s">
        <v>883</v>
      </c>
      <c r="BQ3" s="148" t="s">
        <v>1228</v>
      </c>
      <c r="BR3" s="148" t="s">
        <v>1229</v>
      </c>
      <c r="BS3" s="148" t="s">
        <v>884</v>
      </c>
    </row>
    <row r="4" spans="1:71">
      <c r="A4" t="s">
        <v>0</v>
      </c>
      <c r="B4" t="s">
        <v>9</v>
      </c>
      <c r="C4" t="s">
        <v>12</v>
      </c>
      <c r="D4" s="8">
        <v>1</v>
      </c>
      <c r="E4">
        <v>5</v>
      </c>
      <c r="F4" s="26">
        <v>42776</v>
      </c>
      <c r="G4" s="3"/>
      <c r="H4">
        <f>'Wet ref'!B51</f>
        <v>378.5563439</v>
      </c>
      <c r="I4">
        <f>'Wet ref'!C51</f>
        <v>1515.8116990000001</v>
      </c>
      <c r="J4">
        <f>'Wet ref'!D51</f>
        <v>73.618884730000005</v>
      </c>
      <c r="K4">
        <f>'Wet ref'!E51</f>
        <v>11.6388642</v>
      </c>
      <c r="L4" s="3">
        <f>K4*1000-H4-I4</f>
        <v>9744.4961571000003</v>
      </c>
      <c r="M4" s="31">
        <f>'Wet ref'!$B$41*'Soil samples'!AI4%</f>
        <v>2.5919974088746045</v>
      </c>
      <c r="N4" s="105">
        <f>'Wet ref'!$B$41*'Soil samples'!AH4%</f>
        <v>2.4080025911253955</v>
      </c>
      <c r="O4">
        <f>IF(H4&gt;0,H4,0)</f>
        <v>378.5563439</v>
      </c>
      <c r="P4">
        <f>O4/1000</f>
        <v>0.37855634389999998</v>
      </c>
      <c r="Q4">
        <f>P4*('Wet ref'!$B$40+M4)</f>
        <v>10.445125660001843</v>
      </c>
      <c r="R4" s="141">
        <f>Q4/N4</f>
        <v>4.3376721015571027</v>
      </c>
      <c r="S4" s="141">
        <f>R4*'Soil samples'!AK4/100</f>
        <v>0.67036816485891781</v>
      </c>
      <c r="T4" s="149">
        <f>S4/1000000*1000000</f>
        <v>0.67036816485891781</v>
      </c>
      <c r="U4" s="141">
        <f>O4</f>
        <v>378.5563439</v>
      </c>
      <c r="V4" s="141">
        <f>R4</f>
        <v>4.3376721015571027</v>
      </c>
      <c r="W4" s="141">
        <f>V4*'Soil samples'!AR4/100</f>
        <v>0.67036816485891781</v>
      </c>
      <c r="X4" s="149">
        <f>W4*1000000/1000000</f>
        <v>0.67036816485891781</v>
      </c>
      <c r="Y4">
        <f t="shared" ref="Y4:Y35" si="0">IF(I4&gt;0,I4,0)</f>
        <v>1515.8116990000001</v>
      </c>
      <c r="Z4">
        <f>Y4/1000</f>
        <v>1.5158116990000001</v>
      </c>
      <c r="AA4">
        <f>Z4*('Wet ref'!$B$40+M4)</f>
        <v>41.824272471149818</v>
      </c>
      <c r="AB4" s="175">
        <f t="shared" ref="AB4:AB67" si="1">AA4/N4</f>
        <v>17.368865226844701</v>
      </c>
      <c r="AC4" s="175">
        <f>AB4*'Soil samples'!AK4/100</f>
        <v>2.6842818071983929</v>
      </c>
      <c r="AD4" s="174">
        <f>AC4/1000000*1000000</f>
        <v>2.6842818071983929</v>
      </c>
      <c r="AE4" s="175">
        <f>Y4</f>
        <v>1515.8116990000001</v>
      </c>
      <c r="AF4" s="175">
        <f>AB4</f>
        <v>17.368865226844701</v>
      </c>
      <c r="AG4" s="175">
        <f>AF4*'Soil samples'!AR4/100</f>
        <v>2.6842818071983929</v>
      </c>
      <c r="AH4" s="174">
        <f>AG4/1000000*1000000</f>
        <v>2.6842818071983929</v>
      </c>
      <c r="AI4">
        <f t="shared" ref="AI4:AI35" si="2">IF(J4&gt;0,J4,0)</f>
        <v>73.618884730000005</v>
      </c>
      <c r="AJ4">
        <f>AI4/1000</f>
        <v>7.361888473E-2</v>
      </c>
      <c r="AK4">
        <f>AJ4*('Wet ref'!$B$40+M4)</f>
        <v>2.031292076714398</v>
      </c>
      <c r="AL4" s="175">
        <f t="shared" ref="AL4:AL35" si="3">AK4/N4</f>
        <v>0.84355892481206207</v>
      </c>
      <c r="AM4" s="175">
        <f>AL4*'Soil samples'!AK4/100</f>
        <v>0.13036832548352997</v>
      </c>
      <c r="AN4" s="174">
        <f>AM4/1000*1000000</f>
        <v>130.36832548352999</v>
      </c>
      <c r="AO4" s="175">
        <f>AL4</f>
        <v>0.84355892481206207</v>
      </c>
      <c r="AP4" s="175">
        <f>AO4*'Soil samples'!AR4/100</f>
        <v>0.13036832548352997</v>
      </c>
      <c r="AQ4" s="174">
        <f>AP4/1000*1000000</f>
        <v>130.36832548352999</v>
      </c>
      <c r="AR4">
        <f t="shared" ref="AR4:AR35" si="4">IF(K4&gt;0,K4,0)</f>
        <v>11.6388642</v>
      </c>
      <c r="AS4">
        <f>AR4/1000</f>
        <v>1.16388642E-2</v>
      </c>
      <c r="AT4">
        <f>AS4*('Wet ref'!$B$40+M4)</f>
        <v>0.32113951084864339</v>
      </c>
      <c r="AU4" s="175">
        <f t="shared" ref="AU4:AU35" si="5">AT4/N4</f>
        <v>0.13336344073390585</v>
      </c>
      <c r="AV4" s="175">
        <f>AU4*'Soil samples'!AK4/100</f>
        <v>2.0610733806265921E-2</v>
      </c>
      <c r="AW4" s="174">
        <f>AV4/1000*1000000</f>
        <v>20.610733806265923</v>
      </c>
      <c r="AX4" s="175">
        <f>AU4</f>
        <v>0.13336344073390585</v>
      </c>
      <c r="AY4" s="175">
        <f>AX4*'Soil samples'!AR4/100</f>
        <v>2.0610733806265921E-2</v>
      </c>
      <c r="AZ4" s="174">
        <f>AY4/1000*1000000</f>
        <v>20.610733806265923</v>
      </c>
      <c r="BA4">
        <f t="shared" ref="BA4:BA35" si="6">IF(AR4*1000-O4-Y4&gt;0,AR4*1000-O4-Y4,0)</f>
        <v>9744.4961571000003</v>
      </c>
      <c r="BB4">
        <f>BA4/1000</f>
        <v>9.7444961571000004</v>
      </c>
      <c r="BC4">
        <f>BB4*('Wet ref'!$B$40+M4)</f>
        <v>268.87011271749174</v>
      </c>
      <c r="BD4" s="175">
        <f t="shared" ref="BD4:BD35" si="7">BC4/N4</f>
        <v>111.65690340550404</v>
      </c>
      <c r="BE4" s="175">
        <f>BD4*'Soil samples'!AK4/100</f>
        <v>17.256083834208606</v>
      </c>
      <c r="BF4" s="174">
        <f t="shared" ref="BF4:BF15" si="8">BE4/1000000*1000000</f>
        <v>17.256083834208606</v>
      </c>
      <c r="BG4" s="175">
        <f>BD4</f>
        <v>111.65690340550404</v>
      </c>
      <c r="BH4" s="175">
        <f>BG4*'Soil samples'!AR4/100</f>
        <v>17.256083834208606</v>
      </c>
      <c r="BI4" s="174">
        <f t="shared" ref="BI4:BI15" si="9">BH4/1000000*1000000</f>
        <v>17.256083834208606</v>
      </c>
      <c r="BL4" s="6" t="s">
        <v>51</v>
      </c>
      <c r="BM4" s="52">
        <v>5</v>
      </c>
      <c r="BN4" s="52">
        <f>COUNT(R39,R43,R48,R51,R53)</f>
        <v>5</v>
      </c>
      <c r="BO4" s="31">
        <f>AVERAGE(R$39,R$43,R$48,R$51,R$53)</f>
        <v>4.8992031210108431</v>
      </c>
      <c r="BP4" s="31">
        <f>AVERAGE(AB$39,AB$43,AB$48,AB$51,AB$53)</f>
        <v>21.627303332628518</v>
      </c>
      <c r="BQ4" s="31">
        <f>AVERAGE(AL39,AL43,AL48,AL51,AL53)</f>
        <v>2.2475611737379273</v>
      </c>
      <c r="BR4" s="31">
        <f>AVERAGE(AU39,AU43,AU48,AU51,AU53)</f>
        <v>0.15842052670065124</v>
      </c>
      <c r="BS4" s="31">
        <f>AVERAGE(BD39,BD43,BD48,BD51,BD53)</f>
        <v>131.89402024701187</v>
      </c>
    </row>
    <row r="5" spans="1:71">
      <c r="A5" t="s">
        <v>1</v>
      </c>
      <c r="B5" t="s">
        <v>9</v>
      </c>
      <c r="C5" t="s">
        <v>12</v>
      </c>
      <c r="D5" s="8">
        <v>1</v>
      </c>
      <c r="E5">
        <v>20</v>
      </c>
      <c r="F5" s="26">
        <v>42776</v>
      </c>
      <c r="G5" s="3"/>
      <c r="H5">
        <f>'Wet ref'!B52</f>
        <v>151.59867270000001</v>
      </c>
      <c r="I5">
        <f>'Wet ref'!C52</f>
        <v>284.34927599999997</v>
      </c>
      <c r="J5">
        <f>'Wet ref'!D52</f>
        <v>50.655333570000003</v>
      </c>
      <c r="K5">
        <f>'Wet ref'!E52</f>
        <v>3.0023758909999998</v>
      </c>
      <c r="L5" s="3">
        <f t="shared" ref="L5:L68" si="10">K5*1000-H5-I5</f>
        <v>2566.4279422999998</v>
      </c>
      <c r="M5" s="31">
        <f>'Wet ref'!$B$41*'Soil samples'!AI5%</f>
        <v>1.7655199683669438</v>
      </c>
      <c r="N5" s="105">
        <f>'Wet ref'!$B$41*'Soil samples'!AH5%</f>
        <v>3.2344800316330562</v>
      </c>
      <c r="O5">
        <f t="shared" ref="O5:O35" si="11">IF(H5&gt;0,H5,0)</f>
        <v>151.59867270000001</v>
      </c>
      <c r="P5">
        <f t="shared" ref="P5:P46" si="12">O5/1000</f>
        <v>0.15159867270000002</v>
      </c>
      <c r="Q5">
        <f>P5*('Wet ref'!$B$40+M5)</f>
        <v>4.0576173013297758</v>
      </c>
      <c r="R5" s="141">
        <f>Q5/N5</f>
        <v>1.2544882830150372</v>
      </c>
      <c r="S5" s="141">
        <f>R5*'Soil samples'!AK5/100</f>
        <v>0.67291525325252977</v>
      </c>
      <c r="T5" s="149">
        <f t="shared" ref="T5:T68" si="13">S5/1000000*1000000</f>
        <v>0.67291525325252977</v>
      </c>
      <c r="U5" s="141">
        <f t="shared" ref="U5:U68" si="14">O5</f>
        <v>151.59867270000001</v>
      </c>
      <c r="V5" s="141">
        <f t="shared" ref="V5:V68" si="15">R5</f>
        <v>1.2544882830150372</v>
      </c>
      <c r="W5" s="141">
        <f>V5*'Soil samples'!AR5/100</f>
        <v>0.67291525325252977</v>
      </c>
      <c r="X5" s="149">
        <f t="shared" ref="X5:X68" si="16">W5*1000000/1000000</f>
        <v>0.67291525325252977</v>
      </c>
      <c r="Y5">
        <f t="shared" si="0"/>
        <v>284.34927599999997</v>
      </c>
      <c r="Z5">
        <f t="shared" ref="Z5:Z68" si="17">Y5/1000</f>
        <v>0.28434927599999998</v>
      </c>
      <c r="AA5">
        <f>Z5*('Wet ref'!$B$40+M5)</f>
        <v>7.6107562247686831</v>
      </c>
      <c r="AB5" s="175">
        <f t="shared" si="1"/>
        <v>2.3530076396625921</v>
      </c>
      <c r="AC5" s="175">
        <f>AB5*'Soil samples'!AK5/100</f>
        <v>1.2621678123156379</v>
      </c>
      <c r="AD5" s="174">
        <f t="shared" ref="AD5:AD68" si="18">AC5/1000000*1000000</f>
        <v>1.2621678123156379</v>
      </c>
      <c r="AE5" s="175">
        <f t="shared" ref="AE5:AE68" si="19">Y5</f>
        <v>284.34927599999997</v>
      </c>
      <c r="AF5" s="175">
        <f t="shared" ref="AF5:AF68" si="20">AB5</f>
        <v>2.3530076396625921</v>
      </c>
      <c r="AG5" s="175">
        <f>AF5*'Soil samples'!AR5/100</f>
        <v>1.2621678123156379</v>
      </c>
      <c r="AH5" s="174">
        <f t="shared" ref="AH5:AH68" si="21">AG5/1000000*1000000</f>
        <v>1.2621678123156379</v>
      </c>
      <c r="AI5">
        <f t="shared" si="2"/>
        <v>50.655333570000003</v>
      </c>
      <c r="AJ5">
        <f t="shared" ref="AJ5:AJ46" si="22">AI5/1000</f>
        <v>5.0655333570000002E-2</v>
      </c>
      <c r="AK5">
        <f>AJ5*('Wet ref'!$B$40+M5)</f>
        <v>1.3558163421721234</v>
      </c>
      <c r="AL5" s="175">
        <f t="shared" si="3"/>
        <v>0.41917598158353309</v>
      </c>
      <c r="AM5" s="175">
        <f>AL5*'Soil samples'!AK5/100</f>
        <v>0.22484858218582485</v>
      </c>
      <c r="AN5" s="174">
        <f t="shared" ref="AN5:AN68" si="23">AM5/1000*1000000</f>
        <v>224.84858218582485</v>
      </c>
      <c r="AO5" s="175">
        <f t="shared" ref="AO5:AO68" si="24">AL5</f>
        <v>0.41917598158353309</v>
      </c>
      <c r="AP5" s="175">
        <f>AO5*'Soil samples'!AR5/100</f>
        <v>0.22484858218582485</v>
      </c>
      <c r="AQ5" s="174">
        <f t="shared" ref="AQ5:AQ68" si="25">AP5/1000*1000000</f>
        <v>224.84858218582485</v>
      </c>
      <c r="AR5">
        <f t="shared" si="4"/>
        <v>3.0023758909999998</v>
      </c>
      <c r="AS5">
        <f t="shared" ref="AS5:AS46" si="26">AR5/1000</f>
        <v>3.0023758909999997E-3</v>
      </c>
      <c r="AT5">
        <f>AS5*('Wet ref'!$B$40+M5)</f>
        <v>8.0360151863103996E-2</v>
      </c>
      <c r="AU5" s="175">
        <f t="shared" si="5"/>
        <v>2.4844844017333743E-2</v>
      </c>
      <c r="AV5" s="175">
        <f>AU5*'Soil samples'!AK5/100</f>
        <v>1.3326927584977159E-2</v>
      </c>
      <c r="AW5" s="174">
        <f t="shared" ref="AW5:AW68" si="27">AV5/1000*1000000</f>
        <v>13.32692758497716</v>
      </c>
      <c r="AX5" s="175">
        <f t="shared" ref="AX5:AX68" si="28">AU5</f>
        <v>2.4844844017333743E-2</v>
      </c>
      <c r="AY5" s="175">
        <f>AX5*'Soil samples'!AR5/100</f>
        <v>1.3326927584977159E-2</v>
      </c>
      <c r="AZ5" s="174">
        <f t="shared" ref="AZ5:AZ68" si="29">AY5/1000*1000000</f>
        <v>13.32692758497716</v>
      </c>
      <c r="BA5">
        <f t="shared" si="6"/>
        <v>2566.4279422999998</v>
      </c>
      <c r="BB5">
        <f t="shared" ref="BB5:BB46" si="30">BA5/1000</f>
        <v>2.5664279422999998</v>
      </c>
      <c r="BC5">
        <f>BB5*('Wet ref'!$B$40+M5)</f>
        <v>68.69177833700553</v>
      </c>
      <c r="BD5" s="175">
        <f t="shared" si="7"/>
        <v>21.237348094656113</v>
      </c>
      <c r="BE5" s="175">
        <f>BD5*'Soil samples'!AK5/100</f>
        <v>11.391844519408991</v>
      </c>
      <c r="BF5" s="174">
        <f t="shared" si="8"/>
        <v>11.391844519408991</v>
      </c>
      <c r="BG5" s="175">
        <f t="shared" ref="BG5:BG68" si="31">BD5</f>
        <v>21.237348094656113</v>
      </c>
      <c r="BH5" s="175">
        <f>BG5*'Soil samples'!AR5/100</f>
        <v>11.391844519408991</v>
      </c>
      <c r="BI5" s="174">
        <f t="shared" si="9"/>
        <v>11.391844519408991</v>
      </c>
      <c r="BL5" s="6" t="s">
        <v>112</v>
      </c>
      <c r="BM5" s="52">
        <v>5</v>
      </c>
      <c r="BN5" s="52">
        <f>COUNT(R97,R100,R104,R112,R116)</f>
        <v>5</v>
      </c>
      <c r="BO5" s="31">
        <f>AVERAGE(R$97,R$100,R$104,R$112,R$116)</f>
        <v>1.0025299568504751</v>
      </c>
      <c r="BP5" s="31">
        <f>AVERAGE(AB$97,AB$100,AB$104,AB$112,AB$116)</f>
        <v>3.5273836736583313</v>
      </c>
      <c r="BQ5" s="31">
        <f>AVERAGE(AL97,AL100,AL104,AL112,AL116)</f>
        <v>0.51371168683443247</v>
      </c>
      <c r="BR5" s="31">
        <f>AVERAGE(AU97,AU100,AU104,AU112,AU116)</f>
        <v>0.16022956684965331</v>
      </c>
      <c r="BS5" s="31">
        <f>AVERAGE(BD97,BD100,BD104,BD112,BD116)</f>
        <v>155.69965321914452</v>
      </c>
    </row>
    <row r="6" spans="1:71">
      <c r="A6" t="s">
        <v>2</v>
      </c>
      <c r="B6" t="s">
        <v>9</v>
      </c>
      <c r="C6" t="s">
        <v>12</v>
      </c>
      <c r="D6" s="8">
        <v>1</v>
      </c>
      <c r="E6">
        <v>30</v>
      </c>
      <c r="F6" s="26">
        <v>42776</v>
      </c>
      <c r="G6" s="3"/>
      <c r="H6">
        <f>'Wet ref'!B53</f>
        <v>83.618746060000007</v>
      </c>
      <c r="I6">
        <f>'Wet ref'!C53</f>
        <v>118.5272575</v>
      </c>
      <c r="J6">
        <f>'Wet ref'!D53</f>
        <v>42.949042990000002</v>
      </c>
      <c r="K6">
        <f>'Wet ref'!E53</f>
        <v>1.0215007410000001</v>
      </c>
      <c r="L6" s="3">
        <f t="shared" si="10"/>
        <v>819.35473744000001</v>
      </c>
      <c r="M6" s="31">
        <f>'Wet ref'!$B$41*'Soil samples'!AI6%</f>
        <v>1.69014438979492</v>
      </c>
      <c r="N6" s="105">
        <f>'Wet ref'!$B$41*'Soil samples'!AH6%</f>
        <v>3.30985561020508</v>
      </c>
      <c r="O6">
        <f t="shared" si="11"/>
        <v>83.618746060000007</v>
      </c>
      <c r="P6">
        <f t="shared" si="12"/>
        <v>8.3618746060000013E-2</v>
      </c>
      <c r="Q6">
        <f>P6*('Wet ref'!$B$40+M6)</f>
        <v>2.2317964060349955</v>
      </c>
      <c r="R6" s="141">
        <f>Q6/N6</f>
        <v>0.67428814693723527</v>
      </c>
      <c r="S6" s="141">
        <f>R6*'Soil samples'!AK6/100</f>
        <v>0.45568819018422529</v>
      </c>
      <c r="T6" s="149">
        <f t="shared" si="13"/>
        <v>0.45568819018422529</v>
      </c>
      <c r="U6" s="141">
        <f t="shared" si="14"/>
        <v>83.618746060000007</v>
      </c>
      <c r="V6" s="141">
        <f t="shared" si="15"/>
        <v>0.67428814693723527</v>
      </c>
      <c r="W6" s="141">
        <f>V6*'Soil samples'!AR6/100</f>
        <v>0.45568819018422529</v>
      </c>
      <c r="X6" s="149">
        <f t="shared" si="16"/>
        <v>0.45568819018422529</v>
      </c>
      <c r="Y6">
        <f t="shared" si="0"/>
        <v>118.5272575</v>
      </c>
      <c r="Z6">
        <f t="shared" si="17"/>
        <v>0.11852725750000001</v>
      </c>
      <c r="AA6">
        <f>Z6*('Wet ref'!$B$40+M6)</f>
        <v>3.1635096168014032</v>
      </c>
      <c r="AB6" s="175">
        <f t="shared" si="1"/>
        <v>0.95578478017214497</v>
      </c>
      <c r="AC6" s="175">
        <f>AB6*'Soil samples'!AK6/100</f>
        <v>0.64592539355851042</v>
      </c>
      <c r="AD6" s="174">
        <f t="shared" si="18"/>
        <v>0.64592539355851042</v>
      </c>
      <c r="AE6" s="175">
        <f t="shared" si="19"/>
        <v>118.5272575</v>
      </c>
      <c r="AF6" s="175">
        <f t="shared" si="20"/>
        <v>0.95578478017214497</v>
      </c>
      <c r="AG6" s="175">
        <f>AF6*'Soil samples'!AR6/100</f>
        <v>0.64592539355851042</v>
      </c>
      <c r="AH6" s="174">
        <f t="shared" si="21"/>
        <v>0.64592539355851042</v>
      </c>
      <c r="AI6">
        <f t="shared" si="2"/>
        <v>42.949042990000002</v>
      </c>
      <c r="AJ6">
        <f t="shared" si="22"/>
        <v>4.2949042990000005E-2</v>
      </c>
      <c r="AK6">
        <f>AJ6*('Wet ref'!$B$40+M6)</f>
        <v>1.1463161588066095</v>
      </c>
      <c r="AL6" s="175">
        <f t="shared" si="3"/>
        <v>0.34633418910246155</v>
      </c>
      <c r="AM6" s="175">
        <f>AL6*'Soil samples'!AK6/100</f>
        <v>0.23405483330513349</v>
      </c>
      <c r="AN6" s="174">
        <f t="shared" si="23"/>
        <v>234.05483330513349</v>
      </c>
      <c r="AO6" s="175">
        <f t="shared" si="24"/>
        <v>0.34633418910246155</v>
      </c>
      <c r="AP6" s="175">
        <f>AO6*'Soil samples'!AR6/100</f>
        <v>0.23405483330513349</v>
      </c>
      <c r="AQ6" s="174">
        <f t="shared" si="25"/>
        <v>234.05483330513349</v>
      </c>
      <c r="AR6">
        <f t="shared" si="4"/>
        <v>1.0215007410000001</v>
      </c>
      <c r="AS6">
        <f t="shared" si="26"/>
        <v>1.0215007410000001E-3</v>
      </c>
      <c r="AT6">
        <f>AS6*('Wet ref'!$B$40+M6)</f>
        <v>2.7264002271572507E-2</v>
      </c>
      <c r="AU6" s="175">
        <f t="shared" si="5"/>
        <v>8.2372180186685608E-3</v>
      </c>
      <c r="AV6" s="175">
        <f>AU6*'Soil samples'!AK6/100</f>
        <v>5.566763983809675E-3</v>
      </c>
      <c r="AW6" s="174">
        <f t="shared" si="27"/>
        <v>5.5667639838096745</v>
      </c>
      <c r="AX6" s="175">
        <f t="shared" si="28"/>
        <v>8.2372180186685608E-3</v>
      </c>
      <c r="AY6" s="175">
        <f>AX6*'Soil samples'!AR6/100</f>
        <v>5.566763983809675E-3</v>
      </c>
      <c r="AZ6" s="174">
        <f t="shared" si="29"/>
        <v>5.5667639838096745</v>
      </c>
      <c r="BA6">
        <f t="shared" si="6"/>
        <v>819.35473744000001</v>
      </c>
      <c r="BB6">
        <f t="shared" si="30"/>
        <v>0.81935473743999998</v>
      </c>
      <c r="BC6">
        <f>BB6*('Wet ref'!$B$40+M6)</f>
        <v>21.868696248736104</v>
      </c>
      <c r="BD6" s="175">
        <f t="shared" si="7"/>
        <v>6.6071450915591781</v>
      </c>
      <c r="BE6" s="175">
        <f>BD6*'Soil samples'!AK6/100</f>
        <v>4.4651504000669373</v>
      </c>
      <c r="BF6" s="174">
        <f t="shared" si="8"/>
        <v>4.4651504000669373</v>
      </c>
      <c r="BG6" s="175">
        <f t="shared" si="31"/>
        <v>6.6071450915591781</v>
      </c>
      <c r="BH6" s="175">
        <f>BG6*'Soil samples'!AR6/100</f>
        <v>4.4651504000669373</v>
      </c>
      <c r="BI6" s="174">
        <f t="shared" si="9"/>
        <v>4.4651504000669373</v>
      </c>
      <c r="BL6" s="6" t="s">
        <v>127</v>
      </c>
      <c r="BM6" s="52">
        <v>5</v>
      </c>
      <c r="BN6" s="52">
        <f>COUNT(R119)</f>
        <v>1</v>
      </c>
      <c r="BO6" s="31">
        <f>AVERAGE(R$119)</f>
        <v>1.2228134407206586</v>
      </c>
      <c r="BP6" s="31">
        <f>AVERAGE(AB$119)</f>
        <v>8.4085786867780481</v>
      </c>
      <c r="BQ6" s="31">
        <f>AVERAGE(AL119)</f>
        <v>1.5302209931702764</v>
      </c>
      <c r="BR6" s="31">
        <f>AVERAGE(AU119)</f>
        <v>7.3201297710892205E-2</v>
      </c>
      <c r="BS6" s="31">
        <f>AVERAGE(BD119)</f>
        <v>63.569905583393478</v>
      </c>
    </row>
    <row r="7" spans="1:71">
      <c r="A7" t="s">
        <v>3</v>
      </c>
      <c r="B7" t="s">
        <v>9</v>
      </c>
      <c r="C7" t="s">
        <v>12</v>
      </c>
      <c r="D7" s="8">
        <v>2</v>
      </c>
      <c r="E7">
        <v>5</v>
      </c>
      <c r="F7" s="26">
        <v>42792</v>
      </c>
      <c r="G7" s="3"/>
      <c r="H7">
        <f>'Wet ref'!B54</f>
        <v>475.07629020000002</v>
      </c>
      <c r="I7">
        <f>'Wet ref'!C54</f>
        <v>2183.5363379999999</v>
      </c>
      <c r="J7">
        <f>'Wet ref'!D54</f>
        <v>83.356290659999999</v>
      </c>
      <c r="K7">
        <f>'Wet ref'!E54</f>
        <v>8.6622039419999997</v>
      </c>
      <c r="L7" s="3">
        <f t="shared" si="10"/>
        <v>6003.5913138000005</v>
      </c>
      <c r="M7" s="31">
        <f>'Wet ref'!$B$41*'Soil samples'!AI7%</f>
        <v>2.8295173687498303</v>
      </c>
      <c r="N7" s="105">
        <f>'Wet ref'!$B$41*'Soil samples'!AH7%</f>
        <v>2.1704826312501697</v>
      </c>
      <c r="O7">
        <f t="shared" si="11"/>
        <v>475.07629020000002</v>
      </c>
      <c r="P7">
        <f t="shared" si="12"/>
        <v>0.47507629020000003</v>
      </c>
      <c r="Q7">
        <f>P7*('Wet ref'!$B$40+M7)</f>
        <v>13.221143869602136</v>
      </c>
      <c r="R7" s="141">
        <f t="shared" ref="R7:R70" si="32">Q7/N7</f>
        <v>6.0913382485751244</v>
      </c>
      <c r="S7" s="141">
        <f>R7*'Soil samples'!AK7/100</f>
        <v>0.85435031685369023</v>
      </c>
      <c r="T7" s="149">
        <f t="shared" si="13"/>
        <v>0.85435031685369023</v>
      </c>
      <c r="U7" s="141">
        <f t="shared" si="14"/>
        <v>475.07629020000002</v>
      </c>
      <c r="V7" s="141">
        <f t="shared" si="15"/>
        <v>6.0913382485751244</v>
      </c>
      <c r="W7" s="141">
        <f>V7*'Soil samples'!AR7/100</f>
        <v>0.85435031685369023</v>
      </c>
      <c r="X7" s="149">
        <f t="shared" si="16"/>
        <v>0.85435031685369023</v>
      </c>
      <c r="Y7">
        <f t="shared" si="0"/>
        <v>2183.5363379999999</v>
      </c>
      <c r="Z7">
        <f t="shared" si="17"/>
        <v>2.1835363379999997</v>
      </c>
      <c r="AA7">
        <f>Z7*('Wet ref'!$B$40+M7)</f>
        <v>60.766762443667389</v>
      </c>
      <c r="AB7" s="175">
        <f t="shared" si="1"/>
        <v>27.99688952528799</v>
      </c>
      <c r="AC7" s="175">
        <f>AB7*'Soil samples'!AK7/100</f>
        <v>3.9267481891097877</v>
      </c>
      <c r="AD7" s="174">
        <f t="shared" si="18"/>
        <v>3.9267481891097877</v>
      </c>
      <c r="AE7" s="175">
        <f t="shared" si="19"/>
        <v>2183.5363379999999</v>
      </c>
      <c r="AF7" s="175">
        <f t="shared" si="20"/>
        <v>27.99688952528799</v>
      </c>
      <c r="AG7" s="175">
        <f>AF7*'Soil samples'!AR7/100</f>
        <v>3.9267481891097877</v>
      </c>
      <c r="AH7" s="174">
        <f t="shared" si="21"/>
        <v>3.9267481891097877</v>
      </c>
      <c r="AI7">
        <f t="shared" si="2"/>
        <v>83.356290659999999</v>
      </c>
      <c r="AJ7">
        <f t="shared" si="22"/>
        <v>8.3356290659999999E-2</v>
      </c>
      <c r="AK7">
        <f>AJ7*('Wet ref'!$B$40+M7)</f>
        <v>2.3197653387170294</v>
      </c>
      <c r="AL7" s="175">
        <f t="shared" si="3"/>
        <v>1.0687785773161773</v>
      </c>
      <c r="AM7" s="175">
        <f>AL7*'Soil samples'!AK7/100</f>
        <v>0.14990323618789447</v>
      </c>
      <c r="AN7" s="174">
        <f t="shared" si="23"/>
        <v>149.90323618789446</v>
      </c>
      <c r="AO7" s="175">
        <f t="shared" si="24"/>
        <v>1.0687785773161773</v>
      </c>
      <c r="AP7" s="175">
        <f>AO7*'Soil samples'!AR7/100</f>
        <v>0.14990323618789447</v>
      </c>
      <c r="AQ7" s="174">
        <f t="shared" si="25"/>
        <v>149.90323618789446</v>
      </c>
      <c r="AR7">
        <f t="shared" si="4"/>
        <v>8.6622039419999997</v>
      </c>
      <c r="AS7">
        <f t="shared" si="26"/>
        <v>8.6622039419999991E-3</v>
      </c>
      <c r="AT7">
        <f>AS7*('Wet ref'!$B$40+M7)</f>
        <v>0.24106495505554221</v>
      </c>
      <c r="AU7" s="175">
        <f t="shared" si="5"/>
        <v>0.11106513896252279</v>
      </c>
      <c r="AV7" s="175">
        <f>AU7*'Soil samples'!AK7/100</f>
        <v>1.5577617395689141E-2</v>
      </c>
      <c r="AW7" s="174">
        <f t="shared" si="27"/>
        <v>15.577617395689142</v>
      </c>
      <c r="AX7" s="175">
        <f t="shared" si="28"/>
        <v>0.11106513896252279</v>
      </c>
      <c r="AY7" s="175">
        <f>AX7*'Soil samples'!AR7/100</f>
        <v>1.5577617395689141E-2</v>
      </c>
      <c r="AZ7" s="174">
        <f t="shared" si="29"/>
        <v>15.577617395689142</v>
      </c>
      <c r="BA7">
        <f t="shared" si="6"/>
        <v>6003.5913138000005</v>
      </c>
      <c r="BB7">
        <f t="shared" si="30"/>
        <v>6.0035913138000003</v>
      </c>
      <c r="BC7">
        <f>BB7*('Wet ref'!$B$40+M7)</f>
        <v>167.07704874227272</v>
      </c>
      <c r="BD7" s="175">
        <f t="shared" si="7"/>
        <v>76.976911188659699</v>
      </c>
      <c r="BE7" s="175">
        <f>BD7*'Soil samples'!AK7/100</f>
        <v>10.796518889725666</v>
      </c>
      <c r="BF7" s="174">
        <f t="shared" si="8"/>
        <v>10.796518889725666</v>
      </c>
      <c r="BG7" s="175">
        <f t="shared" si="31"/>
        <v>76.976911188659699</v>
      </c>
      <c r="BH7" s="175">
        <f>BG7*'Soil samples'!AR7/100</f>
        <v>10.796518889725666</v>
      </c>
      <c r="BI7" s="174">
        <f t="shared" si="9"/>
        <v>10.796518889725666</v>
      </c>
      <c r="BL7" s="6" t="s">
        <v>128</v>
      </c>
      <c r="BM7" s="52">
        <v>5</v>
      </c>
      <c r="BN7" s="52">
        <f>COUNT(R119)</f>
        <v>1</v>
      </c>
      <c r="BO7" s="31">
        <f>AVERAGE(R$119)</f>
        <v>1.2228134407206586</v>
      </c>
      <c r="BP7" s="31">
        <f>AVERAGE(AB$119)</f>
        <v>8.4085786867780481</v>
      </c>
      <c r="BQ7" s="31">
        <f>AVERAGE(AL119)</f>
        <v>1.5302209931702764</v>
      </c>
      <c r="BR7" s="31">
        <f>AVERAGE(AU119)</f>
        <v>7.3201297710892205E-2</v>
      </c>
      <c r="BS7" s="31">
        <f>AVERAGE(BD119)</f>
        <v>63.569905583393478</v>
      </c>
    </row>
    <row r="8" spans="1:71">
      <c r="A8" t="s">
        <v>21</v>
      </c>
      <c r="B8" t="s">
        <v>9</v>
      </c>
      <c r="C8" t="s">
        <v>12</v>
      </c>
      <c r="D8" s="8">
        <v>2</v>
      </c>
      <c r="E8">
        <v>20</v>
      </c>
      <c r="F8" s="26">
        <v>42792</v>
      </c>
      <c r="G8" s="3"/>
      <c r="H8">
        <f>'Wet ref'!B55</f>
        <v>175.17148370000001</v>
      </c>
      <c r="I8">
        <f>'Wet ref'!C55</f>
        <v>652.10850809999999</v>
      </c>
      <c r="J8">
        <f>'Wet ref'!D55</f>
        <v>88.517713189999995</v>
      </c>
      <c r="K8">
        <f>'Wet ref'!E55</f>
        <v>4.1281433380000001</v>
      </c>
      <c r="L8" s="3">
        <f t="shared" si="10"/>
        <v>3300.8633461999998</v>
      </c>
      <c r="M8" s="31">
        <f>'Wet ref'!$B$41*'Soil samples'!AI8%</f>
        <v>2.3025478916291697</v>
      </c>
      <c r="N8" s="105">
        <f>'Wet ref'!$B$41*'Soil samples'!AH8%</f>
        <v>2.6974521083708303</v>
      </c>
      <c r="O8">
        <f t="shared" si="11"/>
        <v>175.17148370000001</v>
      </c>
      <c r="P8">
        <f t="shared" si="12"/>
        <v>0.17517148370000002</v>
      </c>
      <c r="Q8">
        <f>P8*('Wet ref'!$B$40+M8)</f>
        <v>4.7826278229669894</v>
      </c>
      <c r="R8" s="141">
        <f t="shared" si="32"/>
        <v>1.7730167694638088</v>
      </c>
      <c r="S8" s="141">
        <f>R8*'Soil samples'!AK8/100</f>
        <v>0.71662895299337381</v>
      </c>
      <c r="T8" s="149">
        <f t="shared" si="13"/>
        <v>0.71662895299337381</v>
      </c>
      <c r="U8" s="141">
        <f t="shared" si="14"/>
        <v>175.17148370000001</v>
      </c>
      <c r="V8" s="141">
        <f t="shared" si="15"/>
        <v>1.7730167694638088</v>
      </c>
      <c r="W8" s="141">
        <f>V8*'Soil samples'!AR8/100</f>
        <v>0.71662895299337381</v>
      </c>
      <c r="X8" s="149">
        <f t="shared" si="16"/>
        <v>0.71662895299337381</v>
      </c>
      <c r="Y8">
        <f t="shared" si="0"/>
        <v>652.10850809999999</v>
      </c>
      <c r="Z8">
        <f t="shared" si="17"/>
        <v>0.65210850809999998</v>
      </c>
      <c r="AA8">
        <f>Z8*('Wet ref'!$B$40+M8)</f>
        <v>17.8042237729391</v>
      </c>
      <c r="AB8" s="175">
        <f t="shared" si="1"/>
        <v>6.6003854962571502</v>
      </c>
      <c r="AC8" s="175">
        <f>AB8*'Soil samples'!AK8/100</f>
        <v>2.6677848901371948</v>
      </c>
      <c r="AD8" s="174">
        <f t="shared" si="18"/>
        <v>2.6677848901371948</v>
      </c>
      <c r="AE8" s="175">
        <f t="shared" si="19"/>
        <v>652.10850809999999</v>
      </c>
      <c r="AF8" s="175">
        <f t="shared" si="20"/>
        <v>6.6003854962571502</v>
      </c>
      <c r="AG8" s="175">
        <f>AF8*'Soil samples'!AR8/100</f>
        <v>2.6677848901371948</v>
      </c>
      <c r="AH8" s="174">
        <f t="shared" si="21"/>
        <v>2.6677848901371948</v>
      </c>
      <c r="AI8">
        <f t="shared" si="2"/>
        <v>88.517713189999995</v>
      </c>
      <c r="AJ8">
        <f t="shared" si="22"/>
        <v>8.851771319E-2</v>
      </c>
      <c r="AK8">
        <f>AJ8*('Wet ref'!$B$40+M8)</f>
        <v>2.41675910362747</v>
      </c>
      <c r="AL8" s="175">
        <f t="shared" si="3"/>
        <v>0.89594143159305639</v>
      </c>
      <c r="AM8" s="175">
        <f>AL8*'Soil samples'!AK8/100</f>
        <v>0.36212718408754013</v>
      </c>
      <c r="AN8" s="174">
        <f t="shared" si="23"/>
        <v>362.12718408754017</v>
      </c>
      <c r="AO8" s="175">
        <f t="shared" si="24"/>
        <v>0.89594143159305639</v>
      </c>
      <c r="AP8" s="175">
        <f>AO8*'Soil samples'!AR8/100</f>
        <v>0.36212718408754013</v>
      </c>
      <c r="AQ8" s="174">
        <f t="shared" si="25"/>
        <v>362.12718408754017</v>
      </c>
      <c r="AR8">
        <f t="shared" si="4"/>
        <v>4.1281433380000001</v>
      </c>
      <c r="AS8">
        <f t="shared" si="26"/>
        <v>4.1281433380000003E-3</v>
      </c>
      <c r="AT8">
        <f>AS8*('Wet ref'!$B$40+M8)</f>
        <v>0.11270883118925491</v>
      </c>
      <c r="AU8" s="175">
        <f t="shared" si="5"/>
        <v>4.1783441062583769E-2</v>
      </c>
      <c r="AV8" s="175">
        <f>AU8*'Soil samples'!AK8/100</f>
        <v>1.688829126539796E-2</v>
      </c>
      <c r="AW8" s="174">
        <f t="shared" si="27"/>
        <v>16.88829126539796</v>
      </c>
      <c r="AX8" s="175">
        <f t="shared" si="28"/>
        <v>4.1783441062583769E-2</v>
      </c>
      <c r="AY8" s="175">
        <f>AX8*'Soil samples'!AR8/100</f>
        <v>1.688829126539796E-2</v>
      </c>
      <c r="AZ8" s="174">
        <f t="shared" si="29"/>
        <v>16.88829126539796</v>
      </c>
      <c r="BA8">
        <f t="shared" si="6"/>
        <v>3300.8633461999998</v>
      </c>
      <c r="BB8">
        <f t="shared" si="30"/>
        <v>3.3008633461999999</v>
      </c>
      <c r="BC8">
        <f>BB8*('Wet ref'!$B$40+M8)</f>
        <v>90.121979593348811</v>
      </c>
      <c r="BD8" s="175">
        <f t="shared" si="7"/>
        <v>33.410038796862807</v>
      </c>
      <c r="BE8" s="175">
        <f>BD8*'Soil samples'!AK8/100</f>
        <v>13.50387742226739</v>
      </c>
      <c r="BF8" s="174">
        <f t="shared" si="8"/>
        <v>13.50387742226739</v>
      </c>
      <c r="BG8" s="175">
        <f t="shared" si="31"/>
        <v>33.410038796862807</v>
      </c>
      <c r="BH8" s="175">
        <f>BG8*'Soil samples'!AR8/100</f>
        <v>13.50387742226739</v>
      </c>
      <c r="BI8" s="174">
        <f t="shared" si="9"/>
        <v>13.50387742226739</v>
      </c>
      <c r="BL8" s="6" t="s">
        <v>132</v>
      </c>
      <c r="BM8" s="52">
        <v>5</v>
      </c>
      <c r="BN8" s="52">
        <f>COUNT(R119)</f>
        <v>1</v>
      </c>
      <c r="BO8" s="31">
        <f>AVERAGE(R$119)</f>
        <v>1.2228134407206586</v>
      </c>
      <c r="BP8" s="31">
        <f>AVERAGE(AB$119)</f>
        <v>8.4085786867780481</v>
      </c>
      <c r="BQ8" s="31">
        <f>AVERAGE(AL119)</f>
        <v>1.5302209931702764</v>
      </c>
      <c r="BR8" s="31">
        <f>AVERAGE(AU119)</f>
        <v>7.3201297710892205E-2</v>
      </c>
      <c r="BS8" s="31">
        <f>AVERAGE(BD119)</f>
        <v>63.569905583393478</v>
      </c>
    </row>
    <row r="9" spans="1:71">
      <c r="A9" t="s">
        <v>22</v>
      </c>
      <c r="B9" t="s">
        <v>9</v>
      </c>
      <c r="C9" t="s">
        <v>12</v>
      </c>
      <c r="D9" s="8">
        <v>2</v>
      </c>
      <c r="E9">
        <v>30</v>
      </c>
      <c r="F9" s="26">
        <v>42792</v>
      </c>
      <c r="G9" s="3"/>
      <c r="H9">
        <f>'Wet ref'!B56</f>
        <v>35.688115539999998</v>
      </c>
      <c r="I9">
        <f>'Wet ref'!C56</f>
        <v>212.43022389999999</v>
      </c>
      <c r="J9">
        <f>'Wet ref'!D56</f>
        <v>56.306613329999998</v>
      </c>
      <c r="K9">
        <f>'Wet ref'!E56</f>
        <v>1.6933000149999999</v>
      </c>
      <c r="L9" s="3">
        <f t="shared" si="10"/>
        <v>1445.1816755600003</v>
      </c>
      <c r="M9" s="31">
        <f>'Wet ref'!$B$41*'Soil samples'!AI9%</f>
        <v>1.9278251669642266</v>
      </c>
      <c r="N9" s="105">
        <f>'Wet ref'!$B$41*'Soil samples'!AH9%</f>
        <v>3.0721748330357732</v>
      </c>
      <c r="O9">
        <f t="shared" si="11"/>
        <v>35.688115539999998</v>
      </c>
      <c r="P9">
        <f t="shared" si="12"/>
        <v>3.5688115539999996E-2</v>
      </c>
      <c r="Q9">
        <f>P9*('Wet ref'!$B$40+M9)</f>
        <v>0.961003335799539</v>
      </c>
      <c r="R9" s="141">
        <f t="shared" si="32"/>
        <v>0.31280880419488444</v>
      </c>
      <c r="S9" s="141">
        <f>R9*'Soil samples'!AK9/100</f>
        <v>0.20144551925029938</v>
      </c>
      <c r="T9" s="149">
        <f t="shared" si="13"/>
        <v>0.20144551925029938</v>
      </c>
      <c r="U9" s="141">
        <f t="shared" si="14"/>
        <v>35.688115539999998</v>
      </c>
      <c r="V9" s="141">
        <f t="shared" si="15"/>
        <v>0.31280880419488444</v>
      </c>
      <c r="W9" s="141">
        <f>V9*'Soil samples'!AR9/100</f>
        <v>0.20144551925029938</v>
      </c>
      <c r="X9" s="149">
        <f t="shared" si="16"/>
        <v>0.20144551925029938</v>
      </c>
      <c r="Y9">
        <f t="shared" si="0"/>
        <v>212.43022389999999</v>
      </c>
      <c r="Z9">
        <f t="shared" si="17"/>
        <v>0.21243022389999999</v>
      </c>
      <c r="AA9">
        <f>Z9*('Wet ref'!$B$40+M9)</f>
        <v>5.7202839293582652</v>
      </c>
      <c r="AB9" s="175">
        <f t="shared" si="1"/>
        <v>1.8619656237811699</v>
      </c>
      <c r="AC9" s="175">
        <f>AB9*'Soil samples'!AK9/100</f>
        <v>1.1990859172720796</v>
      </c>
      <c r="AD9" s="174">
        <f t="shared" si="18"/>
        <v>1.1990859172720796</v>
      </c>
      <c r="AE9" s="175">
        <f t="shared" si="19"/>
        <v>212.43022389999999</v>
      </c>
      <c r="AF9" s="175">
        <f t="shared" si="20"/>
        <v>1.8619656237811699</v>
      </c>
      <c r="AG9" s="175">
        <f>AF9*'Soil samples'!AR9/100</f>
        <v>1.1990859172720796</v>
      </c>
      <c r="AH9" s="174">
        <f t="shared" si="21"/>
        <v>1.1990859172720796</v>
      </c>
      <c r="AI9">
        <f t="shared" si="2"/>
        <v>56.306613329999998</v>
      </c>
      <c r="AJ9">
        <f t="shared" si="22"/>
        <v>5.6306613329999998E-2</v>
      </c>
      <c r="AK9">
        <f>AJ9*('Wet ref'!$B$40+M9)</f>
        <v>1.5162146394940974</v>
      </c>
      <c r="AL9" s="175">
        <f t="shared" si="3"/>
        <v>0.49353136520418928</v>
      </c>
      <c r="AM9" s="175">
        <f>AL9*'Soil samples'!AK9/100</f>
        <v>0.3178289127307527</v>
      </c>
      <c r="AN9" s="174">
        <f t="shared" si="23"/>
        <v>317.82891273075273</v>
      </c>
      <c r="AO9" s="175">
        <f t="shared" si="24"/>
        <v>0.49353136520418928</v>
      </c>
      <c r="AP9" s="175">
        <f>AO9*'Soil samples'!AR9/100</f>
        <v>0.3178289127307527</v>
      </c>
      <c r="AQ9" s="174">
        <f t="shared" si="25"/>
        <v>317.82891273075273</v>
      </c>
      <c r="AR9">
        <f t="shared" si="4"/>
        <v>1.6933000149999999</v>
      </c>
      <c r="AS9">
        <f t="shared" si="26"/>
        <v>1.693300015E-3</v>
      </c>
      <c r="AT9">
        <f>AS9*('Wet ref'!$B$40+M9)</f>
        <v>4.5596886759137902E-2</v>
      </c>
      <c r="AU9" s="175">
        <f t="shared" si="5"/>
        <v>1.4841891896523768E-2</v>
      </c>
      <c r="AV9" s="175">
        <f>AU9*'Soil samples'!AK9/100</f>
        <v>9.5580194024504888E-3</v>
      </c>
      <c r="AW9" s="174">
        <f t="shared" si="27"/>
        <v>9.5580194024504888</v>
      </c>
      <c r="AX9" s="175">
        <f t="shared" si="28"/>
        <v>1.4841891896523768E-2</v>
      </c>
      <c r="AY9" s="175">
        <f>AX9*'Soil samples'!AR9/100</f>
        <v>9.5580194024504888E-3</v>
      </c>
      <c r="AZ9" s="174">
        <f t="shared" si="29"/>
        <v>9.5580194024504888</v>
      </c>
      <c r="BA9">
        <f t="shared" si="6"/>
        <v>1445.1816755600003</v>
      </c>
      <c r="BB9">
        <f t="shared" si="30"/>
        <v>1.4451816755600002</v>
      </c>
      <c r="BC9">
        <f>BB9*('Wet ref'!$B$40+M9)</f>
        <v>38.915599493980103</v>
      </c>
      <c r="BD9" s="175">
        <f t="shared" si="7"/>
        <v>12.667117468547715</v>
      </c>
      <c r="BE9" s="175">
        <f>BD9*'Soil samples'!AK9/100</f>
        <v>8.1574879659281105</v>
      </c>
      <c r="BF9" s="174">
        <f t="shared" si="8"/>
        <v>8.1574879659281105</v>
      </c>
      <c r="BG9" s="175">
        <f t="shared" si="31"/>
        <v>12.667117468547715</v>
      </c>
      <c r="BH9" s="175">
        <f>BG9*'Soil samples'!AR9/100</f>
        <v>8.1574879659281105</v>
      </c>
      <c r="BI9" s="174">
        <f t="shared" si="9"/>
        <v>8.1574879659281105</v>
      </c>
      <c r="BL9" s="6" t="s">
        <v>135</v>
      </c>
      <c r="BM9" s="52">
        <v>5</v>
      </c>
      <c r="BN9" s="52">
        <f>COUNT(R119)</f>
        <v>1</v>
      </c>
      <c r="BO9" s="31">
        <f>AVERAGE(R$119)</f>
        <v>1.2228134407206586</v>
      </c>
      <c r="BP9" s="31">
        <f>AVERAGE(AB$119)</f>
        <v>8.4085786867780481</v>
      </c>
      <c r="BQ9" s="31">
        <f>AVERAGE(AL119)</f>
        <v>1.5302209931702764</v>
      </c>
      <c r="BR9" s="31">
        <f>AVERAGE(AU119)</f>
        <v>7.3201297710892205E-2</v>
      </c>
      <c r="BS9" s="31">
        <f>AVERAGE(BD119)</f>
        <v>63.569905583393478</v>
      </c>
    </row>
    <row r="10" spans="1:71">
      <c r="A10" t="s">
        <v>23</v>
      </c>
      <c r="B10" t="s">
        <v>9</v>
      </c>
      <c r="C10" t="s">
        <v>12</v>
      </c>
      <c r="D10" s="8">
        <v>3</v>
      </c>
      <c r="E10">
        <v>5</v>
      </c>
      <c r="F10" s="26">
        <v>42746</v>
      </c>
      <c r="G10" s="3"/>
      <c r="H10">
        <f>'Wet ref'!B57</f>
        <v>417.04882689999999</v>
      </c>
      <c r="I10">
        <f>'Wet ref'!C57</f>
        <v>1620.049354</v>
      </c>
      <c r="J10">
        <f>'Wet ref'!D57</f>
        <v>73.45161641</v>
      </c>
      <c r="K10">
        <f>'Wet ref'!E57</f>
        <v>5.6476881319999999</v>
      </c>
      <c r="L10" s="3">
        <f t="shared" si="10"/>
        <v>3610.5899511000007</v>
      </c>
      <c r="M10" s="31">
        <f>'Wet ref'!$B$41*'Soil samples'!AI10%</f>
        <v>2.5734340552457531</v>
      </c>
      <c r="N10" s="105">
        <f>'Wet ref'!$B$41*'Soil samples'!AH10%</f>
        <v>2.4265659447542474</v>
      </c>
      <c r="O10">
        <f t="shared" si="11"/>
        <v>417.04882689999999</v>
      </c>
      <c r="P10">
        <f t="shared" si="12"/>
        <v>0.4170488269</v>
      </c>
      <c r="Q10">
        <f>P10*('Wet ref'!$B$40+M10)</f>
        <v>11.499468326344751</v>
      </c>
      <c r="R10" s="141">
        <f t="shared" si="32"/>
        <v>4.7389885905241158</v>
      </c>
      <c r="S10" s="141">
        <f>R10*'Soil samples'!AK10/100</f>
        <v>1.0381720005024038</v>
      </c>
      <c r="T10" s="149">
        <f t="shared" si="13"/>
        <v>1.0381720005024038</v>
      </c>
      <c r="U10" s="141">
        <f t="shared" si="14"/>
        <v>417.04882689999999</v>
      </c>
      <c r="V10" s="141">
        <f t="shared" si="15"/>
        <v>4.7389885905241158</v>
      </c>
      <c r="W10" s="141">
        <f>V10*'Soil samples'!AR10/100</f>
        <v>1.0381720005024038</v>
      </c>
      <c r="X10" s="149">
        <f t="shared" si="16"/>
        <v>1.0381720005024038</v>
      </c>
      <c r="Y10">
        <f t="shared" si="0"/>
        <v>1620.049354</v>
      </c>
      <c r="Z10">
        <f t="shared" si="17"/>
        <v>1.6200493540000001</v>
      </c>
      <c r="AA10">
        <f>Z10*('Wet ref'!$B$40+M10)</f>
        <v>44.670324028762479</v>
      </c>
      <c r="AB10" s="175">
        <f t="shared" si="1"/>
        <v>18.408864644841337</v>
      </c>
      <c r="AC10" s="175">
        <f>AB10*'Soil samples'!AK10/100</f>
        <v>4.0328368533166756</v>
      </c>
      <c r="AD10" s="174">
        <f t="shared" si="18"/>
        <v>4.0328368533166756</v>
      </c>
      <c r="AE10" s="175">
        <f t="shared" si="19"/>
        <v>1620.049354</v>
      </c>
      <c r="AF10" s="175">
        <f t="shared" si="20"/>
        <v>18.408864644841337</v>
      </c>
      <c r="AG10" s="175">
        <f>AF10*'Soil samples'!AR10/100</f>
        <v>4.0328368533166756</v>
      </c>
      <c r="AH10" s="174">
        <f t="shared" si="21"/>
        <v>4.0328368533166756</v>
      </c>
      <c r="AI10">
        <f t="shared" si="2"/>
        <v>73.45161641</v>
      </c>
      <c r="AJ10">
        <f t="shared" si="22"/>
        <v>7.3451616410000004E-2</v>
      </c>
      <c r="AK10">
        <f>AJ10*('Wet ref'!$B$40+M10)</f>
        <v>2.0253133013323419</v>
      </c>
      <c r="AL10" s="175">
        <f t="shared" si="3"/>
        <v>0.83464177254719418</v>
      </c>
      <c r="AM10" s="175">
        <f>AL10*'Soil samples'!AK10/100</f>
        <v>0.18284528484428378</v>
      </c>
      <c r="AN10" s="174">
        <f t="shared" si="23"/>
        <v>182.84528484428378</v>
      </c>
      <c r="AO10" s="175">
        <f t="shared" si="24"/>
        <v>0.83464177254719418</v>
      </c>
      <c r="AP10" s="175">
        <f>AO10*'Soil samples'!AR10/100</f>
        <v>0.18284528484428378</v>
      </c>
      <c r="AQ10" s="174">
        <f t="shared" si="25"/>
        <v>182.84528484428378</v>
      </c>
      <c r="AR10">
        <f t="shared" si="4"/>
        <v>5.6476881319999999</v>
      </c>
      <c r="AS10">
        <f t="shared" si="26"/>
        <v>5.647688132E-3</v>
      </c>
      <c r="AT10">
        <f>AS10*('Wet ref'!$B$40+M10)</f>
        <v>0.15572615627229605</v>
      </c>
      <c r="AU10" s="175">
        <f t="shared" si="5"/>
        <v>6.4175530283421725E-2</v>
      </c>
      <c r="AV10" s="175">
        <f>AU10*'Soil samples'!AK10/100</f>
        <v>1.4058957388262882E-2</v>
      </c>
      <c r="AW10" s="174">
        <f t="shared" si="27"/>
        <v>14.058957388262883</v>
      </c>
      <c r="AX10" s="175">
        <f t="shared" si="28"/>
        <v>6.4175530283421725E-2</v>
      </c>
      <c r="AY10" s="175">
        <f>AX10*'Soil samples'!AR10/100</f>
        <v>1.4058957388262882E-2</v>
      </c>
      <c r="AZ10" s="174">
        <f t="shared" si="29"/>
        <v>14.058957388262883</v>
      </c>
      <c r="BA10">
        <f t="shared" si="6"/>
        <v>3610.5899511000007</v>
      </c>
      <c r="BB10">
        <f t="shared" si="30"/>
        <v>3.6105899511000006</v>
      </c>
      <c r="BC10">
        <f>BB10*('Wet ref'!$B$40+M10)</f>
        <v>99.556363917188847</v>
      </c>
      <c r="BD10" s="175">
        <f t="shared" si="7"/>
        <v>41.027677048056283</v>
      </c>
      <c r="BE10" s="175">
        <f>BD10*'Soil samples'!AK10/100</f>
        <v>8.9879485344438059</v>
      </c>
      <c r="BF10" s="174">
        <f t="shared" si="8"/>
        <v>8.9879485344438059</v>
      </c>
      <c r="BG10" s="175">
        <f t="shared" si="31"/>
        <v>41.027677048056283</v>
      </c>
      <c r="BH10" s="175">
        <f>BG10*'Soil samples'!AR10/100</f>
        <v>8.9879485344438059</v>
      </c>
      <c r="BI10" s="174">
        <f t="shared" si="9"/>
        <v>8.9879485344438059</v>
      </c>
      <c r="BL10" s="6" t="s">
        <v>145</v>
      </c>
      <c r="BM10" s="52">
        <v>5</v>
      </c>
      <c r="BN10" s="52">
        <f>COUNT(R136,R138,R141,R144,R148)</f>
        <v>5</v>
      </c>
      <c r="BO10" s="31">
        <f>AVERAGE(R$136,R$138,R$141,R$144,R$148)</f>
        <v>1.1888254888187151</v>
      </c>
      <c r="BP10" s="31">
        <f>AVERAGE(AB$136,AB$138,AB$141,AB$144,AB$148)</f>
        <v>1.706268499564277</v>
      </c>
      <c r="BQ10" s="31">
        <f>AVERAGE(AL119)</f>
        <v>1.5302209931702764</v>
      </c>
      <c r="BR10" s="31">
        <f>AVERAGE(AU119)</f>
        <v>7.3201297710892205E-2</v>
      </c>
      <c r="BS10" s="31">
        <f>AVERAGE(BD119)</f>
        <v>63.569905583393478</v>
      </c>
    </row>
    <row r="11" spans="1:71">
      <c r="A11" t="s">
        <v>14</v>
      </c>
      <c r="B11" t="s">
        <v>9</v>
      </c>
      <c r="C11" t="s">
        <v>12</v>
      </c>
      <c r="D11" s="8">
        <v>3</v>
      </c>
      <c r="E11">
        <v>20</v>
      </c>
      <c r="F11" s="26">
        <v>42746</v>
      </c>
      <c r="G11" s="3"/>
      <c r="H11">
        <f>'Wet ref'!B58</f>
        <v>587.05278199999998</v>
      </c>
      <c r="I11">
        <f>'Wet ref'!C58</f>
        <v>717.65378180000005</v>
      </c>
      <c r="J11">
        <f>'Wet ref'!D58</f>
        <v>73.05734108</v>
      </c>
      <c r="K11">
        <f>'Wet ref'!E58</f>
        <v>4.1969399620000001</v>
      </c>
      <c r="L11" s="3">
        <f t="shared" si="10"/>
        <v>2892.2333982000005</v>
      </c>
      <c r="M11" s="31">
        <f>'Wet ref'!$B$41*'Soil samples'!AI11%</f>
        <v>2.0231310494141623</v>
      </c>
      <c r="N11" s="105">
        <f>'Wet ref'!$B$41*'Soil samples'!AH11%</f>
        <v>2.9768689505858377</v>
      </c>
      <c r="O11">
        <f t="shared" si="11"/>
        <v>587.05278199999998</v>
      </c>
      <c r="P11">
        <f t="shared" si="12"/>
        <v>0.587052782</v>
      </c>
      <c r="Q11">
        <f>P11*('Wet ref'!$B$40+M11)</f>
        <v>15.864004260909162</v>
      </c>
      <c r="R11" s="141">
        <f t="shared" si="32"/>
        <v>5.3290905727600739</v>
      </c>
      <c r="S11" s="141">
        <f>R11*'Soil samples'!AK11/100</f>
        <v>2.497946110922757</v>
      </c>
      <c r="T11" s="149">
        <f t="shared" si="13"/>
        <v>2.497946110922757</v>
      </c>
      <c r="U11" s="141">
        <f t="shared" si="14"/>
        <v>587.05278199999998</v>
      </c>
      <c r="V11" s="141">
        <f t="shared" si="15"/>
        <v>5.3290905727600739</v>
      </c>
      <c r="W11" s="141">
        <f>V11*'Soil samples'!AR11/100</f>
        <v>2.497946110922757</v>
      </c>
      <c r="X11" s="149">
        <f t="shared" si="16"/>
        <v>2.497946110922757</v>
      </c>
      <c r="Y11">
        <f t="shared" si="0"/>
        <v>717.65378180000005</v>
      </c>
      <c r="Z11">
        <f t="shared" si="17"/>
        <v>0.71765378180000006</v>
      </c>
      <c r="AA11">
        <f>Z11*('Wet ref'!$B$40+M11)</f>
        <v>19.393252193689076</v>
      </c>
      <c r="AB11" s="175">
        <f t="shared" si="1"/>
        <v>6.5146476098225792</v>
      </c>
      <c r="AC11" s="175">
        <f>AB11*'Soil samples'!AK11/100</f>
        <v>3.0536614904182828</v>
      </c>
      <c r="AD11" s="174">
        <f t="shared" si="18"/>
        <v>3.0536614904182828</v>
      </c>
      <c r="AE11" s="175">
        <f t="shared" si="19"/>
        <v>717.65378180000005</v>
      </c>
      <c r="AF11" s="175">
        <f t="shared" si="20"/>
        <v>6.5146476098225792</v>
      </c>
      <c r="AG11" s="175">
        <f>AF11*'Soil samples'!AR11/100</f>
        <v>3.0536614904182828</v>
      </c>
      <c r="AH11" s="174">
        <f t="shared" si="21"/>
        <v>3.0536614904182828</v>
      </c>
      <c r="AI11">
        <f t="shared" si="2"/>
        <v>73.05734108</v>
      </c>
      <c r="AJ11">
        <f t="shared" si="22"/>
        <v>7.3057341080000004E-2</v>
      </c>
      <c r="AK11">
        <f>AJ11*('Wet ref'!$B$40+M11)</f>
        <v>1.9742381021265889</v>
      </c>
      <c r="AL11" s="175">
        <f t="shared" si="3"/>
        <v>0.66319281597467217</v>
      </c>
      <c r="AM11" s="175">
        <f>AL11*'Soil samples'!AK11/100</f>
        <v>0.31086353156085278</v>
      </c>
      <c r="AN11" s="174">
        <f t="shared" si="23"/>
        <v>310.86353156085278</v>
      </c>
      <c r="AO11" s="175">
        <f t="shared" si="24"/>
        <v>0.66319281597467217</v>
      </c>
      <c r="AP11" s="175">
        <f>AO11*'Soil samples'!AR11/100</f>
        <v>0.31086353156085278</v>
      </c>
      <c r="AQ11" s="174">
        <f t="shared" si="25"/>
        <v>310.86353156085278</v>
      </c>
      <c r="AR11">
        <f t="shared" si="4"/>
        <v>4.1969399620000001</v>
      </c>
      <c r="AS11">
        <f t="shared" si="26"/>
        <v>4.1969399619999999E-3</v>
      </c>
      <c r="AT11">
        <f>AS11*('Wet ref'!$B$40+M11)</f>
        <v>0.11341445859964928</v>
      </c>
      <c r="AU11" s="175">
        <f t="shared" si="5"/>
        <v>3.8098572857004576E-2</v>
      </c>
      <c r="AV11" s="175">
        <f>AU11*'Soil samples'!AK11/100</f>
        <v>1.7858240651100782E-2</v>
      </c>
      <c r="AW11" s="174">
        <f t="shared" si="27"/>
        <v>17.858240651100783</v>
      </c>
      <c r="AX11" s="175">
        <f t="shared" si="28"/>
        <v>3.8098572857004576E-2</v>
      </c>
      <c r="AY11" s="175">
        <f>AX11*'Soil samples'!AR11/100</f>
        <v>1.7858240651100782E-2</v>
      </c>
      <c r="AZ11" s="174">
        <f t="shared" si="29"/>
        <v>17.858240651100783</v>
      </c>
      <c r="BA11">
        <f t="shared" si="6"/>
        <v>2892.2333982000005</v>
      </c>
      <c r="BB11">
        <f t="shared" si="30"/>
        <v>2.8922333982000006</v>
      </c>
      <c r="BC11">
        <f>BB11*('Wet ref'!$B$40+M11)</f>
        <v>78.157202145051073</v>
      </c>
      <c r="BD11" s="175">
        <f t="shared" si="7"/>
        <v>26.254834674421929</v>
      </c>
      <c r="BE11" s="175">
        <f>BD11*'Soil samples'!AK11/100</f>
        <v>12.306633049759744</v>
      </c>
      <c r="BF11" s="174">
        <f t="shared" si="8"/>
        <v>12.306633049759744</v>
      </c>
      <c r="BG11" s="175">
        <f t="shared" si="31"/>
        <v>26.254834674421929</v>
      </c>
      <c r="BH11" s="175">
        <f>BG11*'Soil samples'!AR11/100</f>
        <v>12.306633049759744</v>
      </c>
      <c r="BI11" s="174">
        <f t="shared" si="9"/>
        <v>12.306633049759744</v>
      </c>
      <c r="BL11" s="6" t="s">
        <v>154</v>
      </c>
      <c r="BM11" s="52">
        <v>5</v>
      </c>
      <c r="BN11" s="52">
        <f>COUNT(R163)</f>
        <v>1</v>
      </c>
      <c r="BO11" s="31">
        <f>AVERAGE(R$163)</f>
        <v>1.8710172831887031</v>
      </c>
      <c r="BP11" s="31">
        <f>AVERAGE(AB$163)</f>
        <v>11.603918259838851</v>
      </c>
      <c r="BQ11" s="31">
        <f>AVERAGE(AL$163)</f>
        <v>0.70427429214223725</v>
      </c>
      <c r="BR11" s="31">
        <f>AVERAGE(AU$163)</f>
        <v>0.10785643915433467</v>
      </c>
      <c r="BS11" s="31">
        <f>AVERAGE(BD$163)</f>
        <v>94.38150361130711</v>
      </c>
    </row>
    <row r="12" spans="1:71">
      <c r="A12" t="s">
        <v>15</v>
      </c>
      <c r="B12" t="s">
        <v>9</v>
      </c>
      <c r="C12" t="s">
        <v>12</v>
      </c>
      <c r="D12" s="8">
        <v>3</v>
      </c>
      <c r="E12">
        <v>30</v>
      </c>
      <c r="F12" s="26">
        <v>42746</v>
      </c>
      <c r="G12" s="3"/>
      <c r="H12">
        <f>'Wet ref'!B59</f>
        <v>796.84403299999997</v>
      </c>
      <c r="I12">
        <f>'Wet ref'!C59</f>
        <v>556.50183159999995</v>
      </c>
      <c r="J12">
        <f>'Wet ref'!D59</f>
        <v>46.485573240000001</v>
      </c>
      <c r="K12">
        <f>'Wet ref'!E59</f>
        <v>3.3562581599999999</v>
      </c>
      <c r="L12" s="3">
        <f t="shared" si="10"/>
        <v>2002.9122953999999</v>
      </c>
      <c r="M12" s="31">
        <f>'Wet ref'!$B$41*'Soil samples'!AI12%</f>
        <v>2.0217320343494203</v>
      </c>
      <c r="N12" s="105">
        <f>'Wet ref'!$B$41*'Soil samples'!AH12%</f>
        <v>2.9782679656505802</v>
      </c>
      <c r="O12">
        <f t="shared" si="11"/>
        <v>796.84403299999997</v>
      </c>
      <c r="P12">
        <f t="shared" si="12"/>
        <v>0.79684403299999995</v>
      </c>
      <c r="Q12">
        <f>P12*('Wet ref'!$B$40+M12)</f>
        <v>21.532105932896286</v>
      </c>
      <c r="R12" s="141">
        <f t="shared" si="32"/>
        <v>7.2297409706694271</v>
      </c>
      <c r="S12" s="141">
        <f>R12*'Soil samples'!AK12/100</f>
        <v>3.8619985201242777</v>
      </c>
      <c r="T12" s="149">
        <f t="shared" si="13"/>
        <v>3.8619985201242777</v>
      </c>
      <c r="U12" s="141">
        <f t="shared" si="14"/>
        <v>796.84403299999997</v>
      </c>
      <c r="V12" s="141">
        <f t="shared" si="15"/>
        <v>7.2297409706694271</v>
      </c>
      <c r="W12" s="141">
        <f>V12*'Soil samples'!AR12/100</f>
        <v>3.8619985201242777</v>
      </c>
      <c r="X12" s="149">
        <f t="shared" si="16"/>
        <v>3.8619985201242777</v>
      </c>
      <c r="Y12">
        <f t="shared" si="0"/>
        <v>556.50183159999995</v>
      </c>
      <c r="Z12">
        <f t="shared" si="17"/>
        <v>0.5565018316</v>
      </c>
      <c r="AA12">
        <f>Z12*('Wet ref'!$B$40+M12)</f>
        <v>15.037643370119845</v>
      </c>
      <c r="AB12" s="175">
        <f t="shared" si="1"/>
        <v>5.0491236999337588</v>
      </c>
      <c r="AC12" s="175">
        <f>AB12*'Soil samples'!AK12/100</f>
        <v>2.6971517148646957</v>
      </c>
      <c r="AD12" s="174">
        <f t="shared" si="18"/>
        <v>2.6971517148646957</v>
      </c>
      <c r="AE12" s="175">
        <f t="shared" si="19"/>
        <v>556.50183159999995</v>
      </c>
      <c r="AF12" s="175">
        <f t="shared" si="20"/>
        <v>5.0491236999337588</v>
      </c>
      <c r="AG12" s="175">
        <f>AF12*'Soil samples'!AR12/100</f>
        <v>2.6971517148646957</v>
      </c>
      <c r="AH12" s="174">
        <f t="shared" si="21"/>
        <v>2.6971517148646957</v>
      </c>
      <c r="AI12">
        <f t="shared" si="2"/>
        <v>46.485573240000001</v>
      </c>
      <c r="AJ12">
        <f t="shared" si="22"/>
        <v>4.6485573240000001E-2</v>
      </c>
      <c r="AK12">
        <f>AJ12*('Wet ref'!$B$40+M12)</f>
        <v>1.2561207035544042</v>
      </c>
      <c r="AL12" s="175">
        <f t="shared" si="3"/>
        <v>0.42176215103600123</v>
      </c>
      <c r="AM12" s="175">
        <f>AL12*'Soil samples'!AK12/100</f>
        <v>0.22529780938951791</v>
      </c>
      <c r="AN12" s="174">
        <f t="shared" si="23"/>
        <v>225.29780938951791</v>
      </c>
      <c r="AO12" s="175">
        <f t="shared" si="24"/>
        <v>0.42176215103600123</v>
      </c>
      <c r="AP12" s="175">
        <f>AO12*'Soil samples'!AR12/100</f>
        <v>0.22529780938951791</v>
      </c>
      <c r="AQ12" s="174">
        <f t="shared" si="25"/>
        <v>225.29780938951791</v>
      </c>
      <c r="AR12">
        <f t="shared" si="4"/>
        <v>3.3562581599999999</v>
      </c>
      <c r="AS12">
        <f t="shared" si="26"/>
        <v>3.3562581599999998E-3</v>
      </c>
      <c r="AT12">
        <f>AS12*('Wet ref'!$B$40+M12)</f>
        <v>9.069190863761864E-2</v>
      </c>
      <c r="AU12" s="175">
        <f t="shared" si="5"/>
        <v>3.045122523681568E-2</v>
      </c>
      <c r="AV12" s="175">
        <f>AU12*'Soil samples'!AK12/100</f>
        <v>1.6266500733243278E-2</v>
      </c>
      <c r="AW12" s="174">
        <f t="shared" si="27"/>
        <v>16.266500733243276</v>
      </c>
      <c r="AX12" s="175">
        <f t="shared" si="28"/>
        <v>3.045122523681568E-2</v>
      </c>
      <c r="AY12" s="175">
        <f>AX12*'Soil samples'!AR12/100</f>
        <v>1.6266500733243278E-2</v>
      </c>
      <c r="AZ12" s="174">
        <f t="shared" si="29"/>
        <v>16.266500733243276</v>
      </c>
      <c r="BA12">
        <f t="shared" si="6"/>
        <v>2002.9122953999999</v>
      </c>
      <c r="BB12">
        <f t="shared" si="30"/>
        <v>2.0029122953999998</v>
      </c>
      <c r="BC12">
        <f>BB12*('Wet ref'!$B$40+M12)</f>
        <v>54.1221593346025</v>
      </c>
      <c r="BD12" s="175">
        <f t="shared" si="7"/>
        <v>18.17236056621249</v>
      </c>
      <c r="BE12" s="175">
        <f>BD12*'Soil samples'!AK12/100</f>
        <v>9.7073504982543035</v>
      </c>
      <c r="BF12" s="174">
        <f t="shared" si="8"/>
        <v>9.7073504982543035</v>
      </c>
      <c r="BG12" s="175">
        <f t="shared" si="31"/>
        <v>18.17236056621249</v>
      </c>
      <c r="BH12" s="175">
        <f>BG12*'Soil samples'!AR12/100</f>
        <v>9.7073504982543035</v>
      </c>
      <c r="BI12" s="174">
        <f t="shared" si="9"/>
        <v>9.7073504982543035</v>
      </c>
      <c r="BL12" s="6" t="s">
        <v>158</v>
      </c>
      <c r="BM12" s="52">
        <v>5</v>
      </c>
      <c r="BN12" s="52">
        <f>COUNT(R48)</f>
        <v>1</v>
      </c>
      <c r="BO12" s="31">
        <f>AVERAGE(R$163)</f>
        <v>1.8710172831887031</v>
      </c>
      <c r="BP12" s="31">
        <f>AVERAGE(AB$163)</f>
        <v>11.603918259838851</v>
      </c>
      <c r="BQ12" s="31">
        <f>AVERAGE(AL$163)</f>
        <v>0.70427429214223725</v>
      </c>
      <c r="BR12" s="31">
        <f>AVERAGE(AU$163)</f>
        <v>0.10785643915433467</v>
      </c>
      <c r="BS12" s="31">
        <f>AVERAGE(BD$163)</f>
        <v>94.38150361130711</v>
      </c>
    </row>
    <row r="13" spans="1:71">
      <c r="A13" t="s">
        <v>16</v>
      </c>
      <c r="B13" t="s">
        <v>9</v>
      </c>
      <c r="C13" t="s">
        <v>12</v>
      </c>
      <c r="D13" s="8">
        <v>4</v>
      </c>
      <c r="E13">
        <v>5</v>
      </c>
      <c r="F13" s="26">
        <v>42791</v>
      </c>
      <c r="G13" s="3"/>
      <c r="H13">
        <f>'Wet ref'!B60</f>
        <v>500.22814119999998</v>
      </c>
      <c r="I13">
        <f>'Wet ref'!C60</f>
        <v>309.81844489999997</v>
      </c>
      <c r="J13">
        <f>'Wet ref'!D60</f>
        <v>21.634279580000001</v>
      </c>
      <c r="K13">
        <f>'Wet ref'!E60</f>
        <v>1.1566565069999999</v>
      </c>
      <c r="L13" s="3">
        <f t="shared" si="10"/>
        <v>346.60992089999996</v>
      </c>
      <c r="M13" s="31">
        <f>'Wet ref'!$B$41*'Soil samples'!AI13%</f>
        <v>0.98598598598598597</v>
      </c>
      <c r="N13" s="105">
        <f>'Wet ref'!$B$41*'Soil samples'!AH13%</f>
        <v>4.0140140140140144</v>
      </c>
      <c r="O13">
        <f t="shared" si="11"/>
        <v>500.22814119999998</v>
      </c>
      <c r="P13">
        <f t="shared" si="12"/>
        <v>0.50022814120000003</v>
      </c>
      <c r="Q13">
        <f>P13*('Wet ref'!$B$40+M13)</f>
        <v>12.99892146701902</v>
      </c>
      <c r="R13" s="141">
        <f t="shared" si="32"/>
        <v>3.2383846747012468</v>
      </c>
      <c r="S13" s="141">
        <f>R13*'Soil samples'!AK13/100</f>
        <v>1.7241769433854024</v>
      </c>
      <c r="T13" s="149">
        <f t="shared" si="13"/>
        <v>1.7241769433854024</v>
      </c>
      <c r="U13" s="141">
        <f t="shared" si="14"/>
        <v>500.22814119999998</v>
      </c>
      <c r="V13" s="141">
        <f t="shared" si="15"/>
        <v>3.2383846747012468</v>
      </c>
      <c r="W13" s="141">
        <f>V13*'Soil samples'!AR13/100</f>
        <v>1.7241769433854024</v>
      </c>
      <c r="X13" s="149">
        <f t="shared" si="16"/>
        <v>1.7241769433854024</v>
      </c>
      <c r="Y13">
        <f t="shared" si="0"/>
        <v>309.81844489999997</v>
      </c>
      <c r="Z13">
        <f t="shared" si="17"/>
        <v>0.30981844489999999</v>
      </c>
      <c r="AA13">
        <f>Z13*('Wet ref'!$B$40+M13)</f>
        <v>8.0509377673713711</v>
      </c>
      <c r="AB13" s="175">
        <f t="shared" si="1"/>
        <v>2.0057074388039897</v>
      </c>
      <c r="AC13" s="175">
        <f>AB13*'Soil samples'!AK13/100</f>
        <v>1.0678763854641382</v>
      </c>
      <c r="AD13" s="174">
        <f t="shared" si="18"/>
        <v>1.0678763854641382</v>
      </c>
      <c r="AE13" s="175">
        <f t="shared" si="19"/>
        <v>309.81844489999997</v>
      </c>
      <c r="AF13" s="175">
        <f t="shared" si="20"/>
        <v>2.0057074388039897</v>
      </c>
      <c r="AG13" s="175">
        <f>AF13*'Soil samples'!AR13/100</f>
        <v>1.0678763854641382</v>
      </c>
      <c r="AH13" s="174">
        <f t="shared" si="21"/>
        <v>1.0678763854641382</v>
      </c>
      <c r="AI13">
        <f t="shared" si="2"/>
        <v>21.634279580000001</v>
      </c>
      <c r="AJ13">
        <f t="shared" si="22"/>
        <v>2.1634279580000002E-2</v>
      </c>
      <c r="AK13">
        <f>AJ13*('Wet ref'!$B$40+M13)</f>
        <v>0.56218808598278291</v>
      </c>
      <c r="AL13" s="175">
        <f t="shared" si="3"/>
        <v>0.14005633364009978</v>
      </c>
      <c r="AM13" s="175">
        <f>AL13*'Soil samples'!AK13/100</f>
        <v>7.4568627724756309E-2</v>
      </c>
      <c r="AN13" s="174">
        <f t="shared" si="23"/>
        <v>74.568627724756311</v>
      </c>
      <c r="AO13" s="175">
        <f t="shared" si="24"/>
        <v>0.14005633364009978</v>
      </c>
      <c r="AP13" s="175">
        <f>AO13*'Soil samples'!AR13/100</f>
        <v>7.4568627724756309E-2</v>
      </c>
      <c r="AQ13" s="174">
        <f t="shared" si="25"/>
        <v>74.568627724756311</v>
      </c>
      <c r="AR13">
        <f t="shared" si="4"/>
        <v>1.1566565069999999</v>
      </c>
      <c r="AS13">
        <f t="shared" si="26"/>
        <v>1.156656507E-3</v>
      </c>
      <c r="AT13">
        <f>AS13*('Wet ref'!$B$40+M13)</f>
        <v>3.0056859781501504E-2</v>
      </c>
      <c r="AU13" s="175">
        <f t="shared" si="5"/>
        <v>7.4879807784837904E-3</v>
      </c>
      <c r="AV13" s="175">
        <f>AU13*'Soil samples'!AK13/100</f>
        <v>3.9867418814183587E-3</v>
      </c>
      <c r="AW13" s="174">
        <f t="shared" si="27"/>
        <v>3.9867418814183591</v>
      </c>
      <c r="AX13" s="175">
        <f t="shared" si="28"/>
        <v>7.4879807784837904E-3</v>
      </c>
      <c r="AY13" s="175">
        <f>AX13*'Soil samples'!AR13/100</f>
        <v>3.9867418814183587E-3</v>
      </c>
      <c r="AZ13" s="174">
        <f t="shared" si="29"/>
        <v>3.9867418814183591</v>
      </c>
      <c r="BA13">
        <f t="shared" si="6"/>
        <v>346.60992089999996</v>
      </c>
      <c r="BB13">
        <f t="shared" si="30"/>
        <v>0.34660992089999998</v>
      </c>
      <c r="BC13">
        <f>BB13*('Wet ref'!$B$40+M13)</f>
        <v>9.0070005471111116</v>
      </c>
      <c r="BD13" s="175">
        <f t="shared" si="7"/>
        <v>2.2438886649785537</v>
      </c>
      <c r="BE13" s="175">
        <f>BD13*'Soil samples'!AK13/100</f>
        <v>1.1946885525688176</v>
      </c>
      <c r="BF13" s="174">
        <f t="shared" si="8"/>
        <v>1.1946885525688176</v>
      </c>
      <c r="BG13" s="175">
        <f t="shared" si="31"/>
        <v>2.2438886649785537</v>
      </c>
      <c r="BH13" s="175">
        <f>BG13*'Soil samples'!AR13/100</f>
        <v>1.1946885525688176</v>
      </c>
      <c r="BI13" s="174">
        <f t="shared" si="9"/>
        <v>1.1946885525688176</v>
      </c>
      <c r="BL13" s="6" t="s">
        <v>162</v>
      </c>
      <c r="BM13" s="52">
        <v>5</v>
      </c>
      <c r="BN13" s="52">
        <f>COUNT(R48)</f>
        <v>1</v>
      </c>
      <c r="BO13" s="31">
        <f>AVERAGE(R$163)</f>
        <v>1.8710172831887031</v>
      </c>
      <c r="BP13" s="31">
        <f>AVERAGE(AB$163)</f>
        <v>11.603918259838851</v>
      </c>
      <c r="BQ13" s="31">
        <f>AVERAGE(AL$163)</f>
        <v>0.70427429214223725</v>
      </c>
      <c r="BR13" s="31">
        <f>AVERAGE(AU$163)</f>
        <v>0.10785643915433467</v>
      </c>
      <c r="BS13" s="31">
        <f>AVERAGE(BD$163)</f>
        <v>94.38150361130711</v>
      </c>
    </row>
    <row r="14" spans="1:71">
      <c r="A14" t="s">
        <v>24</v>
      </c>
      <c r="B14" t="s">
        <v>9</v>
      </c>
      <c r="C14" t="s">
        <v>12</v>
      </c>
      <c r="D14" s="8">
        <v>4</v>
      </c>
      <c r="E14">
        <v>20</v>
      </c>
      <c r="F14" s="26">
        <v>42791</v>
      </c>
      <c r="G14" s="3"/>
      <c r="H14">
        <f>'Wet ref'!B61</f>
        <v>237.86839380000001</v>
      </c>
      <c r="I14">
        <f>'Wet ref'!C61</f>
        <v>130.8251041</v>
      </c>
      <c r="J14">
        <f>'Wet ref'!D61</f>
        <v>97.287352400000003</v>
      </c>
      <c r="K14">
        <f>'Wet ref'!E61</f>
        <v>7.3536752559999998</v>
      </c>
      <c r="L14" s="3">
        <f t="shared" si="10"/>
        <v>6984.9817580999988</v>
      </c>
      <c r="M14" s="31">
        <f>'Wet ref'!$B$41*'Soil samples'!AI14%</f>
        <v>0.96120938328101957</v>
      </c>
      <c r="N14" s="105">
        <f>'Wet ref'!$B$41*'Soil samples'!AH14%</f>
        <v>4.0387906167189804</v>
      </c>
      <c r="O14">
        <f t="shared" si="11"/>
        <v>237.86839380000001</v>
      </c>
      <c r="P14">
        <f t="shared" si="12"/>
        <v>0.23786839379999999</v>
      </c>
      <c r="Q14">
        <f>P14*('Wet ref'!$B$40+M14)</f>
        <v>6.1753511771065446</v>
      </c>
      <c r="R14" s="141">
        <f t="shared" si="32"/>
        <v>1.529009984212367</v>
      </c>
      <c r="S14" s="141">
        <f>R14*'Soil samples'!AK14/100</f>
        <v>0.92407955014222309</v>
      </c>
      <c r="T14" s="149">
        <f t="shared" si="13"/>
        <v>0.92407955014222309</v>
      </c>
      <c r="U14" s="141">
        <f t="shared" si="14"/>
        <v>237.86839380000001</v>
      </c>
      <c r="V14" s="141">
        <f t="shared" si="15"/>
        <v>1.529009984212367</v>
      </c>
      <c r="W14" s="141">
        <f>V14*'Soil samples'!AR14/100</f>
        <v>0.92407955014222309</v>
      </c>
      <c r="X14" s="149">
        <f t="shared" si="16"/>
        <v>0.92407955014222309</v>
      </c>
      <c r="Y14">
        <f t="shared" si="0"/>
        <v>130.8251041</v>
      </c>
      <c r="Z14">
        <f t="shared" si="17"/>
        <v>0.13082510410000001</v>
      </c>
      <c r="AA14">
        <f>Z14*('Wet ref'!$B$40+M14)</f>
        <v>3.3963779201296362</v>
      </c>
      <c r="AB14" s="175">
        <f t="shared" si="1"/>
        <v>0.84093934111612223</v>
      </c>
      <c r="AC14" s="175">
        <f>AB14*'Soil samples'!AK14/100</f>
        <v>0.50823399196819874</v>
      </c>
      <c r="AD14" s="174">
        <f t="shared" si="18"/>
        <v>0.50823399196819874</v>
      </c>
      <c r="AE14" s="175">
        <f t="shared" si="19"/>
        <v>130.8251041</v>
      </c>
      <c r="AF14" s="175">
        <f t="shared" si="20"/>
        <v>0.84093934111612223</v>
      </c>
      <c r="AG14" s="175">
        <f>AF14*'Soil samples'!AR14/100</f>
        <v>0.50823399196819874</v>
      </c>
      <c r="AH14" s="174">
        <f t="shared" si="21"/>
        <v>0.50823399196819874</v>
      </c>
      <c r="AI14">
        <f t="shared" si="2"/>
        <v>97.287352400000003</v>
      </c>
      <c r="AJ14">
        <f t="shared" si="22"/>
        <v>9.7287352399999999E-2</v>
      </c>
      <c r="AK14">
        <f>AJ14*('Wet ref'!$B$40+M14)</f>
        <v>2.5256973260014473</v>
      </c>
      <c r="AL14" s="175">
        <f t="shared" si="3"/>
        <v>0.62535980834115756</v>
      </c>
      <c r="AM14" s="175">
        <f>AL14*'Soil samples'!AK14/100</f>
        <v>0.3779453478628565</v>
      </c>
      <c r="AN14" s="174">
        <f t="shared" si="23"/>
        <v>377.94534786285652</v>
      </c>
      <c r="AO14" s="175">
        <f t="shared" si="24"/>
        <v>0.62535980834115756</v>
      </c>
      <c r="AP14" s="175">
        <f>AO14*'Soil samples'!AR14/100</f>
        <v>0.3779453478628565</v>
      </c>
      <c r="AQ14" s="174">
        <f t="shared" si="25"/>
        <v>377.94534786285652</v>
      </c>
      <c r="AR14">
        <f t="shared" si="4"/>
        <v>7.3536752559999998</v>
      </c>
      <c r="AS14">
        <f t="shared" si="26"/>
        <v>7.3536752559999995E-3</v>
      </c>
      <c r="AT14">
        <f>AS14*('Wet ref'!$B$40+M14)</f>
        <v>0.19091030305766865</v>
      </c>
      <c r="AU14" s="175">
        <f t="shared" si="5"/>
        <v>4.7269175645644076E-2</v>
      </c>
      <c r="AV14" s="175">
        <f>AU14*'Soil samples'!AK14/100</f>
        <v>2.8567817749549532E-2</v>
      </c>
      <c r="AW14" s="174">
        <f t="shared" si="27"/>
        <v>28.567817749549533</v>
      </c>
      <c r="AX14" s="175">
        <f t="shared" si="28"/>
        <v>4.7269175645644076E-2</v>
      </c>
      <c r="AY14" s="175">
        <f>AX14*'Soil samples'!AR14/100</f>
        <v>2.8567817749549532E-2</v>
      </c>
      <c r="AZ14" s="174">
        <f t="shared" si="29"/>
        <v>28.567817749549533</v>
      </c>
      <c r="BA14">
        <f t="shared" si="6"/>
        <v>6984.9817580999988</v>
      </c>
      <c r="BB14">
        <f t="shared" si="30"/>
        <v>6.9849817580999991</v>
      </c>
      <c r="BC14">
        <f>BB14*('Wet ref'!$B$40+M14)</f>
        <v>181.33857396043246</v>
      </c>
      <c r="BD14" s="175">
        <f t="shared" si="7"/>
        <v>44.899226320315584</v>
      </c>
      <c r="BE14" s="175">
        <f>BD14*'Soil samples'!AK14/100</f>
        <v>27.135504207439109</v>
      </c>
      <c r="BF14" s="174">
        <f t="shared" si="8"/>
        <v>27.135504207439109</v>
      </c>
      <c r="BG14" s="175">
        <f t="shared" si="31"/>
        <v>44.899226320315584</v>
      </c>
      <c r="BH14" s="175">
        <f>BG14*'Soil samples'!AR14/100</f>
        <v>27.135504207439109</v>
      </c>
      <c r="BI14" s="174">
        <f t="shared" si="9"/>
        <v>27.135504207439109</v>
      </c>
      <c r="BL14" s="6" t="s">
        <v>163</v>
      </c>
      <c r="BM14" s="52">
        <v>10</v>
      </c>
      <c r="BN14" s="52">
        <f>COUNT(R152,R156,R164,R168,R172)</f>
        <v>5</v>
      </c>
      <c r="BO14" s="31">
        <f>AVERAGE(R152,R156,R164,R168,R172)</f>
        <v>4.9158023474303958</v>
      </c>
      <c r="BP14" s="31">
        <f>AVERAGE(AB$152,AB$156,AB$164,AB$168,AB$172)</f>
        <v>7.1441909623005007</v>
      </c>
      <c r="BQ14" s="31">
        <f>AVERAGE(AL$152,AL$156,AL$164,AL$168,AL$172)</f>
        <v>0.82365942402181247</v>
      </c>
      <c r="BR14" s="31">
        <f>AVERAGE(AU$152,AU$156,AU$164,AU$168,AU$172)</f>
        <v>9.1983332609235011E-2</v>
      </c>
      <c r="BS14" s="31">
        <f>AVERAGE(BD$152,BD$156,BD$164,BD$168,BD$172)</f>
        <v>79.923339299504121</v>
      </c>
    </row>
    <row r="15" spans="1:71">
      <c r="A15" t="s">
        <v>25</v>
      </c>
      <c r="B15" t="s">
        <v>9</v>
      </c>
      <c r="C15" t="s">
        <v>12</v>
      </c>
      <c r="D15" s="8">
        <v>4</v>
      </c>
      <c r="E15">
        <v>30</v>
      </c>
      <c r="F15" s="26">
        <v>42791</v>
      </c>
      <c r="G15" s="3"/>
      <c r="H15">
        <f>'Wet ref'!B62</f>
        <v>247.0944988</v>
      </c>
      <c r="I15">
        <f>'Wet ref'!C62</f>
        <v>276.20260130000003</v>
      </c>
      <c r="J15">
        <f>'Wet ref'!D62</f>
        <v>162.48482229999999</v>
      </c>
      <c r="K15">
        <f>'Wet ref'!E62</f>
        <v>15.08118258</v>
      </c>
      <c r="L15" s="3">
        <f t="shared" si="10"/>
        <v>14557.885479900002</v>
      </c>
      <c r="M15" s="31">
        <f>'Wet ref'!$B$41*'Soil samples'!AI15%</f>
        <v>1.3432104913678622</v>
      </c>
      <c r="N15" s="105">
        <f>'Wet ref'!$B$41*'Soil samples'!AH15%</f>
        <v>3.656789508632138</v>
      </c>
      <c r="O15">
        <f t="shared" si="11"/>
        <v>247.0944988</v>
      </c>
      <c r="P15">
        <f t="shared" si="12"/>
        <v>0.24709449880000001</v>
      </c>
      <c r="Q15">
        <f>P15*('Wet ref'!$B$40+M15)</f>
        <v>6.509262393147444</v>
      </c>
      <c r="R15" s="141">
        <f t="shared" si="32"/>
        <v>1.7800484216501442</v>
      </c>
      <c r="S15" s="141">
        <f>R15*'Soil samples'!AK15/100</f>
        <v>0.7401031341008647</v>
      </c>
      <c r="T15" s="149">
        <f t="shared" si="13"/>
        <v>0.7401031341008647</v>
      </c>
      <c r="U15" s="141">
        <f t="shared" si="14"/>
        <v>247.0944988</v>
      </c>
      <c r="V15" s="141">
        <f t="shared" si="15"/>
        <v>1.7800484216501442</v>
      </c>
      <c r="W15" s="141">
        <f>V15*'Soil samples'!AR15/100</f>
        <v>0.7401031341008647</v>
      </c>
      <c r="X15" s="149">
        <f t="shared" si="16"/>
        <v>0.74010313410086481</v>
      </c>
      <c r="Y15">
        <f t="shared" si="0"/>
        <v>276.20260130000003</v>
      </c>
      <c r="Z15">
        <f t="shared" si="17"/>
        <v>0.27620260130000002</v>
      </c>
      <c r="AA15">
        <f>Z15*('Wet ref'!$B$40+M15)</f>
        <v>7.2760632643092551</v>
      </c>
      <c r="AB15" s="175">
        <f t="shared" si="1"/>
        <v>1.9897407950699755</v>
      </c>
      <c r="AC15" s="175">
        <f>AB15*'Soil samples'!AK15/100</f>
        <v>0.82728839315196268</v>
      </c>
      <c r="AD15" s="174">
        <f t="shared" si="18"/>
        <v>0.82728839315196268</v>
      </c>
      <c r="AE15" s="175">
        <f t="shared" si="19"/>
        <v>276.20260130000003</v>
      </c>
      <c r="AF15" s="175">
        <f t="shared" si="20"/>
        <v>1.9897407950699755</v>
      </c>
      <c r="AG15" s="175">
        <f>AF15*'Soil samples'!AR15/100</f>
        <v>0.82728839315196268</v>
      </c>
      <c r="AH15" s="174">
        <f t="shared" si="21"/>
        <v>0.82728839315196268</v>
      </c>
      <c r="AI15">
        <f t="shared" si="2"/>
        <v>162.48482229999999</v>
      </c>
      <c r="AJ15">
        <f t="shared" si="22"/>
        <v>0.1624848223</v>
      </c>
      <c r="AK15">
        <f>AJ15*('Wet ref'!$B$40+M15)</f>
        <v>4.2803718755014026</v>
      </c>
      <c r="AL15" s="175">
        <f t="shared" si="3"/>
        <v>1.1705272795705768</v>
      </c>
      <c r="AM15" s="175">
        <f>AL15*'Soil samples'!AK15/100</f>
        <v>0.48667828224450965</v>
      </c>
      <c r="AN15" s="174">
        <f t="shared" si="23"/>
        <v>486.67828224450966</v>
      </c>
      <c r="AO15" s="175">
        <f t="shared" si="24"/>
        <v>1.1705272795705768</v>
      </c>
      <c r="AP15" s="175">
        <f>AO15*'Soil samples'!AR15/100</f>
        <v>0.48667828224450965</v>
      </c>
      <c r="AQ15" s="174">
        <f t="shared" si="25"/>
        <v>486.67828224450966</v>
      </c>
      <c r="AR15">
        <f t="shared" si="4"/>
        <v>15.08118258</v>
      </c>
      <c r="AS15">
        <f t="shared" si="26"/>
        <v>1.508118258E-2</v>
      </c>
      <c r="AT15">
        <f>AS15*('Wet ref'!$B$40+M15)</f>
        <v>0.39728676716369027</v>
      </c>
      <c r="AU15" s="175">
        <f t="shared" si="5"/>
        <v>0.10864359740309464</v>
      </c>
      <c r="AV15" s="175">
        <f>AU15*'Soil samples'!AK15/100</f>
        <v>4.5171505426511598E-2</v>
      </c>
      <c r="AW15" s="174">
        <f t="shared" si="27"/>
        <v>45.171505426511594</v>
      </c>
      <c r="AX15" s="175">
        <f t="shared" si="28"/>
        <v>0.10864359740309464</v>
      </c>
      <c r="AY15" s="175">
        <f>AX15*'Soil samples'!AR15/100</f>
        <v>4.5171505426511598E-2</v>
      </c>
      <c r="AZ15" s="174">
        <f t="shared" si="29"/>
        <v>45.171505426511594</v>
      </c>
      <c r="BA15">
        <f t="shared" si="6"/>
        <v>14557.885479900002</v>
      </c>
      <c r="BB15">
        <f t="shared" si="30"/>
        <v>14.557885479900001</v>
      </c>
      <c r="BC15">
        <f>BB15*('Wet ref'!$B$40+M15)</f>
        <v>383.50144150623356</v>
      </c>
      <c r="BD15" s="175">
        <f t="shared" si="7"/>
        <v>104.87380818637452</v>
      </c>
      <c r="BE15" s="175">
        <f>BD15*'Soil samples'!AK15/100</f>
        <v>43.60411389925877</v>
      </c>
      <c r="BF15" s="174">
        <f t="shared" si="8"/>
        <v>43.60411389925877</v>
      </c>
      <c r="BG15" s="175">
        <f t="shared" si="31"/>
        <v>104.87380818637452</v>
      </c>
      <c r="BH15" s="175">
        <f>BG15*'Soil samples'!AR15/100</f>
        <v>43.60411389925877</v>
      </c>
      <c r="BI15" s="174">
        <f t="shared" si="9"/>
        <v>43.60411389925877</v>
      </c>
      <c r="BL15" s="6" t="s">
        <v>170</v>
      </c>
      <c r="BM15" s="52">
        <v>5</v>
      </c>
      <c r="BN15" s="52">
        <f>COUNT(R48)</f>
        <v>1</v>
      </c>
      <c r="BO15" s="31">
        <f>AVERAGE(R$163)</f>
        <v>1.8710172831887031</v>
      </c>
      <c r="BP15" s="31">
        <f>AVERAGE(AB$163)</f>
        <v>11.603918259838851</v>
      </c>
      <c r="BQ15" s="31">
        <f>AVERAGE(AL$163)</f>
        <v>0.70427429214223725</v>
      </c>
      <c r="BR15" s="31">
        <f>AVERAGE(AU$163)</f>
        <v>0.10785643915433467</v>
      </c>
      <c r="BS15" s="31">
        <f>AVERAGE(BD$163)</f>
        <v>94.38150361130711</v>
      </c>
    </row>
    <row r="16" spans="1:71">
      <c r="A16" t="s">
        <v>26</v>
      </c>
      <c r="B16" t="s">
        <v>9</v>
      </c>
      <c r="C16" t="s">
        <v>12</v>
      </c>
      <c r="D16" s="8">
        <v>5</v>
      </c>
      <c r="E16">
        <v>5</v>
      </c>
      <c r="F16" s="26">
        <v>42798</v>
      </c>
      <c r="G16" s="3"/>
      <c r="H16">
        <f>'Wet ref'!B63</f>
        <v>1290.6580389999999</v>
      </c>
      <c r="I16">
        <f>'Wet ref'!C63</f>
        <v>1391.6743650000001</v>
      </c>
      <c r="J16">
        <f>'Wet ref'!D63</f>
        <v>87.729162529999996</v>
      </c>
      <c r="K16">
        <f>'Wet ref'!E63</f>
        <v>7.4478415660000001</v>
      </c>
      <c r="L16" s="3">
        <f t="shared" si="10"/>
        <v>4765.5091620000003</v>
      </c>
      <c r="M16" s="31">
        <f>'Wet ref'!$B$41*'Soil samples'!AI16%</f>
        <v>1.1956679749963663</v>
      </c>
      <c r="N16" s="105">
        <f>'Wet ref'!$B$41*'Soil samples'!AH16%</f>
        <v>3.8043320250036339</v>
      </c>
      <c r="O16">
        <f t="shared" si="11"/>
        <v>1290.6580389999999</v>
      </c>
      <c r="P16">
        <f t="shared" si="12"/>
        <v>1.290658039</v>
      </c>
      <c r="Q16">
        <f>P16*('Wet ref'!$B$40+M16)</f>
        <v>33.809649458903905</v>
      </c>
      <c r="R16" s="141">
        <f t="shared" si="32"/>
        <v>8.8871447698815427</v>
      </c>
      <c r="S16" s="141">
        <f>R16*'Soil samples'!AK16/100</f>
        <v>2.2158844255365606</v>
      </c>
      <c r="T16" s="149">
        <f t="shared" si="13"/>
        <v>2.2158844255365606</v>
      </c>
      <c r="U16" s="141">
        <f t="shared" si="14"/>
        <v>1290.6580389999999</v>
      </c>
      <c r="V16" s="141">
        <f t="shared" si="15"/>
        <v>8.8871447698815427</v>
      </c>
      <c r="W16" s="141">
        <f>V16*'Soil samples'!AR16/100</f>
        <v>2.2158844255365606</v>
      </c>
      <c r="X16" s="149">
        <f t="shared" si="16"/>
        <v>2.2158844255365606</v>
      </c>
      <c r="Y16">
        <f t="shared" si="0"/>
        <v>1391.6743650000001</v>
      </c>
      <c r="Z16">
        <f t="shared" si="17"/>
        <v>1.3916743650000001</v>
      </c>
      <c r="AA16">
        <f>Z16*('Wet ref'!$B$40+M16)</f>
        <v>36.455839594853906</v>
      </c>
      <c r="AB16" s="175">
        <f t="shared" si="1"/>
        <v>9.582717637485672</v>
      </c>
      <c r="AC16" s="175">
        <f>AB16*'Soil samples'!AK16/100</f>
        <v>2.3893157270467236</v>
      </c>
      <c r="AD16" s="174">
        <f t="shared" si="18"/>
        <v>2.3893157270467236</v>
      </c>
      <c r="AE16" s="175">
        <f t="shared" si="19"/>
        <v>1391.6743650000001</v>
      </c>
      <c r="AF16" s="175">
        <f t="shared" si="20"/>
        <v>9.582717637485672</v>
      </c>
      <c r="AG16" s="175">
        <f>AF16*'Soil samples'!AR16/100</f>
        <v>2.3893157270467236</v>
      </c>
      <c r="AH16" s="174">
        <f t="shared" si="21"/>
        <v>2.3893157270467236</v>
      </c>
      <c r="AI16">
        <f t="shared" si="2"/>
        <v>87.729162529999996</v>
      </c>
      <c r="AJ16">
        <f t="shared" si="22"/>
        <v>8.7729162530000002E-2</v>
      </c>
      <c r="AK16">
        <f>AJ16*('Wet ref'!$B$40+M16)</f>
        <v>2.298124013360372</v>
      </c>
      <c r="AL16" s="175">
        <f t="shared" si="3"/>
        <v>0.60408082108926253</v>
      </c>
      <c r="AM16" s="175">
        <f>AL16*'Soil samples'!AK16/100</f>
        <v>0.1506190478356387</v>
      </c>
      <c r="AN16" s="174">
        <f t="shared" si="23"/>
        <v>150.6190478356387</v>
      </c>
      <c r="AO16" s="175">
        <f t="shared" si="24"/>
        <v>0.60408082108926253</v>
      </c>
      <c r="AP16" s="175">
        <f>AO16*'Soil samples'!AR16/100</f>
        <v>0.1506190478356387</v>
      </c>
      <c r="AQ16" s="174">
        <f t="shared" si="25"/>
        <v>150.6190478356387</v>
      </c>
      <c r="AR16">
        <f t="shared" si="4"/>
        <v>7.4478415660000001</v>
      </c>
      <c r="AS16">
        <f t="shared" si="26"/>
        <v>7.4478415660000005E-3</v>
      </c>
      <c r="AT16">
        <f>AS16*('Wet ref'!$B$40+M16)</f>
        <v>0.19510118479331298</v>
      </c>
      <c r="AU16" s="175">
        <f t="shared" si="5"/>
        <v>5.1283953007000387E-2</v>
      </c>
      <c r="AV16" s="175">
        <f>AU16*'Soil samples'!AK16/100</f>
        <v>1.2786931651353726E-2</v>
      </c>
      <c r="AW16" s="174">
        <f t="shared" si="27"/>
        <v>12.786931651353726</v>
      </c>
      <c r="AX16" s="175">
        <f t="shared" si="28"/>
        <v>5.1283953007000387E-2</v>
      </c>
      <c r="AY16" s="175">
        <f>AX16*'Soil samples'!AR16/100</f>
        <v>1.2786931651353726E-2</v>
      </c>
      <c r="AZ16" s="174">
        <f t="shared" si="29"/>
        <v>12.786931651353726</v>
      </c>
      <c r="BA16">
        <f t="shared" si="6"/>
        <v>4765.5091620000003</v>
      </c>
      <c r="BB16">
        <f t="shared" si="30"/>
        <v>4.7655091619999999</v>
      </c>
      <c r="BC16">
        <f>BB16*('Wet ref'!$B$40+M16)</f>
        <v>124.83569573955516</v>
      </c>
      <c r="BD16" s="175">
        <f t="shared" si="7"/>
        <v>32.814090599633168</v>
      </c>
      <c r="BE16" s="175">
        <f>BD16*'Soil samples'!AK16/100</f>
        <v>8.1817314987704393</v>
      </c>
      <c r="BF16" s="174">
        <f>BE16/1000000*1000000</f>
        <v>8.1817314987704393</v>
      </c>
      <c r="BG16" s="175">
        <f t="shared" si="31"/>
        <v>32.814090599633168</v>
      </c>
      <c r="BH16" s="175">
        <f>BG16*'Soil samples'!AR16/100</f>
        <v>8.1817314987704393</v>
      </c>
      <c r="BI16" s="174">
        <f>BH16/1000000*1000000</f>
        <v>8.1817314987704393</v>
      </c>
      <c r="BL16" s="6" t="s">
        <v>174</v>
      </c>
      <c r="BM16" s="52">
        <v>5</v>
      </c>
      <c r="BN16" s="52">
        <f>COUNT(R48)</f>
        <v>1</v>
      </c>
      <c r="BO16" s="31">
        <f>AVERAGE(R$163)</f>
        <v>1.8710172831887031</v>
      </c>
      <c r="BP16" s="31">
        <f>AVERAGE(AB$163)</f>
        <v>11.603918259838851</v>
      </c>
      <c r="BQ16" s="31">
        <f>AVERAGE(AL$163)</f>
        <v>0.70427429214223725</v>
      </c>
      <c r="BR16" s="31">
        <f>AVERAGE(AU$163)</f>
        <v>0.10785643915433467</v>
      </c>
      <c r="BS16" s="31">
        <f>AVERAGE(BD$163)</f>
        <v>94.38150361130711</v>
      </c>
    </row>
    <row r="17" spans="1:68">
      <c r="A17" t="s">
        <v>27</v>
      </c>
      <c r="B17" t="s">
        <v>9</v>
      </c>
      <c r="C17" t="s">
        <v>12</v>
      </c>
      <c r="D17" s="8">
        <v>5</v>
      </c>
      <c r="E17">
        <v>20</v>
      </c>
      <c r="F17" s="26">
        <v>42798</v>
      </c>
      <c r="G17" s="3"/>
      <c r="H17">
        <f>'Wet ref'!B64</f>
        <v>419.36324839999997</v>
      </c>
      <c r="I17">
        <f>'Wet ref'!C64</f>
        <v>354.01977679999999</v>
      </c>
      <c r="J17">
        <f>'Wet ref'!D64</f>
        <v>58.588631159999998</v>
      </c>
      <c r="K17">
        <f>'Wet ref'!E64</f>
        <v>4.883463603</v>
      </c>
      <c r="L17" s="3">
        <f t="shared" si="10"/>
        <v>4110.0805778000004</v>
      </c>
      <c r="M17" s="31">
        <f>'Wet ref'!$B$41*'Soil samples'!AI17%</f>
        <v>1.5064278650697729</v>
      </c>
      <c r="N17" s="105">
        <f>'Wet ref'!$B$41*'Soil samples'!AH17%</f>
        <v>3.4935721349302269</v>
      </c>
      <c r="O17">
        <f t="shared" si="11"/>
        <v>419.36324839999997</v>
      </c>
      <c r="P17">
        <f t="shared" si="12"/>
        <v>0.4193632484</v>
      </c>
      <c r="Q17">
        <f>P17*('Wet ref'!$B$40+M17)</f>
        <v>11.115821692975938</v>
      </c>
      <c r="R17" s="141">
        <f t="shared" si="32"/>
        <v>3.1817925217101442</v>
      </c>
      <c r="S17" s="141">
        <f>R17*'Soil samples'!AK17/100</f>
        <v>1.4150441015158364</v>
      </c>
      <c r="T17" s="149">
        <f t="shared" si="13"/>
        <v>1.4150441015158364</v>
      </c>
      <c r="U17" s="141">
        <f t="shared" si="14"/>
        <v>419.36324839999997</v>
      </c>
      <c r="V17" s="141">
        <f t="shared" si="15"/>
        <v>3.1817925217101442</v>
      </c>
      <c r="W17" s="141">
        <f>V17*'Soil samples'!AR17/100</f>
        <v>1.4150441015158364</v>
      </c>
      <c r="X17" s="149">
        <f t="shared" si="16"/>
        <v>1.4150441015158364</v>
      </c>
      <c r="Y17">
        <f t="shared" si="0"/>
        <v>354.01977679999999</v>
      </c>
      <c r="Z17">
        <f t="shared" si="17"/>
        <v>0.35401977679999996</v>
      </c>
      <c r="AA17">
        <f>Z17*('Wet ref'!$B$40+M17)</f>
        <v>9.3837996765573006</v>
      </c>
      <c r="AB17" s="175">
        <f t="shared" si="1"/>
        <v>2.6860185833102062</v>
      </c>
      <c r="AC17" s="175">
        <f>AB17*'Soil samples'!AK17/100</f>
        <v>1.1945576988257438</v>
      </c>
      <c r="AD17" s="174">
        <f t="shared" si="18"/>
        <v>1.1945576988257438</v>
      </c>
      <c r="AE17" s="175">
        <f t="shared" si="19"/>
        <v>354.01977679999999</v>
      </c>
      <c r="AF17" s="175">
        <f t="shared" si="20"/>
        <v>2.6860185833102062</v>
      </c>
      <c r="AG17" s="175">
        <f>AF17*'Soil samples'!AR17/100</f>
        <v>1.1945576988257438</v>
      </c>
      <c r="AH17" s="174">
        <f t="shared" si="21"/>
        <v>1.1945576988257438</v>
      </c>
      <c r="AI17">
        <f t="shared" si="2"/>
        <v>58.588631159999998</v>
      </c>
      <c r="AJ17">
        <f t="shared" si="22"/>
        <v>5.8588631160000001E-2</v>
      </c>
      <c r="AK17">
        <f>AJ17*('Wet ref'!$B$40+M17)</f>
        <v>1.5529753255557193</v>
      </c>
      <c r="AL17" s="175">
        <f t="shared" si="3"/>
        <v>0.44452361811236368</v>
      </c>
      <c r="AM17" s="175">
        <f>AL17*'Soil samples'!AK17/100</f>
        <v>0.19769375894324298</v>
      </c>
      <c r="AN17" s="174">
        <f t="shared" si="23"/>
        <v>197.69375894324298</v>
      </c>
      <c r="AO17" s="175">
        <f t="shared" si="24"/>
        <v>0.44452361811236368</v>
      </c>
      <c r="AP17" s="175">
        <f>AO17*'Soil samples'!AR17/100</f>
        <v>0.19769375894324298</v>
      </c>
      <c r="AQ17" s="174">
        <f t="shared" si="25"/>
        <v>197.69375894324298</v>
      </c>
      <c r="AR17">
        <f t="shared" si="4"/>
        <v>4.883463603</v>
      </c>
      <c r="AS17">
        <f t="shared" si="26"/>
        <v>4.883463603E-3</v>
      </c>
      <c r="AT17">
        <f>AS17*('Wet ref'!$B$40+M17)</f>
        <v>0.12944317572461322</v>
      </c>
      <c r="AU17" s="175">
        <f t="shared" si="5"/>
        <v>3.70518113624691E-2</v>
      </c>
      <c r="AV17" s="175">
        <f>AU17*'Soil samples'!AK17/100</f>
        <v>1.6478116269743256E-2</v>
      </c>
      <c r="AW17" s="174">
        <f t="shared" si="27"/>
        <v>16.478116269743257</v>
      </c>
      <c r="AX17" s="175">
        <f t="shared" si="28"/>
        <v>3.70518113624691E-2</v>
      </c>
      <c r="AY17" s="175">
        <f>AX17*'Soil samples'!AR17/100</f>
        <v>1.6478116269743256E-2</v>
      </c>
      <c r="AZ17" s="174">
        <f t="shared" si="29"/>
        <v>16.478116269743257</v>
      </c>
      <c r="BA17">
        <f t="shared" si="6"/>
        <v>4110.0805778000004</v>
      </c>
      <c r="BB17">
        <f t="shared" si="30"/>
        <v>4.1100805778000007</v>
      </c>
      <c r="BC17">
        <f>BB17*('Wet ref'!$B$40+M17)</f>
        <v>108.94355435508001</v>
      </c>
      <c r="BD17" s="175">
        <f t="shared" si="7"/>
        <v>31.184000257448762</v>
      </c>
      <c r="BE17" s="175">
        <f>BD17*'Soil samples'!AK17/100</f>
        <v>13.86851446940168</v>
      </c>
      <c r="BF17" s="174">
        <f t="shared" ref="BF17:BF80" si="33">BE17/1000000*1000000</f>
        <v>13.86851446940168</v>
      </c>
      <c r="BG17" s="175">
        <f t="shared" si="31"/>
        <v>31.184000257448762</v>
      </c>
      <c r="BH17" s="175">
        <f>BG17*'Soil samples'!AR17/100</f>
        <v>13.86851446940168</v>
      </c>
      <c r="BI17" s="174">
        <f t="shared" ref="BI17:BI80" si="34">BH17/1000000*1000000</f>
        <v>13.86851446940168</v>
      </c>
      <c r="BL17" s="31"/>
    </row>
    <row r="18" spans="1:68">
      <c r="A18" t="s">
        <v>28</v>
      </c>
      <c r="B18" t="s">
        <v>9</v>
      </c>
      <c r="C18" t="s">
        <v>12</v>
      </c>
      <c r="D18" s="8">
        <v>5</v>
      </c>
      <c r="E18">
        <v>30</v>
      </c>
      <c r="F18" s="26">
        <v>42798</v>
      </c>
      <c r="G18" s="3"/>
      <c r="H18">
        <f>'Wet ref'!B65</f>
        <v>394.39637060000001</v>
      </c>
      <c r="I18">
        <f>'Wet ref'!C65</f>
        <v>207.30179699999999</v>
      </c>
      <c r="J18">
        <f>'Wet ref'!D65</f>
        <v>92.520205200000007</v>
      </c>
      <c r="K18">
        <f>'Wet ref'!E65</f>
        <v>8.2390276060000005</v>
      </c>
      <c r="L18" s="3">
        <f t="shared" si="10"/>
        <v>7637.3294383999992</v>
      </c>
      <c r="M18" s="31">
        <f>'Wet ref'!$B$41*'Soil samples'!AI18%</f>
        <v>1.2155861745630716</v>
      </c>
      <c r="N18" s="105">
        <f>'Wet ref'!$B$41*'Soil samples'!AH18%</f>
        <v>3.7844138254369284</v>
      </c>
      <c r="O18">
        <f t="shared" si="11"/>
        <v>394.39637060000001</v>
      </c>
      <c r="P18">
        <f t="shared" si="12"/>
        <v>0.39439637059999999</v>
      </c>
      <c r="Q18">
        <f>P18*('Wet ref'!$B$40+M18)</f>
        <v>10.339332040399213</v>
      </c>
      <c r="R18" s="141">
        <f t="shared" si="32"/>
        <v>2.7320828316669328</v>
      </c>
      <c r="S18" s="141">
        <f>R18*'Soil samples'!AK18/100</f>
        <v>1.6077661322820775</v>
      </c>
      <c r="T18" s="149">
        <f t="shared" si="13"/>
        <v>1.6077661322820775</v>
      </c>
      <c r="U18" s="141">
        <f t="shared" si="14"/>
        <v>394.39637060000001</v>
      </c>
      <c r="V18" s="141">
        <f t="shared" si="15"/>
        <v>2.7320828316669328</v>
      </c>
      <c r="W18" s="141">
        <f>V18*'Soil samples'!AR18/100</f>
        <v>1.6077661322820775</v>
      </c>
      <c r="X18" s="149">
        <f t="shared" si="16"/>
        <v>1.6077661322820775</v>
      </c>
      <c r="Y18">
        <f t="shared" si="0"/>
        <v>207.30179699999999</v>
      </c>
      <c r="Z18">
        <f t="shared" si="17"/>
        <v>0.20730179699999998</v>
      </c>
      <c r="AA18">
        <f>Z18*('Wet ref'!$B$40+M18)</f>
        <v>5.4345381233952796</v>
      </c>
      <c r="AB18" s="175">
        <f t="shared" si="1"/>
        <v>1.4360316746723216</v>
      </c>
      <c r="AC18" s="175">
        <f>AB18*'Soil samples'!AK18/100</f>
        <v>0.845070678187966</v>
      </c>
      <c r="AD18" s="174">
        <f t="shared" si="18"/>
        <v>0.845070678187966</v>
      </c>
      <c r="AE18" s="175">
        <f t="shared" si="19"/>
        <v>207.30179699999999</v>
      </c>
      <c r="AF18" s="175">
        <f t="shared" si="20"/>
        <v>1.4360316746723216</v>
      </c>
      <c r="AG18" s="175">
        <f>AF18*'Soil samples'!AR18/100</f>
        <v>0.845070678187966</v>
      </c>
      <c r="AH18" s="174">
        <f t="shared" si="21"/>
        <v>0.845070678187966</v>
      </c>
      <c r="AI18">
        <f t="shared" si="2"/>
        <v>92.520205200000007</v>
      </c>
      <c r="AJ18">
        <f t="shared" si="22"/>
        <v>9.2520205200000011E-2</v>
      </c>
      <c r="AK18">
        <f>AJ18*('Wet ref'!$B$40+M18)</f>
        <v>2.4254714123088585</v>
      </c>
      <c r="AL18" s="175">
        <f t="shared" si="3"/>
        <v>0.64091072599039201</v>
      </c>
      <c r="AM18" s="175">
        <f>AL18*'Soil samples'!AK18/100</f>
        <v>0.37716080461402746</v>
      </c>
      <c r="AN18" s="174">
        <f t="shared" si="23"/>
        <v>377.16080461402743</v>
      </c>
      <c r="AO18" s="175">
        <f t="shared" si="24"/>
        <v>0.64091072599039201</v>
      </c>
      <c r="AP18" s="175">
        <f>AO18*'Soil samples'!AR18/100</f>
        <v>0.37716080461402746</v>
      </c>
      <c r="AQ18" s="174">
        <f t="shared" si="25"/>
        <v>377.16080461402743</v>
      </c>
      <c r="AR18">
        <f t="shared" si="4"/>
        <v>8.2390276060000005</v>
      </c>
      <c r="AS18">
        <f t="shared" si="26"/>
        <v>8.2390276059999996E-3</v>
      </c>
      <c r="AT18">
        <f>AS18*('Wet ref'!$B$40+M18)</f>
        <v>0.21599093819969709</v>
      </c>
      <c r="AU18" s="175">
        <f t="shared" si="5"/>
        <v>5.7073815962703264E-2</v>
      </c>
      <c r="AV18" s="175">
        <f>AU18*'Soil samples'!AK18/100</f>
        <v>3.3586590890052899E-2</v>
      </c>
      <c r="AW18" s="174">
        <f t="shared" si="27"/>
        <v>33.586590890052896</v>
      </c>
      <c r="AX18" s="175">
        <f t="shared" si="28"/>
        <v>5.7073815962703264E-2</v>
      </c>
      <c r="AY18" s="175">
        <f>AX18*'Soil samples'!AR18/100</f>
        <v>3.3586590890052899E-2</v>
      </c>
      <c r="AZ18" s="174">
        <f t="shared" si="29"/>
        <v>33.586590890052896</v>
      </c>
      <c r="BA18">
        <f t="shared" si="6"/>
        <v>7637.3294383999992</v>
      </c>
      <c r="BB18">
        <f t="shared" si="30"/>
        <v>7.6373294383999992</v>
      </c>
      <c r="BC18">
        <f>BB18*('Wet ref'!$B$40+M18)</f>
        <v>200.21706803590257</v>
      </c>
      <c r="BD18" s="175">
        <f t="shared" si="7"/>
        <v>52.905701456364007</v>
      </c>
      <c r="BE18" s="175">
        <f>BD18*'Soil samples'!AK18/100</f>
        <v>31.133754079582854</v>
      </c>
      <c r="BF18" s="174">
        <f t="shared" si="33"/>
        <v>31.133754079582857</v>
      </c>
      <c r="BG18" s="175">
        <f t="shared" si="31"/>
        <v>52.905701456364007</v>
      </c>
      <c r="BH18" s="175">
        <f>BG18*'Soil samples'!AR18/100</f>
        <v>31.133754079582854</v>
      </c>
      <c r="BI18" s="174">
        <f t="shared" si="34"/>
        <v>31.133754079582857</v>
      </c>
      <c r="BL18" s="31"/>
    </row>
    <row r="19" spans="1:68">
      <c r="A19" t="s">
        <v>17</v>
      </c>
      <c r="B19" t="s">
        <v>9</v>
      </c>
      <c r="C19" t="s">
        <v>12</v>
      </c>
      <c r="D19" s="8">
        <v>6</v>
      </c>
      <c r="E19">
        <v>5</v>
      </c>
      <c r="F19" s="26">
        <v>42746</v>
      </c>
      <c r="G19" s="3"/>
      <c r="H19">
        <f>'Wet ref'!B66</f>
        <v>99.499376659999996</v>
      </c>
      <c r="I19">
        <f>'Wet ref'!C66</f>
        <v>1100.5129010000001</v>
      </c>
      <c r="J19">
        <f>'Wet ref'!D66</f>
        <v>94.563268280000003</v>
      </c>
      <c r="K19">
        <f>'Wet ref'!E66</f>
        <v>1.0623907079999999</v>
      </c>
      <c r="L19" s="3">
        <f t="shared" si="10"/>
        <v>-137.6215696600002</v>
      </c>
      <c r="M19" s="31">
        <f>'Wet ref'!$B$41*'Soil samples'!AI19%</f>
        <v>0.89832556048772216</v>
      </c>
      <c r="N19" s="105">
        <f>'Wet ref'!$B$41*'Soil samples'!AH19%</f>
        <v>4.1016744395122782</v>
      </c>
      <c r="O19">
        <f t="shared" si="11"/>
        <v>99.499376659999996</v>
      </c>
      <c r="P19">
        <f t="shared" si="12"/>
        <v>9.949937666E-2</v>
      </c>
      <c r="Q19">
        <f>P19*('Wet ref'!$B$40+M19)</f>
        <v>2.5768672498062735</v>
      </c>
      <c r="R19" s="141">
        <f t="shared" si="32"/>
        <v>0.62824763101205161</v>
      </c>
      <c r="S19" s="141">
        <f>R19*'Soil samples'!AK19/100</f>
        <v>0.20264484052476528</v>
      </c>
      <c r="T19" s="149">
        <f t="shared" si="13"/>
        <v>0.20264484052476528</v>
      </c>
      <c r="U19" s="141">
        <f t="shared" si="14"/>
        <v>99.499376659999996</v>
      </c>
      <c r="V19" s="141">
        <f t="shared" si="15"/>
        <v>0.62824763101205161</v>
      </c>
      <c r="W19" s="141">
        <f>V19*'Soil samples'!AR19/100</f>
        <v>0.20264484052476528</v>
      </c>
      <c r="X19" s="149">
        <f t="shared" si="16"/>
        <v>0.20264484052476528</v>
      </c>
      <c r="Y19">
        <f t="shared" si="0"/>
        <v>1100.5129010000001</v>
      </c>
      <c r="Z19">
        <f t="shared" si="17"/>
        <v>1.1005129010000001</v>
      </c>
      <c r="AA19">
        <f>Z19*('Wet ref'!$B$40+M19)</f>
        <v>28.501441393614797</v>
      </c>
      <c r="AB19" s="175">
        <f t="shared" si="1"/>
        <v>6.9487332097970818</v>
      </c>
      <c r="AC19" s="175">
        <f>AB19*'Soil samples'!AK19/100</f>
        <v>2.241353351193867</v>
      </c>
      <c r="AD19" s="174">
        <f t="shared" si="18"/>
        <v>2.241353351193867</v>
      </c>
      <c r="AE19" s="175">
        <f t="shared" si="19"/>
        <v>1100.5129010000001</v>
      </c>
      <c r="AF19" s="175">
        <f t="shared" si="20"/>
        <v>6.9487332097970818</v>
      </c>
      <c r="AG19" s="175">
        <f>AF19*'Soil samples'!AR19/100</f>
        <v>2.241353351193867</v>
      </c>
      <c r="AH19" s="174">
        <f t="shared" si="21"/>
        <v>2.241353351193867</v>
      </c>
      <c r="AI19">
        <f t="shared" si="2"/>
        <v>94.563268280000003</v>
      </c>
      <c r="AJ19">
        <f t="shared" si="22"/>
        <v>9.4563268280000001E-2</v>
      </c>
      <c r="AK19">
        <f>AJ19*('Wet ref'!$B$40+M19)</f>
        <v>2.4490303079791822</v>
      </c>
      <c r="AL19" s="175">
        <f t="shared" si="3"/>
        <v>0.59708061770753107</v>
      </c>
      <c r="AM19" s="175">
        <f>AL19*'Soil samples'!AK19/100</f>
        <v>0.19259174341948285</v>
      </c>
      <c r="AN19" s="174">
        <f t="shared" si="23"/>
        <v>192.59174341948284</v>
      </c>
      <c r="AO19" s="175">
        <f t="shared" si="24"/>
        <v>0.59708061770753107</v>
      </c>
      <c r="AP19" s="175">
        <f>AO19*'Soil samples'!AR19/100</f>
        <v>0.19259174341948285</v>
      </c>
      <c r="AQ19" s="174">
        <f t="shared" si="25"/>
        <v>192.59174341948284</v>
      </c>
      <c r="AR19">
        <f t="shared" si="4"/>
        <v>1.0623907079999999</v>
      </c>
      <c r="AS19">
        <f t="shared" si="26"/>
        <v>1.0623907079999999E-3</v>
      </c>
      <c r="AT19">
        <f>AS19*('Wet ref'!$B$40+M19)</f>
        <v>2.7514140428221045E-2</v>
      </c>
      <c r="AU19" s="175">
        <f t="shared" si="5"/>
        <v>6.7080264009185221E-3</v>
      </c>
      <c r="AV19" s="175">
        <f>AU19*'Soil samples'!AK19/100</f>
        <v>2.1637120032753023E-3</v>
      </c>
      <c r="AW19" s="174">
        <f t="shared" si="27"/>
        <v>2.1637120032753026</v>
      </c>
      <c r="AX19" s="175">
        <f t="shared" si="28"/>
        <v>6.7080264009185221E-3</v>
      </c>
      <c r="AY19" s="175">
        <f>AX19*'Soil samples'!AR19/100</f>
        <v>2.1637120032753023E-3</v>
      </c>
      <c r="AZ19" s="174">
        <f t="shared" si="29"/>
        <v>2.1637120032753026</v>
      </c>
      <c r="BA19">
        <f t="shared" si="6"/>
        <v>0</v>
      </c>
      <c r="BB19">
        <f t="shared" si="30"/>
        <v>0</v>
      </c>
      <c r="BC19">
        <f>BB19*('Wet ref'!$B$40+M19)</f>
        <v>0</v>
      </c>
      <c r="BD19" s="175">
        <f t="shared" si="7"/>
        <v>0</v>
      </c>
      <c r="BE19" s="175">
        <f>BD19*'Soil samples'!AK19/100</f>
        <v>0</v>
      </c>
      <c r="BF19" s="174">
        <f t="shared" si="33"/>
        <v>0</v>
      </c>
      <c r="BG19" s="175">
        <f t="shared" si="31"/>
        <v>0</v>
      </c>
      <c r="BH19" s="175">
        <f>BG19*'Soil samples'!AR19/100</f>
        <v>0</v>
      </c>
      <c r="BI19" s="174">
        <f t="shared" si="34"/>
        <v>0</v>
      </c>
      <c r="BL19" s="138" t="s">
        <v>822</v>
      </c>
      <c r="BM19" s="146" t="s">
        <v>865</v>
      </c>
      <c r="BN19" s="147" t="s">
        <v>867</v>
      </c>
      <c r="BO19" s="148" t="s">
        <v>882</v>
      </c>
      <c r="BP19" s="148" t="s">
        <v>883</v>
      </c>
    </row>
    <row r="20" spans="1:68">
      <c r="A20" t="s">
        <v>18</v>
      </c>
      <c r="B20" t="s">
        <v>9</v>
      </c>
      <c r="C20" t="s">
        <v>12</v>
      </c>
      <c r="D20" s="8">
        <v>6</v>
      </c>
      <c r="E20">
        <v>20</v>
      </c>
      <c r="F20" s="26">
        <v>42746</v>
      </c>
      <c r="G20" s="3"/>
      <c r="H20">
        <f>'Wet ref'!B67</f>
        <v>76.846920350000005</v>
      </c>
      <c r="I20">
        <f>'Wet ref'!C67</f>
        <v>625.38533940000002</v>
      </c>
      <c r="J20">
        <f>'Wet ref'!D67</f>
        <v>108.82886670000001</v>
      </c>
      <c r="K20">
        <f>'Wet ref'!E67</f>
        <v>10.39609772</v>
      </c>
      <c r="L20" s="3">
        <f t="shared" si="10"/>
        <v>9693.8654602499992</v>
      </c>
      <c r="M20" s="31">
        <f>'Wet ref'!$B$41*'Soil samples'!AI20%</f>
        <v>1.3199831823360284</v>
      </c>
      <c r="N20" s="105">
        <f>'Wet ref'!$B$41*'Soil samples'!AH20%</f>
        <v>3.6800168176639714</v>
      </c>
      <c r="O20">
        <f t="shared" si="11"/>
        <v>76.846920350000005</v>
      </c>
      <c r="P20">
        <f t="shared" si="12"/>
        <v>7.684692035E-2</v>
      </c>
      <c r="Q20">
        <f>P20*('Wet ref'!$B$40+M20)</f>
        <v>2.0226096512263161</v>
      </c>
      <c r="R20" s="141">
        <f t="shared" si="32"/>
        <v>0.5496196760617641</v>
      </c>
      <c r="S20" s="141">
        <f>R20*'Soil samples'!AK20/100</f>
        <v>0.27369953800394492</v>
      </c>
      <c r="T20" s="149">
        <f t="shared" si="13"/>
        <v>0.27369953800394492</v>
      </c>
      <c r="U20" s="141">
        <f t="shared" si="14"/>
        <v>76.846920350000005</v>
      </c>
      <c r="V20" s="141">
        <f t="shared" si="15"/>
        <v>0.5496196760617641</v>
      </c>
      <c r="W20" s="141">
        <f>V20*'Soil samples'!AR20/100</f>
        <v>0.27369953800394492</v>
      </c>
      <c r="X20" s="149">
        <f t="shared" si="16"/>
        <v>0.27369953800394492</v>
      </c>
      <c r="Y20">
        <f t="shared" si="0"/>
        <v>625.38533940000002</v>
      </c>
      <c r="Z20">
        <f t="shared" si="17"/>
        <v>0.62538533940000007</v>
      </c>
      <c r="AA20">
        <f>Z20*('Wet ref'!$B$40+M20)</f>
        <v>16.460131615487512</v>
      </c>
      <c r="AB20" s="175">
        <f t="shared" si="1"/>
        <v>4.4728414110716477</v>
      </c>
      <c r="AC20" s="175">
        <f>AB20*'Soil samples'!AK20/100</f>
        <v>2.2273850102077692</v>
      </c>
      <c r="AD20" s="174">
        <f t="shared" si="18"/>
        <v>2.2273850102077692</v>
      </c>
      <c r="AE20" s="175">
        <f t="shared" si="19"/>
        <v>625.38533940000002</v>
      </c>
      <c r="AF20" s="175">
        <f t="shared" si="20"/>
        <v>4.4728414110716477</v>
      </c>
      <c r="AG20" s="175">
        <f>AF20*'Soil samples'!AR20/100</f>
        <v>2.2273850102077692</v>
      </c>
      <c r="AH20" s="174">
        <f t="shared" si="21"/>
        <v>2.2273850102077692</v>
      </c>
      <c r="AI20">
        <f t="shared" si="2"/>
        <v>108.82886670000001</v>
      </c>
      <c r="AJ20">
        <f t="shared" si="22"/>
        <v>0.10882886670000001</v>
      </c>
      <c r="AK20">
        <f>AJ20*('Wet ref'!$B$40+M20)</f>
        <v>2.8643739412966895</v>
      </c>
      <c r="AL20" s="175">
        <f t="shared" si="3"/>
        <v>0.77835892693418673</v>
      </c>
      <c r="AM20" s="175">
        <f>AL20*'Soil samples'!AK20/100</f>
        <v>0.38760708173626779</v>
      </c>
      <c r="AN20" s="174">
        <f t="shared" si="23"/>
        <v>387.60708173626779</v>
      </c>
      <c r="AO20" s="175">
        <f t="shared" si="24"/>
        <v>0.77835892693418673</v>
      </c>
      <c r="AP20" s="175">
        <f>AO20*'Soil samples'!AR20/100</f>
        <v>0.38760708173626779</v>
      </c>
      <c r="AQ20" s="174">
        <f t="shared" si="25"/>
        <v>387.60708173626779</v>
      </c>
      <c r="AR20">
        <f t="shared" si="4"/>
        <v>10.39609772</v>
      </c>
      <c r="AS20">
        <f t="shared" si="26"/>
        <v>1.0396097720000001E-2</v>
      </c>
      <c r="AT20">
        <f>AS20*('Wet ref'!$B$40+M20)</f>
        <v>0.27362511715232196</v>
      </c>
      <c r="AU20" s="175">
        <f t="shared" si="5"/>
        <v>7.4354311599590939E-2</v>
      </c>
      <c r="AV20" s="175">
        <f>AU20*'Soil samples'!AK20/100</f>
        <v>3.7026950853052187E-2</v>
      </c>
      <c r="AW20" s="174">
        <f t="shared" si="27"/>
        <v>37.026950853052185</v>
      </c>
      <c r="AX20" s="175">
        <f t="shared" si="28"/>
        <v>7.4354311599590939E-2</v>
      </c>
      <c r="AY20" s="175">
        <f>AX20*'Soil samples'!AR20/100</f>
        <v>3.7026950853052187E-2</v>
      </c>
      <c r="AZ20" s="174">
        <f t="shared" si="29"/>
        <v>37.026950853052185</v>
      </c>
      <c r="BA20">
        <f t="shared" si="6"/>
        <v>9693.8654602499992</v>
      </c>
      <c r="BB20">
        <f t="shared" si="30"/>
        <v>9.6938654602499987</v>
      </c>
      <c r="BC20">
        <f>BB20*('Wet ref'!$B$40+M20)</f>
        <v>255.14237588560806</v>
      </c>
      <c r="BD20" s="175">
        <f t="shared" si="7"/>
        <v>69.331850512457507</v>
      </c>
      <c r="BE20" s="175">
        <f>BD20*'Soil samples'!AK20/100</f>
        <v>34.525866304840463</v>
      </c>
      <c r="BF20" s="174">
        <f t="shared" si="33"/>
        <v>34.525866304840463</v>
      </c>
      <c r="BG20" s="175">
        <f t="shared" si="31"/>
        <v>69.331850512457507</v>
      </c>
      <c r="BH20" s="175">
        <f>BG20*'Soil samples'!AR20/100</f>
        <v>34.525866304840463</v>
      </c>
      <c r="BI20" s="174">
        <f t="shared" si="34"/>
        <v>34.525866304840463</v>
      </c>
      <c r="BL20" s="6" t="s">
        <v>51</v>
      </c>
      <c r="BM20" s="52">
        <v>5</v>
      </c>
      <c r="BN20" s="52">
        <f>COUNT(R55,R59,R64,R67,R69)</f>
        <v>5</v>
      </c>
      <c r="BO20" s="31">
        <f>AVERAGE(O$39,O$43,O$48,O$51,O$53)</f>
        <v>450.66195914000002</v>
      </c>
      <c r="BP20" s="31">
        <f>AVERAGE(Y$39,Y$43,Y$48,Y$51,Y$53)</f>
        <v>1491.3353525999999</v>
      </c>
    </row>
    <row r="21" spans="1:68">
      <c r="A21" t="s">
        <v>19</v>
      </c>
      <c r="B21" t="s">
        <v>9</v>
      </c>
      <c r="C21" t="s">
        <v>12</v>
      </c>
      <c r="D21" s="8">
        <v>6</v>
      </c>
      <c r="E21">
        <v>30</v>
      </c>
      <c r="F21" s="26">
        <v>42746</v>
      </c>
      <c r="G21" s="3"/>
      <c r="H21">
        <f>'Wet ref'!B68</f>
        <v>81.196047590000006</v>
      </c>
      <c r="I21">
        <f>'Wet ref'!C68</f>
        <v>313.9090789</v>
      </c>
      <c r="J21">
        <f>'Wet ref'!D68</f>
        <v>124.5388086</v>
      </c>
      <c r="K21">
        <f>'Wet ref'!E68</f>
        <v>13.01176225</v>
      </c>
      <c r="L21" s="3">
        <f t="shared" si="10"/>
        <v>12616.65712351</v>
      </c>
      <c r="M21" s="31">
        <f>'Wet ref'!$B$41*'Soil samples'!AI21%</f>
        <v>1.1677010602534268</v>
      </c>
      <c r="N21" s="105">
        <f>'Wet ref'!$B$41*'Soil samples'!AH21%</f>
        <v>3.8322989397465737</v>
      </c>
      <c r="O21">
        <f t="shared" si="11"/>
        <v>81.196047590000006</v>
      </c>
      <c r="P21">
        <f t="shared" si="12"/>
        <v>8.1196047590000001E-2</v>
      </c>
      <c r="Q21">
        <f>P21*('Wet ref'!$B$40+M21)</f>
        <v>2.124713900609231</v>
      </c>
      <c r="R21" s="141">
        <f t="shared" si="32"/>
        <v>0.55442279791193338</v>
      </c>
      <c r="S21" s="141">
        <f>R21*'Soil samples'!AK21/100</f>
        <v>0.19657853008436599</v>
      </c>
      <c r="T21" s="149">
        <f t="shared" si="13"/>
        <v>0.19657853008436599</v>
      </c>
      <c r="U21" s="141">
        <f t="shared" si="14"/>
        <v>81.196047590000006</v>
      </c>
      <c r="V21" s="141">
        <f t="shared" si="15"/>
        <v>0.55442279791193338</v>
      </c>
      <c r="W21" s="141">
        <f>V21*'Soil samples'!AR21/100</f>
        <v>0.19657853008436599</v>
      </c>
      <c r="X21" s="149">
        <f t="shared" si="16"/>
        <v>0.19657853008436599</v>
      </c>
      <c r="Y21">
        <f t="shared" si="0"/>
        <v>313.9090789</v>
      </c>
      <c r="Z21">
        <f t="shared" si="17"/>
        <v>0.31390907889999997</v>
      </c>
      <c r="AA21">
        <f>Z21*('Wet ref'!$B$40+M21)</f>
        <v>8.214278936754706</v>
      </c>
      <c r="AB21" s="175">
        <f t="shared" si="1"/>
        <v>2.1434337628415565</v>
      </c>
      <c r="AC21" s="175">
        <f>AB21*'Soil samples'!AK21/100</f>
        <v>0.75998508722854508</v>
      </c>
      <c r="AD21" s="174">
        <f t="shared" si="18"/>
        <v>0.75998508722854508</v>
      </c>
      <c r="AE21" s="175">
        <f t="shared" si="19"/>
        <v>313.9090789</v>
      </c>
      <c r="AF21" s="175">
        <f t="shared" si="20"/>
        <v>2.1434337628415565</v>
      </c>
      <c r="AG21" s="175">
        <f>AF21*'Soil samples'!AR21/100</f>
        <v>0.75998508722854508</v>
      </c>
      <c r="AH21" s="174">
        <f t="shared" si="21"/>
        <v>0.75998508722854508</v>
      </c>
      <c r="AI21">
        <f t="shared" si="2"/>
        <v>124.5388086</v>
      </c>
      <c r="AJ21">
        <f t="shared" si="22"/>
        <v>0.12453880859999999</v>
      </c>
      <c r="AK21">
        <f>AJ21*('Wet ref'!$B$40+M21)</f>
        <v>3.2588943138449187</v>
      </c>
      <c r="AL21" s="175">
        <f t="shared" si="3"/>
        <v>0.85037580968577209</v>
      </c>
      <c r="AM21" s="175">
        <f>AL21*'Soil samples'!AK21/100</f>
        <v>0.30151290191693181</v>
      </c>
      <c r="AN21" s="174">
        <f t="shared" si="23"/>
        <v>301.51290191693181</v>
      </c>
      <c r="AO21" s="175">
        <f t="shared" si="24"/>
        <v>0.85037580968577209</v>
      </c>
      <c r="AP21" s="175">
        <f>AO21*'Soil samples'!AR21/100</f>
        <v>0.30151290191693181</v>
      </c>
      <c r="AQ21" s="174">
        <f t="shared" si="25"/>
        <v>301.51290191693181</v>
      </c>
      <c r="AR21">
        <f t="shared" si="4"/>
        <v>13.01176225</v>
      </c>
      <c r="AS21">
        <f t="shared" si="26"/>
        <v>1.301176225E-2</v>
      </c>
      <c r="AT21">
        <f>AS21*('Wet ref'!$B$40+M21)</f>
        <v>0.3404879048250905</v>
      </c>
      <c r="AU21" s="175">
        <f t="shared" si="5"/>
        <v>8.8846906303088835E-2</v>
      </c>
      <c r="AV21" s="175">
        <f>AU21*'Soil samples'!AK21/100</f>
        <v>3.1501940954417364E-2</v>
      </c>
      <c r="AW21" s="174">
        <f t="shared" si="27"/>
        <v>31.501940954417364</v>
      </c>
      <c r="AX21" s="175">
        <f t="shared" si="28"/>
        <v>8.8846906303088835E-2</v>
      </c>
      <c r="AY21" s="175">
        <f>AX21*'Soil samples'!AR21/100</f>
        <v>3.1501940954417364E-2</v>
      </c>
      <c r="AZ21" s="174">
        <f t="shared" si="29"/>
        <v>31.501940954417364</v>
      </c>
      <c r="BA21">
        <f t="shared" si="6"/>
        <v>12616.65712351</v>
      </c>
      <c r="BB21">
        <f t="shared" si="30"/>
        <v>12.61665712351</v>
      </c>
      <c r="BC21">
        <f>BB21*('Wet ref'!$B$40+M21)</f>
        <v>330.14891198772659</v>
      </c>
      <c r="BD21" s="175">
        <f t="shared" si="7"/>
        <v>86.14904974233535</v>
      </c>
      <c r="BE21" s="175">
        <f>BD21*'Soil samples'!AK21/100</f>
        <v>30.545377337104455</v>
      </c>
      <c r="BF21" s="174">
        <f t="shared" si="33"/>
        <v>30.545377337104455</v>
      </c>
      <c r="BG21" s="175">
        <f t="shared" si="31"/>
        <v>86.14904974233535</v>
      </c>
      <c r="BH21" s="175">
        <f>BG21*'Soil samples'!AR21/100</f>
        <v>30.545377337104455</v>
      </c>
      <c r="BI21" s="174">
        <f t="shared" si="34"/>
        <v>30.545377337104455</v>
      </c>
      <c r="BL21" s="6" t="s">
        <v>112</v>
      </c>
      <c r="BM21" s="52">
        <v>5</v>
      </c>
      <c r="BN21" s="52">
        <f>COUNT(R113,R116,R120,R128,R132)</f>
        <v>4</v>
      </c>
      <c r="BO21" s="31">
        <f>AVERAGE(O$97,O$100,O$104,O$112,O$116)</f>
        <v>87.336302421999989</v>
      </c>
      <c r="BP21" s="31">
        <f>AVERAGE(Y$97,Y$100,Y$104,Y$112,Y$116)</f>
        <v>317.07151654400002</v>
      </c>
    </row>
    <row r="22" spans="1:68">
      <c r="A22" t="s">
        <v>4</v>
      </c>
      <c r="B22" t="s">
        <v>9</v>
      </c>
      <c r="C22" t="s">
        <v>13</v>
      </c>
      <c r="D22" s="8">
        <v>1</v>
      </c>
      <c r="E22">
        <v>5</v>
      </c>
      <c r="F22" s="26">
        <v>42776</v>
      </c>
      <c r="G22" s="3"/>
      <c r="H22">
        <f>'Wet ref'!B69</f>
        <v>74.095826669999994</v>
      </c>
      <c r="I22">
        <f>'Wet ref'!C69</f>
        <v>588.59274800000003</v>
      </c>
      <c r="J22">
        <f>'Wet ref'!D69</f>
        <v>64.932879689999993</v>
      </c>
      <c r="K22">
        <f>'Wet ref'!E69</f>
        <v>9.0382722510000004</v>
      </c>
      <c r="L22" s="3">
        <f t="shared" si="10"/>
        <v>8375.5836763299994</v>
      </c>
      <c r="M22" s="31">
        <f>'Wet ref'!$B$41*'Soil samples'!AI22%</f>
        <v>1.6679133877901122</v>
      </c>
      <c r="N22" s="105">
        <f>'Wet ref'!$B$41*'Soil samples'!AH22%</f>
        <v>3.332086612209888</v>
      </c>
      <c r="O22">
        <f t="shared" si="11"/>
        <v>74.095826669999994</v>
      </c>
      <c r="P22">
        <f t="shared" si="12"/>
        <v>7.409582666999999E-2</v>
      </c>
      <c r="Q22">
        <f>P22*('Wet ref'!$B$40+M22)</f>
        <v>1.9759810880322684</v>
      </c>
      <c r="R22" s="141">
        <f t="shared" si="32"/>
        <v>0.59301612412822879</v>
      </c>
      <c r="S22" s="141">
        <f>R22*'Soil samples'!AK22/100</f>
        <v>0.32623447763412755</v>
      </c>
      <c r="T22" s="149">
        <f t="shared" si="13"/>
        <v>0.32623447763412755</v>
      </c>
      <c r="U22" s="141">
        <f t="shared" si="14"/>
        <v>74.095826669999994</v>
      </c>
      <c r="V22" s="141">
        <f t="shared" si="15"/>
        <v>0.59301612412822879</v>
      </c>
      <c r="W22" s="141">
        <f>V22*'Soil samples'!AR22/100</f>
        <v>0.32623447763412755</v>
      </c>
      <c r="X22" s="149">
        <f t="shared" si="16"/>
        <v>0.32623447763412755</v>
      </c>
      <c r="Y22">
        <f t="shared" si="0"/>
        <v>588.59274800000003</v>
      </c>
      <c r="Z22">
        <f t="shared" si="17"/>
        <v>0.58859274800000005</v>
      </c>
      <c r="AA22">
        <f>Z22*('Wet ref'!$B$40+M22)</f>
        <v>15.696540424345374</v>
      </c>
      <c r="AB22" s="175">
        <f t="shared" si="1"/>
        <v>4.7107240150444953</v>
      </c>
      <c r="AC22" s="175">
        <f>AB22*'Soil samples'!AK22/100</f>
        <v>2.5914988240594217</v>
      </c>
      <c r="AD22" s="174">
        <f t="shared" si="18"/>
        <v>2.5914988240594217</v>
      </c>
      <c r="AE22" s="175">
        <f t="shared" si="19"/>
        <v>588.59274800000003</v>
      </c>
      <c r="AF22" s="175">
        <f t="shared" si="20"/>
        <v>4.7107240150444953</v>
      </c>
      <c r="AG22" s="175">
        <f>AF22*'Soil samples'!AR22/100</f>
        <v>2.5914988240594217</v>
      </c>
      <c r="AH22" s="174">
        <f t="shared" si="21"/>
        <v>2.5914988240594217</v>
      </c>
      <c r="AI22">
        <f t="shared" si="2"/>
        <v>64.932879689999993</v>
      </c>
      <c r="AJ22">
        <f t="shared" si="22"/>
        <v>6.4932879689999987E-2</v>
      </c>
      <c r="AK22">
        <f>AJ22*('Wet ref'!$B$40+M22)</f>
        <v>1.7316244115927153</v>
      </c>
      <c r="AL22" s="175">
        <f t="shared" si="3"/>
        <v>0.51968169292102429</v>
      </c>
      <c r="AM22" s="175">
        <f>AL22*'Soil samples'!AK22/100</f>
        <v>0.28589119035395727</v>
      </c>
      <c r="AN22" s="174">
        <f t="shared" si="23"/>
        <v>285.89119035395731</v>
      </c>
      <c r="AO22" s="175">
        <f t="shared" si="24"/>
        <v>0.51968169292102429</v>
      </c>
      <c r="AP22" s="175">
        <f>AO22*'Soil samples'!AR22/100</f>
        <v>0.28589119035395727</v>
      </c>
      <c r="AQ22" s="174">
        <f t="shared" si="25"/>
        <v>285.89119035395731</v>
      </c>
      <c r="AR22">
        <f t="shared" si="4"/>
        <v>9.0382722510000004</v>
      </c>
      <c r="AS22">
        <f t="shared" si="26"/>
        <v>9.0382722510000003E-3</v>
      </c>
      <c r="AT22">
        <f>AS22*('Wet ref'!$B$40+M22)</f>
        <v>0.24103186156493478</v>
      </c>
      <c r="AU22" s="175">
        <f t="shared" si="5"/>
        <v>7.2336613544711839E-2</v>
      </c>
      <c r="AV22" s="175">
        <f>AU22*'Soil samples'!AK22/100</f>
        <v>3.9794360344370734E-2</v>
      </c>
      <c r="AW22" s="174">
        <f t="shared" si="27"/>
        <v>39.794360344370737</v>
      </c>
      <c r="AX22" s="175">
        <f t="shared" si="28"/>
        <v>7.2336613544711839E-2</v>
      </c>
      <c r="AY22" s="175">
        <f>AX22*'Soil samples'!AR22/100</f>
        <v>3.9794360344370734E-2</v>
      </c>
      <c r="AZ22" s="174">
        <f t="shared" si="29"/>
        <v>39.794360344370737</v>
      </c>
      <c r="BA22">
        <f t="shared" si="6"/>
        <v>8375.5836763299994</v>
      </c>
      <c r="BB22">
        <f t="shared" si="30"/>
        <v>8.3755836763299989</v>
      </c>
      <c r="BC22">
        <f>BB22*('Wet ref'!$B$40+M22)</f>
        <v>223.35934005255709</v>
      </c>
      <c r="BD22" s="175">
        <f t="shared" si="7"/>
        <v>67.032873405539107</v>
      </c>
      <c r="BE22" s="175">
        <f>BD22*'Soil samples'!AK22/100</f>
        <v>36.876627042677185</v>
      </c>
      <c r="BF22" s="174">
        <f t="shared" si="33"/>
        <v>36.876627042677185</v>
      </c>
      <c r="BG22" s="175">
        <f t="shared" si="31"/>
        <v>67.032873405539107</v>
      </c>
      <c r="BH22" s="175">
        <f>BG22*'Soil samples'!AR22/100</f>
        <v>36.876627042677185</v>
      </c>
      <c r="BI22" s="174">
        <f t="shared" si="34"/>
        <v>36.876627042677185</v>
      </c>
      <c r="BL22" s="6" t="s">
        <v>127</v>
      </c>
      <c r="BM22" s="52">
        <v>5</v>
      </c>
      <c r="BN22" s="52">
        <f>COUNT(R135)</f>
        <v>1</v>
      </c>
      <c r="BO22" s="31">
        <f>AVERAGE(O$119)</f>
        <v>81.877290549999998</v>
      </c>
      <c r="BP22" s="31">
        <f>AVERAGE(Y$119)</f>
        <v>563.02263070000004</v>
      </c>
    </row>
    <row r="23" spans="1:68">
      <c r="A23" t="s">
        <v>5</v>
      </c>
      <c r="B23" t="s">
        <v>9</v>
      </c>
      <c r="C23" t="s">
        <v>13</v>
      </c>
      <c r="D23" s="8">
        <v>1</v>
      </c>
      <c r="E23">
        <v>20</v>
      </c>
      <c r="F23" s="26">
        <v>42776</v>
      </c>
      <c r="G23" s="3"/>
      <c r="H23">
        <f>'Wet ref'!B70</f>
        <v>73.876264919999997</v>
      </c>
      <c r="I23">
        <f>'Wet ref'!C70</f>
        <v>167.5226682</v>
      </c>
      <c r="J23">
        <f>'Wet ref'!D70</f>
        <v>74.119356999999994</v>
      </c>
      <c r="K23">
        <f>'Wet ref'!E70</f>
        <v>15.02457336</v>
      </c>
      <c r="L23" s="3">
        <f t="shared" si="10"/>
        <v>14783.174426880001</v>
      </c>
      <c r="M23" s="31">
        <f>'Wet ref'!$B$41*'Soil samples'!AI23%</f>
        <v>1.6481830570992564</v>
      </c>
      <c r="N23" s="105">
        <f>'Wet ref'!$B$41*'Soil samples'!AH23%</f>
        <v>3.3518169429007436</v>
      </c>
      <c r="O23">
        <f t="shared" si="11"/>
        <v>73.876264919999997</v>
      </c>
      <c r="P23">
        <f t="shared" si="12"/>
        <v>7.3876264920000004E-2</v>
      </c>
      <c r="Q23">
        <f>P23*('Wet ref'!$B$40+M23)</f>
        <v>1.9686682311629202</v>
      </c>
      <c r="R23" s="141">
        <f t="shared" si="32"/>
        <v>0.58734360041130018</v>
      </c>
      <c r="S23" s="141">
        <f>R23*'Soil samples'!AK23/100</f>
        <v>0.33034252918913792</v>
      </c>
      <c r="T23" s="149">
        <f t="shared" si="13"/>
        <v>0.33034252918913792</v>
      </c>
      <c r="U23" s="141">
        <f t="shared" si="14"/>
        <v>73.876264919999997</v>
      </c>
      <c r="V23" s="141">
        <f t="shared" si="15"/>
        <v>0.58734360041130018</v>
      </c>
      <c r="W23" s="141">
        <f>V23*'Soil samples'!AR23/100</f>
        <v>0.33034252918913792</v>
      </c>
      <c r="X23" s="149">
        <f t="shared" si="16"/>
        <v>0.33034252918913792</v>
      </c>
      <c r="Y23">
        <f t="shared" si="0"/>
        <v>167.5226682</v>
      </c>
      <c r="Z23">
        <f t="shared" si="17"/>
        <v>0.1675226682</v>
      </c>
      <c r="AA23">
        <f>Z23*('Wet ref'!$B$40+M23)</f>
        <v>4.4641747284073006</v>
      </c>
      <c r="AB23" s="175">
        <f t="shared" si="1"/>
        <v>1.3318671050525497</v>
      </c>
      <c r="AC23" s="175">
        <f>AB23*'Soil samples'!AK23/100</f>
        <v>0.74908851942674493</v>
      </c>
      <c r="AD23" s="174">
        <f t="shared" si="18"/>
        <v>0.74908851942674493</v>
      </c>
      <c r="AE23" s="175">
        <f t="shared" si="19"/>
        <v>167.5226682</v>
      </c>
      <c r="AF23" s="175">
        <f t="shared" si="20"/>
        <v>1.3318671050525497</v>
      </c>
      <c r="AG23" s="175">
        <f>AF23*'Soil samples'!AR23/100</f>
        <v>0.74908851942674493</v>
      </c>
      <c r="AH23" s="174">
        <f t="shared" si="21"/>
        <v>0.74908851942674493</v>
      </c>
      <c r="AI23">
        <f t="shared" si="2"/>
        <v>74.119356999999994</v>
      </c>
      <c r="AJ23">
        <f t="shared" si="22"/>
        <v>7.4119356999999997E-2</v>
      </c>
      <c r="AK23">
        <f>AJ23*('Wet ref'!$B$40+M23)</f>
        <v>1.975146193410491</v>
      </c>
      <c r="AL23" s="175">
        <f t="shared" si="3"/>
        <v>0.58927627226000945</v>
      </c>
      <c r="AM23" s="175">
        <f>AL23*'Soil samples'!AK23/100</f>
        <v>0.33142953125428037</v>
      </c>
      <c r="AN23" s="174">
        <f t="shared" si="23"/>
        <v>331.42953125428039</v>
      </c>
      <c r="AO23" s="175">
        <f t="shared" si="24"/>
        <v>0.58927627226000945</v>
      </c>
      <c r="AP23" s="175">
        <f>AO23*'Soil samples'!AR23/100</f>
        <v>0.33142953125428037</v>
      </c>
      <c r="AQ23" s="174">
        <f t="shared" si="25"/>
        <v>331.42953125428039</v>
      </c>
      <c r="AR23">
        <f t="shared" si="4"/>
        <v>15.02457336</v>
      </c>
      <c r="AS23">
        <f t="shared" si="26"/>
        <v>1.502457336E-2</v>
      </c>
      <c r="AT23">
        <f>AS23*('Wet ref'!$B$40+M23)</f>
        <v>0.40037758125209683</v>
      </c>
      <c r="AU23" s="175">
        <f t="shared" si="5"/>
        <v>0.11945090918527322</v>
      </c>
      <c r="AV23" s="175">
        <f>AU23*'Soil samples'!AK23/100</f>
        <v>6.7183358134101839E-2</v>
      </c>
      <c r="AW23" s="174">
        <f t="shared" si="27"/>
        <v>67.183358134101837</v>
      </c>
      <c r="AX23" s="175">
        <f t="shared" si="28"/>
        <v>0.11945090918527322</v>
      </c>
      <c r="AY23" s="175">
        <f>AX23*'Soil samples'!AR23/100</f>
        <v>6.7183358134101839E-2</v>
      </c>
      <c r="AZ23" s="174">
        <f t="shared" si="29"/>
        <v>67.183358134101837</v>
      </c>
      <c r="BA23">
        <f t="shared" si="6"/>
        <v>14783.174426880001</v>
      </c>
      <c r="BB23">
        <f t="shared" si="30"/>
        <v>14.78317442688</v>
      </c>
      <c r="BC23">
        <f>BB23*('Wet ref'!$B$40+M23)</f>
        <v>393.94473829252667</v>
      </c>
      <c r="BD23" s="175">
        <f t="shared" si="7"/>
        <v>117.53169847980938</v>
      </c>
      <c r="BE23" s="175">
        <f>BD23*'Soil samples'!AK23/100</f>
        <v>66.103927085485964</v>
      </c>
      <c r="BF23" s="174">
        <f t="shared" si="33"/>
        <v>66.103927085485964</v>
      </c>
      <c r="BG23" s="175">
        <f t="shared" si="31"/>
        <v>117.53169847980938</v>
      </c>
      <c r="BH23" s="175">
        <f>BG23*'Soil samples'!AR23/100</f>
        <v>66.103927085485964</v>
      </c>
      <c r="BI23" s="174">
        <f t="shared" si="34"/>
        <v>66.103927085485964</v>
      </c>
      <c r="BL23" s="6" t="s">
        <v>128</v>
      </c>
      <c r="BM23" s="52">
        <v>5</v>
      </c>
      <c r="BN23" s="52">
        <f>COUNT(R135)</f>
        <v>1</v>
      </c>
      <c r="BO23" s="31">
        <f>AVERAGE(O$119)</f>
        <v>81.877290549999998</v>
      </c>
      <c r="BP23" s="31">
        <f>AVERAGE(Y$119)</f>
        <v>563.02263070000004</v>
      </c>
    </row>
    <row r="24" spans="1:68">
      <c r="A24" t="s">
        <v>6</v>
      </c>
      <c r="B24" t="s">
        <v>9</v>
      </c>
      <c r="C24" t="s">
        <v>13</v>
      </c>
      <c r="D24" s="8">
        <v>1</v>
      </c>
      <c r="E24">
        <v>30</v>
      </c>
      <c r="F24" s="26">
        <v>42776</v>
      </c>
      <c r="G24" s="3"/>
      <c r="H24">
        <f>'Wet ref'!B71</f>
        <v>68.301501889999997</v>
      </c>
      <c r="I24">
        <f>'Wet ref'!C71</f>
        <v>55.028794050000002</v>
      </c>
      <c r="J24">
        <f>'Wet ref'!D71</f>
        <v>53.152410680000003</v>
      </c>
      <c r="K24">
        <f>'Wet ref'!E71</f>
        <v>6.1212058870000003</v>
      </c>
      <c r="L24" s="3">
        <f t="shared" si="10"/>
        <v>5997.8755910600003</v>
      </c>
      <c r="M24" s="31">
        <f>'Wet ref'!$B$41*'Soil samples'!AI24%</f>
        <v>0.79489979976501313</v>
      </c>
      <c r="N24" s="105">
        <f>'Wet ref'!$B$41*'Soil samples'!AH24%</f>
        <v>4.2051002002349867</v>
      </c>
      <c r="O24">
        <f t="shared" si="11"/>
        <v>68.301501889999997</v>
      </c>
      <c r="P24">
        <f t="shared" si="12"/>
        <v>6.8301501889999991E-2</v>
      </c>
      <c r="Q24">
        <f>P24*('Wet ref'!$B$40+M24)</f>
        <v>1.7618303974260103</v>
      </c>
      <c r="R24" s="141">
        <f t="shared" si="32"/>
        <v>0.41897465304811449</v>
      </c>
      <c r="S24" s="141">
        <f>R24*'Soil samples'!AK24/100</f>
        <v>0.29013822984811549</v>
      </c>
      <c r="T24" s="149">
        <f t="shared" si="13"/>
        <v>0.29013822984811549</v>
      </c>
      <c r="U24" s="141">
        <f t="shared" si="14"/>
        <v>68.301501889999997</v>
      </c>
      <c r="V24" s="141">
        <f t="shared" si="15"/>
        <v>0.41897465304811449</v>
      </c>
      <c r="W24" s="141">
        <f>V24*'Soil samples'!AR24/100</f>
        <v>0.29013822984811549</v>
      </c>
      <c r="X24" s="149">
        <f t="shared" si="16"/>
        <v>0.29013822984811549</v>
      </c>
      <c r="Y24">
        <f t="shared" si="0"/>
        <v>55.028794050000002</v>
      </c>
      <c r="Z24">
        <f t="shared" si="17"/>
        <v>5.5028794050000003E-2</v>
      </c>
      <c r="AA24">
        <f>Z24*('Wet ref'!$B$40+M24)</f>
        <v>1.4194622286216552</v>
      </c>
      <c r="AB24" s="175">
        <f t="shared" si="1"/>
        <v>0.33755729020258157</v>
      </c>
      <c r="AC24" s="175">
        <f>AB24*'Soil samples'!AK24/100</f>
        <v>0.23375703980941431</v>
      </c>
      <c r="AD24" s="174">
        <f t="shared" si="18"/>
        <v>0.23375703980941431</v>
      </c>
      <c r="AE24" s="175">
        <f t="shared" si="19"/>
        <v>55.028794050000002</v>
      </c>
      <c r="AF24" s="175">
        <f t="shared" si="20"/>
        <v>0.33755729020258157</v>
      </c>
      <c r="AG24" s="175">
        <f>AF24*'Soil samples'!AR24/100</f>
        <v>0.23375703980941431</v>
      </c>
      <c r="AH24" s="174">
        <f t="shared" si="21"/>
        <v>0.23375703980941431</v>
      </c>
      <c r="AI24">
        <f t="shared" si="2"/>
        <v>53.152410680000003</v>
      </c>
      <c r="AJ24">
        <f t="shared" si="22"/>
        <v>5.3152410680000005E-2</v>
      </c>
      <c r="AK24">
        <f>AJ24*('Wet ref'!$B$40+M24)</f>
        <v>1.3710611076065597</v>
      </c>
      <c r="AL24" s="175">
        <f t="shared" si="3"/>
        <v>0.32604719086835149</v>
      </c>
      <c r="AM24" s="175">
        <f>AL24*'Soil samples'!AK24/100</f>
        <v>0.22578634320064836</v>
      </c>
      <c r="AN24" s="174">
        <f t="shared" si="23"/>
        <v>225.78634320064836</v>
      </c>
      <c r="AO24" s="175">
        <f t="shared" si="24"/>
        <v>0.32604719086835149</v>
      </c>
      <c r="AP24" s="175">
        <f>AO24*'Soil samples'!AR24/100</f>
        <v>0.22578634320064836</v>
      </c>
      <c r="AQ24" s="174">
        <f t="shared" si="25"/>
        <v>225.78634320064836</v>
      </c>
      <c r="AR24">
        <f t="shared" si="4"/>
        <v>6.1212058870000003</v>
      </c>
      <c r="AS24">
        <f t="shared" si="26"/>
        <v>6.1212058870000006E-3</v>
      </c>
      <c r="AT24">
        <f>AS24*('Wet ref'!$B$40+M24)</f>
        <v>0.15789589250889674</v>
      </c>
      <c r="AU24" s="175">
        <f t="shared" si="5"/>
        <v>3.7548663525324155E-2</v>
      </c>
      <c r="AV24" s="175">
        <f>AU24*'Soil samples'!AK24/100</f>
        <v>2.6002295578365128E-2</v>
      </c>
      <c r="AW24" s="174">
        <f t="shared" si="27"/>
        <v>26.002295578365128</v>
      </c>
      <c r="AX24" s="175">
        <f t="shared" si="28"/>
        <v>3.7548663525324155E-2</v>
      </c>
      <c r="AY24" s="175">
        <f>AX24*'Soil samples'!AR24/100</f>
        <v>2.6002295578365128E-2</v>
      </c>
      <c r="AZ24" s="174">
        <f t="shared" si="29"/>
        <v>26.002295578365128</v>
      </c>
      <c r="BA24">
        <f t="shared" si="6"/>
        <v>5997.8755910600003</v>
      </c>
      <c r="BB24">
        <f t="shared" si="30"/>
        <v>5.9978755910600006</v>
      </c>
      <c r="BC24">
        <f>BB24*('Wet ref'!$B$40+M24)</f>
        <v>154.71459988284906</v>
      </c>
      <c r="BD24" s="175">
        <f t="shared" si="7"/>
        <v>36.792131582073452</v>
      </c>
      <c r="BE24" s="175">
        <f>BD24*'Soil samples'!AK24/100</f>
        <v>25.478400308707592</v>
      </c>
      <c r="BF24" s="174">
        <f t="shared" si="33"/>
        <v>25.478400308707592</v>
      </c>
      <c r="BG24" s="175">
        <f t="shared" si="31"/>
        <v>36.792131582073452</v>
      </c>
      <c r="BH24" s="175">
        <f>BG24*'Soil samples'!AR24/100</f>
        <v>25.478400308707592</v>
      </c>
      <c r="BI24" s="174">
        <f t="shared" si="34"/>
        <v>25.478400308707592</v>
      </c>
      <c r="BL24" s="6" t="s">
        <v>132</v>
      </c>
      <c r="BM24" s="52">
        <v>5</v>
      </c>
      <c r="BN24" s="52">
        <f>COUNT(R135)</f>
        <v>1</v>
      </c>
      <c r="BO24" s="31">
        <f>AVERAGE(O$119)</f>
        <v>81.877290549999998</v>
      </c>
      <c r="BP24" s="31">
        <f>AVERAGE(Y$119)</f>
        <v>563.02263070000004</v>
      </c>
    </row>
    <row r="25" spans="1:68">
      <c r="A25" t="s">
        <v>7</v>
      </c>
      <c r="B25" t="s">
        <v>9</v>
      </c>
      <c r="C25" t="s">
        <v>13</v>
      </c>
      <c r="D25" s="8">
        <v>2</v>
      </c>
      <c r="E25">
        <v>5</v>
      </c>
      <c r="F25" s="26">
        <v>42746</v>
      </c>
      <c r="G25" s="3"/>
      <c r="H25">
        <f>'Wet ref'!B72</f>
        <v>68.659417619999999</v>
      </c>
      <c r="I25">
        <f>'Wet ref'!C72</f>
        <v>149.22291899999999</v>
      </c>
      <c r="J25">
        <f>'Wet ref'!D72</f>
        <v>35.66092321</v>
      </c>
      <c r="K25">
        <f>'Wet ref'!E72</f>
        <v>1.050899732</v>
      </c>
      <c r="L25" s="3">
        <f t="shared" si="10"/>
        <v>833.01739538000015</v>
      </c>
      <c r="M25" s="31">
        <f>'Wet ref'!$B$41*'Soil samples'!AI25%</f>
        <v>1.2146261543044381</v>
      </c>
      <c r="N25" s="105">
        <f>'Wet ref'!$B$41*'Soil samples'!AH25%</f>
        <v>3.7853738456955615</v>
      </c>
      <c r="O25">
        <f t="shared" si="11"/>
        <v>68.659417619999999</v>
      </c>
      <c r="P25">
        <f t="shared" si="12"/>
        <v>6.8659417619999996E-2</v>
      </c>
      <c r="Q25">
        <f>P25*('Wet ref'!$B$40+M25)</f>
        <v>1.7998809648805627</v>
      </c>
      <c r="R25" s="141">
        <f t="shared" si="32"/>
        <v>0.47548301389762337</v>
      </c>
      <c r="S25" s="141">
        <f>R25*'Soil samples'!AK25/100</f>
        <v>0.34215737142379504</v>
      </c>
      <c r="T25" s="149">
        <f t="shared" si="13"/>
        <v>0.34215737142379504</v>
      </c>
      <c r="U25" s="141">
        <f t="shared" si="14"/>
        <v>68.659417619999999</v>
      </c>
      <c r="V25" s="141">
        <f t="shared" si="15"/>
        <v>0.47548301389762337</v>
      </c>
      <c r="W25" s="141">
        <f>V25*'Soil samples'!AR25/100</f>
        <v>0.34215737142379504</v>
      </c>
      <c r="X25" s="149">
        <f t="shared" si="16"/>
        <v>0.34215737142379504</v>
      </c>
      <c r="Y25">
        <f t="shared" si="0"/>
        <v>149.22291899999999</v>
      </c>
      <c r="Z25">
        <f t="shared" si="17"/>
        <v>0.14922291899999998</v>
      </c>
      <c r="AA25">
        <f>Z25*('Wet ref'!$B$40+M25)</f>
        <v>3.9118230352390522</v>
      </c>
      <c r="AB25" s="175">
        <f t="shared" si="1"/>
        <v>1.033404676710407</v>
      </c>
      <c r="AC25" s="175">
        <f>AB25*'Soil samples'!AK25/100</f>
        <v>0.7436375589989439</v>
      </c>
      <c r="AD25" s="174">
        <f t="shared" si="18"/>
        <v>0.7436375589989439</v>
      </c>
      <c r="AE25" s="175">
        <f t="shared" si="19"/>
        <v>149.22291899999999</v>
      </c>
      <c r="AF25" s="175">
        <f t="shared" si="20"/>
        <v>1.033404676710407</v>
      </c>
      <c r="AG25" s="175">
        <f>AF25*'Soil samples'!AR25/100</f>
        <v>0.7436375589989439</v>
      </c>
      <c r="AH25" s="174">
        <f t="shared" si="21"/>
        <v>0.7436375589989439</v>
      </c>
      <c r="AI25">
        <f t="shared" si="2"/>
        <v>35.66092321</v>
      </c>
      <c r="AJ25">
        <f t="shared" si="22"/>
        <v>3.5660923210000001E-2</v>
      </c>
      <c r="AK25">
        <f>AJ25*('Wet ref'!$B$40+M25)</f>
        <v>0.93483777026750814</v>
      </c>
      <c r="AL25" s="175">
        <f t="shared" si="3"/>
        <v>0.24696048749069643</v>
      </c>
      <c r="AM25" s="175">
        <f>AL25*'Soil samples'!AK25/100</f>
        <v>0.17771266012785333</v>
      </c>
      <c r="AN25" s="174">
        <f t="shared" si="23"/>
        <v>177.71266012785333</v>
      </c>
      <c r="AO25" s="175">
        <f t="shared" si="24"/>
        <v>0.24696048749069643</v>
      </c>
      <c r="AP25" s="175">
        <f>AO25*'Soil samples'!AR25/100</f>
        <v>0.17771266012785333</v>
      </c>
      <c r="AQ25" s="174">
        <f t="shared" si="25"/>
        <v>177.71266012785333</v>
      </c>
      <c r="AR25">
        <f t="shared" si="4"/>
        <v>1.050899732</v>
      </c>
      <c r="AS25">
        <f t="shared" si="26"/>
        <v>1.050899732E-3</v>
      </c>
      <c r="AT25">
        <f>AS25*('Wet ref'!$B$40+M25)</f>
        <v>2.7548943600038723E-2</v>
      </c>
      <c r="AU25" s="175">
        <f t="shared" si="5"/>
        <v>7.2777339103151676E-3</v>
      </c>
      <c r="AV25" s="175">
        <f>AU25*'Soil samples'!AK25/100</f>
        <v>5.2370541783673622E-3</v>
      </c>
      <c r="AW25" s="174">
        <f t="shared" si="27"/>
        <v>5.2370541783673623</v>
      </c>
      <c r="AX25" s="175">
        <f t="shared" si="28"/>
        <v>7.2777339103151676E-3</v>
      </c>
      <c r="AY25" s="175">
        <f>AX25*'Soil samples'!AR25/100</f>
        <v>5.2370541783673622E-3</v>
      </c>
      <c r="AZ25" s="174">
        <f t="shared" si="29"/>
        <v>5.2370541783673623</v>
      </c>
      <c r="BA25">
        <f t="shared" si="6"/>
        <v>833.01739538000015</v>
      </c>
      <c r="BB25">
        <f t="shared" si="30"/>
        <v>0.83301739538000019</v>
      </c>
      <c r="BC25">
        <f>BB25*('Wet ref'!$B$40+M25)</f>
        <v>21.837239599919112</v>
      </c>
      <c r="BD25" s="175">
        <f t="shared" si="7"/>
        <v>5.7688462197071386</v>
      </c>
      <c r="BE25" s="175">
        <f>BD25*'Soil samples'!AK25/100</f>
        <v>4.1512592479446244</v>
      </c>
      <c r="BF25" s="174">
        <f t="shared" si="33"/>
        <v>4.1512592479446244</v>
      </c>
      <c r="BG25" s="175">
        <f t="shared" si="31"/>
        <v>5.7688462197071386</v>
      </c>
      <c r="BH25" s="175">
        <f>BG25*'Soil samples'!AR25/100</f>
        <v>4.1512592479446244</v>
      </c>
      <c r="BI25" s="174">
        <f t="shared" si="34"/>
        <v>4.1512592479446244</v>
      </c>
      <c r="BL25" s="6" t="s">
        <v>135</v>
      </c>
      <c r="BM25" s="52">
        <v>5</v>
      </c>
      <c r="BN25" s="52">
        <f>COUNT(R135)</f>
        <v>1</v>
      </c>
      <c r="BO25" s="31">
        <f>AVERAGE(O$119)</f>
        <v>81.877290549999998</v>
      </c>
      <c r="BP25" s="31">
        <f>AVERAGE(Y$119)</f>
        <v>563.02263070000004</v>
      </c>
    </row>
    <row r="26" spans="1:68">
      <c r="A26" t="s">
        <v>29</v>
      </c>
      <c r="B26" t="s">
        <v>9</v>
      </c>
      <c r="C26" t="s">
        <v>13</v>
      </c>
      <c r="D26" s="8">
        <v>2</v>
      </c>
      <c r="E26">
        <v>20</v>
      </c>
      <c r="F26" s="26">
        <v>42746</v>
      </c>
      <c r="G26" s="3"/>
      <c r="H26">
        <f>'Wet ref'!B73</f>
        <v>8.0904519209999997</v>
      </c>
      <c r="I26">
        <f>'Wet ref'!C73</f>
        <v>50.410615380000003</v>
      </c>
      <c r="J26">
        <f>'Wet ref'!D73</f>
        <v>20.331976210000001</v>
      </c>
      <c r="K26">
        <f>'Wet ref'!E73</f>
        <v>0.51063862699999996</v>
      </c>
      <c r="L26" s="3">
        <f t="shared" si="10"/>
        <v>452.13755969899989</v>
      </c>
      <c r="M26" s="31">
        <f>'Wet ref'!$B$41*'Soil samples'!AI26%</f>
        <v>0.36024265479861906</v>
      </c>
      <c r="N26" s="105">
        <f>'Wet ref'!$B$41*'Soil samples'!AH26%</f>
        <v>4.6397573452013807</v>
      </c>
      <c r="O26">
        <f t="shared" si="11"/>
        <v>8.0904519209999997</v>
      </c>
      <c r="P26">
        <f t="shared" si="12"/>
        <v>8.0904519210000005E-3</v>
      </c>
      <c r="Q26">
        <f>P26*('Wet ref'!$B$40+M26)</f>
        <v>0.20517582390354164</v>
      </c>
      <c r="R26" s="141">
        <f t="shared" si="32"/>
        <v>4.4221240172342746E-2</v>
      </c>
      <c r="S26" s="141">
        <f>R26*'Soil samples'!AK26/100</f>
        <v>4.0710986978940739E-2</v>
      </c>
      <c r="T26" s="149">
        <f t="shared" si="13"/>
        <v>4.0710986978940739E-2</v>
      </c>
      <c r="U26" s="141">
        <f t="shared" si="14"/>
        <v>8.0904519209999997</v>
      </c>
      <c r="V26" s="141">
        <f t="shared" si="15"/>
        <v>4.4221240172342746E-2</v>
      </c>
      <c r="W26" s="141">
        <f>V26*'Soil samples'!AR26/100</f>
        <v>4.0710986978940739E-2</v>
      </c>
      <c r="X26" s="149">
        <f t="shared" si="16"/>
        <v>4.0710986978940739E-2</v>
      </c>
      <c r="Y26">
        <f t="shared" si="0"/>
        <v>50.410615380000003</v>
      </c>
      <c r="Z26">
        <f t="shared" si="17"/>
        <v>5.0410615380000003E-2</v>
      </c>
      <c r="AA26">
        <f>Z26*('Wet ref'!$B$40+M26)</f>
        <v>1.2784254384145233</v>
      </c>
      <c r="AB26" s="175">
        <f t="shared" si="1"/>
        <v>0.27553713336683888</v>
      </c>
      <c r="AC26" s="175">
        <f>AB26*'Soil samples'!AK26/100</f>
        <v>0.25366517549020978</v>
      </c>
      <c r="AD26" s="174">
        <f t="shared" si="18"/>
        <v>0.25366517549020978</v>
      </c>
      <c r="AE26" s="175">
        <f t="shared" si="19"/>
        <v>50.410615380000003</v>
      </c>
      <c r="AF26" s="175">
        <f t="shared" si="20"/>
        <v>0.27553713336683888</v>
      </c>
      <c r="AG26" s="175">
        <f>AF26*'Soil samples'!AR26/100</f>
        <v>0.25366517549020978</v>
      </c>
      <c r="AH26" s="174">
        <f t="shared" si="21"/>
        <v>0.25366517549020978</v>
      </c>
      <c r="AI26">
        <f t="shared" si="2"/>
        <v>20.331976210000001</v>
      </c>
      <c r="AJ26">
        <f t="shared" si="22"/>
        <v>2.0331976210000002E-2</v>
      </c>
      <c r="AK26">
        <f>AJ26*('Wet ref'!$B$40+M26)</f>
        <v>0.51562385033719282</v>
      </c>
      <c r="AL26" s="175">
        <f t="shared" si="3"/>
        <v>0.1111316415869186</v>
      </c>
      <c r="AM26" s="175">
        <f>AL26*'Soil samples'!AK26/100</f>
        <v>0.10231008438390583</v>
      </c>
      <c r="AN26" s="174">
        <f t="shared" si="23"/>
        <v>102.31008438390583</v>
      </c>
      <c r="AO26" s="175">
        <f t="shared" si="24"/>
        <v>0.1111316415869186</v>
      </c>
      <c r="AP26" s="175">
        <f>AO26*'Soil samples'!AR26/100</f>
        <v>0.10231008438390583</v>
      </c>
      <c r="AQ26" s="174">
        <f t="shared" si="25"/>
        <v>102.31008438390583</v>
      </c>
      <c r="AR26">
        <f t="shared" si="4"/>
        <v>0.51063862699999996</v>
      </c>
      <c r="AS26">
        <f t="shared" si="26"/>
        <v>5.1063862699999999E-4</v>
      </c>
      <c r="AT26">
        <f>AS26*('Wet ref'!$B$40+M26)</f>
        <v>1.2949919489633201E-2</v>
      </c>
      <c r="AU26" s="175">
        <f t="shared" si="5"/>
        <v>2.7910768874640644E-3</v>
      </c>
      <c r="AV26" s="175">
        <f>AU26*'Soil samples'!AK26/100</f>
        <v>2.5695230251330209E-3</v>
      </c>
      <c r="AW26" s="174">
        <f t="shared" si="27"/>
        <v>2.5695230251330208</v>
      </c>
      <c r="AX26" s="175">
        <f t="shared" si="28"/>
        <v>2.7910768874640644E-3</v>
      </c>
      <c r="AY26" s="175">
        <f>AX26*'Soil samples'!AR26/100</f>
        <v>2.5695230251330209E-3</v>
      </c>
      <c r="AZ26" s="174">
        <f t="shared" si="29"/>
        <v>2.5695230251330208</v>
      </c>
      <c r="BA26">
        <f t="shared" si="6"/>
        <v>452.13755969899989</v>
      </c>
      <c r="BB26">
        <f t="shared" si="30"/>
        <v>0.45213755969899988</v>
      </c>
      <c r="BC26">
        <f>BB26*('Wet ref'!$B$40+M26)</f>
        <v>11.466318227315133</v>
      </c>
      <c r="BD26" s="175">
        <f t="shared" si="7"/>
        <v>2.4713185139248823</v>
      </c>
      <c r="BE26" s="175">
        <f>BD26*'Soil samples'!AK26/100</f>
        <v>2.2751468626638696</v>
      </c>
      <c r="BF26" s="174">
        <f t="shared" si="33"/>
        <v>2.2751468626638696</v>
      </c>
      <c r="BG26" s="175">
        <f t="shared" si="31"/>
        <v>2.4713185139248823</v>
      </c>
      <c r="BH26" s="175">
        <f>BG26*'Soil samples'!AR26/100</f>
        <v>2.2751468626638696</v>
      </c>
      <c r="BI26" s="174">
        <f t="shared" si="34"/>
        <v>2.2751468626638696</v>
      </c>
      <c r="BL26" s="6" t="s">
        <v>145</v>
      </c>
      <c r="BM26" s="52">
        <v>5</v>
      </c>
      <c r="BN26" s="52">
        <f>COUNT(R152,R154,R157,R160,R164)</f>
        <v>4</v>
      </c>
      <c r="BO26" s="31">
        <f>AVERAGE(O$136,O$138,O$141,O$144,O$148)</f>
        <v>63.617317411999998</v>
      </c>
      <c r="BP26" s="31">
        <f>AVERAGE(Y$136,Y$138,Y$141,Y$144,Y$148)</f>
        <v>110.33919405399999</v>
      </c>
    </row>
    <row r="27" spans="1:68">
      <c r="A27" t="s">
        <v>30</v>
      </c>
      <c r="B27" t="s">
        <v>9</v>
      </c>
      <c r="C27" t="s">
        <v>13</v>
      </c>
      <c r="D27" s="8">
        <v>2</v>
      </c>
      <c r="E27">
        <v>30</v>
      </c>
      <c r="F27" s="26">
        <v>42746</v>
      </c>
      <c r="G27" s="3"/>
      <c r="H27">
        <f>'Wet ref'!B74</f>
        <v>3.7834324119999998</v>
      </c>
      <c r="I27">
        <f>'Wet ref'!C74</f>
        <v>37.755306779999998</v>
      </c>
      <c r="J27">
        <f>'Wet ref'!D74</f>
        <v>11.92076913</v>
      </c>
      <c r="K27">
        <f>'Wet ref'!E74</f>
        <v>-0.108262361</v>
      </c>
      <c r="L27" s="3">
        <f t="shared" si="10"/>
        <v>-149.80110019199998</v>
      </c>
      <c r="M27" s="31">
        <f>'Wet ref'!$B$41*'Soil samples'!AI27%</f>
        <v>0.22847664220753783</v>
      </c>
      <c r="N27" s="105">
        <f>'Wet ref'!$B$41*'Soil samples'!AH27%</f>
        <v>4.7715233577924625</v>
      </c>
      <c r="O27">
        <f t="shared" si="11"/>
        <v>3.7834324119999998</v>
      </c>
      <c r="P27">
        <f t="shared" si="12"/>
        <v>3.7834324119999999E-3</v>
      </c>
      <c r="Q27">
        <f>P27*('Wet ref'!$B$40+M27)</f>
        <v>9.5450236233512925E-2</v>
      </c>
      <c r="R27" s="141">
        <f t="shared" si="32"/>
        <v>2.0004143137564524E-2</v>
      </c>
      <c r="S27" s="141">
        <f>R27*'Soil samples'!AK27/100</f>
        <v>2.6941783679271355E-2</v>
      </c>
      <c r="T27" s="149">
        <f t="shared" si="13"/>
        <v>2.6941783679271355E-2</v>
      </c>
      <c r="U27" s="141">
        <f t="shared" si="14"/>
        <v>3.7834324119999998</v>
      </c>
      <c r="V27" s="141">
        <f t="shared" si="15"/>
        <v>2.0004143137564524E-2</v>
      </c>
      <c r="W27" s="141">
        <f>V27*'Soil samples'!AR27/100</f>
        <v>2.6941783679271355E-2</v>
      </c>
      <c r="X27" s="149">
        <f t="shared" si="16"/>
        <v>2.6941783679271355E-2</v>
      </c>
      <c r="Y27">
        <f t="shared" si="0"/>
        <v>37.755306779999998</v>
      </c>
      <c r="Z27">
        <f t="shared" si="17"/>
        <v>3.7755306779999998E-2</v>
      </c>
      <c r="AA27">
        <f>Z27*('Wet ref'!$B$40+M27)</f>
        <v>0.95250887521860983</v>
      </c>
      <c r="AB27" s="175">
        <f t="shared" si="1"/>
        <v>0.19962364297411436</v>
      </c>
      <c r="AC27" s="175">
        <f>AB27*'Soil samples'!AK27/100</f>
        <v>0.26885515511920483</v>
      </c>
      <c r="AD27" s="174">
        <f t="shared" si="18"/>
        <v>0.26885515511920483</v>
      </c>
      <c r="AE27" s="175">
        <f t="shared" si="19"/>
        <v>37.755306779999998</v>
      </c>
      <c r="AF27" s="175">
        <f t="shared" si="20"/>
        <v>0.19962364297411436</v>
      </c>
      <c r="AG27" s="175">
        <f>AF27*'Soil samples'!AR27/100</f>
        <v>0.26885515511920483</v>
      </c>
      <c r="AH27" s="174">
        <f t="shared" si="21"/>
        <v>0.26885515511920483</v>
      </c>
      <c r="AI27">
        <f t="shared" si="2"/>
        <v>11.92076913</v>
      </c>
      <c r="AJ27">
        <f t="shared" si="22"/>
        <v>1.192076913E-2</v>
      </c>
      <c r="AK27">
        <f>AJ27*('Wet ref'!$B$40+M27)</f>
        <v>0.30074284555335368</v>
      </c>
      <c r="AL27" s="175">
        <f t="shared" si="3"/>
        <v>6.3028685600418369E-2</v>
      </c>
      <c r="AM27" s="175">
        <f>AL27*'Soil samples'!AK27/100</f>
        <v>8.4887675585889596E-2</v>
      </c>
      <c r="AN27" s="174">
        <f t="shared" si="23"/>
        <v>84.887675585889596</v>
      </c>
      <c r="AO27" s="175">
        <f t="shared" si="24"/>
        <v>6.3028685600418369E-2</v>
      </c>
      <c r="AP27" s="175">
        <f>AO27*'Soil samples'!AR27/100</f>
        <v>8.4887675585889596E-2</v>
      </c>
      <c r="AQ27" s="174">
        <f t="shared" si="25"/>
        <v>84.887675585889596</v>
      </c>
      <c r="AR27">
        <f t="shared" si="4"/>
        <v>0</v>
      </c>
      <c r="AS27">
        <f t="shared" si="26"/>
        <v>0</v>
      </c>
      <c r="AT27">
        <f>AS27*('Wet ref'!$B$40+M27)</f>
        <v>0</v>
      </c>
      <c r="AU27" s="175">
        <f t="shared" si="5"/>
        <v>0</v>
      </c>
      <c r="AV27" s="175">
        <f>AU27*'Soil samples'!AK27/100</f>
        <v>0</v>
      </c>
      <c r="AW27" s="174">
        <f t="shared" si="27"/>
        <v>0</v>
      </c>
      <c r="AX27" s="175">
        <f t="shared" si="28"/>
        <v>0</v>
      </c>
      <c r="AY27" s="175">
        <f>AX27*'Soil samples'!AR27/100</f>
        <v>0</v>
      </c>
      <c r="AZ27" s="174">
        <f t="shared" si="29"/>
        <v>0</v>
      </c>
      <c r="BA27">
        <f t="shared" si="6"/>
        <v>0</v>
      </c>
      <c r="BB27">
        <f t="shared" si="30"/>
        <v>0</v>
      </c>
      <c r="BC27">
        <f>BB27*('Wet ref'!$B$40+M27)</f>
        <v>0</v>
      </c>
      <c r="BD27" s="175">
        <f t="shared" si="7"/>
        <v>0</v>
      </c>
      <c r="BE27" s="175">
        <f>BD27*'Soil samples'!AK27/100</f>
        <v>0</v>
      </c>
      <c r="BF27" s="174">
        <f t="shared" si="33"/>
        <v>0</v>
      </c>
      <c r="BG27" s="175">
        <f t="shared" si="31"/>
        <v>0</v>
      </c>
      <c r="BH27" s="175">
        <f>BG27*'Soil samples'!AR27/100</f>
        <v>0</v>
      </c>
      <c r="BI27" s="174">
        <f t="shared" si="34"/>
        <v>0</v>
      </c>
      <c r="BL27" s="6" t="s">
        <v>154</v>
      </c>
      <c r="BM27" s="52">
        <v>5</v>
      </c>
      <c r="BN27" s="52">
        <f>COUNT(R179)</f>
        <v>1</v>
      </c>
      <c r="BO27" s="31">
        <f>AVERAGE(O$163)</f>
        <v>192.97403159999999</v>
      </c>
      <c r="BP27" s="31">
        <f>AVERAGE(Y$163)</f>
        <v>1196.8114399999999</v>
      </c>
    </row>
    <row r="28" spans="1:68">
      <c r="A28" t="s">
        <v>31</v>
      </c>
      <c r="B28" t="s">
        <v>9</v>
      </c>
      <c r="C28" t="s">
        <v>13</v>
      </c>
      <c r="D28" s="8">
        <v>3</v>
      </c>
      <c r="E28">
        <v>5</v>
      </c>
      <c r="F28" s="26">
        <v>42792</v>
      </c>
      <c r="G28" s="3"/>
      <c r="H28">
        <f>'Wet ref'!B75</f>
        <v>71.805466789999997</v>
      </c>
      <c r="I28">
        <f>'Wet ref'!C75</f>
        <v>328.12977710000001</v>
      </c>
      <c r="J28">
        <f>'Wet ref'!D75</f>
        <v>65.207677649999994</v>
      </c>
      <c r="K28">
        <f>'Wet ref'!E75</f>
        <v>10.390775059999999</v>
      </c>
      <c r="L28" s="3">
        <f t="shared" si="10"/>
        <v>9990.8398161099994</v>
      </c>
      <c r="M28" s="31">
        <f>'Wet ref'!$B$41*'Soil samples'!AI28%</f>
        <v>1.9480670183613173</v>
      </c>
      <c r="N28" s="105">
        <f>'Wet ref'!$B$41*'Soil samples'!AH28%</f>
        <v>3.0519329816386827</v>
      </c>
      <c r="O28">
        <f t="shared" si="11"/>
        <v>71.805466789999997</v>
      </c>
      <c r="P28">
        <f t="shared" si="12"/>
        <v>7.1805466789999994E-2</v>
      </c>
      <c r="Q28">
        <f>P28*('Wet ref'!$B$40+M28)</f>
        <v>1.9350185313416377</v>
      </c>
      <c r="R28" s="141">
        <f t="shared" si="32"/>
        <v>0.63403047936611734</v>
      </c>
      <c r="S28" s="141">
        <f>R28*'Soil samples'!AK28/100</f>
        <v>0.3036044075675029</v>
      </c>
      <c r="T28" s="149">
        <f t="shared" si="13"/>
        <v>0.3036044075675029</v>
      </c>
      <c r="U28" s="141">
        <f t="shared" si="14"/>
        <v>71.805466789999997</v>
      </c>
      <c r="V28" s="141">
        <f t="shared" si="15"/>
        <v>0.63403047936611734</v>
      </c>
      <c r="W28" s="141">
        <f>V28*'Soil samples'!AR28/100</f>
        <v>0.3036044075675029</v>
      </c>
      <c r="X28" s="149">
        <f t="shared" si="16"/>
        <v>0.3036044075675029</v>
      </c>
      <c r="Y28">
        <f t="shared" si="0"/>
        <v>328.12977710000001</v>
      </c>
      <c r="Z28">
        <f t="shared" si="17"/>
        <v>0.32812977710000002</v>
      </c>
      <c r="AA28">
        <f>Z28*('Wet ref'!$B$40+M28)</f>
        <v>8.8424632240107606</v>
      </c>
      <c r="AB28" s="175">
        <f t="shared" si="1"/>
        <v>2.8973320440552244</v>
      </c>
      <c r="AC28" s="175">
        <f>AB28*'Soil samples'!AK28/100</f>
        <v>1.3873824798472878</v>
      </c>
      <c r="AD28" s="174">
        <f t="shared" si="18"/>
        <v>1.3873824798472878</v>
      </c>
      <c r="AE28" s="175">
        <f t="shared" si="19"/>
        <v>328.12977710000001</v>
      </c>
      <c r="AF28" s="175">
        <f t="shared" si="20"/>
        <v>2.8973320440552244</v>
      </c>
      <c r="AG28" s="175">
        <f>AF28*'Soil samples'!AR28/100</f>
        <v>1.3873824798472878</v>
      </c>
      <c r="AH28" s="174">
        <f t="shared" si="21"/>
        <v>1.3873824798472878</v>
      </c>
      <c r="AI28">
        <f t="shared" si="2"/>
        <v>65.207677649999994</v>
      </c>
      <c r="AJ28">
        <f t="shared" si="22"/>
        <v>6.520767764999999E-2</v>
      </c>
      <c r="AK28">
        <f>AJ28*('Wet ref'!$B$40+M28)</f>
        <v>1.7572208674239012</v>
      </c>
      <c r="AL28" s="175">
        <f t="shared" si="3"/>
        <v>0.57577308479440847</v>
      </c>
      <c r="AM28" s="175">
        <f>AL28*'Soil samples'!AK28/100</f>
        <v>0.27570795409881005</v>
      </c>
      <c r="AN28" s="174">
        <f t="shared" si="23"/>
        <v>275.70795409881003</v>
      </c>
      <c r="AO28" s="175">
        <f t="shared" si="24"/>
        <v>0.57577308479440847</v>
      </c>
      <c r="AP28" s="175">
        <f>AO28*'Soil samples'!AR28/100</f>
        <v>0.27570795409881005</v>
      </c>
      <c r="AQ28" s="174">
        <f t="shared" si="25"/>
        <v>275.70795409881003</v>
      </c>
      <c r="AR28">
        <f t="shared" si="4"/>
        <v>10.390775059999999</v>
      </c>
      <c r="AS28">
        <f t="shared" si="26"/>
        <v>1.0390775059999999E-2</v>
      </c>
      <c r="AT28">
        <f>AS28*('Wet ref'!$B$40+M28)</f>
        <v>0.28001130268959734</v>
      </c>
      <c r="AU28" s="175">
        <f t="shared" si="5"/>
        <v>9.1748837334969954E-2</v>
      </c>
      <c r="AV28" s="175">
        <f>AU28*'Soil samples'!AK28/100</f>
        <v>4.3933773391997812E-2</v>
      </c>
      <c r="AW28" s="174">
        <f t="shared" si="27"/>
        <v>43.933773391997811</v>
      </c>
      <c r="AX28" s="175">
        <f t="shared" si="28"/>
        <v>9.1748837334969954E-2</v>
      </c>
      <c r="AY28" s="175">
        <f>AX28*'Soil samples'!AR28/100</f>
        <v>4.3933773391997812E-2</v>
      </c>
      <c r="AZ28" s="174">
        <f t="shared" si="29"/>
        <v>43.933773391997811</v>
      </c>
      <c r="BA28">
        <f t="shared" si="6"/>
        <v>9990.8398161099994</v>
      </c>
      <c r="BB28">
        <f t="shared" si="30"/>
        <v>9.9908398161100003</v>
      </c>
      <c r="BC28">
        <f>BB28*('Wet ref'!$B$40+M28)</f>
        <v>269.23382093424493</v>
      </c>
      <c r="BD28" s="175">
        <f t="shared" si="7"/>
        <v>88.217474811548612</v>
      </c>
      <c r="BE28" s="175">
        <f>BD28*'Soil samples'!AK28/100</f>
        <v>42.24278650458303</v>
      </c>
      <c r="BF28" s="174">
        <f t="shared" si="33"/>
        <v>42.24278650458303</v>
      </c>
      <c r="BG28" s="175">
        <f t="shared" si="31"/>
        <v>88.217474811548612</v>
      </c>
      <c r="BH28" s="175">
        <f>BG28*'Soil samples'!AR28/100</f>
        <v>42.24278650458303</v>
      </c>
      <c r="BI28" s="174">
        <f t="shared" si="34"/>
        <v>42.24278650458303</v>
      </c>
      <c r="BL28" s="6" t="s">
        <v>158</v>
      </c>
      <c r="BM28" s="52">
        <v>5</v>
      </c>
      <c r="BN28" s="52">
        <f>COUNT(R64)</f>
        <v>1</v>
      </c>
      <c r="BO28" s="31">
        <f>AVERAGE(O$163)</f>
        <v>192.97403159999999</v>
      </c>
      <c r="BP28" s="31">
        <f>AVERAGE(Y$163)</f>
        <v>1196.8114399999999</v>
      </c>
    </row>
    <row r="29" spans="1:68">
      <c r="A29" t="s">
        <v>32</v>
      </c>
      <c r="B29" t="s">
        <v>9</v>
      </c>
      <c r="C29" t="s">
        <v>13</v>
      </c>
      <c r="D29" s="8">
        <v>3</v>
      </c>
      <c r="E29">
        <v>20</v>
      </c>
      <c r="F29" s="26">
        <v>42792</v>
      </c>
      <c r="G29" s="3"/>
      <c r="H29">
        <f>'Wet ref'!B76</f>
        <v>40.973583410000003</v>
      </c>
      <c r="I29">
        <f>'Wet ref'!C76</f>
        <v>-42.466089050000001</v>
      </c>
      <c r="J29">
        <f>'Wet ref'!D76</f>
        <v>24.800429980000001</v>
      </c>
      <c r="K29">
        <f>'Wet ref'!E76</f>
        <v>0.50380988199999999</v>
      </c>
      <c r="L29" s="3">
        <f t="shared" si="10"/>
        <v>505.30238763999995</v>
      </c>
      <c r="M29" s="31">
        <f>'Wet ref'!$B$41*'Soil samples'!AI29%</f>
        <v>1.2542842318344924</v>
      </c>
      <c r="N29" s="105">
        <f>'Wet ref'!$B$41*'Soil samples'!AH29%</f>
        <v>3.7457157681655073</v>
      </c>
      <c r="O29">
        <f t="shared" si="11"/>
        <v>40.973583410000003</v>
      </c>
      <c r="P29">
        <f t="shared" si="12"/>
        <v>4.097358341E-2</v>
      </c>
      <c r="Q29">
        <f>P29*('Wet ref'!$B$40+M29)</f>
        <v>1.0757321048429185</v>
      </c>
      <c r="R29" s="141">
        <f t="shared" si="32"/>
        <v>0.287189998233573</v>
      </c>
      <c r="S29" s="141">
        <f>R29*'Soil samples'!AK29/100</f>
        <v>0.21632972628391095</v>
      </c>
      <c r="T29" s="149">
        <f t="shared" si="13"/>
        <v>0.21632972628391095</v>
      </c>
      <c r="U29" s="141">
        <f t="shared" si="14"/>
        <v>40.973583410000003</v>
      </c>
      <c r="V29" s="141">
        <f t="shared" si="15"/>
        <v>0.287189998233573</v>
      </c>
      <c r="W29" s="141">
        <f>V29*'Soil samples'!AR29/100</f>
        <v>0.21632972628391095</v>
      </c>
      <c r="X29" s="149">
        <f t="shared" si="16"/>
        <v>0.21632972628391095</v>
      </c>
      <c r="Y29">
        <f t="shared" si="0"/>
        <v>0</v>
      </c>
      <c r="Z29">
        <f t="shared" si="17"/>
        <v>0</v>
      </c>
      <c r="AA29">
        <f>Z29*('Wet ref'!$B$40+M29)</f>
        <v>0</v>
      </c>
      <c r="AB29" s="175">
        <f t="shared" si="1"/>
        <v>0</v>
      </c>
      <c r="AC29" s="175">
        <f>AB29*'Soil samples'!AK29/100</f>
        <v>0</v>
      </c>
      <c r="AD29" s="174">
        <f t="shared" si="18"/>
        <v>0</v>
      </c>
      <c r="AE29" s="175">
        <f t="shared" si="19"/>
        <v>0</v>
      </c>
      <c r="AF29" s="175">
        <f t="shared" si="20"/>
        <v>0</v>
      </c>
      <c r="AG29" s="175">
        <f>AF29*'Soil samples'!AR29/100</f>
        <v>0</v>
      </c>
      <c r="AH29" s="174">
        <f t="shared" si="21"/>
        <v>0</v>
      </c>
      <c r="AI29">
        <f t="shared" si="2"/>
        <v>24.800429980000001</v>
      </c>
      <c r="AJ29">
        <f t="shared" si="22"/>
        <v>2.480042998E-2</v>
      </c>
      <c r="AK29">
        <f>AJ29*('Wet ref'!$B$40+M29)</f>
        <v>0.6511175377666294</v>
      </c>
      <c r="AL29" s="175">
        <f t="shared" si="3"/>
        <v>0.17382993747160883</v>
      </c>
      <c r="AM29" s="175">
        <f>AL29*'Soil samples'!AK29/100</f>
        <v>0.13093973684486918</v>
      </c>
      <c r="AN29" s="174">
        <f t="shared" si="23"/>
        <v>130.93973684486917</v>
      </c>
      <c r="AO29" s="175">
        <f t="shared" si="24"/>
        <v>0.17382993747160883</v>
      </c>
      <c r="AP29" s="175">
        <f>AO29*'Soil samples'!AR29/100</f>
        <v>0.13093973684486918</v>
      </c>
      <c r="AQ29" s="174">
        <f t="shared" si="25"/>
        <v>130.93973684486917</v>
      </c>
      <c r="AR29">
        <f t="shared" si="4"/>
        <v>0.50380988199999999</v>
      </c>
      <c r="AS29">
        <f t="shared" si="26"/>
        <v>5.0380988199999997E-4</v>
      </c>
      <c r="AT29">
        <f>AS29*('Wet ref'!$B$40+M29)</f>
        <v>1.3227167840834995E-2</v>
      </c>
      <c r="AU29" s="175">
        <f t="shared" si="5"/>
        <v>3.5312791091228744E-3</v>
      </c>
      <c r="AV29" s="175">
        <f>AU29*'Soil samples'!AK29/100</f>
        <v>2.659983452791918E-3</v>
      </c>
      <c r="AW29" s="174">
        <f t="shared" si="27"/>
        <v>2.6599834527919177</v>
      </c>
      <c r="AX29" s="175">
        <f t="shared" si="28"/>
        <v>3.5312791091228744E-3</v>
      </c>
      <c r="AY29" s="175">
        <f>AX29*'Soil samples'!AR29/100</f>
        <v>2.659983452791918E-3</v>
      </c>
      <c r="AZ29" s="174">
        <f t="shared" si="29"/>
        <v>2.6599834527919177</v>
      </c>
      <c r="BA29">
        <f t="shared" si="6"/>
        <v>462.83629858999996</v>
      </c>
      <c r="BB29">
        <f t="shared" si="30"/>
        <v>0.46283629858999997</v>
      </c>
      <c r="BC29">
        <f>BB29*('Wet ref'!$B$40+M29)</f>
        <v>12.151435735992077</v>
      </c>
      <c r="BD29" s="175">
        <f t="shared" si="7"/>
        <v>3.2440891108893015</v>
      </c>
      <c r="BE29" s="175">
        <f>BD29*'Soil samples'!AK29/100</f>
        <v>2.4436537265080069</v>
      </c>
      <c r="BF29" s="174">
        <f t="shared" si="33"/>
        <v>2.4436537265080069</v>
      </c>
      <c r="BG29" s="175">
        <f t="shared" si="31"/>
        <v>3.2440891108893015</v>
      </c>
      <c r="BH29" s="175">
        <f>BG29*'Soil samples'!AR29/100</f>
        <v>2.4436537265080069</v>
      </c>
      <c r="BI29" s="174">
        <f t="shared" si="34"/>
        <v>2.4436537265080069</v>
      </c>
      <c r="BL29" s="6" t="s">
        <v>162</v>
      </c>
      <c r="BM29" s="52">
        <v>5</v>
      </c>
      <c r="BN29" s="52">
        <f>COUNT(R64)</f>
        <v>1</v>
      </c>
      <c r="BO29" s="31">
        <f>AVERAGE(O$163)</f>
        <v>192.97403159999999</v>
      </c>
      <c r="BP29" s="31">
        <f>AVERAGE(Y$163)</f>
        <v>1196.8114399999999</v>
      </c>
    </row>
    <row r="30" spans="1:68">
      <c r="A30" t="s">
        <v>33</v>
      </c>
      <c r="B30" t="s">
        <v>9</v>
      </c>
      <c r="C30" t="s">
        <v>13</v>
      </c>
      <c r="D30" s="8">
        <v>3</v>
      </c>
      <c r="E30">
        <v>30</v>
      </c>
      <c r="F30" s="26">
        <v>42792</v>
      </c>
      <c r="G30" s="3"/>
      <c r="H30">
        <f>'Wet ref'!B77</f>
        <v>8.6543947689999996</v>
      </c>
      <c r="I30">
        <f>'Wet ref'!C77</f>
        <v>-39.770710110000003</v>
      </c>
      <c r="J30">
        <f>'Wet ref'!D77</f>
        <v>17.918533270000001</v>
      </c>
      <c r="K30">
        <f>'Wet ref'!E77</f>
        <v>0.24044648099999999</v>
      </c>
      <c r="L30" s="3">
        <f t="shared" si="10"/>
        <v>271.56279634099997</v>
      </c>
      <c r="M30" s="31">
        <f>'Wet ref'!$B$41*'Soil samples'!AI30%</f>
        <v>0.64968117854001761</v>
      </c>
      <c r="N30" s="105">
        <f>'Wet ref'!$B$41*'Soil samples'!AH30%</f>
        <v>4.3503188214599824</v>
      </c>
      <c r="O30">
        <f t="shared" si="11"/>
        <v>8.6543947689999996</v>
      </c>
      <c r="P30">
        <f t="shared" si="12"/>
        <v>8.6543947690000001E-3</v>
      </c>
      <c r="Q30">
        <f>P30*('Wet ref'!$B$40+M30)</f>
        <v>0.2219824666180745</v>
      </c>
      <c r="R30" s="141">
        <f t="shared" si="32"/>
        <v>5.1026712231536264E-2</v>
      </c>
      <c r="S30" s="141">
        <f>R30*'Soil samples'!AK30/100</f>
        <v>5.5597728589162954E-2</v>
      </c>
      <c r="T30" s="149">
        <f t="shared" si="13"/>
        <v>5.5597728589162954E-2</v>
      </c>
      <c r="U30" s="141">
        <f t="shared" si="14"/>
        <v>8.6543947689999996</v>
      </c>
      <c r="V30" s="141">
        <f t="shared" si="15"/>
        <v>5.1026712231536264E-2</v>
      </c>
      <c r="W30" s="141">
        <f>V30*'Soil samples'!AR30/100</f>
        <v>5.5597728589162954E-2</v>
      </c>
      <c r="X30" s="149">
        <f t="shared" si="16"/>
        <v>5.5597728589162954E-2</v>
      </c>
      <c r="Y30">
        <f t="shared" si="0"/>
        <v>0</v>
      </c>
      <c r="Z30">
        <f t="shared" si="17"/>
        <v>0</v>
      </c>
      <c r="AA30">
        <f>Z30*('Wet ref'!$B$40+M30)</f>
        <v>0</v>
      </c>
      <c r="AB30" s="175">
        <f t="shared" si="1"/>
        <v>0</v>
      </c>
      <c r="AC30" s="175">
        <f>AB30*'Soil samples'!AK30/100</f>
        <v>0</v>
      </c>
      <c r="AD30" s="174">
        <f t="shared" si="18"/>
        <v>0</v>
      </c>
      <c r="AE30" s="175">
        <f t="shared" si="19"/>
        <v>0</v>
      </c>
      <c r="AF30" s="175">
        <f t="shared" si="20"/>
        <v>0</v>
      </c>
      <c r="AG30" s="175">
        <f>AF30*'Soil samples'!AR30/100</f>
        <v>0</v>
      </c>
      <c r="AH30" s="174">
        <f t="shared" si="21"/>
        <v>0</v>
      </c>
      <c r="AI30">
        <f t="shared" si="2"/>
        <v>17.918533270000001</v>
      </c>
      <c r="AJ30">
        <f t="shared" si="22"/>
        <v>1.7918533270000002E-2</v>
      </c>
      <c r="AK30">
        <f>AJ30*('Wet ref'!$B$40+M30)</f>
        <v>0.45960466556256219</v>
      </c>
      <c r="AL30" s="175">
        <f t="shared" si="3"/>
        <v>0.10564850173632039</v>
      </c>
      <c r="AM30" s="175">
        <f>AL30*'Soil samples'!AK30/100</f>
        <v>0.11511258453679934</v>
      </c>
      <c r="AN30" s="174">
        <f t="shared" si="23"/>
        <v>115.11258453679935</v>
      </c>
      <c r="AO30" s="175">
        <f t="shared" si="24"/>
        <v>0.10564850173632039</v>
      </c>
      <c r="AP30" s="175">
        <f>AO30*'Soil samples'!AR30/100</f>
        <v>0.11511258453679934</v>
      </c>
      <c r="AQ30" s="174">
        <f t="shared" si="25"/>
        <v>115.11258453679935</v>
      </c>
      <c r="AR30">
        <f t="shared" si="4"/>
        <v>0.24044648099999999</v>
      </c>
      <c r="AS30">
        <f t="shared" si="26"/>
        <v>2.4044648099999998E-4</v>
      </c>
      <c r="AT30">
        <f>AS30*('Wet ref'!$B$40+M30)</f>
        <v>6.1673755781518798E-3</v>
      </c>
      <c r="AU30" s="175">
        <f t="shared" si="5"/>
        <v>1.4176835839544483E-3</v>
      </c>
      <c r="AV30" s="175">
        <f>AU30*'Soil samples'!AK30/100</f>
        <v>1.5446808873039201E-3</v>
      </c>
      <c r="AW30" s="174">
        <f t="shared" si="27"/>
        <v>1.5446808873039202</v>
      </c>
      <c r="AX30" s="175">
        <f t="shared" si="28"/>
        <v>1.4176835839544483E-3</v>
      </c>
      <c r="AY30" s="175">
        <f>AX30*'Soil samples'!AR30/100</f>
        <v>1.5446808873039201E-3</v>
      </c>
      <c r="AZ30" s="174">
        <f t="shared" si="29"/>
        <v>1.5446808873039202</v>
      </c>
      <c r="BA30">
        <f t="shared" si="6"/>
        <v>231.79208623099998</v>
      </c>
      <c r="BB30">
        <f t="shared" si="30"/>
        <v>0.23179208623099998</v>
      </c>
      <c r="BC30">
        <f>BB30*('Wet ref'!$B$40+M30)</f>
        <v>5.9453931115338046</v>
      </c>
      <c r="BD30" s="175">
        <f t="shared" si="7"/>
        <v>1.3666568717229119</v>
      </c>
      <c r="BE30" s="175">
        <f>BD30*'Soil samples'!AK30/100</f>
        <v>1.489083158714757</v>
      </c>
      <c r="BF30" s="174">
        <f t="shared" si="33"/>
        <v>1.489083158714757</v>
      </c>
      <c r="BG30" s="175">
        <f t="shared" si="31"/>
        <v>1.3666568717229119</v>
      </c>
      <c r="BH30" s="175">
        <f>BG30*'Soil samples'!AR30/100</f>
        <v>1.489083158714757</v>
      </c>
      <c r="BI30" s="174">
        <f t="shared" si="34"/>
        <v>1.489083158714757</v>
      </c>
      <c r="BL30" s="6" t="s">
        <v>163</v>
      </c>
      <c r="BM30" s="52">
        <v>10</v>
      </c>
      <c r="BN30" s="52">
        <f>COUNT(R168,R172,R180,R184,R188)</f>
        <v>5</v>
      </c>
      <c r="BO30" s="31">
        <f>AVERAGE(O168,O172,O180,O184,O188)</f>
        <v>242.61030947199998</v>
      </c>
      <c r="BP30" s="31">
        <f>AVERAGE(Y$152,Y$156,Y$164,Y$168,Y$172)</f>
        <v>649.00377750000007</v>
      </c>
    </row>
    <row r="31" spans="1:68">
      <c r="A31" t="s">
        <v>34</v>
      </c>
      <c r="B31" t="s">
        <v>9</v>
      </c>
      <c r="C31" t="s">
        <v>13</v>
      </c>
      <c r="D31" s="8">
        <v>4</v>
      </c>
      <c r="E31">
        <v>5</v>
      </c>
      <c r="F31" s="26">
        <v>42746</v>
      </c>
      <c r="G31" s="3"/>
      <c r="H31">
        <f>'Wet ref'!B78</f>
        <v>186.373088</v>
      </c>
      <c r="I31">
        <f>'Wet ref'!C78</f>
        <v>337.29694819999997</v>
      </c>
      <c r="J31">
        <f>'Wet ref'!D78</f>
        <v>60.560007820000003</v>
      </c>
      <c r="K31">
        <f>'Wet ref'!E78</f>
        <v>2.482943975</v>
      </c>
      <c r="L31" s="3">
        <f t="shared" si="10"/>
        <v>1959.2739388000005</v>
      </c>
      <c r="M31" s="31">
        <f>'Wet ref'!$B$41*'Soil samples'!AI31%</f>
        <v>1.5668303716987282</v>
      </c>
      <c r="N31" s="105">
        <f>'Wet ref'!$B$41*'Soil samples'!AH31%</f>
        <v>3.4331696283012718</v>
      </c>
      <c r="O31">
        <f t="shared" si="11"/>
        <v>186.373088</v>
      </c>
      <c r="P31">
        <f t="shared" si="12"/>
        <v>0.18637308799999999</v>
      </c>
      <c r="Q31">
        <f>P31*('Wet ref'!$B$40+M31)</f>
        <v>4.9513422147456794</v>
      </c>
      <c r="R31" s="141">
        <f t="shared" si="32"/>
        <v>1.4422072751457951</v>
      </c>
      <c r="S31" s="141">
        <f>R31*'Soil samples'!AK31/100</f>
        <v>1.0668161935891036</v>
      </c>
      <c r="T31" s="149">
        <f t="shared" si="13"/>
        <v>1.0668161935891036</v>
      </c>
      <c r="U31" s="141">
        <f t="shared" si="14"/>
        <v>186.373088</v>
      </c>
      <c r="V31" s="141">
        <f t="shared" si="15"/>
        <v>1.4422072751457951</v>
      </c>
      <c r="W31" s="141">
        <f>V31*'Soil samples'!AR31/100</f>
        <v>1.0668161935891036</v>
      </c>
      <c r="X31" s="149">
        <f t="shared" si="16"/>
        <v>1.0668161935891036</v>
      </c>
      <c r="Y31">
        <f t="shared" si="0"/>
        <v>337.29694819999997</v>
      </c>
      <c r="Z31">
        <f t="shared" si="17"/>
        <v>0.3372969482</v>
      </c>
      <c r="AA31">
        <f>Z31*('Wet ref'!$B$40+M31)</f>
        <v>8.9609108077210529</v>
      </c>
      <c r="AB31" s="175">
        <f t="shared" si="1"/>
        <v>2.610098473973423</v>
      </c>
      <c r="AC31" s="175">
        <f>AB31*'Soil samples'!AK31/100</f>
        <v>1.9307178426315774</v>
      </c>
      <c r="AD31" s="174">
        <f t="shared" si="18"/>
        <v>1.9307178426315776</v>
      </c>
      <c r="AE31" s="175">
        <f t="shared" si="19"/>
        <v>337.29694819999997</v>
      </c>
      <c r="AF31" s="175">
        <f t="shared" si="20"/>
        <v>2.610098473973423</v>
      </c>
      <c r="AG31" s="175">
        <f>AF31*'Soil samples'!AR31/100</f>
        <v>1.9307178426315774</v>
      </c>
      <c r="AH31" s="174">
        <f t="shared" si="21"/>
        <v>1.9307178426315776</v>
      </c>
      <c r="AI31">
        <f t="shared" si="2"/>
        <v>60.560007820000003</v>
      </c>
      <c r="AJ31">
        <f t="shared" si="22"/>
        <v>6.0560007820000004E-2</v>
      </c>
      <c r="AK31">
        <f>AJ31*('Wet ref'!$B$40+M31)</f>
        <v>1.6088874550626886</v>
      </c>
      <c r="AL31" s="175">
        <f t="shared" si="3"/>
        <v>0.4686303414197347</v>
      </c>
      <c r="AM31" s="175">
        <f>AL31*'Soil samples'!AK31/100</f>
        <v>0.34665089106780678</v>
      </c>
      <c r="AN31" s="174">
        <f t="shared" si="23"/>
        <v>346.65089106780675</v>
      </c>
      <c r="AO31" s="175">
        <f t="shared" si="24"/>
        <v>0.4686303414197347</v>
      </c>
      <c r="AP31" s="175">
        <f>AO31*'Soil samples'!AR31/100</f>
        <v>0.34665089106780678</v>
      </c>
      <c r="AQ31" s="174">
        <f t="shared" si="25"/>
        <v>346.65089106780675</v>
      </c>
      <c r="AR31">
        <f t="shared" si="4"/>
        <v>2.482943975</v>
      </c>
      <c r="AS31">
        <f t="shared" si="26"/>
        <v>2.482943975E-3</v>
      </c>
      <c r="AT31">
        <f>AS31*('Wet ref'!$B$40+M31)</f>
        <v>6.5963951406256369E-2</v>
      </c>
      <c r="AU31" s="175">
        <f t="shared" si="5"/>
        <v>1.9213717511212883E-2</v>
      </c>
      <c r="AV31" s="175">
        <f>AU31*'Soil samples'!AK31/100</f>
        <v>1.4212592969991993E-2</v>
      </c>
      <c r="AW31" s="174">
        <f t="shared" si="27"/>
        <v>14.212592969991992</v>
      </c>
      <c r="AX31" s="175">
        <f t="shared" si="28"/>
        <v>1.9213717511212883E-2</v>
      </c>
      <c r="AY31" s="175">
        <f>AX31*'Soil samples'!AR31/100</f>
        <v>1.4212592969991993E-2</v>
      </c>
      <c r="AZ31" s="174">
        <f t="shared" si="29"/>
        <v>14.212592969991992</v>
      </c>
      <c r="BA31">
        <f t="shared" si="6"/>
        <v>1959.2739388000005</v>
      </c>
      <c r="BB31">
        <f t="shared" si="30"/>
        <v>1.9592739388000004</v>
      </c>
      <c r="BC31">
        <f>BB31*('Wet ref'!$B$40+M31)</f>
        <v>52.051698383789649</v>
      </c>
      <c r="BD31" s="175">
        <f t="shared" si="7"/>
        <v>15.161411762093667</v>
      </c>
      <c r="BE31" s="175">
        <f>BD31*'Soil samples'!AK31/100</f>
        <v>11.215058933771314</v>
      </c>
      <c r="BF31" s="174">
        <f t="shared" si="33"/>
        <v>11.215058933771314</v>
      </c>
      <c r="BG31" s="175">
        <f t="shared" si="31"/>
        <v>15.161411762093667</v>
      </c>
      <c r="BH31" s="175">
        <f>BG31*'Soil samples'!AR31/100</f>
        <v>11.215058933771314</v>
      </c>
      <c r="BI31" s="174">
        <f t="shared" si="34"/>
        <v>11.215058933771314</v>
      </c>
      <c r="BL31" s="6" t="s">
        <v>170</v>
      </c>
      <c r="BM31" s="52">
        <v>5</v>
      </c>
      <c r="BN31" s="52">
        <f>COUNT(R64)</f>
        <v>1</v>
      </c>
      <c r="BO31" s="31">
        <f>AVERAGE(O$163)</f>
        <v>192.97403159999999</v>
      </c>
      <c r="BP31" s="31">
        <f>AVERAGE(Y$163)</f>
        <v>1196.8114399999999</v>
      </c>
    </row>
    <row r="32" spans="1:68">
      <c r="A32" t="s">
        <v>35</v>
      </c>
      <c r="B32" t="s">
        <v>9</v>
      </c>
      <c r="C32" t="s">
        <v>13</v>
      </c>
      <c r="D32" s="8">
        <v>4</v>
      </c>
      <c r="E32">
        <v>20</v>
      </c>
      <c r="F32" s="26">
        <v>42746</v>
      </c>
      <c r="G32" s="3"/>
      <c r="H32">
        <f>'Wet ref'!B79</f>
        <v>124.5514173</v>
      </c>
      <c r="I32">
        <f>'Wet ref'!C79</f>
        <v>127.855915</v>
      </c>
      <c r="J32">
        <f>'Wet ref'!D79</f>
        <v>29.603420379999999</v>
      </c>
      <c r="K32">
        <f>'Wet ref'!E79</f>
        <v>0.599766994</v>
      </c>
      <c r="L32" s="3">
        <f t="shared" si="10"/>
        <v>347.35966169999995</v>
      </c>
      <c r="M32" s="31">
        <f>'Wet ref'!$B$41*'Soil samples'!AI32%</f>
        <v>1.4021484745619768</v>
      </c>
      <c r="N32" s="105">
        <f>'Wet ref'!$B$41*'Soil samples'!AH32%</f>
        <v>3.5978515254380232</v>
      </c>
      <c r="O32">
        <f t="shared" si="11"/>
        <v>124.5514173</v>
      </c>
      <c r="P32">
        <f t="shared" si="12"/>
        <v>0.12455141729999999</v>
      </c>
      <c r="Q32">
        <f>P32*('Wet ref'!$B$40+M32)</f>
        <v>3.2884250122717269</v>
      </c>
      <c r="R32" s="141">
        <f t="shared" si="32"/>
        <v>0.91399686424563475</v>
      </c>
      <c r="S32" s="141">
        <f>R32*'Soil samples'!AK32/100</f>
        <v>0.63604716587359733</v>
      </c>
      <c r="T32" s="149">
        <f t="shared" si="13"/>
        <v>0.63604716587359733</v>
      </c>
      <c r="U32" s="141">
        <f t="shared" si="14"/>
        <v>124.5514173</v>
      </c>
      <c r="V32" s="141">
        <f t="shared" si="15"/>
        <v>0.91399686424563475</v>
      </c>
      <c r="W32" s="141">
        <f>V32*'Soil samples'!AR32/100</f>
        <v>0.63604716587359733</v>
      </c>
      <c r="X32" s="149">
        <f t="shared" si="16"/>
        <v>0.63604716587359733</v>
      </c>
      <c r="Y32">
        <f t="shared" si="0"/>
        <v>127.855915</v>
      </c>
      <c r="Z32">
        <f t="shared" si="17"/>
        <v>0.12785591499999999</v>
      </c>
      <c r="AA32">
        <f>Z32*('Wet ref'!$B$40+M32)</f>
        <v>3.3756708511809754</v>
      </c>
      <c r="AB32" s="175">
        <f t="shared" si="1"/>
        <v>0.93824629151977079</v>
      </c>
      <c r="AC32" s="175">
        <f>AB32*'Soil samples'!AK32/100</f>
        <v>0.6529222560354242</v>
      </c>
      <c r="AD32" s="174">
        <f t="shared" si="18"/>
        <v>0.6529222560354242</v>
      </c>
      <c r="AE32" s="175">
        <f t="shared" si="19"/>
        <v>127.855915</v>
      </c>
      <c r="AF32" s="175">
        <f t="shared" si="20"/>
        <v>0.93824629151977079</v>
      </c>
      <c r="AG32" s="175">
        <f>AF32*'Soil samples'!AR32/100</f>
        <v>0.6529222560354242</v>
      </c>
      <c r="AH32" s="174">
        <f t="shared" si="21"/>
        <v>0.6529222560354242</v>
      </c>
      <c r="AI32">
        <f t="shared" si="2"/>
        <v>29.603420379999999</v>
      </c>
      <c r="AJ32">
        <f t="shared" si="22"/>
        <v>2.9603420379999999E-2</v>
      </c>
      <c r="AK32">
        <f>AJ32*('Wet ref'!$B$40+M32)</f>
        <v>0.78159390022763386</v>
      </c>
      <c r="AL32" s="175">
        <f t="shared" si="3"/>
        <v>0.21723906467554358</v>
      </c>
      <c r="AM32" s="175">
        <f>AL32*'Soil samples'!AK32/100</f>
        <v>0.15117589218202893</v>
      </c>
      <c r="AN32" s="174">
        <f t="shared" si="23"/>
        <v>151.17589218202892</v>
      </c>
      <c r="AO32" s="175">
        <f t="shared" si="24"/>
        <v>0.21723906467554358</v>
      </c>
      <c r="AP32" s="175">
        <f>AO32*'Soil samples'!AR32/100</f>
        <v>0.15117589218202893</v>
      </c>
      <c r="AQ32" s="174">
        <f t="shared" si="25"/>
        <v>151.17589218202892</v>
      </c>
      <c r="AR32">
        <f t="shared" si="4"/>
        <v>0.599766994</v>
      </c>
      <c r="AS32">
        <f t="shared" si="26"/>
        <v>5.9976699399999999E-4</v>
      </c>
      <c r="AT32">
        <f>AS32*('Wet ref'!$B$40+M32)</f>
        <v>1.5835137225729722E-2</v>
      </c>
      <c r="AU32" s="175">
        <f t="shared" si="5"/>
        <v>4.4012759041805825E-3</v>
      </c>
      <c r="AV32" s="175">
        <f>AU32*'Soil samples'!AK32/100</f>
        <v>3.0628322422006425E-3</v>
      </c>
      <c r="AW32" s="174">
        <f t="shared" si="27"/>
        <v>3.0628322422006424</v>
      </c>
      <c r="AX32" s="175">
        <f t="shared" si="28"/>
        <v>4.4012759041805825E-3</v>
      </c>
      <c r="AY32" s="175">
        <f>AX32*'Soil samples'!AR32/100</f>
        <v>3.0628322422006425E-3</v>
      </c>
      <c r="AZ32" s="174">
        <f t="shared" si="29"/>
        <v>3.0628322422006424</v>
      </c>
      <c r="BA32">
        <f t="shared" si="6"/>
        <v>347.35966169999995</v>
      </c>
      <c r="BB32">
        <f t="shared" si="30"/>
        <v>0.34735966169999993</v>
      </c>
      <c r="BC32">
        <f>BB32*('Wet ref'!$B$40+M32)</f>
        <v>9.1710413622770179</v>
      </c>
      <c r="BD32" s="175">
        <f t="shared" si="7"/>
        <v>2.549032748415176</v>
      </c>
      <c r="BE32" s="175">
        <f>BD32*'Soil samples'!AK32/100</f>
        <v>1.7738628202916207</v>
      </c>
      <c r="BF32" s="174">
        <f t="shared" si="33"/>
        <v>1.7738628202916207</v>
      </c>
      <c r="BG32" s="175">
        <f t="shared" si="31"/>
        <v>2.549032748415176</v>
      </c>
      <c r="BH32" s="175">
        <f>BG32*'Soil samples'!AR32/100</f>
        <v>1.7738628202916207</v>
      </c>
      <c r="BI32" s="174">
        <f t="shared" si="34"/>
        <v>1.7738628202916207</v>
      </c>
      <c r="BL32" s="6" t="s">
        <v>174</v>
      </c>
      <c r="BM32" s="52">
        <v>5</v>
      </c>
      <c r="BN32" s="52">
        <f>COUNT(R64)</f>
        <v>1</v>
      </c>
      <c r="BO32" s="31">
        <f>AVERAGE(O$163)</f>
        <v>192.97403159999999</v>
      </c>
      <c r="BP32" s="31">
        <f>AVERAGE(Y$163)</f>
        <v>1196.8114399999999</v>
      </c>
    </row>
    <row r="33" spans="1:64">
      <c r="A33" t="s">
        <v>36</v>
      </c>
      <c r="B33" t="s">
        <v>9</v>
      </c>
      <c r="C33" t="s">
        <v>13</v>
      </c>
      <c r="D33" s="8">
        <v>4</v>
      </c>
      <c r="E33">
        <v>30</v>
      </c>
      <c r="F33" s="26">
        <v>42746</v>
      </c>
      <c r="G33" s="3"/>
      <c r="H33">
        <f>'Wet ref'!B80</f>
        <v>29.799995790000001</v>
      </c>
      <c r="I33">
        <f>'Wet ref'!C80</f>
        <v>43.05669915</v>
      </c>
      <c r="J33">
        <f>'Wet ref'!D80</f>
        <v>22.159980019999999</v>
      </c>
      <c r="K33">
        <f>'Wet ref'!E80</f>
        <v>0.84486187499999998</v>
      </c>
      <c r="L33" s="3">
        <f t="shared" si="10"/>
        <v>772.00518005999993</v>
      </c>
      <c r="M33" s="31">
        <f>'Wet ref'!$B$41*'Soil samples'!AI33%</f>
        <v>1.0433778234086248</v>
      </c>
      <c r="N33" s="105">
        <f>'Wet ref'!$B$41*'Soil samples'!AH33%</f>
        <v>3.9566221765913752</v>
      </c>
      <c r="O33">
        <f t="shared" si="11"/>
        <v>29.799995790000001</v>
      </c>
      <c r="P33">
        <f t="shared" si="12"/>
        <v>2.9799995790000002E-2</v>
      </c>
      <c r="Q33">
        <f>P33*('Wet ref'!$B$40+M33)</f>
        <v>0.77609254949495643</v>
      </c>
      <c r="R33" s="141">
        <f t="shared" si="32"/>
        <v>0.19615028043025304</v>
      </c>
      <c r="S33" s="141">
        <f>R33*'Soil samples'!AK33/100</f>
        <v>0.16482653566173883</v>
      </c>
      <c r="T33" s="149">
        <f t="shared" si="13"/>
        <v>0.16482653566173883</v>
      </c>
      <c r="U33" s="141">
        <f t="shared" si="14"/>
        <v>29.799995790000001</v>
      </c>
      <c r="V33" s="141">
        <f t="shared" si="15"/>
        <v>0.19615028043025304</v>
      </c>
      <c r="W33" s="141">
        <f>V33*'Soil samples'!AR33/100</f>
        <v>0.16482653566173883</v>
      </c>
      <c r="X33" s="149">
        <f t="shared" si="16"/>
        <v>0.16482653566173883</v>
      </c>
      <c r="Y33">
        <f t="shared" si="0"/>
        <v>43.05669915</v>
      </c>
      <c r="Z33">
        <f t="shared" si="17"/>
        <v>4.3056699150000002E-2</v>
      </c>
      <c r="AA33">
        <f>Z33*('Wet ref'!$B$40+M33)</f>
        <v>1.1213418837922871</v>
      </c>
      <c r="AB33" s="175">
        <f t="shared" si="1"/>
        <v>0.28340888610150833</v>
      </c>
      <c r="AC33" s="175">
        <f>AB33*'Soil samples'!AK33/100</f>
        <v>0.2381505892798059</v>
      </c>
      <c r="AD33" s="174">
        <f t="shared" si="18"/>
        <v>0.2381505892798059</v>
      </c>
      <c r="AE33" s="175">
        <f t="shared" si="19"/>
        <v>43.05669915</v>
      </c>
      <c r="AF33" s="175">
        <f t="shared" si="20"/>
        <v>0.28340888610150833</v>
      </c>
      <c r="AG33" s="175">
        <f>AF33*'Soil samples'!AR33/100</f>
        <v>0.2381505892798059</v>
      </c>
      <c r="AH33" s="174">
        <f t="shared" si="21"/>
        <v>0.2381505892798059</v>
      </c>
      <c r="AI33">
        <f t="shared" si="2"/>
        <v>22.159980019999999</v>
      </c>
      <c r="AJ33">
        <f t="shared" si="22"/>
        <v>2.2159980019999997E-2</v>
      </c>
      <c r="AK33">
        <f>AJ33*('Wet ref'!$B$40+M33)</f>
        <v>0.57712073222004623</v>
      </c>
      <c r="AL33" s="175">
        <f t="shared" si="3"/>
        <v>0.14586197682317875</v>
      </c>
      <c r="AM33" s="175">
        <f>AL33*'Soil samples'!AK33/100</f>
        <v>0.1225689011088934</v>
      </c>
      <c r="AN33" s="174">
        <f t="shared" si="23"/>
        <v>122.5689011088934</v>
      </c>
      <c r="AO33" s="175">
        <f t="shared" si="24"/>
        <v>0.14586197682317875</v>
      </c>
      <c r="AP33" s="175">
        <f>AO33*'Soil samples'!AR33/100</f>
        <v>0.1225689011088934</v>
      </c>
      <c r="AQ33" s="174">
        <f t="shared" si="25"/>
        <v>122.5689011088934</v>
      </c>
      <c r="AR33">
        <f t="shared" si="4"/>
        <v>0.84486187499999998</v>
      </c>
      <c r="AS33">
        <f t="shared" si="26"/>
        <v>8.44861875E-4</v>
      </c>
      <c r="AT33">
        <f>AS33*('Wet ref'!$B$40+M33)</f>
        <v>2.2003057019218432E-2</v>
      </c>
      <c r="AU33" s="175">
        <f t="shared" si="5"/>
        <v>5.5610710442345135E-3</v>
      </c>
      <c r="AV33" s="175">
        <f>AU33*'Soil samples'!AK33/100</f>
        <v>4.6730092497416107E-3</v>
      </c>
      <c r="AW33" s="174">
        <f t="shared" si="27"/>
        <v>4.67300924974161</v>
      </c>
      <c r="AX33" s="175">
        <f t="shared" si="28"/>
        <v>5.5610710442345135E-3</v>
      </c>
      <c r="AY33" s="175">
        <f>AX33*'Soil samples'!AR33/100</f>
        <v>4.6730092497416107E-3</v>
      </c>
      <c r="AZ33" s="174">
        <f t="shared" si="29"/>
        <v>4.67300924974161</v>
      </c>
      <c r="BA33">
        <f t="shared" si="6"/>
        <v>772.00518005999993</v>
      </c>
      <c r="BB33">
        <f t="shared" si="30"/>
        <v>0.77200518005999996</v>
      </c>
      <c r="BC33">
        <f>BB33*('Wet ref'!$B$40+M33)</f>
        <v>20.105622585931187</v>
      </c>
      <c r="BD33" s="175">
        <f t="shared" si="7"/>
        <v>5.0815118777027513</v>
      </c>
      <c r="BE33" s="175">
        <f>BD33*'Soil samples'!AK33/100</f>
        <v>4.270032124800065</v>
      </c>
      <c r="BF33" s="174">
        <f t="shared" si="33"/>
        <v>4.270032124800065</v>
      </c>
      <c r="BG33" s="175">
        <f t="shared" si="31"/>
        <v>5.0815118777027513</v>
      </c>
      <c r="BH33" s="175">
        <f>BG33*'Soil samples'!AR33/100</f>
        <v>4.270032124800065</v>
      </c>
      <c r="BI33" s="174">
        <f t="shared" si="34"/>
        <v>4.270032124800065</v>
      </c>
      <c r="BL33" s="31"/>
    </row>
    <row r="34" spans="1:64">
      <c r="A34" t="s">
        <v>37</v>
      </c>
      <c r="B34" t="s">
        <v>9</v>
      </c>
      <c r="C34" t="s">
        <v>13</v>
      </c>
      <c r="D34" s="8">
        <v>5</v>
      </c>
      <c r="E34">
        <v>5</v>
      </c>
      <c r="F34" s="26">
        <v>42798</v>
      </c>
      <c r="G34" s="3"/>
      <c r="H34">
        <f>'Wet ref'!B81</f>
        <v>29.338314579999999</v>
      </c>
      <c r="I34">
        <f>'Wet ref'!C81</f>
        <v>511.26275870000001</v>
      </c>
      <c r="J34">
        <f>'Wet ref'!D81</f>
        <v>53.809536229999999</v>
      </c>
      <c r="K34">
        <f>'Wet ref'!E81</f>
        <v>3.5385716980000002</v>
      </c>
      <c r="L34" s="3">
        <f t="shared" si="10"/>
        <v>2997.9706247200002</v>
      </c>
      <c r="M34" s="31">
        <f>'Wet ref'!$B$41*'Soil samples'!AI34%</f>
        <v>1.039951242568224</v>
      </c>
      <c r="N34" s="105">
        <f>'Wet ref'!$B$41*'Soil samples'!AH34%</f>
        <v>3.960048757431776</v>
      </c>
      <c r="O34">
        <f t="shared" si="11"/>
        <v>29.338314579999999</v>
      </c>
      <c r="P34">
        <f t="shared" si="12"/>
        <v>2.933831458E-2</v>
      </c>
      <c r="Q34">
        <f>P34*('Wet ref'!$B$40+M34)</f>
        <v>0.76396828120232851</v>
      </c>
      <c r="R34" s="141">
        <f t="shared" si="32"/>
        <v>0.19291890782117224</v>
      </c>
      <c r="S34" s="141">
        <f>R34*'Soil samples'!AK34/100</f>
        <v>0.1244504330078593</v>
      </c>
      <c r="T34" s="149">
        <f t="shared" si="13"/>
        <v>0.1244504330078593</v>
      </c>
      <c r="U34" s="141">
        <f t="shared" si="14"/>
        <v>29.338314579999999</v>
      </c>
      <c r="V34" s="141">
        <f t="shared" si="15"/>
        <v>0.19291890782117224</v>
      </c>
      <c r="W34" s="141">
        <f>V34*'Soil samples'!AR34/100</f>
        <v>0.1244504330078593</v>
      </c>
      <c r="X34" s="149">
        <f t="shared" si="16"/>
        <v>0.1244504330078593</v>
      </c>
      <c r="Y34">
        <f t="shared" si="0"/>
        <v>511.26275870000001</v>
      </c>
      <c r="Z34">
        <f t="shared" si="17"/>
        <v>0.51126275870000004</v>
      </c>
      <c r="AA34">
        <f>Z34*('Wet ref'!$B$40+M34)</f>
        <v>13.313257308688925</v>
      </c>
      <c r="AB34" s="175">
        <f t="shared" si="1"/>
        <v>3.361892270569673</v>
      </c>
      <c r="AC34" s="175">
        <f>AB34*'Soil samples'!AK34/100</f>
        <v>2.1687296155854257</v>
      </c>
      <c r="AD34" s="174">
        <f t="shared" si="18"/>
        <v>2.1687296155854257</v>
      </c>
      <c r="AE34" s="175">
        <f t="shared" si="19"/>
        <v>511.26275870000001</v>
      </c>
      <c r="AF34" s="175">
        <f t="shared" si="20"/>
        <v>3.361892270569673</v>
      </c>
      <c r="AG34" s="175">
        <f>AF34*'Soil samples'!AR34/100</f>
        <v>2.1687296155854257</v>
      </c>
      <c r="AH34" s="174">
        <f t="shared" si="21"/>
        <v>2.1687296155854257</v>
      </c>
      <c r="AI34">
        <f t="shared" si="2"/>
        <v>53.809536229999999</v>
      </c>
      <c r="AJ34">
        <f t="shared" si="22"/>
        <v>5.3809536229999996E-2</v>
      </c>
      <c r="AK34">
        <f>AJ34*('Wet ref'!$B$40+M34)</f>
        <v>1.4011976998144084</v>
      </c>
      <c r="AL34" s="175">
        <f t="shared" si="3"/>
        <v>0.35383344641522341</v>
      </c>
      <c r="AM34" s="175">
        <f>AL34*'Soil samples'!AK34/100</f>
        <v>0.22825510529976711</v>
      </c>
      <c r="AN34" s="174">
        <f t="shared" si="23"/>
        <v>228.25510529976711</v>
      </c>
      <c r="AO34" s="175">
        <f t="shared" si="24"/>
        <v>0.35383344641522341</v>
      </c>
      <c r="AP34" s="175">
        <f>AO34*'Soil samples'!AR34/100</f>
        <v>0.22825510529976711</v>
      </c>
      <c r="AQ34" s="174">
        <f t="shared" si="25"/>
        <v>228.25510529976711</v>
      </c>
      <c r="AR34">
        <f t="shared" si="4"/>
        <v>3.5385716980000002</v>
      </c>
      <c r="AS34">
        <f t="shared" si="26"/>
        <v>3.5385716980000002E-3</v>
      </c>
      <c r="AT34">
        <f>AS34*('Wet ref'!$B$40+M34)</f>
        <v>9.2144234484251852E-2</v>
      </c>
      <c r="AU34" s="175">
        <f t="shared" si="5"/>
        <v>2.3268459589373961E-2</v>
      </c>
      <c r="AV34" s="175">
        <f>AU34*'Soil samples'!AK34/100</f>
        <v>1.5010295797484625E-2</v>
      </c>
      <c r="AW34" s="174">
        <f t="shared" si="27"/>
        <v>15.010295797484625</v>
      </c>
      <c r="AX34" s="175">
        <f t="shared" si="28"/>
        <v>2.3268459589373961E-2</v>
      </c>
      <c r="AY34" s="175">
        <f>AX34*'Soil samples'!AR34/100</f>
        <v>1.5010295797484625E-2</v>
      </c>
      <c r="AZ34" s="174">
        <f t="shared" si="29"/>
        <v>15.010295797484625</v>
      </c>
      <c r="BA34">
        <f t="shared" si="6"/>
        <v>2997.9706247200002</v>
      </c>
      <c r="BB34">
        <f t="shared" si="30"/>
        <v>2.9979706247200002</v>
      </c>
      <c r="BC34">
        <f>BB34*('Wet ref'!$B$40+M34)</f>
        <v>78.067008894360612</v>
      </c>
      <c r="BD34" s="175">
        <f t="shared" si="7"/>
        <v>19.713648410983122</v>
      </c>
      <c r="BE34" s="175">
        <f>BD34*'Soil samples'!AK34/100</f>
        <v>12.717115748891345</v>
      </c>
      <c r="BF34" s="174">
        <f t="shared" si="33"/>
        <v>12.717115748891345</v>
      </c>
      <c r="BG34" s="175">
        <f t="shared" si="31"/>
        <v>19.713648410983122</v>
      </c>
      <c r="BH34" s="175">
        <f>BG34*'Soil samples'!AR34/100</f>
        <v>12.717115748891345</v>
      </c>
      <c r="BI34" s="174">
        <f t="shared" si="34"/>
        <v>12.717115748891345</v>
      </c>
      <c r="BL34" s="31"/>
    </row>
    <row r="35" spans="1:64">
      <c r="A35" t="s">
        <v>38</v>
      </c>
      <c r="B35" t="s">
        <v>9</v>
      </c>
      <c r="C35" t="s">
        <v>13</v>
      </c>
      <c r="D35" s="8">
        <v>5</v>
      </c>
      <c r="E35">
        <v>20</v>
      </c>
      <c r="F35" s="26">
        <v>42798</v>
      </c>
      <c r="G35" s="3"/>
      <c r="H35">
        <f>'Wet ref'!B82</f>
        <v>22.527388819999999</v>
      </c>
      <c r="I35">
        <f>'Wet ref'!C82</f>
        <v>306.7339455</v>
      </c>
      <c r="J35">
        <f>'Wet ref'!D82</f>
        <v>56.748679610000003</v>
      </c>
      <c r="K35">
        <f>'Wet ref'!E82</f>
        <v>4.2016656880000003</v>
      </c>
      <c r="L35" s="3">
        <f t="shared" si="10"/>
        <v>3872.40435368</v>
      </c>
      <c r="M35" s="31">
        <f>'Wet ref'!$B$41*'Soil samples'!AI35%</f>
        <v>1.146940515197528</v>
      </c>
      <c r="N35" s="105">
        <f>'Wet ref'!$B$41*'Soil samples'!AH35%</f>
        <v>3.853059484802472</v>
      </c>
      <c r="O35">
        <f t="shared" si="11"/>
        <v>22.527388819999999</v>
      </c>
      <c r="P35">
        <f t="shared" si="12"/>
        <v>2.2527388819999997E-2</v>
      </c>
      <c r="Q35">
        <f>P35*('Wet ref'!$B$40+M35)</f>
        <v>0.58902229543926576</v>
      </c>
      <c r="R35" s="141">
        <f t="shared" si="32"/>
        <v>0.15287132154656111</v>
      </c>
      <c r="S35" s="141">
        <f>R35*'Soil samples'!AK35/100</f>
        <v>9.4679443768907579E-2</v>
      </c>
      <c r="T35" s="149">
        <f t="shared" si="13"/>
        <v>9.4679443768907579E-2</v>
      </c>
      <c r="U35" s="141">
        <f t="shared" si="14"/>
        <v>22.527388819999999</v>
      </c>
      <c r="V35" s="141">
        <f t="shared" si="15"/>
        <v>0.15287132154656111</v>
      </c>
      <c r="W35" s="141">
        <f>V35*'Soil samples'!AR35/100</f>
        <v>9.4679443768907579E-2</v>
      </c>
      <c r="X35" s="149">
        <f t="shared" si="16"/>
        <v>9.4679443768907592E-2</v>
      </c>
      <c r="Y35">
        <f t="shared" si="0"/>
        <v>306.7339455</v>
      </c>
      <c r="Z35">
        <f t="shared" si="17"/>
        <v>0.30673394549999999</v>
      </c>
      <c r="AA35">
        <f>Z35*('Wet ref'!$B$40+M35)</f>
        <v>8.0201542269803401</v>
      </c>
      <c r="AB35" s="175">
        <f t="shared" si="1"/>
        <v>2.081502831351044</v>
      </c>
      <c r="AC35" s="175">
        <f>AB35*'Soil samples'!AK35/100</f>
        <v>1.2891595904448201</v>
      </c>
      <c r="AD35" s="174">
        <f t="shared" si="18"/>
        <v>1.2891595904448201</v>
      </c>
      <c r="AE35" s="175">
        <f t="shared" si="19"/>
        <v>306.7339455</v>
      </c>
      <c r="AF35" s="175">
        <f t="shared" si="20"/>
        <v>2.081502831351044</v>
      </c>
      <c r="AG35" s="175">
        <f>AF35*'Soil samples'!AR35/100</f>
        <v>1.2891595904448201</v>
      </c>
      <c r="AH35" s="174">
        <f t="shared" si="21"/>
        <v>1.2891595904448201</v>
      </c>
      <c r="AI35">
        <f t="shared" si="2"/>
        <v>56.748679610000003</v>
      </c>
      <c r="AJ35">
        <f t="shared" si="22"/>
        <v>5.6748679610000005E-2</v>
      </c>
      <c r="AK35">
        <f>AJ35*('Wet ref'!$B$40+M35)</f>
        <v>1.4838043500786731</v>
      </c>
      <c r="AL35" s="175">
        <f t="shared" si="3"/>
        <v>0.38509770117258924</v>
      </c>
      <c r="AM35" s="175">
        <f>AL35*'Soil samples'!AK35/100</f>
        <v>0.23850671123164591</v>
      </c>
      <c r="AN35" s="174">
        <f t="shared" si="23"/>
        <v>238.50671123164591</v>
      </c>
      <c r="AO35" s="175">
        <f t="shared" si="24"/>
        <v>0.38509770117258924</v>
      </c>
      <c r="AP35" s="175">
        <f>AO35*'Soil samples'!AR35/100</f>
        <v>0.23850671123164591</v>
      </c>
      <c r="AQ35" s="174">
        <f t="shared" si="25"/>
        <v>238.50671123164591</v>
      </c>
      <c r="AR35">
        <f t="shared" si="4"/>
        <v>4.2016656880000003</v>
      </c>
      <c r="AS35">
        <f t="shared" si="26"/>
        <v>4.2016656880000001E-3</v>
      </c>
      <c r="AT35">
        <f>AS35*('Wet ref'!$B$40+M35)</f>
        <v>0.10986070280888249</v>
      </c>
      <c r="AU35" s="175">
        <f t="shared" si="5"/>
        <v>2.8512589344183076E-2</v>
      </c>
      <c r="AV35" s="175">
        <f>AU35*'Soil samples'!AK35/100</f>
        <v>1.7659009369499774E-2</v>
      </c>
      <c r="AW35" s="174">
        <f t="shared" si="27"/>
        <v>17.659009369499778</v>
      </c>
      <c r="AX35" s="175">
        <f t="shared" si="28"/>
        <v>2.8512589344183076E-2</v>
      </c>
      <c r="AY35" s="175">
        <f>AX35*'Soil samples'!AR35/100</f>
        <v>1.7659009369499774E-2</v>
      </c>
      <c r="AZ35" s="174">
        <f t="shared" si="29"/>
        <v>17.659009369499778</v>
      </c>
      <c r="BA35">
        <f t="shared" si="6"/>
        <v>3872.40435368</v>
      </c>
      <c r="BB35">
        <f t="shared" si="30"/>
        <v>3.8724043536799999</v>
      </c>
      <c r="BC35">
        <f>BB35*('Wet ref'!$B$40+M35)</f>
        <v>101.25152628646289</v>
      </c>
      <c r="BD35" s="175">
        <f t="shared" si="7"/>
        <v>26.278215191285472</v>
      </c>
      <c r="BE35" s="175">
        <f>BD35*'Soil samples'!AK35/100</f>
        <v>16.275170335286049</v>
      </c>
      <c r="BF35" s="174">
        <f t="shared" si="33"/>
        <v>16.275170335286049</v>
      </c>
      <c r="BG35" s="175">
        <f t="shared" si="31"/>
        <v>26.278215191285472</v>
      </c>
      <c r="BH35" s="175">
        <f>BG35*'Soil samples'!AR35/100</f>
        <v>16.275170335286049</v>
      </c>
      <c r="BI35" s="174">
        <f t="shared" si="34"/>
        <v>16.275170335286049</v>
      </c>
      <c r="BL35" s="31"/>
    </row>
    <row r="36" spans="1:64">
      <c r="A36" t="s">
        <v>39</v>
      </c>
      <c r="B36" t="s">
        <v>9</v>
      </c>
      <c r="C36" t="s">
        <v>13</v>
      </c>
      <c r="D36" s="8">
        <v>6</v>
      </c>
      <c r="E36">
        <v>5</v>
      </c>
      <c r="F36" s="26">
        <v>42791</v>
      </c>
      <c r="G36" s="3"/>
      <c r="H36">
        <f>'Wet ref'!B83</f>
        <v>382.39566680000001</v>
      </c>
      <c r="I36">
        <f>'Wet ref'!C83</f>
        <v>318.4465922</v>
      </c>
      <c r="J36">
        <f>'Wet ref'!D83</f>
        <v>54.872884849999998</v>
      </c>
      <c r="K36">
        <f>'Wet ref'!E83</f>
        <v>16.242965040000001</v>
      </c>
      <c r="L36" s="3">
        <f t="shared" si="10"/>
        <v>15542.122781000002</v>
      </c>
      <c r="M36" s="31">
        <f>'Wet ref'!$B$41*'Soil samples'!AI36%</f>
        <v>1.9607225372820836</v>
      </c>
      <c r="N36" s="105">
        <f>'Wet ref'!$B$41*'Soil samples'!AH36%</f>
        <v>3.0392774627179167</v>
      </c>
      <c r="O36">
        <f t="shared" ref="O36:O67" si="35">IF(H36&gt;0,H36,0)</f>
        <v>382.39566680000001</v>
      </c>
      <c r="P36">
        <f t="shared" si="12"/>
        <v>0.38239566680000003</v>
      </c>
      <c r="Q36">
        <f>P36*('Wet ref'!$B$40+M36)</f>
        <v>10.309663472053771</v>
      </c>
      <c r="R36" s="141">
        <f t="shared" si="32"/>
        <v>3.3921429018968898</v>
      </c>
      <c r="S36" s="141">
        <f>R36*'Soil samples'!AK36/100</f>
        <v>0.97921183657566713</v>
      </c>
      <c r="T36" s="149">
        <f t="shared" si="13"/>
        <v>0.97921183657566713</v>
      </c>
      <c r="U36" s="141">
        <f t="shared" si="14"/>
        <v>382.39566680000001</v>
      </c>
      <c r="V36" s="141">
        <f t="shared" si="15"/>
        <v>3.3921429018968898</v>
      </c>
      <c r="W36" s="141">
        <f>V36*'Soil samples'!AR36/100</f>
        <v>0.97921183657566713</v>
      </c>
      <c r="X36" s="149">
        <f t="shared" si="16"/>
        <v>0.97921183657566713</v>
      </c>
      <c r="Y36">
        <f t="shared" ref="Y36:Y67" si="36">IF(I36&gt;0,I36,0)</f>
        <v>318.4465922</v>
      </c>
      <c r="Z36">
        <f t="shared" si="17"/>
        <v>0.31844659219999999</v>
      </c>
      <c r="AA36">
        <f>Z36*('Wet ref'!$B$40+M36)</f>
        <v>8.585550215247217</v>
      </c>
      <c r="AB36" s="175">
        <f t="shared" si="1"/>
        <v>2.8248655545813404</v>
      </c>
      <c r="AC36" s="175">
        <f>AB36*'Soil samples'!AK36/100</f>
        <v>0.81545555944418069</v>
      </c>
      <c r="AD36" s="174">
        <f t="shared" si="18"/>
        <v>0.81545555944418069</v>
      </c>
      <c r="AE36" s="175">
        <f t="shared" si="19"/>
        <v>318.4465922</v>
      </c>
      <c r="AF36" s="175">
        <f t="shared" si="20"/>
        <v>2.8248655545813404</v>
      </c>
      <c r="AG36" s="175">
        <f>AF36*'Soil samples'!AR36/100</f>
        <v>0.81545555944418069</v>
      </c>
      <c r="AH36" s="174">
        <f t="shared" si="21"/>
        <v>0.81545555944418069</v>
      </c>
      <c r="AI36">
        <f t="shared" ref="AI36:AI67" si="37">IF(J36&gt;0,J36,0)</f>
        <v>54.872884849999998</v>
      </c>
      <c r="AJ36">
        <f t="shared" si="22"/>
        <v>5.4872884849999998E-2</v>
      </c>
      <c r="AK36">
        <f>AJ36*('Wet ref'!$B$40+M36)</f>
        <v>1.4794126232610796</v>
      </c>
      <c r="AL36" s="175">
        <f t="shared" ref="AL36:AL67" si="38">AK36/N36</f>
        <v>0.4867645818483759</v>
      </c>
      <c r="AM36" s="175">
        <f>AL36*'Soil samples'!AK36/100</f>
        <v>0.14051461095733736</v>
      </c>
      <c r="AN36" s="174">
        <f t="shared" si="23"/>
        <v>140.51461095733734</v>
      </c>
      <c r="AO36" s="175">
        <f t="shared" si="24"/>
        <v>0.4867645818483759</v>
      </c>
      <c r="AP36" s="175">
        <f>AO36*'Soil samples'!AR36/100</f>
        <v>0.14051461095733736</v>
      </c>
      <c r="AQ36" s="174">
        <f t="shared" si="25"/>
        <v>140.51461095733734</v>
      </c>
      <c r="AR36">
        <f t="shared" ref="AR36:AR67" si="39">IF(K36&gt;0,K36,0)</f>
        <v>16.242965040000001</v>
      </c>
      <c r="AS36">
        <f t="shared" si="26"/>
        <v>1.6242965040000001E-2</v>
      </c>
      <c r="AT36">
        <f>AS36*('Wet ref'!$B$40+M36)</f>
        <v>0.43792207362621305</v>
      </c>
      <c r="AU36" s="175">
        <f t="shared" ref="AU36:AU67" si="40">AT36/N36</f>
        <v>0.14408755995400138</v>
      </c>
      <c r="AV36" s="175">
        <f>AU36*'Soil samples'!AK36/100</f>
        <v>4.1593838553017716E-2</v>
      </c>
      <c r="AW36" s="174">
        <f t="shared" si="27"/>
        <v>41.593838553017711</v>
      </c>
      <c r="AX36" s="175">
        <f t="shared" si="28"/>
        <v>0.14408755995400138</v>
      </c>
      <c r="AY36" s="175">
        <f>AX36*'Soil samples'!AR36/100</f>
        <v>4.1593838553017716E-2</v>
      </c>
      <c r="AZ36" s="174">
        <f t="shared" si="29"/>
        <v>41.593838553017711</v>
      </c>
      <c r="BA36">
        <f t="shared" ref="BA36:BA67" si="41">IF(AR36*1000-O36-Y36&gt;0,AR36*1000-O36-Y36,0)</f>
        <v>15542.122781000002</v>
      </c>
      <c r="BB36">
        <f t="shared" si="30"/>
        <v>15.542122781000002</v>
      </c>
      <c r="BC36">
        <f>BB36*('Wet ref'!$B$40+M36)</f>
        <v>419.02685993891203</v>
      </c>
      <c r="BD36" s="175">
        <f t="shared" ref="BD36:BD67" si="42">BC36/N36</f>
        <v>137.87055149752314</v>
      </c>
      <c r="BE36" s="175">
        <f>BD36*'Soil samples'!AK36/100</f>
        <v>39.799171156997865</v>
      </c>
      <c r="BF36" s="174">
        <f t="shared" si="33"/>
        <v>39.799171156997865</v>
      </c>
      <c r="BG36" s="175">
        <f t="shared" si="31"/>
        <v>137.87055149752314</v>
      </c>
      <c r="BH36" s="175">
        <f>BG36*'Soil samples'!AR36/100</f>
        <v>39.799171156997865</v>
      </c>
      <c r="BI36" s="174">
        <f t="shared" si="34"/>
        <v>39.799171156997865</v>
      </c>
      <c r="BL36" s="31"/>
    </row>
    <row r="37" spans="1:64">
      <c r="A37" t="s">
        <v>40</v>
      </c>
      <c r="B37" t="s">
        <v>9</v>
      </c>
      <c r="C37" t="s">
        <v>13</v>
      </c>
      <c r="D37" s="8">
        <v>6</v>
      </c>
      <c r="E37">
        <v>20</v>
      </c>
      <c r="F37" s="26">
        <v>42791</v>
      </c>
      <c r="G37" s="3"/>
      <c r="H37">
        <f>'Wet ref'!B84</f>
        <v>101.8312878</v>
      </c>
      <c r="I37">
        <f>'Wet ref'!C84</f>
        <v>194.0815197</v>
      </c>
      <c r="J37">
        <f>'Wet ref'!D84</f>
        <v>16.484804789999998</v>
      </c>
      <c r="K37">
        <f>'Wet ref'!E84</f>
        <v>3.0512747199999999</v>
      </c>
      <c r="L37" s="3">
        <f t="shared" si="10"/>
        <v>2755.3619124999996</v>
      </c>
      <c r="M37" s="31">
        <f>'Wet ref'!$B$41*'Soil samples'!AI37%</f>
        <v>0.46189744845341635</v>
      </c>
      <c r="N37" s="105">
        <f>'Wet ref'!$B$41*'Soil samples'!AH37%</f>
        <v>4.5381025515465829</v>
      </c>
      <c r="O37">
        <f t="shared" si="35"/>
        <v>101.8312878</v>
      </c>
      <c r="P37">
        <f t="shared" si="12"/>
        <v>0.1018312878</v>
      </c>
      <c r="Q37">
        <f>P37*('Wet ref'!$B$40+M37)</f>
        <v>2.5928178070075458</v>
      </c>
      <c r="R37" s="141">
        <f t="shared" si="32"/>
        <v>0.57134403146617185</v>
      </c>
      <c r="S37" s="141">
        <f>R37*'Soil samples'!AK37/100</f>
        <v>0.5034215054085851</v>
      </c>
      <c r="T37" s="149">
        <f t="shared" si="13"/>
        <v>0.5034215054085851</v>
      </c>
      <c r="U37" s="141">
        <f t="shared" si="14"/>
        <v>101.8312878</v>
      </c>
      <c r="V37" s="141">
        <f t="shared" si="15"/>
        <v>0.57134403146617185</v>
      </c>
      <c r="W37" s="141">
        <f>V37*'Soil samples'!AR37/100</f>
        <v>0.5034215054085851</v>
      </c>
      <c r="X37" s="149">
        <f t="shared" si="16"/>
        <v>0.5034215054085851</v>
      </c>
      <c r="Y37">
        <f t="shared" si="36"/>
        <v>194.0815197</v>
      </c>
      <c r="Z37">
        <f t="shared" si="17"/>
        <v>0.19408151970000001</v>
      </c>
      <c r="AA37">
        <f>Z37*('Wet ref'!$B$40+M37)</f>
        <v>4.941683751241392</v>
      </c>
      <c r="AB37" s="175">
        <f t="shared" si="1"/>
        <v>1.0889317055114298</v>
      </c>
      <c r="AC37" s="175">
        <f>AB37*'Soil samples'!AK37/100</f>
        <v>0.95947731714102857</v>
      </c>
      <c r="AD37" s="174">
        <f t="shared" si="18"/>
        <v>0.95947731714102857</v>
      </c>
      <c r="AE37" s="175">
        <f t="shared" si="19"/>
        <v>194.0815197</v>
      </c>
      <c r="AF37" s="175">
        <f t="shared" si="20"/>
        <v>1.0889317055114298</v>
      </c>
      <c r="AG37" s="175">
        <f>AF37*'Soil samples'!AR37/100</f>
        <v>0.95947731714102857</v>
      </c>
      <c r="AH37" s="174">
        <f t="shared" si="21"/>
        <v>0.95947731714102857</v>
      </c>
      <c r="AI37">
        <f t="shared" si="37"/>
        <v>16.484804789999998</v>
      </c>
      <c r="AJ37">
        <f t="shared" si="22"/>
        <v>1.6484804789999998E-2</v>
      </c>
      <c r="AK37">
        <f>AJ37*('Wet ref'!$B$40+M37)</f>
        <v>0.4197344090207536</v>
      </c>
      <c r="AL37" s="175">
        <f t="shared" si="38"/>
        <v>9.2491168776630744E-2</v>
      </c>
      <c r="AM37" s="175">
        <f>AL37*'Soil samples'!AK37/100</f>
        <v>8.1495632855469513E-2</v>
      </c>
      <c r="AN37" s="174">
        <f t="shared" si="23"/>
        <v>81.495632855469523</v>
      </c>
      <c r="AO37" s="175">
        <f t="shared" si="24"/>
        <v>9.2491168776630744E-2</v>
      </c>
      <c r="AP37" s="175">
        <f>AO37*'Soil samples'!AR37/100</f>
        <v>8.1495632855469513E-2</v>
      </c>
      <c r="AQ37" s="174">
        <f t="shared" si="25"/>
        <v>81.495632855469523</v>
      </c>
      <c r="AR37">
        <f t="shared" si="39"/>
        <v>3.0512747199999999</v>
      </c>
      <c r="AS37">
        <f t="shared" si="26"/>
        <v>3.0512747199999998E-3</v>
      </c>
      <c r="AT37">
        <f>AS37*('Wet ref'!$B$40+M37)</f>
        <v>7.7691244007698404E-2</v>
      </c>
      <c r="AU37" s="175">
        <f t="shared" si="40"/>
        <v>1.7119763849589797E-2</v>
      </c>
      <c r="AV37" s="175">
        <f>AU37*'Soil samples'!AK37/100</f>
        <v>1.5084531936534725E-2</v>
      </c>
      <c r="AW37" s="174">
        <f t="shared" si="27"/>
        <v>15.084531936534725</v>
      </c>
      <c r="AX37" s="175">
        <f t="shared" si="28"/>
        <v>1.7119763849589797E-2</v>
      </c>
      <c r="AY37" s="175">
        <f>AX37*'Soil samples'!AR37/100</f>
        <v>1.5084531936534725E-2</v>
      </c>
      <c r="AZ37" s="174">
        <f t="shared" si="29"/>
        <v>15.084531936534725</v>
      </c>
      <c r="BA37">
        <f t="shared" si="41"/>
        <v>2755.3619124999996</v>
      </c>
      <c r="BB37">
        <f t="shared" si="30"/>
        <v>2.7553619124999997</v>
      </c>
      <c r="BC37">
        <f>BB37*('Wet ref'!$B$40+M37)</f>
        <v>70.156742449449467</v>
      </c>
      <c r="BD37" s="175">
        <f t="shared" si="42"/>
        <v>15.459488112612194</v>
      </c>
      <c r="BE37" s="175">
        <f>BD37*'Soil samples'!AK37/100</f>
        <v>13.621633113985109</v>
      </c>
      <c r="BF37" s="174">
        <f t="shared" si="33"/>
        <v>13.621633113985109</v>
      </c>
      <c r="BG37" s="175">
        <f t="shared" si="31"/>
        <v>15.459488112612194</v>
      </c>
      <c r="BH37" s="175">
        <f>BG37*'Soil samples'!AR37/100</f>
        <v>13.621633113985109</v>
      </c>
      <c r="BI37" s="174">
        <f t="shared" si="34"/>
        <v>13.621633113985109</v>
      </c>
      <c r="BL37" s="31"/>
    </row>
    <row r="38" spans="1:64">
      <c r="A38" s="4" t="s">
        <v>41</v>
      </c>
      <c r="B38" s="4" t="s">
        <v>9</v>
      </c>
      <c r="C38" s="4" t="s">
        <v>13</v>
      </c>
      <c r="D38" s="4">
        <v>6</v>
      </c>
      <c r="E38" s="4">
        <v>30</v>
      </c>
      <c r="F38" s="26">
        <v>42791</v>
      </c>
      <c r="G38" s="5"/>
      <c r="H38">
        <f>'Wet ref'!B85</f>
        <v>62.323707710000001</v>
      </c>
      <c r="I38">
        <f>'Wet ref'!C85</f>
        <v>70.370833309999995</v>
      </c>
      <c r="J38">
        <f>'Wet ref'!D85</f>
        <v>8.4439775610000005</v>
      </c>
      <c r="K38">
        <f>'Wet ref'!E85</f>
        <v>0.305926319</v>
      </c>
      <c r="L38" s="3">
        <f t="shared" si="10"/>
        <v>173.23177797999998</v>
      </c>
      <c r="M38" s="31">
        <f>'Wet ref'!$B$41*'Soil samples'!AI38%</f>
        <v>0.27123964975976517</v>
      </c>
      <c r="N38" s="105">
        <f>'Wet ref'!$B$41*'Soil samples'!AH38%</f>
        <v>4.7287603502402344</v>
      </c>
      <c r="O38">
        <f t="shared" si="35"/>
        <v>62.323707710000001</v>
      </c>
      <c r="P38">
        <f t="shared" si="12"/>
        <v>6.2323707710000002E-2</v>
      </c>
      <c r="Q38">
        <f>P38*('Wet ref'!$B$40+M38)</f>
        <v>1.5749973534009905</v>
      </c>
      <c r="R38" s="141">
        <f t="shared" si="32"/>
        <v>0.33306770416499881</v>
      </c>
      <c r="S38" s="141">
        <f>R38*'Soil samples'!AK38/100</f>
        <v>0.43955026138714859</v>
      </c>
      <c r="T38" s="149">
        <f t="shared" si="13"/>
        <v>0.43955026138714859</v>
      </c>
      <c r="U38" s="141">
        <f t="shared" si="14"/>
        <v>62.323707710000001</v>
      </c>
      <c r="V38" s="141">
        <f t="shared" si="15"/>
        <v>0.33306770416499881</v>
      </c>
      <c r="W38" s="141">
        <f>V38*'Soil samples'!AR38/100</f>
        <v>0.43955026138714859</v>
      </c>
      <c r="X38" s="149">
        <f t="shared" si="16"/>
        <v>0.43955026138714859</v>
      </c>
      <c r="Y38">
        <f t="shared" si="36"/>
        <v>70.370833309999995</v>
      </c>
      <c r="Z38">
        <f t="shared" si="17"/>
        <v>7.0370833309999992E-2</v>
      </c>
      <c r="AA38">
        <f>Z38*('Wet ref'!$B$40+M38)</f>
        <v>1.7783581929303069</v>
      </c>
      <c r="AB38" s="175">
        <f t="shared" si="1"/>
        <v>0.37607281004205706</v>
      </c>
      <c r="AC38" s="175">
        <f>AB38*'Soil samples'!AK38/100</f>
        <v>0.49630420448299017</v>
      </c>
      <c r="AD38" s="174">
        <f t="shared" si="18"/>
        <v>0.49630420448299017</v>
      </c>
      <c r="AE38" s="175">
        <f t="shared" si="19"/>
        <v>70.370833309999995</v>
      </c>
      <c r="AF38" s="175">
        <f t="shared" si="20"/>
        <v>0.37607281004205706</v>
      </c>
      <c r="AG38" s="175">
        <f>AF38*'Soil samples'!AR38/100</f>
        <v>0.49630420448299017</v>
      </c>
      <c r="AH38" s="174">
        <f t="shared" si="21"/>
        <v>0.49630420448299017</v>
      </c>
      <c r="AI38">
        <f t="shared" si="37"/>
        <v>8.4439775610000005</v>
      </c>
      <c r="AJ38">
        <f t="shared" si="22"/>
        <v>8.443977561E-3</v>
      </c>
      <c r="AK38">
        <f>AJ38*('Wet ref'!$B$40+M38)</f>
        <v>0.21338978054122495</v>
      </c>
      <c r="AL38" s="175">
        <f t="shared" si="38"/>
        <v>4.5125945223759151E-2</v>
      </c>
      <c r="AM38" s="175">
        <f>AL38*'Soil samples'!AK38/100</f>
        <v>5.9552819953445073E-2</v>
      </c>
      <c r="AN38" s="174">
        <f t="shared" si="23"/>
        <v>59.552819953445074</v>
      </c>
      <c r="AO38" s="175">
        <f t="shared" si="24"/>
        <v>4.5125945223759151E-2</v>
      </c>
      <c r="AP38" s="175">
        <f>AO38*'Soil samples'!AR38/100</f>
        <v>5.9552819953445073E-2</v>
      </c>
      <c r="AQ38" s="174">
        <f t="shared" si="25"/>
        <v>59.552819953445074</v>
      </c>
      <c r="AR38">
        <f t="shared" si="39"/>
        <v>0.305926319</v>
      </c>
      <c r="AS38">
        <f t="shared" si="26"/>
        <v>3.0592631900000001E-4</v>
      </c>
      <c r="AT38">
        <f>AS38*('Wet ref'!$B$40+M38)</f>
        <v>7.7311373226178542E-3</v>
      </c>
      <c r="AU38" s="175">
        <f t="shared" si="40"/>
        <v>1.6349184035568836E-3</v>
      </c>
      <c r="AV38" s="175">
        <f>AU38*'Soil samples'!AK38/100</f>
        <v>2.1576058039961912E-3</v>
      </c>
      <c r="AW38" s="174">
        <f t="shared" si="27"/>
        <v>2.1576058039961912</v>
      </c>
      <c r="AX38" s="175">
        <f t="shared" si="28"/>
        <v>1.6349184035568836E-3</v>
      </c>
      <c r="AY38" s="175">
        <f>AX38*'Soil samples'!AR38/100</f>
        <v>2.1576058039961912E-3</v>
      </c>
      <c r="AZ38" s="174">
        <f t="shared" si="29"/>
        <v>2.1576058039961912</v>
      </c>
      <c r="BA38">
        <f t="shared" si="41"/>
        <v>173.23177797999998</v>
      </c>
      <c r="BB38">
        <f t="shared" si="30"/>
        <v>0.17323177797999997</v>
      </c>
      <c r="BC38">
        <f>BB38*('Wet ref'!$B$40+M38)</f>
        <v>4.3777817762865556</v>
      </c>
      <c r="BD38" s="175">
        <f t="shared" si="42"/>
        <v>0.92577788934982752</v>
      </c>
      <c r="BE38" s="175">
        <f>BD38*'Soil samples'!AK38/100</f>
        <v>1.2217513381260523</v>
      </c>
      <c r="BF38" s="174">
        <f t="shared" si="33"/>
        <v>1.2217513381260523</v>
      </c>
      <c r="BG38" s="175">
        <f t="shared" si="31"/>
        <v>0.92577788934982752</v>
      </c>
      <c r="BH38" s="175">
        <f>BG38*'Soil samples'!AR38/100</f>
        <v>1.2217513381260523</v>
      </c>
      <c r="BI38" s="174">
        <f t="shared" si="34"/>
        <v>1.2217513381260523</v>
      </c>
      <c r="BK38" s="4"/>
      <c r="BL38" s="31"/>
    </row>
    <row r="39" spans="1:64">
      <c r="A39" s="6" t="s">
        <v>43</v>
      </c>
      <c r="B39" s="6" t="s">
        <v>196</v>
      </c>
      <c r="C39" t="s">
        <v>12</v>
      </c>
      <c r="D39" s="8">
        <v>1</v>
      </c>
      <c r="E39" s="3">
        <v>5</v>
      </c>
      <c r="F39" s="26">
        <v>42769</v>
      </c>
      <c r="G39" s="3"/>
      <c r="H39">
        <f>'Wet ref'!B86</f>
        <v>293.11223519999999</v>
      </c>
      <c r="I39">
        <f>'Wet ref'!C86</f>
        <v>411.14163100000002</v>
      </c>
      <c r="J39">
        <f>'Wet ref'!D86</f>
        <v>428.87157400000001</v>
      </c>
      <c r="K39">
        <f>'Wet ref'!E86</f>
        <v>11.2992586</v>
      </c>
      <c r="L39" s="3">
        <f t="shared" si="10"/>
        <v>10595.004733799999</v>
      </c>
      <c r="M39" s="31">
        <f>'Wet ref'!$B$41*'Soil samples'!AI39%</f>
        <v>2.715964497684336</v>
      </c>
      <c r="N39" s="105">
        <f>'Wet ref'!$B$41*'Soil samples'!AH39%</f>
        <v>2.2840355023156635</v>
      </c>
      <c r="O39">
        <f t="shared" si="35"/>
        <v>293.11223519999999</v>
      </c>
      <c r="P39">
        <f t="shared" si="12"/>
        <v>0.29311223519999996</v>
      </c>
      <c r="Q39">
        <f>P39*('Wet ref'!$B$40+M39)</f>
        <v>8.1238883046401007</v>
      </c>
      <c r="R39" s="141">
        <f t="shared" si="32"/>
        <v>3.5568134980405155</v>
      </c>
      <c r="S39" s="141">
        <f>R39*'Soil samples'!AK39/100</f>
        <v>1.6134042173015244</v>
      </c>
      <c r="T39" s="149">
        <f t="shared" si="13"/>
        <v>1.6134042173015244</v>
      </c>
      <c r="U39" s="141">
        <f t="shared" si="14"/>
        <v>293.11223519999999</v>
      </c>
      <c r="V39" s="141">
        <f t="shared" si="15"/>
        <v>3.5568134980405155</v>
      </c>
      <c r="W39" s="141">
        <f>V39*'Soil samples'!AR39/100</f>
        <v>1.6134042173015244</v>
      </c>
      <c r="X39" s="149">
        <f t="shared" si="16"/>
        <v>1.6134042173015244</v>
      </c>
      <c r="Y39">
        <f t="shared" si="36"/>
        <v>411.14163100000002</v>
      </c>
      <c r="Z39">
        <f t="shared" si="17"/>
        <v>0.41114163100000001</v>
      </c>
      <c r="AA39">
        <f>Z39*('Wet ref'!$B$40+M39)</f>
        <v>11.395186848316033</v>
      </c>
      <c r="AB39" s="175">
        <f t="shared" si="1"/>
        <v>4.9890585486797612</v>
      </c>
      <c r="AC39" s="175">
        <f>AB39*'Soil samples'!AK39/100</f>
        <v>2.2630841080755646</v>
      </c>
      <c r="AD39" s="174">
        <f t="shared" si="18"/>
        <v>2.2630841080755646</v>
      </c>
      <c r="AE39" s="175">
        <f t="shared" si="19"/>
        <v>411.14163100000002</v>
      </c>
      <c r="AF39" s="175">
        <f t="shared" si="20"/>
        <v>4.9890585486797612</v>
      </c>
      <c r="AG39" s="175">
        <f>AF39*'Soil samples'!AR39/100</f>
        <v>2.2630841080755646</v>
      </c>
      <c r="AH39" s="174">
        <f t="shared" si="21"/>
        <v>2.2630841080755646</v>
      </c>
      <c r="AI39">
        <f t="shared" si="37"/>
        <v>428.87157400000001</v>
      </c>
      <c r="AJ39">
        <f t="shared" si="22"/>
        <v>0.42887157400000003</v>
      </c>
      <c r="AK39">
        <f>AJ39*('Wet ref'!$B$40+M39)</f>
        <v>11.886589319050001</v>
      </c>
      <c r="AL39" s="175">
        <f t="shared" si="38"/>
        <v>5.204205147861674</v>
      </c>
      <c r="AM39" s="175">
        <f>AL39*'Soil samples'!AK39/100</f>
        <v>2.3606766387633304</v>
      </c>
      <c r="AN39" s="174">
        <f t="shared" si="23"/>
        <v>2360.6766387633302</v>
      </c>
      <c r="AO39" s="175">
        <f t="shared" si="24"/>
        <v>5.204205147861674</v>
      </c>
      <c r="AP39" s="175">
        <f>AO39*'Soil samples'!AR39/100</f>
        <v>2.3606766387633304</v>
      </c>
      <c r="AQ39" s="174">
        <f t="shared" si="25"/>
        <v>2360.6766387633302</v>
      </c>
      <c r="AR39">
        <f t="shared" si="39"/>
        <v>11.2992586</v>
      </c>
      <c r="AS39">
        <f t="shared" si="26"/>
        <v>1.1299258600000001E-2</v>
      </c>
      <c r="AT39">
        <f>AS39*('Wet ref'!$B$40+M39)</f>
        <v>0.31316985020775445</v>
      </c>
      <c r="AU39" s="175">
        <f t="shared" si="40"/>
        <v>0.13711251418388551</v>
      </c>
      <c r="AV39" s="175">
        <f>AU39*'Soil samples'!AK39/100</f>
        <v>6.2195532251260052E-2</v>
      </c>
      <c r="AW39" s="174">
        <f t="shared" si="27"/>
        <v>62.195532251260055</v>
      </c>
      <c r="AX39" s="175">
        <f t="shared" si="28"/>
        <v>0.13711251418388551</v>
      </c>
      <c r="AY39" s="175">
        <f>AX39*'Soil samples'!AR39/100</f>
        <v>6.2195532251260052E-2</v>
      </c>
      <c r="AZ39" s="174">
        <f t="shared" si="29"/>
        <v>62.195532251260055</v>
      </c>
      <c r="BA39">
        <f t="shared" si="41"/>
        <v>10595.004733799999</v>
      </c>
      <c r="BB39">
        <f t="shared" si="30"/>
        <v>10.595004733799998</v>
      </c>
      <c r="BC39">
        <f>BB39*('Wet ref'!$B$40+M39)</f>
        <v>293.6507750547982</v>
      </c>
      <c r="BD39" s="175">
        <f t="shared" si="42"/>
        <v>128.56664213716516</v>
      </c>
      <c r="BE39" s="175">
        <f>BD39*'Soil samples'!AK39/100</f>
        <v>58.319043925882937</v>
      </c>
      <c r="BF39" s="174">
        <f t="shared" si="33"/>
        <v>58.319043925882937</v>
      </c>
      <c r="BG39" s="175">
        <f t="shared" si="31"/>
        <v>128.56664213716516</v>
      </c>
      <c r="BH39" s="175">
        <f>BG39*'Soil samples'!AR39/100</f>
        <v>58.319043925882937</v>
      </c>
      <c r="BI39" s="174">
        <f t="shared" si="34"/>
        <v>58.319043925882937</v>
      </c>
      <c r="BK39" s="6"/>
      <c r="BL39" s="31"/>
    </row>
    <row r="40" spans="1:64">
      <c r="A40" s="6" t="s">
        <v>44</v>
      </c>
      <c r="B40" s="6" t="s">
        <v>196</v>
      </c>
      <c r="C40" t="s">
        <v>12</v>
      </c>
      <c r="D40" s="8">
        <v>1</v>
      </c>
      <c r="E40" s="3">
        <v>10</v>
      </c>
      <c r="F40" s="26">
        <v>42769</v>
      </c>
      <c r="G40" s="3"/>
      <c r="H40">
        <f>'Wet ref'!B87</f>
        <v>357.97919730000001</v>
      </c>
      <c r="I40">
        <f>'Wet ref'!C87</f>
        <v>447.5595156</v>
      </c>
      <c r="J40">
        <f>'Wet ref'!D87</f>
        <v>101.15841930000001</v>
      </c>
      <c r="K40">
        <f>'Wet ref'!E87</f>
        <v>20.592075650000002</v>
      </c>
      <c r="L40" s="3">
        <f t="shared" si="10"/>
        <v>19786.536937100002</v>
      </c>
      <c r="M40" s="31">
        <f>'Wet ref'!$B$41*'Soil samples'!AI40%</f>
        <v>2.692010493370216</v>
      </c>
      <c r="N40" s="105">
        <f>'Wet ref'!$B$41*'Soil samples'!AH40%</f>
        <v>2.307989506629784</v>
      </c>
      <c r="O40">
        <f t="shared" si="35"/>
        <v>357.97919730000001</v>
      </c>
      <c r="P40">
        <f t="shared" si="12"/>
        <v>0.3579791973</v>
      </c>
      <c r="Q40">
        <f>P40*('Wet ref'!$B$40+M40)</f>
        <v>9.9131636880398464</v>
      </c>
      <c r="R40" s="141">
        <f t="shared" si="32"/>
        <v>4.2951511086007637</v>
      </c>
      <c r="S40" s="141">
        <f>R40*'Soil samples'!AK40/100</f>
        <v>1.056148459323766</v>
      </c>
      <c r="T40" s="149">
        <f t="shared" si="13"/>
        <v>1.056148459323766</v>
      </c>
      <c r="U40" s="141">
        <f t="shared" si="14"/>
        <v>357.97919730000001</v>
      </c>
      <c r="V40" s="141">
        <f t="shared" si="15"/>
        <v>4.2951511086007637</v>
      </c>
      <c r="W40" s="141">
        <f>V40*'Soil samples'!AR40/100</f>
        <v>1.056148459323766</v>
      </c>
      <c r="X40" s="149">
        <f t="shared" si="16"/>
        <v>1.056148459323766</v>
      </c>
      <c r="Y40">
        <f t="shared" si="36"/>
        <v>447.5595156</v>
      </c>
      <c r="Z40">
        <f t="shared" si="17"/>
        <v>0.44755951560000001</v>
      </c>
      <c r="AA40">
        <f>Z40*('Wet ref'!$B$40+M40)</f>
        <v>12.393822802402891</v>
      </c>
      <c r="AB40" s="175">
        <f t="shared" si="1"/>
        <v>5.3699649702917549</v>
      </c>
      <c r="AC40" s="175">
        <f>AB40*'Soil samples'!AK40/100</f>
        <v>1.3204378813680049</v>
      </c>
      <c r="AD40" s="174">
        <f t="shared" si="18"/>
        <v>1.3204378813680049</v>
      </c>
      <c r="AE40" s="175">
        <f t="shared" si="19"/>
        <v>447.5595156</v>
      </c>
      <c r="AF40" s="175">
        <f t="shared" si="20"/>
        <v>5.3699649702917549</v>
      </c>
      <c r="AG40" s="175">
        <f>AF40*'Soil samples'!AR40/100</f>
        <v>1.3204378813680049</v>
      </c>
      <c r="AH40" s="174">
        <f t="shared" si="21"/>
        <v>1.3204378813680049</v>
      </c>
      <c r="AI40">
        <f t="shared" si="37"/>
        <v>101.15841930000001</v>
      </c>
      <c r="AJ40">
        <f t="shared" si="22"/>
        <v>0.10115841930000001</v>
      </c>
      <c r="AK40">
        <f>AJ40*('Wet ref'!$B$40+M40)</f>
        <v>2.8012800087483445</v>
      </c>
      <c r="AL40" s="175">
        <f t="shared" si="38"/>
        <v>1.2137316918909578</v>
      </c>
      <c r="AM40" s="175">
        <f>AL40*'Soil samples'!AK40/100</f>
        <v>0.29844837213204883</v>
      </c>
      <c r="AN40" s="174">
        <f t="shared" si="23"/>
        <v>298.44837213204886</v>
      </c>
      <c r="AO40" s="175">
        <f t="shared" si="24"/>
        <v>1.2137316918909578</v>
      </c>
      <c r="AP40" s="175">
        <f>AO40*'Soil samples'!AR40/100</f>
        <v>0.29844837213204883</v>
      </c>
      <c r="AQ40" s="174">
        <f t="shared" si="25"/>
        <v>298.44837213204886</v>
      </c>
      <c r="AR40">
        <f t="shared" si="39"/>
        <v>20.592075650000002</v>
      </c>
      <c r="AS40">
        <f t="shared" si="26"/>
        <v>2.0592075650000003E-2</v>
      </c>
      <c r="AT40">
        <f>AS40*('Wet ref'!$B$40+M40)</f>
        <v>0.57023597498007339</v>
      </c>
      <c r="AU40" s="175">
        <f t="shared" si="40"/>
        <v>0.24707043656049985</v>
      </c>
      <c r="AV40" s="175">
        <f>AU40*'Soil samples'!AK40/100</f>
        <v>6.0752940774377068E-2</v>
      </c>
      <c r="AW40" s="174">
        <f t="shared" si="27"/>
        <v>60.752940774377066</v>
      </c>
      <c r="AX40" s="175">
        <f t="shared" si="28"/>
        <v>0.24707043656049985</v>
      </c>
      <c r="AY40" s="175">
        <f>AX40*'Soil samples'!AR40/100</f>
        <v>6.0752940774377068E-2</v>
      </c>
      <c r="AZ40" s="174">
        <f t="shared" si="29"/>
        <v>60.752940774377066</v>
      </c>
      <c r="BA40">
        <f t="shared" si="41"/>
        <v>19786.536937100002</v>
      </c>
      <c r="BB40">
        <f t="shared" si="30"/>
        <v>19.786536937100003</v>
      </c>
      <c r="BC40">
        <f>BB40*('Wet ref'!$B$40+M40)</f>
        <v>547.92898848963068</v>
      </c>
      <c r="BD40" s="175">
        <f t="shared" si="42"/>
        <v>237.40532048160733</v>
      </c>
      <c r="BE40" s="175">
        <f>BD40*'Soil samples'!AK40/100</f>
        <v>58.376354433685293</v>
      </c>
      <c r="BF40" s="174">
        <f t="shared" si="33"/>
        <v>58.376354433685293</v>
      </c>
      <c r="BG40" s="175">
        <f t="shared" si="31"/>
        <v>237.40532048160733</v>
      </c>
      <c r="BH40" s="175">
        <f>BG40*'Soil samples'!AR40/100</f>
        <v>58.376354433685293</v>
      </c>
      <c r="BI40" s="174">
        <f t="shared" si="34"/>
        <v>58.376354433685293</v>
      </c>
      <c r="BK40" s="6"/>
      <c r="BL40" s="31"/>
    </row>
    <row r="41" spans="1:64">
      <c r="A41" s="6" t="s">
        <v>45</v>
      </c>
      <c r="B41" s="6" t="s">
        <v>196</v>
      </c>
      <c r="C41" t="s">
        <v>12</v>
      </c>
      <c r="D41" s="8">
        <v>1</v>
      </c>
      <c r="E41" s="3">
        <v>20</v>
      </c>
      <c r="F41" s="26">
        <v>42769</v>
      </c>
      <c r="G41" s="3"/>
      <c r="H41">
        <f>'Wet ref'!B88</f>
        <v>524.69423770000003</v>
      </c>
      <c r="I41">
        <f>'Wet ref'!C88</f>
        <v>468.46239550000001</v>
      </c>
      <c r="J41">
        <f>'Wet ref'!D88</f>
        <v>89.294316120000005</v>
      </c>
      <c r="K41">
        <f>'Wet ref'!E88</f>
        <v>11.893705199999999</v>
      </c>
      <c r="L41" s="3">
        <f t="shared" si="10"/>
        <v>10900.5485668</v>
      </c>
      <c r="M41" s="31">
        <f>'Wet ref'!$B$41*'Soil samples'!AI41%</f>
        <v>1.8858691021201768</v>
      </c>
      <c r="N41" s="105">
        <f>'Wet ref'!$B$41*'Soil samples'!AH41%</f>
        <v>3.1141308978798232</v>
      </c>
      <c r="O41">
        <f t="shared" si="35"/>
        <v>524.69423770000003</v>
      </c>
      <c r="P41">
        <f t="shared" si="12"/>
        <v>0.52469423770000001</v>
      </c>
      <c r="Q41">
        <f>P41*('Wet ref'!$B$40+M41)</f>
        <v>14.106860593438929</v>
      </c>
      <c r="R41" s="141">
        <f t="shared" si="32"/>
        <v>4.5299510701503349</v>
      </c>
      <c r="S41" s="141">
        <f>R41*'Soil samples'!AK41/100</f>
        <v>2.4684184666399442</v>
      </c>
      <c r="T41" s="149">
        <f t="shared" si="13"/>
        <v>2.4684184666399442</v>
      </c>
      <c r="U41" s="141">
        <f t="shared" si="14"/>
        <v>524.69423770000003</v>
      </c>
      <c r="V41" s="141">
        <f t="shared" si="15"/>
        <v>4.5299510701503349</v>
      </c>
      <c r="W41" s="141">
        <f>V41*'Soil samples'!AR41/100</f>
        <v>2.4684184666399442</v>
      </c>
      <c r="X41" s="149">
        <f t="shared" si="16"/>
        <v>2.4684184666399442</v>
      </c>
      <c r="Y41">
        <f t="shared" si="36"/>
        <v>468.46239550000001</v>
      </c>
      <c r="Z41">
        <f t="shared" si="17"/>
        <v>0.46846239550000002</v>
      </c>
      <c r="AA41">
        <f>Z41*('Wet ref'!$B$40+M41)</f>
        <v>12.595018644678651</v>
      </c>
      <c r="AB41" s="175">
        <f t="shared" si="1"/>
        <v>4.0444730994620839</v>
      </c>
      <c r="AC41" s="175">
        <f>AB41*'Soil samples'!AK41/100</f>
        <v>2.2038763624458704</v>
      </c>
      <c r="AD41" s="174">
        <f t="shared" si="18"/>
        <v>2.2038763624458704</v>
      </c>
      <c r="AE41" s="175">
        <f t="shared" si="19"/>
        <v>468.46239550000001</v>
      </c>
      <c r="AF41" s="175">
        <f t="shared" si="20"/>
        <v>4.0444730994620839</v>
      </c>
      <c r="AG41" s="175">
        <f>AF41*'Soil samples'!AR41/100</f>
        <v>2.2038763624458704</v>
      </c>
      <c r="AH41" s="174">
        <f t="shared" si="21"/>
        <v>2.2038763624458704</v>
      </c>
      <c r="AI41">
        <f t="shared" si="37"/>
        <v>89.294316120000005</v>
      </c>
      <c r="AJ41">
        <f t="shared" si="22"/>
        <v>8.9294316120000009E-2</v>
      </c>
      <c r="AK41">
        <f>AJ41*('Wet ref'!$B$40+M41)</f>
        <v>2.4007552947656596</v>
      </c>
      <c r="AL41" s="175">
        <f t="shared" si="38"/>
        <v>0.77092305156477292</v>
      </c>
      <c r="AM41" s="175">
        <f>AL41*'Soil samples'!AK41/100</f>
        <v>0.42008416147809513</v>
      </c>
      <c r="AN41" s="174">
        <f t="shared" si="23"/>
        <v>420.08416147809515</v>
      </c>
      <c r="AO41" s="175">
        <f t="shared" si="24"/>
        <v>0.77092305156477292</v>
      </c>
      <c r="AP41" s="175">
        <f>AO41*'Soil samples'!AR41/100</f>
        <v>0.42008416147809513</v>
      </c>
      <c r="AQ41" s="174">
        <f t="shared" si="25"/>
        <v>420.08416147809515</v>
      </c>
      <c r="AR41">
        <f t="shared" si="39"/>
        <v>11.893705199999999</v>
      </c>
      <c r="AS41">
        <f t="shared" si="26"/>
        <v>1.18937052E-2</v>
      </c>
      <c r="AT41">
        <f>AS41*('Wet ref'!$B$40+M41)</f>
        <v>0.31977260114640604</v>
      </c>
      <c r="AU41" s="175">
        <f t="shared" si="40"/>
        <v>0.10268438021154316</v>
      </c>
      <c r="AV41" s="175">
        <f>AU41*'Soil samples'!AK41/100</f>
        <v>5.5953809748598135E-2</v>
      </c>
      <c r="AW41" s="174">
        <f t="shared" si="27"/>
        <v>55.953809748598133</v>
      </c>
      <c r="AX41" s="175">
        <f t="shared" si="28"/>
        <v>0.10268438021154316</v>
      </c>
      <c r="AY41" s="175">
        <f>AX41*'Soil samples'!AR41/100</f>
        <v>5.5953809748598135E-2</v>
      </c>
      <c r="AZ41" s="174">
        <f t="shared" si="29"/>
        <v>55.953809748598133</v>
      </c>
      <c r="BA41">
        <f t="shared" si="41"/>
        <v>10900.5485668</v>
      </c>
      <c r="BB41">
        <f t="shared" si="30"/>
        <v>10.9005485668</v>
      </c>
      <c r="BC41">
        <f>BB41*('Wet ref'!$B$40+M41)</f>
        <v>293.07072190828848</v>
      </c>
      <c r="BD41" s="175">
        <f t="shared" si="42"/>
        <v>94.109956041930744</v>
      </c>
      <c r="BE41" s="175">
        <f>BD41*'Soil samples'!AK41/100</f>
        <v>51.281514919512318</v>
      </c>
      <c r="BF41" s="174">
        <f t="shared" si="33"/>
        <v>51.281514919512318</v>
      </c>
      <c r="BG41" s="175">
        <f t="shared" si="31"/>
        <v>94.109956041930744</v>
      </c>
      <c r="BH41" s="175">
        <f>BG41*'Soil samples'!AR41/100</f>
        <v>51.281514919512318</v>
      </c>
      <c r="BI41" s="174">
        <f t="shared" si="34"/>
        <v>51.281514919512318</v>
      </c>
      <c r="BK41" s="6"/>
      <c r="BL41" s="31"/>
    </row>
    <row r="42" spans="1:64">
      <c r="A42" s="6" t="s">
        <v>46</v>
      </c>
      <c r="B42" s="6" t="s">
        <v>196</v>
      </c>
      <c r="C42" t="s">
        <v>12</v>
      </c>
      <c r="D42" s="8">
        <v>1</v>
      </c>
      <c r="E42" s="3">
        <v>30</v>
      </c>
      <c r="F42" s="26">
        <v>42769</v>
      </c>
      <c r="G42" s="3"/>
      <c r="H42">
        <f>'Wet ref'!B89</f>
        <v>267.27914120000003</v>
      </c>
      <c r="I42">
        <f>'Wet ref'!C89</f>
        <v>187.75669629999999</v>
      </c>
      <c r="J42">
        <f>'Wet ref'!D89</f>
        <v>82.004863639999996</v>
      </c>
      <c r="K42">
        <f>'Wet ref'!E89</f>
        <v>12.94022968</v>
      </c>
      <c r="L42" s="3">
        <f t="shared" si="10"/>
        <v>12485.193842499999</v>
      </c>
      <c r="M42" s="31">
        <f>'Wet ref'!$B$41*'Soil samples'!AI42%</f>
        <v>1.1129151194332523</v>
      </c>
      <c r="N42" s="105">
        <f>'Wet ref'!$B$41*'Soil samples'!AH42%</f>
        <v>3.8870848805667482</v>
      </c>
      <c r="O42">
        <f t="shared" si="35"/>
        <v>267.27914120000003</v>
      </c>
      <c r="P42">
        <f t="shared" si="12"/>
        <v>0.26727914120000001</v>
      </c>
      <c r="Q42">
        <f>P42*('Wet ref'!$B$40+M42)</f>
        <v>6.9794375273506155</v>
      </c>
      <c r="R42" s="141">
        <f t="shared" si="32"/>
        <v>1.7955454387538339</v>
      </c>
      <c r="S42" s="141">
        <f>R42*'Soil samples'!AK42/100</f>
        <v>1.8312648184262545</v>
      </c>
      <c r="T42" s="149">
        <f t="shared" si="13"/>
        <v>1.8312648184262545</v>
      </c>
      <c r="U42" s="141">
        <f t="shared" si="14"/>
        <v>267.27914120000003</v>
      </c>
      <c r="V42" s="141">
        <f t="shared" si="15"/>
        <v>1.7955454387538339</v>
      </c>
      <c r="W42" s="141">
        <f>V42*'Soil samples'!AR42/100</f>
        <v>1.8312648184262545</v>
      </c>
      <c r="X42" s="149">
        <f t="shared" si="16"/>
        <v>1.8312648184262545</v>
      </c>
      <c r="Y42">
        <f t="shared" si="36"/>
        <v>187.75669629999999</v>
      </c>
      <c r="Z42">
        <f t="shared" si="17"/>
        <v>0.1877566963</v>
      </c>
      <c r="AA42">
        <f>Z42*('Wet ref'!$B$40+M42)</f>
        <v>4.9028746735871076</v>
      </c>
      <c r="AB42" s="175">
        <f t="shared" si="1"/>
        <v>1.2613243148094708</v>
      </c>
      <c r="AC42" s="175">
        <f>AB42*'Soil samples'!AK42/100</f>
        <v>1.2864162568557851</v>
      </c>
      <c r="AD42" s="174">
        <f t="shared" si="18"/>
        <v>1.2864162568557851</v>
      </c>
      <c r="AE42" s="175">
        <f t="shared" si="19"/>
        <v>187.75669629999999</v>
      </c>
      <c r="AF42" s="175">
        <f t="shared" si="20"/>
        <v>1.2613243148094708</v>
      </c>
      <c r="AG42" s="175">
        <f>AF42*'Soil samples'!AR42/100</f>
        <v>1.2864162568557851</v>
      </c>
      <c r="AH42" s="174">
        <f t="shared" si="21"/>
        <v>1.2864162568557851</v>
      </c>
      <c r="AI42">
        <f t="shared" si="37"/>
        <v>82.004863639999996</v>
      </c>
      <c r="AJ42">
        <f t="shared" si="22"/>
        <v>8.2004863639999995E-2</v>
      </c>
      <c r="AK42">
        <f>AJ42*('Wet ref'!$B$40+M42)</f>
        <v>2.1413860436120182</v>
      </c>
      <c r="AL42" s="175">
        <f t="shared" si="38"/>
        <v>0.55089768024304064</v>
      </c>
      <c r="AM42" s="175">
        <f>AL42*'Soil samples'!AK42/100</f>
        <v>0.5618568701229214</v>
      </c>
      <c r="AN42" s="174">
        <f t="shared" si="23"/>
        <v>561.85687012292146</v>
      </c>
      <c r="AO42" s="175">
        <f t="shared" si="24"/>
        <v>0.55089768024304064</v>
      </c>
      <c r="AP42" s="175">
        <f>AO42*'Soil samples'!AR42/100</f>
        <v>0.5618568701229214</v>
      </c>
      <c r="AQ42" s="174">
        <f t="shared" si="25"/>
        <v>561.85687012292146</v>
      </c>
      <c r="AR42">
        <f t="shared" si="39"/>
        <v>12.94022968</v>
      </c>
      <c r="AS42">
        <f t="shared" si="26"/>
        <v>1.294022968E-2</v>
      </c>
      <c r="AT42">
        <f>AS42*('Wet ref'!$B$40+M42)</f>
        <v>0.33790711925981093</v>
      </c>
      <c r="AU42" s="175">
        <f t="shared" si="40"/>
        <v>8.693072820435635E-2</v>
      </c>
      <c r="AV42" s="175">
        <f>AU42*'Soil samples'!AK42/100</f>
        <v>8.8660069951389198E-2</v>
      </c>
      <c r="AW42" s="174">
        <f t="shared" si="27"/>
        <v>88.660069951389204</v>
      </c>
      <c r="AX42" s="175">
        <f t="shared" si="28"/>
        <v>8.693072820435635E-2</v>
      </c>
      <c r="AY42" s="175">
        <f>AX42*'Soil samples'!AR42/100</f>
        <v>8.8660069951389198E-2</v>
      </c>
      <c r="AZ42" s="174">
        <f t="shared" si="29"/>
        <v>88.660069951389204</v>
      </c>
      <c r="BA42">
        <f t="shared" si="41"/>
        <v>12485.193842499999</v>
      </c>
      <c r="BB42">
        <f t="shared" si="30"/>
        <v>12.485193842499999</v>
      </c>
      <c r="BC42">
        <f>BB42*('Wet ref'!$B$40+M42)</f>
        <v>326.02480705887319</v>
      </c>
      <c r="BD42" s="175">
        <f t="shared" si="42"/>
        <v>83.873858450793037</v>
      </c>
      <c r="BE42" s="175">
        <f>BD42*'Soil samples'!AK42/100</f>
        <v>85.54238887610714</v>
      </c>
      <c r="BF42" s="174">
        <f t="shared" si="33"/>
        <v>85.54238887610714</v>
      </c>
      <c r="BG42" s="175">
        <f t="shared" si="31"/>
        <v>83.873858450793037</v>
      </c>
      <c r="BH42" s="175">
        <f>BG42*'Soil samples'!AR42/100</f>
        <v>85.54238887610714</v>
      </c>
      <c r="BI42" s="174">
        <f t="shared" si="34"/>
        <v>85.54238887610714</v>
      </c>
      <c r="BK42" s="6"/>
      <c r="BL42" s="31"/>
    </row>
    <row r="43" spans="1:64">
      <c r="A43" s="6" t="s">
        <v>47</v>
      </c>
      <c r="B43" s="6" t="s">
        <v>196</v>
      </c>
      <c r="C43" t="s">
        <v>12</v>
      </c>
      <c r="D43" s="8">
        <v>2</v>
      </c>
      <c r="E43" s="3">
        <v>5</v>
      </c>
      <c r="F43" s="26">
        <v>42798</v>
      </c>
      <c r="G43" s="3"/>
      <c r="H43">
        <f>'Wet ref'!B90</f>
        <v>901.68184299999996</v>
      </c>
      <c r="I43">
        <f>'Wet ref'!C90</f>
        <v>1762.3307689999999</v>
      </c>
      <c r="J43">
        <f>'Wet ref'!D90</f>
        <v>102.1248533</v>
      </c>
      <c r="K43">
        <f>'Wet ref'!E90</f>
        <v>12.83720885</v>
      </c>
      <c r="L43" s="3">
        <f t="shared" si="10"/>
        <v>10173.196237999999</v>
      </c>
      <c r="M43" s="31">
        <f>'Wet ref'!$B$41*'Soil samples'!AI43%</f>
        <v>1.6561168954093708</v>
      </c>
      <c r="N43" s="105">
        <f>'Wet ref'!$B$41*'Soil samples'!AH43%</f>
        <v>3.3438831045906294</v>
      </c>
      <c r="O43">
        <f t="shared" si="35"/>
        <v>901.68184299999996</v>
      </c>
      <c r="P43">
        <f t="shared" si="12"/>
        <v>0.90168184299999998</v>
      </c>
      <c r="Q43">
        <f>P43*('Wet ref'!$B$40+M43)</f>
        <v>24.035336609476161</v>
      </c>
      <c r="R43" s="141">
        <f t="shared" si="32"/>
        <v>7.1878519247516151</v>
      </c>
      <c r="S43" s="141">
        <f>R43*'Soil samples'!AK43/100</f>
        <v>2.1526047467446863</v>
      </c>
      <c r="T43" s="149">
        <f t="shared" si="13"/>
        <v>2.1526047467446863</v>
      </c>
      <c r="U43" s="141">
        <f t="shared" si="14"/>
        <v>901.68184299999996</v>
      </c>
      <c r="V43" s="141">
        <f t="shared" si="15"/>
        <v>7.1878519247516151</v>
      </c>
      <c r="W43" s="141">
        <f>V43*'Soil samples'!AR43/100</f>
        <v>2.1526047467446863</v>
      </c>
      <c r="X43" s="149">
        <f t="shared" si="16"/>
        <v>2.1526047467446863</v>
      </c>
      <c r="Y43">
        <f t="shared" si="36"/>
        <v>1762.3307689999999</v>
      </c>
      <c r="Z43">
        <f t="shared" si="17"/>
        <v>1.7623307689999999</v>
      </c>
      <c r="AA43">
        <f>Z43*('Wet ref'!$B$40+M43)</f>
        <v>46.976894986840691</v>
      </c>
      <c r="AB43" s="175">
        <f t="shared" si="1"/>
        <v>14.048605623309244</v>
      </c>
      <c r="AC43" s="175">
        <f>AB43*'Soil samples'!AK43/100</f>
        <v>4.2072507150214546</v>
      </c>
      <c r="AD43" s="174">
        <f t="shared" si="18"/>
        <v>4.2072507150214546</v>
      </c>
      <c r="AE43" s="175">
        <f t="shared" si="19"/>
        <v>1762.3307689999999</v>
      </c>
      <c r="AF43" s="175">
        <f t="shared" si="20"/>
        <v>14.048605623309244</v>
      </c>
      <c r="AG43" s="175">
        <f>AF43*'Soil samples'!AR43/100</f>
        <v>4.2072507150214546</v>
      </c>
      <c r="AH43" s="174">
        <f t="shared" si="21"/>
        <v>4.2072507150214546</v>
      </c>
      <c r="AI43">
        <f t="shared" si="37"/>
        <v>102.1248533</v>
      </c>
      <c r="AJ43">
        <f t="shared" si="22"/>
        <v>0.1021248533</v>
      </c>
      <c r="AK43">
        <f>AJ43*('Wet ref'!$B$40+M43)</f>
        <v>2.7222520274913338</v>
      </c>
      <c r="AL43" s="175">
        <f t="shared" si="38"/>
        <v>0.81409904064950922</v>
      </c>
      <c r="AM43" s="175">
        <f>AL43*'Soil samples'!AK43/100</f>
        <v>0.24380489158212401</v>
      </c>
      <c r="AN43" s="174">
        <f t="shared" si="23"/>
        <v>243.80489158212401</v>
      </c>
      <c r="AO43" s="175">
        <f t="shared" si="24"/>
        <v>0.81409904064950922</v>
      </c>
      <c r="AP43" s="175">
        <f>AO43*'Soil samples'!AR43/100</f>
        <v>0.24380489158212401</v>
      </c>
      <c r="AQ43" s="174">
        <f t="shared" si="25"/>
        <v>243.80489158212401</v>
      </c>
      <c r="AR43">
        <f t="shared" si="39"/>
        <v>12.83720885</v>
      </c>
      <c r="AS43">
        <f t="shared" si="26"/>
        <v>1.283720885E-2</v>
      </c>
      <c r="AT43">
        <f>AS43*('Wet ref'!$B$40+M43)</f>
        <v>0.34219013971638373</v>
      </c>
      <c r="AU43" s="175">
        <f t="shared" si="40"/>
        <v>0.10233316447175145</v>
      </c>
      <c r="AV43" s="175">
        <f>AU43*'Soil samples'!AK43/100</f>
        <v>3.0646548912999342E-2</v>
      </c>
      <c r="AW43" s="174">
        <f t="shared" si="27"/>
        <v>30.646548912999343</v>
      </c>
      <c r="AX43" s="175">
        <f t="shared" si="28"/>
        <v>0.10233316447175145</v>
      </c>
      <c r="AY43" s="175">
        <f>AX43*'Soil samples'!AR43/100</f>
        <v>3.0646548912999342E-2</v>
      </c>
      <c r="AZ43" s="174">
        <f t="shared" si="29"/>
        <v>30.646548912999343</v>
      </c>
      <c r="BA43">
        <f t="shared" si="41"/>
        <v>10173.196237999999</v>
      </c>
      <c r="BB43">
        <f t="shared" si="30"/>
        <v>10.173196237999999</v>
      </c>
      <c r="BC43">
        <f>BB43*('Wet ref'!$B$40+M43)</f>
        <v>271.17790812006683</v>
      </c>
      <c r="BD43" s="175">
        <f t="shared" si="42"/>
        <v>81.096706923690576</v>
      </c>
      <c r="BE43" s="175">
        <f>BD43*'Soil samples'!AK43/100</f>
        <v>24.286693451233202</v>
      </c>
      <c r="BF43" s="174">
        <f t="shared" si="33"/>
        <v>24.286693451233202</v>
      </c>
      <c r="BG43" s="175">
        <f t="shared" si="31"/>
        <v>81.096706923690576</v>
      </c>
      <c r="BH43" s="175">
        <f>BG43*'Soil samples'!AR43/100</f>
        <v>24.286693451233202</v>
      </c>
      <c r="BI43" s="174">
        <f t="shared" si="34"/>
        <v>24.286693451233202</v>
      </c>
      <c r="BK43" s="6"/>
      <c r="BL43" s="31"/>
    </row>
    <row r="44" spans="1:64">
      <c r="A44" s="6" t="s">
        <v>48</v>
      </c>
      <c r="B44" s="6" t="s">
        <v>196</v>
      </c>
      <c r="C44" t="s">
        <v>12</v>
      </c>
      <c r="D44" s="8">
        <v>2</v>
      </c>
      <c r="E44" s="3">
        <v>10</v>
      </c>
      <c r="F44" s="26">
        <v>42798</v>
      </c>
      <c r="G44" s="3"/>
      <c r="H44">
        <f>'Wet ref'!B91</f>
        <v>493.48338469999999</v>
      </c>
      <c r="I44">
        <f>'Wet ref'!C91</f>
        <v>356.79587299999997</v>
      </c>
      <c r="J44">
        <f>'Wet ref'!D91</f>
        <v>67.955657239999994</v>
      </c>
      <c r="K44">
        <f>'Wet ref'!E91</f>
        <v>5.578195086</v>
      </c>
      <c r="L44" s="3">
        <f t="shared" si="10"/>
        <v>4727.9158282999997</v>
      </c>
      <c r="M44" s="31">
        <f>'Wet ref'!$B$41*'Soil samples'!AI44%</f>
        <v>1.707763964519333</v>
      </c>
      <c r="N44" s="105">
        <f>'Wet ref'!$B$41*'Soil samples'!AH44%</f>
        <v>3.2922360354806668</v>
      </c>
      <c r="O44">
        <f t="shared" si="35"/>
        <v>493.48338469999999</v>
      </c>
      <c r="P44">
        <f t="shared" si="12"/>
        <v>0.49348338469999997</v>
      </c>
      <c r="Q44">
        <f>P44*('Wet ref'!$B$40+M44)</f>
        <v>13.179837758979691</v>
      </c>
      <c r="R44" s="141">
        <f t="shared" si="32"/>
        <v>4.0033088809367321</v>
      </c>
      <c r="S44" s="141">
        <f>R44*'Soil samples'!AK44/100</f>
        <v>1.6907095877219143</v>
      </c>
      <c r="T44" s="149">
        <f t="shared" si="13"/>
        <v>1.6907095877219143</v>
      </c>
      <c r="U44" s="141">
        <f t="shared" si="14"/>
        <v>493.48338469999999</v>
      </c>
      <c r="V44" s="141">
        <f t="shared" si="15"/>
        <v>4.0033088809367321</v>
      </c>
      <c r="W44" s="141">
        <f>V44*'Soil samples'!AR44/100</f>
        <v>1.6907095877219143</v>
      </c>
      <c r="X44" s="149">
        <f t="shared" si="16"/>
        <v>1.6907095877219143</v>
      </c>
      <c r="Y44">
        <f t="shared" si="36"/>
        <v>356.79587299999997</v>
      </c>
      <c r="Z44">
        <f t="shared" si="17"/>
        <v>0.35679587299999999</v>
      </c>
      <c r="AA44">
        <f>Z44*('Wet ref'!$B$40+M44)</f>
        <v>9.5292199595986169</v>
      </c>
      <c r="AB44" s="175">
        <f t="shared" si="1"/>
        <v>2.8944522375982529</v>
      </c>
      <c r="AC44" s="175">
        <f>AB44*'Soil samples'!AK44/100</f>
        <v>1.2224083364173104</v>
      </c>
      <c r="AD44" s="174">
        <f t="shared" si="18"/>
        <v>1.2224083364173104</v>
      </c>
      <c r="AE44" s="175">
        <f t="shared" si="19"/>
        <v>356.79587299999997</v>
      </c>
      <c r="AF44" s="175">
        <f t="shared" si="20"/>
        <v>2.8944522375982529</v>
      </c>
      <c r="AG44" s="175">
        <f>AF44*'Soil samples'!AR44/100</f>
        <v>1.2224083364173104</v>
      </c>
      <c r="AH44" s="174">
        <f t="shared" si="21"/>
        <v>1.2224083364173104</v>
      </c>
      <c r="AI44">
        <f t="shared" si="37"/>
        <v>67.955657239999994</v>
      </c>
      <c r="AJ44">
        <f t="shared" si="22"/>
        <v>6.7955657239999995E-2</v>
      </c>
      <c r="AK44">
        <f>AJ44*('Wet ref'!$B$40+M44)</f>
        <v>1.8149436536196992</v>
      </c>
      <c r="AL44" s="175">
        <f t="shared" si="38"/>
        <v>0.55127993074005621</v>
      </c>
      <c r="AM44" s="175">
        <f>AL44*'Soil samples'!AK44/100</f>
        <v>0.23282097188633497</v>
      </c>
      <c r="AN44" s="174">
        <f t="shared" si="23"/>
        <v>232.82097188633495</v>
      </c>
      <c r="AO44" s="175">
        <f t="shared" si="24"/>
        <v>0.55127993074005621</v>
      </c>
      <c r="AP44" s="175">
        <f>AO44*'Soil samples'!AR44/100</f>
        <v>0.23282097188633497</v>
      </c>
      <c r="AQ44" s="174">
        <f t="shared" si="25"/>
        <v>232.82097188633495</v>
      </c>
      <c r="AR44">
        <f t="shared" si="39"/>
        <v>5.578195086</v>
      </c>
      <c r="AS44">
        <f t="shared" si="26"/>
        <v>5.5781950859999999E-3</v>
      </c>
      <c r="AT44">
        <f>AS44*('Wet ref'!$B$40+M44)</f>
        <v>0.14898111770492961</v>
      </c>
      <c r="AU44" s="175">
        <f t="shared" si="40"/>
        <v>4.5252258981236242E-2</v>
      </c>
      <c r="AV44" s="175">
        <f>AU44*'Soil samples'!AK44/100</f>
        <v>1.9111297779188362E-2</v>
      </c>
      <c r="AW44" s="174">
        <f t="shared" si="27"/>
        <v>19.111297779188362</v>
      </c>
      <c r="AX44" s="175">
        <f t="shared" si="28"/>
        <v>4.5252258981236242E-2</v>
      </c>
      <c r="AY44" s="175">
        <f>AX44*'Soil samples'!AR44/100</f>
        <v>1.9111297779188362E-2</v>
      </c>
      <c r="AZ44" s="174">
        <f t="shared" si="29"/>
        <v>19.111297779188362</v>
      </c>
      <c r="BA44">
        <f t="shared" si="41"/>
        <v>4727.9158282999997</v>
      </c>
      <c r="BB44">
        <f t="shared" si="30"/>
        <v>4.7279158282999996</v>
      </c>
      <c r="BC44">
        <f>BB44*('Wet ref'!$B$40+M44)</f>
        <v>126.27205998635131</v>
      </c>
      <c r="BD44" s="175">
        <f t="shared" si="42"/>
        <v>38.354497862701258</v>
      </c>
      <c r="BE44" s="175">
        <f>BD44*'Soil samples'!AK44/100</f>
        <v>16.19817985504914</v>
      </c>
      <c r="BF44" s="174">
        <f t="shared" si="33"/>
        <v>16.19817985504914</v>
      </c>
      <c r="BG44" s="175">
        <f t="shared" si="31"/>
        <v>38.354497862701258</v>
      </c>
      <c r="BH44" s="175">
        <f>BG44*'Soil samples'!AR44/100</f>
        <v>16.19817985504914</v>
      </c>
      <c r="BI44" s="174">
        <f t="shared" si="34"/>
        <v>16.19817985504914</v>
      </c>
      <c r="BK44" s="6"/>
      <c r="BL44" s="31"/>
    </row>
    <row r="45" spans="1:64">
      <c r="A45" s="6" t="s">
        <v>49</v>
      </c>
      <c r="B45" s="6" t="s">
        <v>196</v>
      </c>
      <c r="C45" t="s">
        <v>12</v>
      </c>
      <c r="D45" s="8">
        <v>2</v>
      </c>
      <c r="E45" s="3">
        <v>20</v>
      </c>
      <c r="F45" s="26">
        <v>42798</v>
      </c>
      <c r="G45" s="3"/>
      <c r="H45">
        <f>'Wet ref'!B92</f>
        <v>533.1172881</v>
      </c>
      <c r="I45">
        <f>'Wet ref'!C92</f>
        <v>267.83971969999999</v>
      </c>
      <c r="J45">
        <f>'Wet ref'!D92</f>
        <v>59.317443140000002</v>
      </c>
      <c r="K45">
        <f>'Wet ref'!E92</f>
        <v>4.7454724009999998</v>
      </c>
      <c r="L45" s="3">
        <f t="shared" si="10"/>
        <v>3944.5153931999998</v>
      </c>
      <c r="M45" s="31">
        <f>'Wet ref'!$B$41*'Soil samples'!AI45%</f>
        <v>1.8599949099341124</v>
      </c>
      <c r="N45" s="105">
        <f>'Wet ref'!$B$41*'Soil samples'!AH45%</f>
        <v>3.1400050900658876</v>
      </c>
      <c r="O45">
        <f t="shared" si="35"/>
        <v>533.1172881</v>
      </c>
      <c r="P45">
        <f t="shared" si="12"/>
        <v>0.53311728810000003</v>
      </c>
      <c r="Q45">
        <f>P45*('Wet ref'!$B$40+M45)</f>
        <v>14.319527644763879</v>
      </c>
      <c r="R45" s="141">
        <f t="shared" si="32"/>
        <v>4.5603517300232808</v>
      </c>
      <c r="S45" s="141">
        <f>R45*'Soil samples'!AK45/100</f>
        <v>2.1751362492396327</v>
      </c>
      <c r="T45" s="149">
        <f t="shared" si="13"/>
        <v>2.1751362492396327</v>
      </c>
      <c r="U45" s="141">
        <f t="shared" si="14"/>
        <v>533.1172881</v>
      </c>
      <c r="V45" s="141">
        <f t="shared" si="15"/>
        <v>4.5603517300232808</v>
      </c>
      <c r="W45" s="141">
        <f>V45*'Soil samples'!AR45/100</f>
        <v>2.1751362492396327</v>
      </c>
      <c r="X45" s="149">
        <f t="shared" si="16"/>
        <v>2.1751362492396327</v>
      </c>
      <c r="Y45">
        <f t="shared" si="36"/>
        <v>267.83971969999999</v>
      </c>
      <c r="Z45">
        <f t="shared" si="17"/>
        <v>0.26783971969999998</v>
      </c>
      <c r="AA45">
        <f>Z45*('Wet ref'!$B$40+M45)</f>
        <v>7.1941735078201789</v>
      </c>
      <c r="AB45" s="175">
        <f t="shared" si="1"/>
        <v>2.2911343457947138</v>
      </c>
      <c r="AC45" s="175">
        <f>AB45*'Soil samples'!AK45/100</f>
        <v>1.0927949558378851</v>
      </c>
      <c r="AD45" s="174">
        <f t="shared" si="18"/>
        <v>1.0927949558378851</v>
      </c>
      <c r="AE45" s="175">
        <f t="shared" si="19"/>
        <v>267.83971969999999</v>
      </c>
      <c r="AF45" s="175">
        <f t="shared" si="20"/>
        <v>2.2911343457947138</v>
      </c>
      <c r="AG45" s="175">
        <f>AF45*'Soil samples'!AR45/100</f>
        <v>1.0927949558378851</v>
      </c>
      <c r="AH45" s="174">
        <f t="shared" si="21"/>
        <v>1.0927949558378851</v>
      </c>
      <c r="AI45">
        <f t="shared" si="37"/>
        <v>59.317443140000002</v>
      </c>
      <c r="AJ45">
        <f t="shared" si="22"/>
        <v>5.9317443140000002E-2</v>
      </c>
      <c r="AK45">
        <f>AJ45*('Wet ref'!$B$40+M45)</f>
        <v>1.5932662208107062</v>
      </c>
      <c r="AL45" s="175">
        <f t="shared" si="38"/>
        <v>0.50740880193199756</v>
      </c>
      <c r="AM45" s="175">
        <f>AL45*'Soil samples'!AK45/100</f>
        <v>0.24201713894114621</v>
      </c>
      <c r="AN45" s="174">
        <f t="shared" si="23"/>
        <v>242.01713894114621</v>
      </c>
      <c r="AO45" s="175">
        <f t="shared" si="24"/>
        <v>0.50740880193199756</v>
      </c>
      <c r="AP45" s="175">
        <f>AO45*'Soil samples'!AR45/100</f>
        <v>0.24201713894114621</v>
      </c>
      <c r="AQ45" s="174">
        <f t="shared" si="25"/>
        <v>242.01713894114621</v>
      </c>
      <c r="AR45">
        <f t="shared" si="39"/>
        <v>4.7454724009999998</v>
      </c>
      <c r="AS45">
        <f t="shared" si="26"/>
        <v>4.7454724009999994E-3</v>
      </c>
      <c r="AT45">
        <f>AS45*('Wet ref'!$B$40+M45)</f>
        <v>0.1274633645360928</v>
      </c>
      <c r="AU45" s="175">
        <f t="shared" si="40"/>
        <v>4.0593362392740008E-2</v>
      </c>
      <c r="AV45" s="175">
        <f>AU45*'Soil samples'!AK45/100</f>
        <v>1.9361685073032493E-2</v>
      </c>
      <c r="AW45" s="174">
        <f t="shared" si="27"/>
        <v>19.361685073032493</v>
      </c>
      <c r="AX45" s="175">
        <f t="shared" si="28"/>
        <v>4.0593362392740008E-2</v>
      </c>
      <c r="AY45" s="175">
        <f>AX45*'Soil samples'!AR45/100</f>
        <v>1.9361685073032493E-2</v>
      </c>
      <c r="AZ45" s="174">
        <f t="shared" si="29"/>
        <v>19.361685073032493</v>
      </c>
      <c r="BA45">
        <f t="shared" si="41"/>
        <v>3944.5153931999998</v>
      </c>
      <c r="BB45">
        <f t="shared" si="30"/>
        <v>3.9445153931999997</v>
      </c>
      <c r="BC45">
        <f>BB45*('Wet ref'!$B$40+M45)</f>
        <v>105.94966338350875</v>
      </c>
      <c r="BD45" s="175">
        <f t="shared" si="42"/>
        <v>33.741876316922017</v>
      </c>
      <c r="BE45" s="175">
        <f>BD45*'Soil samples'!AK45/100</f>
        <v>16.09375386795498</v>
      </c>
      <c r="BF45" s="174">
        <f t="shared" si="33"/>
        <v>16.09375386795498</v>
      </c>
      <c r="BG45" s="175">
        <f t="shared" si="31"/>
        <v>33.741876316922017</v>
      </c>
      <c r="BH45" s="175">
        <f>BG45*'Soil samples'!AR45/100</f>
        <v>16.09375386795498</v>
      </c>
      <c r="BI45" s="174">
        <f t="shared" si="34"/>
        <v>16.09375386795498</v>
      </c>
      <c r="BK45" s="6"/>
      <c r="BL45" s="31"/>
    </row>
    <row r="46" spans="1:64">
      <c r="A46" s="6" t="s">
        <v>50</v>
      </c>
      <c r="B46" s="6" t="s">
        <v>196</v>
      </c>
      <c r="C46" t="s">
        <v>12</v>
      </c>
      <c r="D46" s="8">
        <v>2</v>
      </c>
      <c r="E46" s="3">
        <v>30</v>
      </c>
      <c r="F46" s="26">
        <v>42798</v>
      </c>
      <c r="G46" s="3"/>
      <c r="H46">
        <f>'Wet ref'!B93</f>
        <v>433.32647329999998</v>
      </c>
      <c r="I46">
        <f>'Wet ref'!C93</f>
        <v>222.0903467</v>
      </c>
      <c r="J46">
        <f>'Wet ref'!D93</f>
        <v>66.29492175</v>
      </c>
      <c r="K46">
        <f>'Wet ref'!E93</f>
        <v>5.3711087930000003</v>
      </c>
      <c r="L46" s="3">
        <f t="shared" si="10"/>
        <v>4715.6919730000009</v>
      </c>
      <c r="M46" s="31">
        <f>'Wet ref'!$B$41*'Soil samples'!AI46%</f>
        <v>1.8439594008671656</v>
      </c>
      <c r="N46" s="105">
        <f>'Wet ref'!$B$41*'Soil samples'!AH46%</f>
        <v>3.1560405991328344</v>
      </c>
      <c r="O46">
        <f t="shared" si="35"/>
        <v>433.32647329999998</v>
      </c>
      <c r="P46">
        <f t="shared" si="12"/>
        <v>0.43332647329999996</v>
      </c>
      <c r="Q46">
        <f>P46*('Wet ref'!$B$40+M46)</f>
        <v>11.632198256586149</v>
      </c>
      <c r="R46" s="141">
        <f t="shared" si="32"/>
        <v>3.6856934792861202</v>
      </c>
      <c r="S46" s="141">
        <f>R46*'Soil samples'!AK46/100</f>
        <v>1.9067499382196009</v>
      </c>
      <c r="T46" s="149">
        <f t="shared" si="13"/>
        <v>1.9067499382196009</v>
      </c>
      <c r="U46" s="141">
        <f t="shared" si="14"/>
        <v>433.32647329999998</v>
      </c>
      <c r="V46" s="141">
        <f t="shared" si="15"/>
        <v>3.6856934792861202</v>
      </c>
      <c r="W46" s="141">
        <f>V46*'Soil samples'!AR46/100</f>
        <v>1.9067499382196009</v>
      </c>
      <c r="X46" s="149">
        <f t="shared" si="16"/>
        <v>1.9067499382196009</v>
      </c>
      <c r="Y46">
        <f t="shared" si="36"/>
        <v>222.0903467</v>
      </c>
      <c r="Z46">
        <f t="shared" si="17"/>
        <v>0.2220903467</v>
      </c>
      <c r="AA46">
        <f>Z46*('Wet ref'!$B$40+M46)</f>
        <v>5.9617842501393135</v>
      </c>
      <c r="AB46" s="175">
        <f t="shared" si="1"/>
        <v>1.8890074645355943</v>
      </c>
      <c r="AC46" s="175">
        <f>AB46*'Soil samples'!AK46/100</f>
        <v>0.97725567428283611</v>
      </c>
      <c r="AD46" s="174">
        <f t="shared" si="18"/>
        <v>0.977255674282836</v>
      </c>
      <c r="AE46" s="175">
        <f t="shared" si="19"/>
        <v>222.0903467</v>
      </c>
      <c r="AF46" s="175">
        <f t="shared" si="20"/>
        <v>1.8890074645355943</v>
      </c>
      <c r="AG46" s="175">
        <f>AF46*'Soil samples'!AR46/100</f>
        <v>0.97725567428283611</v>
      </c>
      <c r="AH46" s="174">
        <f t="shared" si="21"/>
        <v>0.977255674282836</v>
      </c>
      <c r="AI46">
        <f t="shared" si="37"/>
        <v>66.29492175</v>
      </c>
      <c r="AJ46">
        <f t="shared" si="22"/>
        <v>6.6294921749999999E-2</v>
      </c>
      <c r="AK46">
        <f>AJ46*('Wet ref'!$B$40+M46)</f>
        <v>1.7796181879406656</v>
      </c>
      <c r="AL46" s="175">
        <f t="shared" si="38"/>
        <v>0.56387683619457885</v>
      </c>
      <c r="AM46" s="175">
        <f>AL46*'Soil samples'!AK46/100</f>
        <v>0.29171501336723388</v>
      </c>
      <c r="AN46" s="174">
        <f t="shared" si="23"/>
        <v>291.71501336723389</v>
      </c>
      <c r="AO46" s="175">
        <f t="shared" si="24"/>
        <v>0.56387683619457885</v>
      </c>
      <c r="AP46" s="175">
        <f>AO46*'Soil samples'!AR46/100</f>
        <v>0.29171501336723388</v>
      </c>
      <c r="AQ46" s="174">
        <f t="shared" si="25"/>
        <v>291.71501336723389</v>
      </c>
      <c r="AR46">
        <f t="shared" si="39"/>
        <v>5.3711087930000003</v>
      </c>
      <c r="AS46">
        <f t="shared" si="26"/>
        <v>5.3711087930000002E-3</v>
      </c>
      <c r="AT46">
        <f>AS46*('Wet ref'!$B$40+M46)</f>
        <v>0.14418182637693266</v>
      </c>
      <c r="AU46" s="175">
        <f t="shared" si="40"/>
        <v>4.5684401657110685E-2</v>
      </c>
      <c r="AV46" s="175">
        <f>AU46*'Soil samples'!AK46/100</f>
        <v>2.3634284979706797E-2</v>
      </c>
      <c r="AW46" s="174">
        <f t="shared" si="27"/>
        <v>23.634284979706795</v>
      </c>
      <c r="AX46" s="175">
        <f t="shared" si="28"/>
        <v>4.5684401657110685E-2</v>
      </c>
      <c r="AY46" s="175">
        <f>AX46*'Soil samples'!AR46/100</f>
        <v>2.3634284979706797E-2</v>
      </c>
      <c r="AZ46" s="174">
        <f t="shared" si="29"/>
        <v>23.634284979706795</v>
      </c>
      <c r="BA46">
        <f t="shared" si="41"/>
        <v>4715.6919730000009</v>
      </c>
      <c r="BB46">
        <f t="shared" si="30"/>
        <v>4.7156919730000011</v>
      </c>
      <c r="BC46">
        <f>BB46*('Wet ref'!$B$40+M46)</f>
        <v>126.58784387020722</v>
      </c>
      <c r="BD46" s="175">
        <f t="shared" si="42"/>
        <v>40.10970071328898</v>
      </c>
      <c r="BE46" s="175">
        <f>BD46*'Soil samples'!AK46/100</f>
        <v>20.750279367204367</v>
      </c>
      <c r="BF46" s="174">
        <f t="shared" si="33"/>
        <v>20.750279367204367</v>
      </c>
      <c r="BG46" s="175">
        <f t="shared" si="31"/>
        <v>40.10970071328898</v>
      </c>
      <c r="BH46" s="175">
        <f>BG46*'Soil samples'!AR46/100</f>
        <v>20.750279367204367</v>
      </c>
      <c r="BI46" s="174">
        <f t="shared" si="34"/>
        <v>20.750279367204367</v>
      </c>
      <c r="BK46" s="6"/>
      <c r="BL46" s="31"/>
    </row>
    <row r="47" spans="1:64">
      <c r="A47" s="206" t="s">
        <v>51</v>
      </c>
      <c r="B47" s="6" t="s">
        <v>196</v>
      </c>
      <c r="C47" t="s">
        <v>12</v>
      </c>
      <c r="D47" s="8">
        <v>3</v>
      </c>
      <c r="E47" s="3">
        <v>5</v>
      </c>
      <c r="F47" s="8" t="s">
        <v>469</v>
      </c>
      <c r="G47" s="8" t="s">
        <v>469</v>
      </c>
      <c r="H47" s="6" t="s">
        <v>469</v>
      </c>
      <c r="I47" s="6" t="s">
        <v>469</v>
      </c>
      <c r="J47" s="6" t="s">
        <v>469</v>
      </c>
      <c r="K47" s="6" t="s">
        <v>469</v>
      </c>
      <c r="L47" s="3" t="s">
        <v>469</v>
      </c>
      <c r="M47" s="31">
        <f>'Wet ref'!$B$41*'Soil samples'!AI47%</f>
        <v>2.1061872909699</v>
      </c>
      <c r="N47" s="105">
        <f>'Wet ref'!$B$41*'Soil samples'!AH47%</f>
        <v>2.8938127090301</v>
      </c>
      <c r="O47" t="s">
        <v>469</v>
      </c>
      <c r="P47" t="s">
        <v>469</v>
      </c>
      <c r="Q47" t="s">
        <v>469</v>
      </c>
      <c r="R47" t="s">
        <v>469</v>
      </c>
      <c r="S47" t="s">
        <v>469</v>
      </c>
      <c r="T47" t="s">
        <v>469</v>
      </c>
      <c r="U47" s="151">
        <f>BO20</f>
        <v>450.66195914000002</v>
      </c>
      <c r="V47" s="151">
        <f>BO4</f>
        <v>4.8992031210108431</v>
      </c>
      <c r="W47" s="141">
        <f>V47*'Soil samples'!AR47/100</f>
        <v>0.17608301309580882</v>
      </c>
      <c r="X47" s="149">
        <f t="shared" si="16"/>
        <v>0.17608301309580882</v>
      </c>
      <c r="Y47" t="s">
        <v>469</v>
      </c>
      <c r="Z47" t="s">
        <v>469</v>
      </c>
      <c r="AA47" t="e">
        <f>Z47*('Wet ref'!$B$40+M47)</f>
        <v>#VALUE!</v>
      </c>
      <c r="AB47" t="s">
        <v>469</v>
      </c>
      <c r="AC47" t="s">
        <v>469</v>
      </c>
      <c r="AD47" t="s">
        <v>469</v>
      </c>
      <c r="AE47" s="175">
        <f>BP20</f>
        <v>1491.3353525999999</v>
      </c>
      <c r="AF47" s="175">
        <f>BP4</f>
        <v>21.627303332628518</v>
      </c>
      <c r="AG47" s="175">
        <f>AF47*'Soil samples'!AR47/100</f>
        <v>0.77731023635544194</v>
      </c>
      <c r="AH47" s="174">
        <f t="shared" si="21"/>
        <v>0.77731023635544194</v>
      </c>
      <c r="AI47" t="str">
        <f t="shared" si="37"/>
        <v>none</v>
      </c>
      <c r="AK47">
        <f>AJ47*('Wet ref'!$B$40+M47)</f>
        <v>0</v>
      </c>
      <c r="AL47" s="175">
        <f t="shared" si="38"/>
        <v>0</v>
      </c>
      <c r="AM47" s="175">
        <f>AL47*'Soil samples'!AK47/100</f>
        <v>0</v>
      </c>
      <c r="AN47" s="174">
        <f t="shared" si="23"/>
        <v>0</v>
      </c>
      <c r="AO47" s="175">
        <f>BQ4</f>
        <v>2.2475611737379273</v>
      </c>
      <c r="AP47" s="175">
        <f>AO47*'Soil samples'!AR47/100</f>
        <v>8.0779941923957418E-2</v>
      </c>
      <c r="AQ47" s="174">
        <f t="shared" si="25"/>
        <v>80.779941923957423</v>
      </c>
      <c r="AR47" t="str">
        <f t="shared" si="39"/>
        <v>none</v>
      </c>
      <c r="AT47">
        <f>AS47*('Wet ref'!$B$40+M47)</f>
        <v>0</v>
      </c>
      <c r="AU47" s="175">
        <f t="shared" si="40"/>
        <v>0</v>
      </c>
      <c r="AV47" s="175">
        <f>AU47*'Soil samples'!AK47/100</f>
        <v>0</v>
      </c>
      <c r="AW47" s="174">
        <f t="shared" si="27"/>
        <v>0</v>
      </c>
      <c r="AX47" s="175">
        <f>BR4</f>
        <v>0.15842052670065124</v>
      </c>
      <c r="AY47" s="175">
        <f>AX47*'Soil samples'!AR47/100</f>
        <v>5.6938165225368627E-3</v>
      </c>
      <c r="AZ47" s="174">
        <f t="shared" si="29"/>
        <v>5.6938165225368627</v>
      </c>
      <c r="BA47" t="e">
        <f t="shared" si="41"/>
        <v>#VALUE!</v>
      </c>
      <c r="BC47">
        <f>BB47*('Wet ref'!$B$40+M47)</f>
        <v>0</v>
      </c>
      <c r="BD47" s="175">
        <f t="shared" si="42"/>
        <v>0</v>
      </c>
      <c r="BE47" s="175">
        <f>BD47*'Soil samples'!AK47/100</f>
        <v>0</v>
      </c>
      <c r="BF47" s="174">
        <f t="shared" si="33"/>
        <v>0</v>
      </c>
      <c r="BG47" s="175">
        <f>BS4</f>
        <v>131.89402024701187</v>
      </c>
      <c r="BH47" s="175">
        <f>BG47*'Soil samples'!AR47/100</f>
        <v>4.7404232730856117</v>
      </c>
      <c r="BI47" s="174">
        <f t="shared" si="34"/>
        <v>4.7404232730856117</v>
      </c>
      <c r="BL47" s="31"/>
    </row>
    <row r="48" spans="1:64">
      <c r="A48" s="6" t="s">
        <v>52</v>
      </c>
      <c r="B48" s="6" t="s">
        <v>196</v>
      </c>
      <c r="C48" t="s">
        <v>12</v>
      </c>
      <c r="D48" s="8">
        <v>4</v>
      </c>
      <c r="E48" s="3">
        <v>5</v>
      </c>
      <c r="F48" s="26">
        <v>42765</v>
      </c>
      <c r="G48" s="3"/>
      <c r="H48">
        <f>'Wet ref'!B94</f>
        <v>175.721892</v>
      </c>
      <c r="I48">
        <f>'Wet ref'!C94</f>
        <v>2194.2515509999998</v>
      </c>
      <c r="J48">
        <f>'Wet ref'!D94</f>
        <v>63.057084930000002</v>
      </c>
      <c r="K48">
        <f>'Wet ref'!E94</f>
        <v>9.1470634410000002</v>
      </c>
      <c r="L48" s="3">
        <f t="shared" si="10"/>
        <v>6777.0899980000013</v>
      </c>
      <c r="M48" s="31">
        <f>'Wet ref'!$B$41*'Soil samples'!AI48%</f>
        <v>3.596189164370982</v>
      </c>
      <c r="N48" s="105">
        <f>'Wet ref'!$B$41*'Soil samples'!AH48%</f>
        <v>1.4038108356290178</v>
      </c>
      <c r="O48">
        <f t="shared" si="35"/>
        <v>175.721892</v>
      </c>
      <c r="P48">
        <f t="shared" ref="P48:P107" si="43">O48/1000</f>
        <v>0.17572189199999999</v>
      </c>
      <c r="Q48">
        <f>P48*('Wet ref'!$B$40+M48)</f>
        <v>5.024976463953168</v>
      </c>
      <c r="R48" s="141">
        <f t="shared" si="32"/>
        <v>3.5795253437416181</v>
      </c>
      <c r="S48" s="141">
        <f>R48*'Soil samples'!AK48/100</f>
        <v>0.44953439446525062</v>
      </c>
      <c r="T48" s="149">
        <f t="shared" si="13"/>
        <v>0.44953439446525062</v>
      </c>
      <c r="U48" s="141">
        <f t="shared" si="14"/>
        <v>175.721892</v>
      </c>
      <c r="V48" s="141">
        <f t="shared" si="15"/>
        <v>3.5795253437416181</v>
      </c>
      <c r="W48" s="141">
        <f>V48*'Soil samples'!AR48/100</f>
        <v>0.44953439446525062</v>
      </c>
      <c r="X48" s="149">
        <f t="shared" si="16"/>
        <v>0.44953439446525062</v>
      </c>
      <c r="Y48">
        <f t="shared" si="36"/>
        <v>2194.2515509999998</v>
      </c>
      <c r="Z48">
        <f t="shared" si="17"/>
        <v>2.1942515509999998</v>
      </c>
      <c r="AA48">
        <f>Z48*('Wet ref'!$B$40+M48)</f>
        <v>62.747232426610417</v>
      </c>
      <c r="AB48" s="175">
        <f t="shared" si="1"/>
        <v>44.697783229814377</v>
      </c>
      <c r="AC48" s="175">
        <f>AB48*'Soil samples'!AK48/100</f>
        <v>5.6133674128845703</v>
      </c>
      <c r="AD48" s="174">
        <f t="shared" si="18"/>
        <v>5.6133674128845703</v>
      </c>
      <c r="AE48" s="175">
        <f t="shared" si="19"/>
        <v>2194.2515509999998</v>
      </c>
      <c r="AF48" s="175">
        <f t="shared" si="20"/>
        <v>44.697783229814377</v>
      </c>
      <c r="AG48" s="175">
        <f>AF48*'Soil samples'!AR48/100</f>
        <v>5.6133674128845703</v>
      </c>
      <c r="AH48" s="174">
        <f t="shared" si="21"/>
        <v>5.6133674128845703</v>
      </c>
      <c r="AI48">
        <f t="shared" si="37"/>
        <v>63.057084930000002</v>
      </c>
      <c r="AJ48">
        <f t="shared" ref="AJ48:AJ107" si="44">AI48/1000</f>
        <v>6.3057084930000007E-2</v>
      </c>
      <c r="AK48">
        <f>AJ48*('Wet ref'!$B$40+M48)</f>
        <v>1.803192328812087</v>
      </c>
      <c r="AL48" s="175">
        <f t="shared" si="38"/>
        <v>1.2844980841055518</v>
      </c>
      <c r="AM48" s="175">
        <f>AL48*'Soil samples'!AK48/100</f>
        <v>0.16131358573552937</v>
      </c>
      <c r="AN48" s="174">
        <f t="shared" si="23"/>
        <v>161.31358573552936</v>
      </c>
      <c r="AO48" s="175">
        <f t="shared" si="24"/>
        <v>1.2844980841055518</v>
      </c>
      <c r="AP48" s="175">
        <f>AO48*'Soil samples'!AR48/100</f>
        <v>0.16131358573552937</v>
      </c>
      <c r="AQ48" s="174">
        <f t="shared" si="25"/>
        <v>161.31358573552936</v>
      </c>
      <c r="AR48">
        <f t="shared" si="39"/>
        <v>9.1470634410000002</v>
      </c>
      <c r="AS48">
        <f t="shared" ref="AS48:AS107" si="45">AR48/1000</f>
        <v>9.1470634410000008E-3</v>
      </c>
      <c r="AT48">
        <f>AS48*('Wet ref'!$B$40+M48)</f>
        <v>0.26157115645733819</v>
      </c>
      <c r="AU48" s="175">
        <f t="shared" si="40"/>
        <v>0.1863293471019076</v>
      </c>
      <c r="AV48" s="175">
        <f>AU48*'Soil samples'!AK48/100</f>
        <v>2.3400155656673482E-2</v>
      </c>
      <c r="AW48" s="174">
        <f t="shared" si="27"/>
        <v>23.40015565667348</v>
      </c>
      <c r="AX48" s="175">
        <f t="shared" si="28"/>
        <v>0.1863293471019076</v>
      </c>
      <c r="AY48" s="175">
        <f>AX48*'Soil samples'!AR48/100</f>
        <v>2.3400155656673482E-2</v>
      </c>
      <c r="AZ48" s="174">
        <f t="shared" si="29"/>
        <v>23.40015565667348</v>
      </c>
      <c r="BA48">
        <f t="shared" si="41"/>
        <v>6777.0899980000013</v>
      </c>
      <c r="BB48">
        <f t="shared" ref="BB48:BB107" si="46">BA48/1000</f>
        <v>6.777089998000001</v>
      </c>
      <c r="BC48">
        <f>BB48*('Wet ref'!$B$40+M48)</f>
        <v>193.79894756677459</v>
      </c>
      <c r="BD48" s="175">
        <f t="shared" si="42"/>
        <v>138.05203852835157</v>
      </c>
      <c r="BE48" s="175">
        <f>BD48*'Soil samples'!AK48/100</f>
        <v>17.337253849323659</v>
      </c>
      <c r="BF48" s="174">
        <f t="shared" si="33"/>
        <v>17.337253849323659</v>
      </c>
      <c r="BG48" s="175">
        <f t="shared" si="31"/>
        <v>138.05203852835157</v>
      </c>
      <c r="BH48" s="175">
        <f>BG48*'Soil samples'!AR48/100</f>
        <v>17.337253849323659</v>
      </c>
      <c r="BI48" s="174">
        <f t="shared" si="34"/>
        <v>17.337253849323659</v>
      </c>
      <c r="BK48" s="6"/>
      <c r="BL48" s="31"/>
    </row>
    <row r="49" spans="1:64">
      <c r="A49" s="6" t="s">
        <v>53</v>
      </c>
      <c r="B49" s="6" t="s">
        <v>196</v>
      </c>
      <c r="C49" t="s">
        <v>12</v>
      </c>
      <c r="D49" s="8">
        <v>4</v>
      </c>
      <c r="E49" s="3">
        <v>10</v>
      </c>
      <c r="F49" s="26">
        <v>42765</v>
      </c>
      <c r="G49" s="3"/>
      <c r="H49">
        <f>'Wet ref'!B95</f>
        <v>401.82236999999998</v>
      </c>
      <c r="I49">
        <f>'Wet ref'!C95</f>
        <v>721.20822269999996</v>
      </c>
      <c r="J49">
        <f>'Wet ref'!D95</f>
        <v>37.73982951</v>
      </c>
      <c r="K49">
        <f>'Wet ref'!E95</f>
        <v>2.6092452229999998</v>
      </c>
      <c r="L49" s="3">
        <f t="shared" si="10"/>
        <v>1486.2146303</v>
      </c>
      <c r="M49" s="31">
        <f>'Wet ref'!$B$41*'Soil samples'!AI49%</f>
        <v>1.7451937443968524</v>
      </c>
      <c r="N49" s="105">
        <f>'Wet ref'!$B$41*'Soil samples'!AH49%</f>
        <v>3.2548062556031478</v>
      </c>
      <c r="O49">
        <f t="shared" si="35"/>
        <v>401.82236999999998</v>
      </c>
      <c r="P49">
        <f t="shared" si="43"/>
        <v>0.40182236999999998</v>
      </c>
      <c r="Q49">
        <f>P49*('Wet ref'!$B$40+M49)</f>
        <v>10.746817136482719</v>
      </c>
      <c r="R49" s="141">
        <f t="shared" si="32"/>
        <v>3.3018300606931907</v>
      </c>
      <c r="S49" s="141">
        <f>R49*'Soil samples'!AK49/100</f>
        <v>1.9539862917552882</v>
      </c>
      <c r="T49" s="149">
        <f t="shared" si="13"/>
        <v>1.9539862917552879</v>
      </c>
      <c r="U49" s="141">
        <f t="shared" si="14"/>
        <v>401.82236999999998</v>
      </c>
      <c r="V49" s="141">
        <f t="shared" si="15"/>
        <v>3.3018300606931907</v>
      </c>
      <c r="W49" s="141">
        <f>V49*'Soil samples'!AR49/100</f>
        <v>1.9539862917552882</v>
      </c>
      <c r="X49" s="149">
        <f t="shared" si="16"/>
        <v>1.9539862917552882</v>
      </c>
      <c r="Y49">
        <f t="shared" si="36"/>
        <v>721.20822269999996</v>
      </c>
      <c r="Z49">
        <f t="shared" si="17"/>
        <v>0.72120822269999996</v>
      </c>
      <c r="AA49">
        <f>Z49*('Wet ref'!$B$40+M49)</f>
        <v>19.288853646163613</v>
      </c>
      <c r="AB49" s="175">
        <f t="shared" si="1"/>
        <v>5.9262678425045605</v>
      </c>
      <c r="AC49" s="175">
        <f>AB49*'Soil samples'!AK49/100</f>
        <v>3.5070993699454691</v>
      </c>
      <c r="AD49" s="174">
        <f t="shared" si="18"/>
        <v>3.5070993699454691</v>
      </c>
      <c r="AE49" s="175">
        <f t="shared" si="19"/>
        <v>721.20822269999996</v>
      </c>
      <c r="AF49" s="175">
        <f t="shared" si="20"/>
        <v>5.9262678425045605</v>
      </c>
      <c r="AG49" s="175">
        <f>AF49*'Soil samples'!AR49/100</f>
        <v>3.5070993699454691</v>
      </c>
      <c r="AH49" s="174">
        <f t="shared" si="21"/>
        <v>3.5070993699454691</v>
      </c>
      <c r="AI49">
        <f t="shared" si="37"/>
        <v>37.73982951</v>
      </c>
      <c r="AJ49">
        <f t="shared" si="44"/>
        <v>3.7739829510000003E-2</v>
      </c>
      <c r="AK49">
        <f>AJ49*('Wet ref'!$B$40+M49)</f>
        <v>1.0093590521254558</v>
      </c>
      <c r="AL49" s="175">
        <f t="shared" si="38"/>
        <v>0.31011340548699162</v>
      </c>
      <c r="AM49" s="175">
        <f>AL49*'Soil samples'!AK49/100</f>
        <v>0.18352166285745042</v>
      </c>
      <c r="AN49" s="174">
        <f t="shared" si="23"/>
        <v>183.52166285745042</v>
      </c>
      <c r="AO49" s="175">
        <f t="shared" si="24"/>
        <v>0.31011340548699162</v>
      </c>
      <c r="AP49" s="175">
        <f>AO49*'Soil samples'!AR49/100</f>
        <v>0.18352166285745042</v>
      </c>
      <c r="AQ49" s="174">
        <f t="shared" si="25"/>
        <v>183.52166285745042</v>
      </c>
      <c r="AR49">
        <f t="shared" si="39"/>
        <v>2.6092452229999998</v>
      </c>
      <c r="AS49">
        <f t="shared" si="45"/>
        <v>2.609245223E-3</v>
      </c>
      <c r="AT49">
        <f>AS49*('Wet ref'!$B$40+M49)</f>
        <v>6.9784769015776973E-2</v>
      </c>
      <c r="AU49" s="175">
        <f t="shared" si="40"/>
        <v>2.1440529338925325E-2</v>
      </c>
      <c r="AV49" s="175">
        <f>AU49*'Soil samples'!AK49/100</f>
        <v>1.2688266702448572E-2</v>
      </c>
      <c r="AW49" s="174">
        <f t="shared" si="27"/>
        <v>12.688266702448573</v>
      </c>
      <c r="AX49" s="175">
        <f t="shared" si="28"/>
        <v>2.1440529338925325E-2</v>
      </c>
      <c r="AY49" s="175">
        <f>AX49*'Soil samples'!AR49/100</f>
        <v>1.2688266702448572E-2</v>
      </c>
      <c r="AZ49" s="174">
        <f t="shared" si="29"/>
        <v>12.688266702448573</v>
      </c>
      <c r="BA49">
        <f t="shared" si="41"/>
        <v>1486.2146303</v>
      </c>
      <c r="BB49">
        <f t="shared" si="46"/>
        <v>1.4862146302999999</v>
      </c>
      <c r="BC49">
        <f>BB49*('Wet ref'!$B$40+M49)</f>
        <v>39.749098233130638</v>
      </c>
      <c r="BD49" s="175">
        <f t="shared" si="42"/>
        <v>12.212431435727574</v>
      </c>
      <c r="BE49" s="175">
        <f>BD49*'Soil samples'!AK49/100</f>
        <v>7.2271810407478139</v>
      </c>
      <c r="BF49" s="174">
        <f t="shared" si="33"/>
        <v>7.2271810407478139</v>
      </c>
      <c r="BG49" s="175">
        <f t="shared" si="31"/>
        <v>12.212431435727574</v>
      </c>
      <c r="BH49" s="175">
        <f>BG49*'Soil samples'!AR49/100</f>
        <v>7.2271810407478139</v>
      </c>
      <c r="BI49" s="174">
        <f t="shared" si="34"/>
        <v>7.2271810407478139</v>
      </c>
      <c r="BK49" s="6"/>
      <c r="BL49" s="31"/>
    </row>
    <row r="50" spans="1:64">
      <c r="A50" s="6" t="s">
        <v>54</v>
      </c>
      <c r="B50" s="6" t="s">
        <v>196</v>
      </c>
      <c r="C50" t="s">
        <v>12</v>
      </c>
      <c r="D50" s="8">
        <v>4</v>
      </c>
      <c r="E50" s="3">
        <v>20</v>
      </c>
      <c r="F50" s="26">
        <v>42765</v>
      </c>
      <c r="G50" s="3"/>
      <c r="H50">
        <f>'Wet ref'!B96</f>
        <v>515.07111699999996</v>
      </c>
      <c r="I50">
        <f>'Wet ref'!C96</f>
        <v>540.25172350000003</v>
      </c>
      <c r="J50">
        <f>'Wet ref'!D96</f>
        <v>34.896268020000001</v>
      </c>
      <c r="K50">
        <f>'Wet ref'!E96</f>
        <v>2.245314569</v>
      </c>
      <c r="L50" s="3">
        <f t="shared" si="10"/>
        <v>1189.9917285000001</v>
      </c>
      <c r="M50" s="31">
        <f>'Wet ref'!$B$41*'Soil samples'!AI50%</f>
        <v>1.7656008380306281</v>
      </c>
      <c r="N50" s="105">
        <f>'Wet ref'!$B$41*'Soil samples'!AH50%</f>
        <v>3.2343991619693719</v>
      </c>
      <c r="O50">
        <f t="shared" si="35"/>
        <v>515.07111699999996</v>
      </c>
      <c r="P50">
        <f t="shared" si="43"/>
        <v>0.51507111699999997</v>
      </c>
      <c r="Q50">
        <f>P50*('Wet ref'!$B$40+M50)</f>
        <v>13.786187920820572</v>
      </c>
      <c r="R50" s="141">
        <f t="shared" si="32"/>
        <v>4.262364423946484</v>
      </c>
      <c r="S50" s="141">
        <f>R50*'Soil samples'!AK50/100</f>
        <v>3.3216441176425091</v>
      </c>
      <c r="T50" s="149">
        <f t="shared" si="13"/>
        <v>3.3216441176425091</v>
      </c>
      <c r="U50" s="141">
        <f t="shared" si="14"/>
        <v>515.07111699999996</v>
      </c>
      <c r="V50" s="141">
        <f t="shared" si="15"/>
        <v>4.262364423946484</v>
      </c>
      <c r="W50" s="141">
        <f>V50*'Soil samples'!AR50/100</f>
        <v>3.3216441176425091</v>
      </c>
      <c r="X50" s="149">
        <f t="shared" si="16"/>
        <v>3.3216441176425091</v>
      </c>
      <c r="Y50">
        <f t="shared" si="36"/>
        <v>540.25172350000003</v>
      </c>
      <c r="Z50">
        <f t="shared" si="17"/>
        <v>0.54025172350000006</v>
      </c>
      <c r="AA50">
        <f>Z50*('Wet ref'!$B$40+M50)</f>
        <v>14.460161983259093</v>
      </c>
      <c r="AB50" s="175">
        <f t="shared" si="1"/>
        <v>4.4707413213817864</v>
      </c>
      <c r="AC50" s="175">
        <f>AB50*'Soil samples'!AK50/100</f>
        <v>3.4840314282464457</v>
      </c>
      <c r="AD50" s="174">
        <f t="shared" si="18"/>
        <v>3.4840314282464457</v>
      </c>
      <c r="AE50" s="175">
        <f t="shared" si="19"/>
        <v>540.25172350000003</v>
      </c>
      <c r="AF50" s="175">
        <f t="shared" si="20"/>
        <v>4.4707413213817864</v>
      </c>
      <c r="AG50" s="175">
        <f>AF50*'Soil samples'!AR50/100</f>
        <v>3.4840314282464457</v>
      </c>
      <c r="AH50" s="174">
        <f t="shared" si="21"/>
        <v>3.4840314282464457</v>
      </c>
      <c r="AI50">
        <f t="shared" si="37"/>
        <v>34.896268020000001</v>
      </c>
      <c r="AJ50">
        <f t="shared" si="44"/>
        <v>3.4896268020000003E-2</v>
      </c>
      <c r="AK50">
        <f>AJ50*('Wet ref'!$B$40+M50)</f>
        <v>0.93401958056025347</v>
      </c>
      <c r="AL50" s="175">
        <f t="shared" si="38"/>
        <v>0.28877684348382793</v>
      </c>
      <c r="AM50" s="175">
        <f>AL50*'Soil samples'!AK50/100</f>
        <v>0.22504267774018749</v>
      </c>
      <c r="AN50" s="174">
        <f t="shared" si="23"/>
        <v>225.04267774018749</v>
      </c>
      <c r="AO50" s="175">
        <f t="shared" si="24"/>
        <v>0.28877684348382793</v>
      </c>
      <c r="AP50" s="175">
        <f>AO50*'Soil samples'!AR50/100</f>
        <v>0.22504267774018749</v>
      </c>
      <c r="AQ50" s="174">
        <f t="shared" si="25"/>
        <v>225.04267774018749</v>
      </c>
      <c r="AR50">
        <f t="shared" si="39"/>
        <v>2.245314569</v>
      </c>
      <c r="AS50">
        <f t="shared" si="45"/>
        <v>2.2453145689999999E-3</v>
      </c>
      <c r="AT50">
        <f>AS50*('Wet ref'!$B$40+M50)</f>
        <v>6.009719350966878E-2</v>
      </c>
      <c r="AU50" s="175">
        <f t="shared" si="40"/>
        <v>1.8580636000745374E-2</v>
      </c>
      <c r="AV50" s="175">
        <f>AU50*'Soil samples'!AK50/100</f>
        <v>1.4479817804219596E-2</v>
      </c>
      <c r="AW50" s="174">
        <f t="shared" si="27"/>
        <v>14.479817804219595</v>
      </c>
      <c r="AX50" s="175">
        <f t="shared" si="28"/>
        <v>1.8580636000745374E-2</v>
      </c>
      <c r="AY50" s="175">
        <f>AX50*'Soil samples'!AR50/100</f>
        <v>1.4479817804219596E-2</v>
      </c>
      <c r="AZ50" s="174">
        <f t="shared" si="29"/>
        <v>14.479817804219595</v>
      </c>
      <c r="BA50">
        <f t="shared" si="41"/>
        <v>1189.9917285000001</v>
      </c>
      <c r="BB50">
        <f t="shared" si="46"/>
        <v>1.1899917285000001</v>
      </c>
      <c r="BC50">
        <f>BB50*('Wet ref'!$B$40+M50)</f>
        <v>31.85084360558912</v>
      </c>
      <c r="BD50" s="175">
        <f t="shared" si="42"/>
        <v>9.8475302554171051</v>
      </c>
      <c r="BE50" s="175">
        <f>BD50*'Soil samples'!AK50/100</f>
        <v>7.6741422583306438</v>
      </c>
      <c r="BF50" s="174">
        <f t="shared" si="33"/>
        <v>7.6741422583306438</v>
      </c>
      <c r="BG50" s="175">
        <f t="shared" si="31"/>
        <v>9.8475302554171051</v>
      </c>
      <c r="BH50" s="175">
        <f>BG50*'Soil samples'!AR50/100</f>
        <v>7.6741422583306438</v>
      </c>
      <c r="BI50" s="174">
        <f t="shared" si="34"/>
        <v>7.6741422583306438</v>
      </c>
      <c r="BK50" s="6"/>
      <c r="BL50" s="31"/>
    </row>
    <row r="51" spans="1:64">
      <c r="A51" s="6" t="s">
        <v>55</v>
      </c>
      <c r="B51" s="6" t="s">
        <v>196</v>
      </c>
      <c r="C51" t="s">
        <v>12</v>
      </c>
      <c r="D51" s="8">
        <v>5</v>
      </c>
      <c r="E51" s="3">
        <v>5</v>
      </c>
      <c r="F51" s="26">
        <v>42783</v>
      </c>
      <c r="G51" s="3"/>
      <c r="H51">
        <f>'Wet ref'!B97</f>
        <v>128.6665007</v>
      </c>
      <c r="I51">
        <f>'Wet ref'!C97</f>
        <v>1697.8405849999999</v>
      </c>
      <c r="J51">
        <f>'Wet ref'!D97</f>
        <v>94.527425070000007</v>
      </c>
      <c r="K51">
        <f>'Wet ref'!E97</f>
        <v>11.073269399999999</v>
      </c>
      <c r="L51" s="3">
        <f t="shared" si="10"/>
        <v>9246.7623143000001</v>
      </c>
      <c r="M51" s="31">
        <f>'Wet ref'!$B$41*'Soil samples'!AI51%</f>
        <v>3.3830949405175206</v>
      </c>
      <c r="N51" s="105">
        <f>'Wet ref'!$B$41*'Soil samples'!AH51%</f>
        <v>1.6169050594824794</v>
      </c>
      <c r="O51">
        <f t="shared" si="35"/>
        <v>128.6665007</v>
      </c>
      <c r="P51">
        <f t="shared" si="43"/>
        <v>0.12866650069999999</v>
      </c>
      <c r="Q51">
        <f>P51*('Wet ref'!$B$40+M51)</f>
        <v>3.6519535050322638</v>
      </c>
      <c r="R51" s="141">
        <f t="shared" si="32"/>
        <v>2.2586072593533348</v>
      </c>
      <c r="S51" s="141">
        <f>R51*'Soil samples'!AK51/100</f>
        <v>0.21488094423609808</v>
      </c>
      <c r="T51" s="149">
        <f t="shared" si="13"/>
        <v>0.21488094423609808</v>
      </c>
      <c r="U51" s="141">
        <f t="shared" si="14"/>
        <v>128.6665007</v>
      </c>
      <c r="V51" s="141">
        <f t="shared" si="15"/>
        <v>2.2586072593533348</v>
      </c>
      <c r="W51" s="141">
        <f>V51*'Soil samples'!AR51/100</f>
        <v>0.21488094423609808</v>
      </c>
      <c r="X51" s="149">
        <f t="shared" si="16"/>
        <v>0.2148809442360981</v>
      </c>
      <c r="Y51">
        <f t="shared" si="36"/>
        <v>1697.8405849999999</v>
      </c>
      <c r="Z51">
        <f t="shared" si="17"/>
        <v>1.697840585</v>
      </c>
      <c r="AA51">
        <f>Z51*('Wet ref'!$B$40+M51)</f>
        <v>48.189970517918809</v>
      </c>
      <c r="AB51" s="175">
        <f t="shared" si="1"/>
        <v>29.803834328617231</v>
      </c>
      <c r="AC51" s="175">
        <f>AB51*'Soil samples'!AK51/100</f>
        <v>2.8354978652743386</v>
      </c>
      <c r="AD51" s="174">
        <f t="shared" si="18"/>
        <v>2.8354978652743386</v>
      </c>
      <c r="AE51" s="175">
        <f t="shared" si="19"/>
        <v>1697.8405849999999</v>
      </c>
      <c r="AF51" s="175">
        <f t="shared" si="20"/>
        <v>29.803834328617231</v>
      </c>
      <c r="AG51" s="175">
        <f>AF51*'Soil samples'!AR51/100</f>
        <v>2.8354978652743386</v>
      </c>
      <c r="AH51" s="174">
        <f t="shared" si="21"/>
        <v>2.8354978652743386</v>
      </c>
      <c r="AI51">
        <f t="shared" si="37"/>
        <v>94.527425070000007</v>
      </c>
      <c r="AJ51">
        <f t="shared" si="44"/>
        <v>9.4527425070000004E-2</v>
      </c>
      <c r="AK51">
        <f>AJ51*('Wet ref'!$B$40+M51)</f>
        <v>2.6829808802444659</v>
      </c>
      <c r="AL51" s="175">
        <f t="shared" si="38"/>
        <v>1.6593311181197021</v>
      </c>
      <c r="AM51" s="175">
        <f>AL51*'Soil samples'!AK51/100</f>
        <v>0.15786659499358413</v>
      </c>
      <c r="AN51" s="174">
        <f t="shared" si="23"/>
        <v>157.86659499358413</v>
      </c>
      <c r="AO51" s="175">
        <f t="shared" si="24"/>
        <v>1.6593311181197021</v>
      </c>
      <c r="AP51" s="175">
        <f>AO51*'Soil samples'!AR51/100</f>
        <v>0.15786659499358413</v>
      </c>
      <c r="AQ51" s="174">
        <f t="shared" si="25"/>
        <v>157.86659499358413</v>
      </c>
      <c r="AR51">
        <f t="shared" si="39"/>
        <v>11.073269399999999</v>
      </c>
      <c r="AS51">
        <f t="shared" si="45"/>
        <v>1.1073269399999999E-2</v>
      </c>
      <c r="AT51">
        <f>AS51*('Wet ref'!$B$40+M51)</f>
        <v>0.31429365668212744</v>
      </c>
      <c r="AU51" s="175">
        <f t="shared" si="40"/>
        <v>0.1943797842915545</v>
      </c>
      <c r="AV51" s="175">
        <f>AU51*'Soil samples'!AK51/100</f>
        <v>1.8493038759176354E-2</v>
      </c>
      <c r="AW51" s="174">
        <f t="shared" si="27"/>
        <v>18.493038759176354</v>
      </c>
      <c r="AX51" s="175">
        <f t="shared" si="28"/>
        <v>0.1943797842915545</v>
      </c>
      <c r="AY51" s="175">
        <f>AX51*'Soil samples'!AR51/100</f>
        <v>1.8493038759176354E-2</v>
      </c>
      <c r="AZ51" s="174">
        <f t="shared" si="29"/>
        <v>18.493038759176354</v>
      </c>
      <c r="BA51">
        <f t="shared" si="41"/>
        <v>9246.7623143000001</v>
      </c>
      <c r="BB51">
        <f t="shared" si="46"/>
        <v>9.2467623142999997</v>
      </c>
      <c r="BC51">
        <f>BB51*('Wet ref'!$B$40+M51)</f>
        <v>262.4517326591764</v>
      </c>
      <c r="BD51" s="175">
        <f t="shared" si="42"/>
        <v>162.31734270358396</v>
      </c>
      <c r="BE51" s="175">
        <f>BD51*'Soil samples'!AK51/100</f>
        <v>15.442659949665916</v>
      </c>
      <c r="BF51" s="174">
        <f t="shared" si="33"/>
        <v>15.442659949665915</v>
      </c>
      <c r="BG51" s="175">
        <f t="shared" si="31"/>
        <v>162.31734270358396</v>
      </c>
      <c r="BH51" s="175">
        <f>BG51*'Soil samples'!AR51/100</f>
        <v>15.442659949665916</v>
      </c>
      <c r="BI51" s="174">
        <f t="shared" si="34"/>
        <v>15.442659949665915</v>
      </c>
      <c r="BK51" s="6"/>
      <c r="BL51" s="31"/>
    </row>
    <row r="52" spans="1:64">
      <c r="A52" s="6" t="s">
        <v>56</v>
      </c>
      <c r="B52" s="6" t="s">
        <v>196</v>
      </c>
      <c r="C52" t="s">
        <v>12</v>
      </c>
      <c r="D52" s="8">
        <v>5</v>
      </c>
      <c r="E52" s="3">
        <v>10</v>
      </c>
      <c r="F52" s="26">
        <v>42783</v>
      </c>
      <c r="G52" s="3"/>
      <c r="H52">
        <f>'Wet ref'!B98</f>
        <v>577.79058469999995</v>
      </c>
      <c r="I52">
        <f>'Wet ref'!C98</f>
        <v>1853.820866</v>
      </c>
      <c r="J52">
        <f>'Wet ref'!D98</f>
        <v>51.181034009999998</v>
      </c>
      <c r="K52">
        <f>'Wet ref'!E98</f>
        <v>5.6500261219999999</v>
      </c>
      <c r="L52" s="3">
        <f t="shared" si="10"/>
        <v>3218.4146713</v>
      </c>
      <c r="M52" s="31">
        <f>'Wet ref'!$B$41*'Soil samples'!AI52%</f>
        <v>3.1687673886842607</v>
      </c>
      <c r="N52" s="105">
        <f>'Wet ref'!$B$41*'Soil samples'!AH52%</f>
        <v>1.8312326113157393</v>
      </c>
      <c r="O52">
        <f t="shared" si="35"/>
        <v>577.79058469999995</v>
      </c>
      <c r="P52">
        <f t="shared" si="43"/>
        <v>0.5777905847</v>
      </c>
      <c r="Q52">
        <f>P52*('Wet ref'!$B$40+M52)</f>
        <v>16.275648579786171</v>
      </c>
      <c r="R52" s="141">
        <f t="shared" si="32"/>
        <v>8.8878105813614408</v>
      </c>
      <c r="S52" s="141">
        <f>R52*'Soil samples'!AK52/100</f>
        <v>2.0559399285985878</v>
      </c>
      <c r="T52" s="149">
        <f t="shared" si="13"/>
        <v>2.0559399285985878</v>
      </c>
      <c r="U52" s="141">
        <f t="shared" si="14"/>
        <v>577.79058469999995</v>
      </c>
      <c r="V52" s="141">
        <f t="shared" si="15"/>
        <v>8.8878105813614408</v>
      </c>
      <c r="W52" s="141">
        <f>V52*'Soil samples'!AR52/100</f>
        <v>2.0559399285985878</v>
      </c>
      <c r="X52" s="149">
        <f t="shared" si="16"/>
        <v>2.0559399285985878</v>
      </c>
      <c r="Y52">
        <f t="shared" si="36"/>
        <v>1853.820866</v>
      </c>
      <c r="Z52">
        <f t="shared" si="17"/>
        <v>1.853820866</v>
      </c>
      <c r="AA52">
        <f>Z52*('Wet ref'!$B$40+M52)</f>
        <v>52.219848754643209</v>
      </c>
      <c r="AB52" s="175">
        <f t="shared" si="1"/>
        <v>28.516229140940911</v>
      </c>
      <c r="AC52" s="175">
        <f>AB52*'Soil samples'!AK52/100</f>
        <v>6.5964112946865257</v>
      </c>
      <c r="AD52" s="174">
        <f t="shared" si="18"/>
        <v>6.5964112946865257</v>
      </c>
      <c r="AE52" s="175">
        <f t="shared" si="19"/>
        <v>1853.820866</v>
      </c>
      <c r="AF52" s="175">
        <f t="shared" si="20"/>
        <v>28.516229140940911</v>
      </c>
      <c r="AG52" s="175">
        <f>AF52*'Soil samples'!AR52/100</f>
        <v>6.5964112946865257</v>
      </c>
      <c r="AH52" s="174">
        <f t="shared" si="21"/>
        <v>6.5964112946865257</v>
      </c>
      <c r="AI52">
        <f t="shared" si="37"/>
        <v>51.181034009999998</v>
      </c>
      <c r="AJ52">
        <f t="shared" si="44"/>
        <v>5.1181034010000001E-2</v>
      </c>
      <c r="AK52">
        <f>AJ52*('Wet ref'!$B$40+M52)</f>
        <v>1.4417066417400279</v>
      </c>
      <c r="AL52" s="175">
        <f t="shared" si="38"/>
        <v>0.78728755311110521</v>
      </c>
      <c r="AM52" s="175">
        <f>AL52*'Soil samples'!AK52/100</f>
        <v>0.18211638298460023</v>
      </c>
      <c r="AN52" s="174">
        <f t="shared" si="23"/>
        <v>182.11638298460025</v>
      </c>
      <c r="AO52" s="175">
        <f t="shared" si="24"/>
        <v>0.78728755311110521</v>
      </c>
      <c r="AP52" s="175">
        <f>AO52*'Soil samples'!AR52/100</f>
        <v>0.18211638298460023</v>
      </c>
      <c r="AQ52" s="174">
        <f t="shared" si="25"/>
        <v>182.11638298460025</v>
      </c>
      <c r="AR52">
        <f t="shared" si="39"/>
        <v>5.6500261219999999</v>
      </c>
      <c r="AS52">
        <f t="shared" si="45"/>
        <v>5.6500261220000002E-3</v>
      </c>
      <c r="AT52">
        <f>AS52*('Wet ref'!$B$40+M52)</f>
        <v>0.1591542715706078</v>
      </c>
      <c r="AU52" s="175">
        <f t="shared" si="40"/>
        <v>8.6911007693476774E-2</v>
      </c>
      <c r="AV52" s="175">
        <f>AU52*'Soil samples'!AK52/100</f>
        <v>2.0104367584799165E-2</v>
      </c>
      <c r="AW52" s="174">
        <f t="shared" si="27"/>
        <v>20.104367584799167</v>
      </c>
      <c r="AX52" s="175">
        <f t="shared" si="28"/>
        <v>8.6911007693476774E-2</v>
      </c>
      <c r="AY52" s="175">
        <f>AX52*'Soil samples'!AR52/100</f>
        <v>2.0104367584799165E-2</v>
      </c>
      <c r="AZ52" s="174">
        <f t="shared" si="29"/>
        <v>20.104367584799167</v>
      </c>
      <c r="BA52">
        <f t="shared" si="41"/>
        <v>3218.4146713</v>
      </c>
      <c r="BB52">
        <f t="shared" si="46"/>
        <v>3.2184146713000001</v>
      </c>
      <c r="BC52">
        <f>BB52*('Wet ref'!$B$40+M52)</f>
        <v>90.658774236178417</v>
      </c>
      <c r="BD52" s="175">
        <f t="shared" si="42"/>
        <v>49.506967971174426</v>
      </c>
      <c r="BE52" s="175">
        <f>BD52*'Soil samples'!AK52/100</f>
        <v>11.452016361514051</v>
      </c>
      <c r="BF52" s="174">
        <f t="shared" si="33"/>
        <v>11.452016361514051</v>
      </c>
      <c r="BG52" s="175">
        <f t="shared" si="31"/>
        <v>49.506967971174426</v>
      </c>
      <c r="BH52" s="175">
        <f>BG52*'Soil samples'!AR52/100</f>
        <v>11.452016361514051</v>
      </c>
      <c r="BI52" s="174">
        <f t="shared" si="34"/>
        <v>11.452016361514051</v>
      </c>
      <c r="BK52" s="6"/>
      <c r="BL52" s="31"/>
    </row>
    <row r="53" spans="1:64">
      <c r="A53" s="6" t="s">
        <v>57</v>
      </c>
      <c r="B53" s="6" t="s">
        <v>196</v>
      </c>
      <c r="C53" t="s">
        <v>12</v>
      </c>
      <c r="D53" s="8">
        <v>6</v>
      </c>
      <c r="E53" s="3">
        <v>5</v>
      </c>
      <c r="F53" s="26">
        <v>42765</v>
      </c>
      <c r="G53" s="3"/>
      <c r="H53">
        <f>'Wet ref'!B99</f>
        <v>754.1273248</v>
      </c>
      <c r="I53">
        <f>'Wet ref'!C99</f>
        <v>1391.1122270000001</v>
      </c>
      <c r="J53">
        <f>'Wet ref'!D99</f>
        <v>216.87092269999999</v>
      </c>
      <c r="K53">
        <f>'Wet ref'!E99</f>
        <v>16.386577370000001</v>
      </c>
      <c r="L53" s="3">
        <f t="shared" si="10"/>
        <v>14241.337818200003</v>
      </c>
      <c r="M53" s="31">
        <f>'Wet ref'!$B$41*'Soil samples'!AI53%</f>
        <v>2.3897635325848334</v>
      </c>
      <c r="N53" s="105">
        <f>'Wet ref'!$B$41*'Soil samples'!AH53%</f>
        <v>2.6102364674151666</v>
      </c>
      <c r="O53">
        <f t="shared" si="35"/>
        <v>754.1273248</v>
      </c>
      <c r="P53">
        <f t="shared" si="43"/>
        <v>0.7541273248</v>
      </c>
      <c r="Q53">
        <f>P53*('Wet ref'!$B$40+M53)</f>
        <v>20.655369099732798</v>
      </c>
      <c r="R53" s="141">
        <f t="shared" si="32"/>
        <v>7.9132175791671271</v>
      </c>
      <c r="S53" s="141">
        <f>R53*'Soil samples'!AK53/100</f>
        <v>1.7561194808592824</v>
      </c>
      <c r="T53" s="149">
        <f t="shared" si="13"/>
        <v>1.7561194808592824</v>
      </c>
      <c r="U53" s="141">
        <f t="shared" si="14"/>
        <v>754.1273248</v>
      </c>
      <c r="V53" s="141">
        <f t="shared" si="15"/>
        <v>7.9132175791671271</v>
      </c>
      <c r="W53" s="141">
        <f>V53*'Soil samples'!AR53/100</f>
        <v>1.7561194808592824</v>
      </c>
      <c r="X53" s="149">
        <f t="shared" si="16"/>
        <v>1.7561194808592824</v>
      </c>
      <c r="Y53">
        <f t="shared" si="36"/>
        <v>1391.1122270000001</v>
      </c>
      <c r="Z53">
        <f t="shared" si="17"/>
        <v>1.391112227</v>
      </c>
      <c r="AA53">
        <f>Z53*('Wet ref'!$B$40+M53)</f>
        <v>38.102234944817475</v>
      </c>
      <c r="AB53" s="175">
        <f t="shared" si="1"/>
        <v>14.597234932721975</v>
      </c>
      <c r="AC53" s="175">
        <f>AB53*'Soil samples'!AK53/100</f>
        <v>3.2394520150083816</v>
      </c>
      <c r="AD53" s="174">
        <f t="shared" si="18"/>
        <v>3.2394520150083816</v>
      </c>
      <c r="AE53" s="175">
        <f t="shared" si="19"/>
        <v>1391.1122270000001</v>
      </c>
      <c r="AF53" s="175">
        <f t="shared" si="20"/>
        <v>14.597234932721975</v>
      </c>
      <c r="AG53" s="175">
        <f>AF53*'Soil samples'!AR53/100</f>
        <v>3.2394520150083816</v>
      </c>
      <c r="AH53" s="174">
        <f t="shared" si="21"/>
        <v>3.2394520150083816</v>
      </c>
      <c r="AI53">
        <f t="shared" si="37"/>
        <v>216.87092269999999</v>
      </c>
      <c r="AJ53">
        <f t="shared" si="44"/>
        <v>0.2168709227</v>
      </c>
      <c r="AK53">
        <f>AJ53*('Wet ref'!$B$40+M53)</f>
        <v>5.9400432898464839</v>
      </c>
      <c r="AL53" s="175">
        <f t="shared" si="38"/>
        <v>2.2756724779532016</v>
      </c>
      <c r="AM53" s="175">
        <f>AL53*'Soil samples'!AK53/100</f>
        <v>0.50502248050274801</v>
      </c>
      <c r="AN53" s="174">
        <f t="shared" si="23"/>
        <v>505.02248050274801</v>
      </c>
      <c r="AO53" s="175">
        <f t="shared" si="24"/>
        <v>2.2756724779532016</v>
      </c>
      <c r="AP53" s="175">
        <f>AO53*'Soil samples'!AR53/100</f>
        <v>0.50502248050274801</v>
      </c>
      <c r="AQ53" s="174">
        <f t="shared" si="25"/>
        <v>505.02248050274801</v>
      </c>
      <c r="AR53">
        <f t="shared" si="39"/>
        <v>16.386577370000001</v>
      </c>
      <c r="AS53">
        <f t="shared" si="45"/>
        <v>1.6386577370000002E-2</v>
      </c>
      <c r="AT53">
        <f>AS53*('Wet ref'!$B$40+M53)</f>
        <v>0.44882447927270597</v>
      </c>
      <c r="AU53" s="175">
        <f t="shared" si="40"/>
        <v>0.17194782345415718</v>
      </c>
      <c r="AV53" s="175">
        <f>AU53*'Soil samples'!AK53/100</f>
        <v>3.8159057227765462E-2</v>
      </c>
      <c r="AW53" s="174">
        <f t="shared" si="27"/>
        <v>38.159057227765459</v>
      </c>
      <c r="AX53" s="175">
        <f t="shared" si="28"/>
        <v>0.17194782345415718</v>
      </c>
      <c r="AY53" s="175">
        <f>AX53*'Soil samples'!AR53/100</f>
        <v>3.8159057227765462E-2</v>
      </c>
      <c r="AZ53" s="174">
        <f t="shared" si="29"/>
        <v>38.159057227765459</v>
      </c>
      <c r="BA53">
        <f t="shared" si="41"/>
        <v>14241.337818200003</v>
      </c>
      <c r="BB53">
        <f t="shared" si="46"/>
        <v>14.241337818200003</v>
      </c>
      <c r="BC53">
        <f>BB53*('Wet ref'!$B$40+M53)</f>
        <v>390.06687522815571</v>
      </c>
      <c r="BD53" s="175">
        <f t="shared" si="42"/>
        <v>149.43737094226807</v>
      </c>
      <c r="BE53" s="175">
        <f>BD53*'Soil samples'!AK53/100</f>
        <v>33.163485731897794</v>
      </c>
      <c r="BF53" s="174">
        <f t="shared" si="33"/>
        <v>33.163485731897794</v>
      </c>
      <c r="BG53" s="175">
        <f t="shared" si="31"/>
        <v>149.43737094226807</v>
      </c>
      <c r="BH53" s="175">
        <f>BG53*'Soil samples'!AR53/100</f>
        <v>33.163485731897794</v>
      </c>
      <c r="BI53" s="174">
        <f t="shared" si="34"/>
        <v>33.163485731897794</v>
      </c>
      <c r="BK53" s="6"/>
      <c r="BL53" s="31"/>
    </row>
    <row r="54" spans="1:64">
      <c r="A54" s="6" t="s">
        <v>58</v>
      </c>
      <c r="B54" s="6" t="s">
        <v>196</v>
      </c>
      <c r="C54" t="s">
        <v>12</v>
      </c>
      <c r="D54" s="8">
        <v>6</v>
      </c>
      <c r="E54" s="3">
        <v>10</v>
      </c>
      <c r="F54" s="26">
        <v>42765</v>
      </c>
      <c r="G54" s="3"/>
      <c r="H54">
        <f>'Wet ref'!B100</f>
        <v>202.18209039999999</v>
      </c>
      <c r="I54">
        <f>'Wet ref'!C100</f>
        <v>600.97126000000003</v>
      </c>
      <c r="J54">
        <f>'Wet ref'!D100</f>
        <v>238.3768499</v>
      </c>
      <c r="K54">
        <f>'Wet ref'!E100</f>
        <v>9.8812920440000003</v>
      </c>
      <c r="L54" s="3">
        <f t="shared" si="10"/>
        <v>9078.1386935999999</v>
      </c>
      <c r="M54" s="31">
        <f>'Wet ref'!$B$41*'Soil samples'!AI54%</f>
        <v>2.3462819930334691</v>
      </c>
      <c r="N54" s="105">
        <f>'Wet ref'!$B$41*'Soil samples'!AH54%</f>
        <v>2.6537180069665305</v>
      </c>
      <c r="O54">
        <f t="shared" si="35"/>
        <v>202.18209039999999</v>
      </c>
      <c r="P54">
        <f t="shared" si="43"/>
        <v>0.20218209039999999</v>
      </c>
      <c r="Q54">
        <f>P54*('Wet ref'!$B$40+M54)</f>
        <v>5.5289284580193847</v>
      </c>
      <c r="R54" s="141">
        <f t="shared" si="32"/>
        <v>2.0834649512513623</v>
      </c>
      <c r="S54" s="141">
        <f>R54*'Soil samples'!AK54/100</f>
        <v>0.391337556258612</v>
      </c>
      <c r="T54" s="149">
        <f t="shared" si="13"/>
        <v>0.391337556258612</v>
      </c>
      <c r="U54" s="141">
        <f t="shared" si="14"/>
        <v>202.18209039999999</v>
      </c>
      <c r="V54" s="141">
        <f t="shared" si="15"/>
        <v>2.0834649512513623</v>
      </c>
      <c r="W54" s="141">
        <f>V54*'Soil samples'!AR54/100</f>
        <v>0.391337556258612</v>
      </c>
      <c r="X54" s="149">
        <f t="shared" si="16"/>
        <v>0.391337556258612</v>
      </c>
      <c r="Y54">
        <f t="shared" si="36"/>
        <v>600.97126000000003</v>
      </c>
      <c r="Z54">
        <f t="shared" si="17"/>
        <v>0.60097126000000001</v>
      </c>
      <c r="AA54">
        <f>Z54*('Wet ref'!$B$40+M54)</f>
        <v>16.434329545668636</v>
      </c>
      <c r="AB54" s="175">
        <f t="shared" si="1"/>
        <v>6.192944955916678</v>
      </c>
      <c r="AC54" s="175">
        <f>AB54*'Soil samples'!AK54/100</f>
        <v>1.1632218452424257</v>
      </c>
      <c r="AD54" s="174">
        <f t="shared" si="18"/>
        <v>1.1632218452424257</v>
      </c>
      <c r="AE54" s="175">
        <f t="shared" si="19"/>
        <v>600.97126000000003</v>
      </c>
      <c r="AF54" s="175">
        <f t="shared" si="20"/>
        <v>6.192944955916678</v>
      </c>
      <c r="AG54" s="175">
        <f>AF54*'Soil samples'!AR54/100</f>
        <v>1.1632218452424257</v>
      </c>
      <c r="AH54" s="174">
        <f t="shared" si="21"/>
        <v>1.1632218452424257</v>
      </c>
      <c r="AI54">
        <f t="shared" si="37"/>
        <v>238.3768499</v>
      </c>
      <c r="AJ54">
        <f t="shared" si="44"/>
        <v>0.23837684989999999</v>
      </c>
      <c r="AK54">
        <f>AJ54*('Wet ref'!$B$40+M54)</f>
        <v>6.5187205579764118</v>
      </c>
      <c r="AL54" s="175">
        <f t="shared" si="38"/>
        <v>2.4564481006887284</v>
      </c>
      <c r="AM54" s="175">
        <f>AL54*'Soil samples'!AK54/100</f>
        <v>0.46139504109357027</v>
      </c>
      <c r="AN54" s="174">
        <f t="shared" si="23"/>
        <v>461.39504109357023</v>
      </c>
      <c r="AO54" s="175">
        <f t="shared" si="24"/>
        <v>2.4564481006887284</v>
      </c>
      <c r="AP54" s="175">
        <f>AO54*'Soil samples'!AR54/100</f>
        <v>0.46139504109357027</v>
      </c>
      <c r="AQ54" s="174">
        <f t="shared" si="25"/>
        <v>461.39504109357023</v>
      </c>
      <c r="AR54">
        <f t="shared" si="39"/>
        <v>9.8812920440000003</v>
      </c>
      <c r="AS54">
        <f t="shared" si="45"/>
        <v>9.8812920439999997E-3</v>
      </c>
      <c r="AT54">
        <f>AS54*('Wet ref'!$B$40+M54)</f>
        <v>0.27021659869074205</v>
      </c>
      <c r="AU54" s="175">
        <f t="shared" si="40"/>
        <v>0.10182566421201139</v>
      </c>
      <c r="AV54" s="175">
        <f>AU54*'Soil samples'!AK54/100</f>
        <v>1.9125930855330715E-2</v>
      </c>
      <c r="AW54" s="174">
        <f t="shared" si="27"/>
        <v>19.125930855330715</v>
      </c>
      <c r="AX54" s="175">
        <f t="shared" si="28"/>
        <v>0.10182566421201139</v>
      </c>
      <c r="AY54" s="175">
        <f>AX54*'Soil samples'!AR54/100</f>
        <v>1.9125930855330715E-2</v>
      </c>
      <c r="AZ54" s="174">
        <f t="shared" si="29"/>
        <v>19.125930855330715</v>
      </c>
      <c r="BA54">
        <f t="shared" si="41"/>
        <v>9078.1386935999999</v>
      </c>
      <c r="BB54">
        <f t="shared" si="46"/>
        <v>9.0781386935999997</v>
      </c>
      <c r="BC54">
        <f>BB54*('Wet ref'!$B$40+M54)</f>
        <v>248.25334068705405</v>
      </c>
      <c r="BD54" s="175">
        <f t="shared" si="42"/>
        <v>93.549254304843359</v>
      </c>
      <c r="BE54" s="175">
        <f>BD54*'Soil samples'!AK54/100</f>
        <v>17.571371453829681</v>
      </c>
      <c r="BF54" s="174">
        <f t="shared" si="33"/>
        <v>17.571371453829681</v>
      </c>
      <c r="BG54" s="175">
        <f t="shared" si="31"/>
        <v>93.549254304843359</v>
      </c>
      <c r="BH54" s="175">
        <f>BG54*'Soil samples'!AR54/100</f>
        <v>17.571371453829681</v>
      </c>
      <c r="BI54" s="174">
        <f t="shared" si="34"/>
        <v>17.571371453829681</v>
      </c>
      <c r="BK54" s="6"/>
      <c r="BL54" s="31"/>
    </row>
    <row r="55" spans="1:64">
      <c r="A55" s="6" t="s">
        <v>59</v>
      </c>
      <c r="B55" s="6" t="s">
        <v>196</v>
      </c>
      <c r="C55" t="s">
        <v>12</v>
      </c>
      <c r="D55" s="8">
        <v>6</v>
      </c>
      <c r="E55" s="3">
        <v>20</v>
      </c>
      <c r="F55" s="26">
        <v>42765</v>
      </c>
      <c r="G55" s="3"/>
      <c r="H55">
        <f>'Wet ref'!B101</f>
        <v>631.28394749999995</v>
      </c>
      <c r="I55">
        <f>'Wet ref'!C101</f>
        <v>652.92144589999998</v>
      </c>
      <c r="J55">
        <f>'Wet ref'!D101</f>
        <v>259.02253999999999</v>
      </c>
      <c r="K55">
        <f>'Wet ref'!E101</f>
        <v>9.0759785710000003</v>
      </c>
      <c r="L55" s="3">
        <f t="shared" si="10"/>
        <v>7791.7731776000001</v>
      </c>
      <c r="M55" s="31">
        <f>'Wet ref'!$B$41*'Soil samples'!AI55%</f>
        <v>1.9618099639429187</v>
      </c>
      <c r="N55" s="105">
        <f>'Wet ref'!$B$41*'Soil samples'!AH55%</f>
        <v>3.038190036057081</v>
      </c>
      <c r="O55">
        <f t="shared" si="35"/>
        <v>631.28394749999995</v>
      </c>
      <c r="P55">
        <f t="shared" si="43"/>
        <v>0.63128394749999994</v>
      </c>
      <c r="Q55">
        <f>P55*('Wet ref'!$B$40+M55)</f>
        <v>17.020557825782717</v>
      </c>
      <c r="R55" s="141">
        <f t="shared" si="32"/>
        <v>5.6022031616796921</v>
      </c>
      <c r="S55" s="141">
        <f>R55*'Soil samples'!AK55/100</f>
        <v>1.7306503197255858</v>
      </c>
      <c r="T55" s="149">
        <f t="shared" si="13"/>
        <v>1.7306503197255858</v>
      </c>
      <c r="U55" s="141">
        <f t="shared" si="14"/>
        <v>631.28394749999995</v>
      </c>
      <c r="V55" s="141">
        <f t="shared" si="15"/>
        <v>5.6022031616796921</v>
      </c>
      <c r="W55" s="141">
        <f>V55*'Soil samples'!AR55/100</f>
        <v>1.7306503197255858</v>
      </c>
      <c r="X55" s="149">
        <f t="shared" si="16"/>
        <v>1.7306503197255858</v>
      </c>
      <c r="Y55">
        <f t="shared" si="36"/>
        <v>652.92144589999998</v>
      </c>
      <c r="Z55">
        <f t="shared" si="17"/>
        <v>0.65292144590000001</v>
      </c>
      <c r="AA55">
        <f>Z55*('Wet ref'!$B$40+M55)</f>
        <v>17.603943945738639</v>
      </c>
      <c r="AB55" s="175">
        <f t="shared" si="1"/>
        <v>5.7942208146350129</v>
      </c>
      <c r="AC55" s="175">
        <f>AB55*'Soil samples'!AK55/100</f>
        <v>1.7899690204027041</v>
      </c>
      <c r="AD55" s="174">
        <f t="shared" si="18"/>
        <v>1.7899690204027041</v>
      </c>
      <c r="AE55" s="175">
        <f t="shared" si="19"/>
        <v>652.92144589999998</v>
      </c>
      <c r="AF55" s="175">
        <f t="shared" si="20"/>
        <v>5.7942208146350129</v>
      </c>
      <c r="AG55" s="175">
        <f>AF55*'Soil samples'!AR55/100</f>
        <v>1.7899690204027041</v>
      </c>
      <c r="AH55" s="174">
        <f t="shared" si="21"/>
        <v>1.7899690204027041</v>
      </c>
      <c r="AI55">
        <f t="shared" si="37"/>
        <v>259.02253999999999</v>
      </c>
      <c r="AJ55">
        <f t="shared" si="44"/>
        <v>0.25902253999999997</v>
      </c>
      <c r="AK55">
        <f>AJ55*('Wet ref'!$B$40+M55)</f>
        <v>6.9837164998578025</v>
      </c>
      <c r="AL55" s="175">
        <f t="shared" si="38"/>
        <v>2.2986437375461768</v>
      </c>
      <c r="AM55" s="175">
        <f>AL55*'Soil samples'!AK55/100</f>
        <v>0.71010429370554107</v>
      </c>
      <c r="AN55" s="174">
        <f t="shared" si="23"/>
        <v>710.10429370554107</v>
      </c>
      <c r="AO55" s="175">
        <f t="shared" si="24"/>
        <v>2.2986437375461768</v>
      </c>
      <c r="AP55" s="175">
        <f>AO55*'Soil samples'!AR55/100</f>
        <v>0.71010429370554107</v>
      </c>
      <c r="AQ55" s="174">
        <f t="shared" si="25"/>
        <v>710.10429370554107</v>
      </c>
      <c r="AR55">
        <f t="shared" si="39"/>
        <v>9.0759785710000003</v>
      </c>
      <c r="AS55">
        <f t="shared" si="45"/>
        <v>9.0759785710000009E-3</v>
      </c>
      <c r="AT55">
        <f>AS55*('Wet ref'!$B$40+M55)</f>
        <v>0.24470480946812023</v>
      </c>
      <c r="AU55" s="175">
        <f t="shared" si="40"/>
        <v>8.0542957011897315E-2</v>
      </c>
      <c r="AV55" s="175">
        <f>AU55*'Soil samples'!AK55/100</f>
        <v>2.4881585026718455E-2</v>
      </c>
      <c r="AW55" s="174">
        <f t="shared" si="27"/>
        <v>24.881585026718458</v>
      </c>
      <c r="AX55" s="175">
        <f t="shared" si="28"/>
        <v>8.0542957011897315E-2</v>
      </c>
      <c r="AY55" s="175">
        <f>AX55*'Soil samples'!AR55/100</f>
        <v>2.4881585026718455E-2</v>
      </c>
      <c r="AZ55" s="174">
        <f t="shared" si="29"/>
        <v>24.881585026718458</v>
      </c>
      <c r="BA55">
        <f t="shared" si="41"/>
        <v>7791.7731776000001</v>
      </c>
      <c r="BB55">
        <f t="shared" si="46"/>
        <v>7.7917731775999997</v>
      </c>
      <c r="BC55">
        <f>BB55*('Wet ref'!$B$40+M55)</f>
        <v>210.08030769659885</v>
      </c>
      <c r="BD55" s="175">
        <f t="shared" si="42"/>
        <v>69.146533035582607</v>
      </c>
      <c r="BE55" s="175">
        <f>BD55*'Soil samples'!AK55/100</f>
        <v>21.360965686590163</v>
      </c>
      <c r="BF55" s="174">
        <f t="shared" si="33"/>
        <v>21.360965686590163</v>
      </c>
      <c r="BG55" s="175">
        <f t="shared" si="31"/>
        <v>69.146533035582607</v>
      </c>
      <c r="BH55" s="175">
        <f>BG55*'Soil samples'!AR55/100</f>
        <v>21.360965686590163</v>
      </c>
      <c r="BI55" s="174">
        <f t="shared" si="34"/>
        <v>21.360965686590163</v>
      </c>
      <c r="BK55" s="6"/>
      <c r="BL55" s="31"/>
    </row>
    <row r="56" spans="1:64">
      <c r="A56" s="6" t="s">
        <v>60</v>
      </c>
      <c r="B56" s="6" t="s">
        <v>196</v>
      </c>
      <c r="C56" t="s">
        <v>13</v>
      </c>
      <c r="D56" s="8">
        <v>1</v>
      </c>
      <c r="E56" s="3">
        <v>5</v>
      </c>
      <c r="F56" s="26">
        <v>42769</v>
      </c>
      <c r="G56" s="3"/>
      <c r="H56">
        <f>'Wet ref'!B102</f>
        <v>21.87471897</v>
      </c>
      <c r="I56">
        <f>'Wet ref'!C102</f>
        <v>245.68289189999999</v>
      </c>
      <c r="J56">
        <f>'Wet ref'!D102</f>
        <v>63.714210479999998</v>
      </c>
      <c r="K56">
        <f>'Wet ref'!E102</f>
        <v>3.4757941579999998</v>
      </c>
      <c r="L56" s="3">
        <f t="shared" si="10"/>
        <v>3208.23654713</v>
      </c>
      <c r="M56" s="31">
        <f>'Wet ref'!$B$41*'Soil samples'!AI56%</f>
        <v>2.0680386510836337</v>
      </c>
      <c r="N56" s="105">
        <f>'Wet ref'!$B$41*'Soil samples'!AH56%</f>
        <v>2.9319613489163663</v>
      </c>
      <c r="O56">
        <f t="shared" si="35"/>
        <v>21.87471897</v>
      </c>
      <c r="P56">
        <f t="shared" si="43"/>
        <v>2.1874718969999998E-2</v>
      </c>
      <c r="Q56">
        <f>P56*('Wet ref'!$B$40+M56)</f>
        <v>0.59210573856155235</v>
      </c>
      <c r="R56" s="141">
        <f t="shared" si="32"/>
        <v>0.20194868488985734</v>
      </c>
      <c r="S56" s="141">
        <f>R56*'Soil samples'!AK56/100</f>
        <v>0.1092908772236913</v>
      </c>
      <c r="T56" s="149">
        <f t="shared" si="13"/>
        <v>0.1092908772236913</v>
      </c>
      <c r="U56" s="141">
        <f t="shared" si="14"/>
        <v>21.87471897</v>
      </c>
      <c r="V56" s="141">
        <f t="shared" si="15"/>
        <v>0.20194868488985734</v>
      </c>
      <c r="W56" s="141">
        <f>V56*'Soil samples'!AR56/100</f>
        <v>0.1092908772236913</v>
      </c>
      <c r="X56" s="149">
        <f t="shared" si="16"/>
        <v>0.1092908772236913</v>
      </c>
      <c r="Y56">
        <f t="shared" si="36"/>
        <v>245.68289189999999</v>
      </c>
      <c r="Z56">
        <f t="shared" si="17"/>
        <v>0.24568289189999998</v>
      </c>
      <c r="AA56">
        <f>Z56*('Wet ref'!$B$40+M56)</f>
        <v>6.6501540138592015</v>
      </c>
      <c r="AB56" s="175">
        <f t="shared" si="1"/>
        <v>2.2681588269630684</v>
      </c>
      <c r="AC56" s="175">
        <f>AB56*'Soil samples'!AK56/100</f>
        <v>1.2274854278781309</v>
      </c>
      <c r="AD56" s="174">
        <f t="shared" si="18"/>
        <v>1.2274854278781309</v>
      </c>
      <c r="AE56" s="175">
        <f t="shared" si="19"/>
        <v>245.68289189999999</v>
      </c>
      <c r="AF56" s="175">
        <f t="shared" si="20"/>
        <v>2.2681588269630684</v>
      </c>
      <c r="AG56" s="175">
        <f>AF56*'Soil samples'!AR56/100</f>
        <v>1.2274854278781309</v>
      </c>
      <c r="AH56" s="174">
        <f t="shared" si="21"/>
        <v>1.2274854278781309</v>
      </c>
      <c r="AI56">
        <f t="shared" si="37"/>
        <v>63.714210479999998</v>
      </c>
      <c r="AJ56">
        <f t="shared" si="44"/>
        <v>6.3714210480000005E-2</v>
      </c>
      <c r="AK56">
        <f>AJ56*('Wet ref'!$B$40+M56)</f>
        <v>1.724618711895918</v>
      </c>
      <c r="AL56" s="175">
        <f t="shared" si="38"/>
        <v>0.58821331752320871</v>
      </c>
      <c r="AM56" s="175">
        <f>AL56*'Soil samples'!AK56/100</f>
        <v>0.31833012184174841</v>
      </c>
      <c r="AN56" s="174">
        <f t="shared" si="23"/>
        <v>318.33012184174839</v>
      </c>
      <c r="AO56" s="175">
        <f t="shared" si="24"/>
        <v>0.58821331752320871</v>
      </c>
      <c r="AP56" s="175">
        <f>AO56*'Soil samples'!AR56/100</f>
        <v>0.31833012184174841</v>
      </c>
      <c r="AQ56" s="174">
        <f t="shared" si="25"/>
        <v>318.33012184174839</v>
      </c>
      <c r="AR56">
        <f t="shared" si="39"/>
        <v>3.4757941579999998</v>
      </c>
      <c r="AS56">
        <f t="shared" si="45"/>
        <v>3.4757941579999997E-3</v>
      </c>
      <c r="AT56">
        <f>AS56*('Wet ref'!$B$40+M56)</f>
        <v>9.408293061195469E-2</v>
      </c>
      <c r="AU56" s="175">
        <f t="shared" si="40"/>
        <v>3.2088734951000335E-2</v>
      </c>
      <c r="AV56" s="175">
        <f>AU56*'Soil samples'!AK56/100</f>
        <v>1.7365827332354592E-2</v>
      </c>
      <c r="AW56" s="174">
        <f t="shared" si="27"/>
        <v>17.365827332354591</v>
      </c>
      <c r="AX56" s="175">
        <f t="shared" si="28"/>
        <v>3.2088734951000335E-2</v>
      </c>
      <c r="AY56" s="175">
        <f>AX56*'Soil samples'!AR56/100</f>
        <v>1.7365827332354592E-2</v>
      </c>
      <c r="AZ56" s="174">
        <f t="shared" si="29"/>
        <v>17.365827332354591</v>
      </c>
      <c r="BA56">
        <f t="shared" si="41"/>
        <v>3208.23654713</v>
      </c>
      <c r="BB56">
        <f t="shared" si="46"/>
        <v>3.2082365471299998</v>
      </c>
      <c r="BC56">
        <f>BB56*('Wet ref'!$B$40+M56)</f>
        <v>86.84067085953393</v>
      </c>
      <c r="BD56" s="175">
        <f t="shared" si="42"/>
        <v>29.618627439147406</v>
      </c>
      <c r="BE56" s="175">
        <f>BD56*'Soil samples'!AK56/100</f>
        <v>16.029051027252766</v>
      </c>
      <c r="BF56" s="174">
        <f t="shared" si="33"/>
        <v>16.029051027252766</v>
      </c>
      <c r="BG56" s="175">
        <f t="shared" si="31"/>
        <v>29.618627439147406</v>
      </c>
      <c r="BH56" s="175">
        <f>BG56*'Soil samples'!AR56/100</f>
        <v>16.029051027252766</v>
      </c>
      <c r="BI56" s="174">
        <f t="shared" si="34"/>
        <v>16.029051027252766</v>
      </c>
      <c r="BK56" s="6"/>
      <c r="BL56" s="31"/>
    </row>
    <row r="57" spans="1:64">
      <c r="A57" s="6" t="s">
        <v>61</v>
      </c>
      <c r="B57" s="6" t="s">
        <v>196</v>
      </c>
      <c r="C57" t="s">
        <v>13</v>
      </c>
      <c r="D57" s="8">
        <v>1</v>
      </c>
      <c r="E57" s="3">
        <v>10</v>
      </c>
      <c r="F57" s="26">
        <v>42769</v>
      </c>
      <c r="G57" s="3"/>
      <c r="H57">
        <f>'Wet ref'!B103</f>
        <v>13.232106849999999</v>
      </c>
      <c r="I57">
        <f>'Wet ref'!C103</f>
        <v>2.920056411</v>
      </c>
      <c r="J57">
        <f>'Wet ref'!D103</f>
        <v>31.29999909</v>
      </c>
      <c r="K57">
        <f>'Wet ref'!E103</f>
        <v>0.81152926800000003</v>
      </c>
      <c r="L57" s="3">
        <f t="shared" si="10"/>
        <v>795.37710473899995</v>
      </c>
      <c r="M57" s="31">
        <f>'Wet ref'!$B$41*'Soil samples'!AI57%</f>
        <v>1.2178050621846062</v>
      </c>
      <c r="N57" s="105">
        <f>'Wet ref'!$B$41*'Soil samples'!AH57%</f>
        <v>3.7821949378153938</v>
      </c>
      <c r="O57">
        <f t="shared" si="35"/>
        <v>13.232106849999999</v>
      </c>
      <c r="P57">
        <f t="shared" si="43"/>
        <v>1.323210685E-2</v>
      </c>
      <c r="Q57">
        <f>P57*('Wet ref'!$B$40+M57)</f>
        <v>0.34691679795529762</v>
      </c>
      <c r="R57" s="141">
        <f t="shared" si="32"/>
        <v>9.172366936635945E-2</v>
      </c>
      <c r="S57" s="141">
        <f>R57*'Soil samples'!AK57/100</f>
        <v>7.0895916830144637E-2</v>
      </c>
      <c r="T57" s="149">
        <f t="shared" si="13"/>
        <v>7.0895916830144637E-2</v>
      </c>
      <c r="U57" s="141">
        <f t="shared" si="14"/>
        <v>13.232106849999999</v>
      </c>
      <c r="V57" s="141">
        <f t="shared" si="15"/>
        <v>9.172366936635945E-2</v>
      </c>
      <c r="W57" s="141">
        <f>V57*'Soil samples'!AR57/100</f>
        <v>7.0895916830144637E-2</v>
      </c>
      <c r="X57" s="149">
        <f t="shared" si="16"/>
        <v>7.0895916830144637E-2</v>
      </c>
      <c r="Y57">
        <f t="shared" si="36"/>
        <v>2.920056411</v>
      </c>
      <c r="Z57">
        <f t="shared" si="17"/>
        <v>2.920056411E-3</v>
      </c>
      <c r="AA57">
        <f>Z57*('Wet ref'!$B$40+M57)</f>
        <v>7.6557469754180416E-2</v>
      </c>
      <c r="AB57" s="175">
        <f t="shared" si="1"/>
        <v>2.0241545190793422E-2</v>
      </c>
      <c r="AC57" s="175">
        <f>AB57*'Soil samples'!AK57/100</f>
        <v>1.5645284518964311E-2</v>
      </c>
      <c r="AD57" s="174">
        <f t="shared" si="18"/>
        <v>1.5645284518964311E-2</v>
      </c>
      <c r="AE57" s="175">
        <f t="shared" si="19"/>
        <v>2.920056411</v>
      </c>
      <c r="AF57" s="175">
        <f t="shared" si="20"/>
        <v>2.0241545190793422E-2</v>
      </c>
      <c r="AG57" s="175">
        <f>AF57*'Soil samples'!AR57/100</f>
        <v>1.5645284518964311E-2</v>
      </c>
      <c r="AH57" s="174">
        <f t="shared" si="21"/>
        <v>1.5645284518964311E-2</v>
      </c>
      <c r="AI57">
        <f t="shared" si="37"/>
        <v>31.29999909</v>
      </c>
      <c r="AJ57">
        <f t="shared" si="44"/>
        <v>3.1299999090000002E-2</v>
      </c>
      <c r="AK57">
        <f>AJ57*('Wet ref'!$B$40+M57)</f>
        <v>0.82061727458817568</v>
      </c>
      <c r="AL57" s="175">
        <f t="shared" si="38"/>
        <v>0.2169685296713359</v>
      </c>
      <c r="AM57" s="175">
        <f>AL57*'Soil samples'!AK57/100</f>
        <v>0.16770134623483959</v>
      </c>
      <c r="AN57" s="174">
        <f t="shared" si="23"/>
        <v>167.7013462348396</v>
      </c>
      <c r="AO57" s="175">
        <f t="shared" si="24"/>
        <v>0.2169685296713359</v>
      </c>
      <c r="AP57" s="175">
        <f>AO57*'Soil samples'!AR57/100</f>
        <v>0.16770134623483959</v>
      </c>
      <c r="AQ57" s="174">
        <f t="shared" si="25"/>
        <v>167.7013462348396</v>
      </c>
      <c r="AR57">
        <f t="shared" si="39"/>
        <v>0.81152926800000003</v>
      </c>
      <c r="AS57">
        <f t="shared" si="45"/>
        <v>8.1152926799999997E-4</v>
      </c>
      <c r="AT57">
        <f>AS57*('Wet ref'!$B$40+M57)</f>
        <v>2.1276516150681369E-2</v>
      </c>
      <c r="AU57" s="175">
        <f t="shared" si="40"/>
        <v>5.6254414435261083E-3</v>
      </c>
      <c r="AV57" s="175">
        <f>AU57*'Soil samples'!AK57/100</f>
        <v>4.3480688405532451E-3</v>
      </c>
      <c r="AW57" s="174">
        <f t="shared" si="27"/>
        <v>4.3480688405532453</v>
      </c>
      <c r="AX57" s="175">
        <f t="shared" si="28"/>
        <v>5.6254414435261083E-3</v>
      </c>
      <c r="AY57" s="175">
        <f>AX57*'Soil samples'!AR57/100</f>
        <v>4.3480688405532451E-3</v>
      </c>
      <c r="AZ57" s="174">
        <f t="shared" si="29"/>
        <v>4.3480688405532453</v>
      </c>
      <c r="BA57">
        <f t="shared" si="41"/>
        <v>795.37710473899995</v>
      </c>
      <c r="BB57">
        <f t="shared" si="46"/>
        <v>0.79537710473899992</v>
      </c>
      <c r="BC57">
        <f>BB57*('Wet ref'!$B$40+M57)</f>
        <v>20.853041882971887</v>
      </c>
      <c r="BD57" s="175">
        <f t="shared" si="42"/>
        <v>5.5134762289689547</v>
      </c>
      <c r="BE57" s="175">
        <f>BD57*'Soil samples'!AK57/100</f>
        <v>4.261527639204135</v>
      </c>
      <c r="BF57" s="174">
        <f t="shared" si="33"/>
        <v>4.261527639204135</v>
      </c>
      <c r="BG57" s="175">
        <f t="shared" si="31"/>
        <v>5.5134762289689547</v>
      </c>
      <c r="BH57" s="175">
        <f>BG57*'Soil samples'!AR57/100</f>
        <v>4.261527639204135</v>
      </c>
      <c r="BI57" s="174">
        <f t="shared" si="34"/>
        <v>4.261527639204135</v>
      </c>
      <c r="BK57" s="6"/>
      <c r="BL57" s="31"/>
    </row>
    <row r="58" spans="1:64">
      <c r="A58" s="6" t="s">
        <v>62</v>
      </c>
      <c r="B58" s="6" t="s">
        <v>196</v>
      </c>
      <c r="C58" t="s">
        <v>13</v>
      </c>
      <c r="D58" s="8">
        <v>1</v>
      </c>
      <c r="E58" s="3">
        <v>20</v>
      </c>
      <c r="F58" s="26">
        <v>42769</v>
      </c>
      <c r="G58" s="3"/>
      <c r="H58">
        <f>'Wet ref'!B104</f>
        <v>6.5896120219999998</v>
      </c>
      <c r="I58">
        <f>'Wet ref'!C104</f>
        <v>36.334106970000001</v>
      </c>
      <c r="J58">
        <f>'Wet ref'!D104</f>
        <v>9.3161623870000003</v>
      </c>
      <c r="K58">
        <f>'Wet ref'!E104</f>
        <v>0.65106730999999995</v>
      </c>
      <c r="L58" s="3">
        <f t="shared" si="10"/>
        <v>608.14359100799993</v>
      </c>
      <c r="M58" s="31">
        <f>'Wet ref'!$B$41*'Soil samples'!AI58%</f>
        <v>1.0007567671870568</v>
      </c>
      <c r="N58" s="105">
        <f>'Wet ref'!$B$41*'Soil samples'!AH58%</f>
        <v>3.9992432328129435</v>
      </c>
      <c r="O58">
        <f t="shared" si="35"/>
        <v>6.5896120219999998</v>
      </c>
      <c r="P58">
        <f t="shared" si="43"/>
        <v>6.5896120219999998E-3</v>
      </c>
      <c r="Q58">
        <f>P58*('Wet ref'!$B$40+M58)</f>
        <v>0.17133489937415367</v>
      </c>
      <c r="R58" s="141">
        <f t="shared" si="32"/>
        <v>4.2841830166364253E-2</v>
      </c>
      <c r="S58" s="141">
        <f>R58*'Soil samples'!AK58/100</f>
        <v>4.2734350601901422E-2</v>
      </c>
      <c r="T58" s="149">
        <f t="shared" si="13"/>
        <v>4.2734350601901422E-2</v>
      </c>
      <c r="U58" s="141">
        <f t="shared" si="14"/>
        <v>6.5896120219999998</v>
      </c>
      <c r="V58" s="141">
        <f t="shared" si="15"/>
        <v>4.2841830166364253E-2</v>
      </c>
      <c r="W58" s="141">
        <f>V58*'Soil samples'!AR58/100</f>
        <v>4.2734350601901422E-2</v>
      </c>
      <c r="X58" s="149">
        <f t="shared" si="16"/>
        <v>4.2734350601901422E-2</v>
      </c>
      <c r="Y58">
        <f t="shared" si="36"/>
        <v>36.334106970000001</v>
      </c>
      <c r="Z58">
        <f t="shared" si="17"/>
        <v>3.6334106970000002E-2</v>
      </c>
      <c r="AA58">
        <f>Z58*('Wet ref'!$B$40+M58)</f>
        <v>0.94471427767992588</v>
      </c>
      <c r="AB58" s="175">
        <f t="shared" si="1"/>
        <v>0.23622326092315302</v>
      </c>
      <c r="AC58" s="175">
        <f>AB58*'Soil samples'!AK58/100</f>
        <v>0.23563063513892718</v>
      </c>
      <c r="AD58" s="174">
        <f t="shared" si="18"/>
        <v>0.23563063513892718</v>
      </c>
      <c r="AE58" s="175">
        <f t="shared" si="19"/>
        <v>36.334106970000001</v>
      </c>
      <c r="AF58" s="175">
        <f t="shared" si="20"/>
        <v>0.23622326092315302</v>
      </c>
      <c r="AG58" s="175">
        <f>AF58*'Soil samples'!AR58/100</f>
        <v>0.23563063513892718</v>
      </c>
      <c r="AH58" s="174">
        <f t="shared" si="21"/>
        <v>0.23563063513892718</v>
      </c>
      <c r="AI58">
        <f t="shared" si="37"/>
        <v>9.3161623870000003</v>
      </c>
      <c r="AJ58">
        <f t="shared" si="44"/>
        <v>9.3161623870000008E-3</v>
      </c>
      <c r="AK58">
        <f>AJ58*('Wet ref'!$B$40+M58)</f>
        <v>0.24222727222800378</v>
      </c>
      <c r="AL58" s="175">
        <f t="shared" si="38"/>
        <v>6.0568277078168267E-2</v>
      </c>
      <c r="AM58" s="175">
        <f>AL58*'Soil samples'!AK58/100</f>
        <v>6.0416326239108711E-2</v>
      </c>
      <c r="AN58" s="174">
        <f t="shared" si="23"/>
        <v>60.416326239108713</v>
      </c>
      <c r="AO58" s="175">
        <f t="shared" si="24"/>
        <v>6.0568277078168267E-2</v>
      </c>
      <c r="AP58" s="175">
        <f>AO58*'Soil samples'!AR58/100</f>
        <v>6.0416326239108711E-2</v>
      </c>
      <c r="AQ58" s="174">
        <f t="shared" si="25"/>
        <v>60.416326239108713</v>
      </c>
      <c r="AR58">
        <f t="shared" si="39"/>
        <v>0.65106730999999995</v>
      </c>
      <c r="AS58">
        <f t="shared" si="45"/>
        <v>6.5106730999999992E-4</v>
      </c>
      <c r="AT58">
        <f>AS58*('Wet ref'!$B$40+M58)</f>
        <v>1.6928242766376771E-2</v>
      </c>
      <c r="AU58" s="175">
        <f t="shared" si="40"/>
        <v>4.2328615142695307E-3</v>
      </c>
      <c r="AV58" s="175">
        <f>AU58*'Soil samples'!AK58/100</f>
        <v>4.2222423107896954E-3</v>
      </c>
      <c r="AW58" s="174">
        <f t="shared" si="27"/>
        <v>4.2222423107896949</v>
      </c>
      <c r="AX58" s="175">
        <f t="shared" si="28"/>
        <v>4.2328615142695307E-3</v>
      </c>
      <c r="AY58" s="175">
        <f>AX58*'Soil samples'!AR58/100</f>
        <v>4.2222423107896954E-3</v>
      </c>
      <c r="AZ58" s="174">
        <f t="shared" si="29"/>
        <v>4.2222423107896949</v>
      </c>
      <c r="BA58">
        <f t="shared" si="41"/>
        <v>608.14359100799993</v>
      </c>
      <c r="BB58">
        <f t="shared" si="46"/>
        <v>0.60814359100799997</v>
      </c>
      <c r="BC58">
        <f>BB58*('Wet ref'!$B$40+M58)</f>
        <v>15.812193589322693</v>
      </c>
      <c r="BD58" s="175">
        <f t="shared" si="42"/>
        <v>3.9537964231800142</v>
      </c>
      <c r="BE58" s="175">
        <f>BD58*'Soil samples'!AK58/100</f>
        <v>3.943877325048867</v>
      </c>
      <c r="BF58" s="174">
        <f t="shared" si="33"/>
        <v>3.9438773250488675</v>
      </c>
      <c r="BG58" s="175">
        <f t="shared" si="31"/>
        <v>3.9537964231800142</v>
      </c>
      <c r="BH58" s="175">
        <f>BG58*'Soil samples'!AR58/100</f>
        <v>3.943877325048867</v>
      </c>
      <c r="BI58" s="174">
        <f t="shared" si="34"/>
        <v>3.9438773250488675</v>
      </c>
      <c r="BK58" s="6"/>
      <c r="BL58" s="31"/>
    </row>
    <row r="59" spans="1:64">
      <c r="A59" s="6" t="s">
        <v>63</v>
      </c>
      <c r="B59" s="6" t="s">
        <v>196</v>
      </c>
      <c r="C59" t="s">
        <v>13</v>
      </c>
      <c r="D59" s="8">
        <v>2</v>
      </c>
      <c r="E59" s="3">
        <v>5</v>
      </c>
      <c r="F59" s="26">
        <v>42765</v>
      </c>
      <c r="G59" s="3"/>
      <c r="H59">
        <f>'Wet ref'!B105</f>
        <v>22.331888639999999</v>
      </c>
      <c r="I59">
        <f>'Wet ref'!C105</f>
        <v>660.61269670000001</v>
      </c>
      <c r="J59">
        <f>'Wet ref'!D105</f>
        <v>109.1395078</v>
      </c>
      <c r="K59">
        <f>'Wet ref'!E105</f>
        <v>5.1109948789999997</v>
      </c>
      <c r="L59" s="3">
        <f t="shared" si="10"/>
        <v>4428.0502936599996</v>
      </c>
      <c r="M59" s="31">
        <f>'Wet ref'!$B$41*'Soil samples'!AI59%</f>
        <v>3.5565674805684222</v>
      </c>
      <c r="N59" s="105">
        <f>'Wet ref'!$B$41*'Soil samples'!AH59%</f>
        <v>1.4434325194315774</v>
      </c>
      <c r="O59">
        <f t="shared" si="35"/>
        <v>22.331888639999999</v>
      </c>
      <c r="P59">
        <f t="shared" si="43"/>
        <v>2.2331888639999999E-2</v>
      </c>
      <c r="Q59">
        <f>P59*('Wet ref'!$B$40+M59)</f>
        <v>0.63772208491669935</v>
      </c>
      <c r="R59" s="141">
        <f t="shared" si="32"/>
        <v>0.44180942048321997</v>
      </c>
      <c r="S59" s="141">
        <f>R59*'Soil samples'!AK59/100</f>
        <v>2.3187575007571196E-2</v>
      </c>
      <c r="T59" s="149">
        <f t="shared" si="13"/>
        <v>2.3187575007571196E-2</v>
      </c>
      <c r="U59" s="141">
        <f t="shared" si="14"/>
        <v>22.331888639999999</v>
      </c>
      <c r="V59" s="141">
        <f t="shared" si="15"/>
        <v>0.44180942048321997</v>
      </c>
      <c r="W59" s="141">
        <f>V59*'Soil samples'!AR59/100</f>
        <v>2.3187575007571196E-2</v>
      </c>
      <c r="X59" s="149">
        <f t="shared" si="16"/>
        <v>2.3187575007571196E-2</v>
      </c>
      <c r="Y59">
        <f t="shared" si="36"/>
        <v>660.61269670000001</v>
      </c>
      <c r="Z59">
        <f t="shared" si="17"/>
        <v>0.6606126967</v>
      </c>
      <c r="AA59">
        <f>Z59*('Wet ref'!$B$40+M59)</f>
        <v>18.864831051833828</v>
      </c>
      <c r="AB59" s="175">
        <f t="shared" si="1"/>
        <v>13.069423612031953</v>
      </c>
      <c r="AC59" s="175">
        <f>AB59*'Soil samples'!AK59/100</f>
        <v>0.68592525704467822</v>
      </c>
      <c r="AD59" s="174">
        <f t="shared" si="18"/>
        <v>0.68592525704467822</v>
      </c>
      <c r="AE59" s="175">
        <f t="shared" si="19"/>
        <v>660.61269670000001</v>
      </c>
      <c r="AF59" s="175">
        <f t="shared" si="20"/>
        <v>13.069423612031953</v>
      </c>
      <c r="AG59" s="175">
        <f>AF59*'Soil samples'!AR59/100</f>
        <v>0.68592525704467822</v>
      </c>
      <c r="AH59" s="174">
        <f t="shared" si="21"/>
        <v>0.68592525704467822</v>
      </c>
      <c r="AI59">
        <f t="shared" si="37"/>
        <v>109.1395078</v>
      </c>
      <c r="AJ59">
        <f t="shared" si="44"/>
        <v>0.10913950780000001</v>
      </c>
      <c r="AK59">
        <f>AJ59*('Wet ref'!$B$40+M59)</f>
        <v>3.1166497192867237</v>
      </c>
      <c r="AL59" s="175">
        <f t="shared" si="38"/>
        <v>2.159193226791134</v>
      </c>
      <c r="AM59" s="175">
        <f>AL59*'Soil samples'!AK59/100</f>
        <v>0.11332138379326531</v>
      </c>
      <c r="AN59" s="174">
        <f t="shared" si="23"/>
        <v>113.32138379326531</v>
      </c>
      <c r="AO59" s="175">
        <f t="shared" si="24"/>
        <v>2.159193226791134</v>
      </c>
      <c r="AP59" s="175">
        <f>AO59*'Soil samples'!AR59/100</f>
        <v>0.11332138379326531</v>
      </c>
      <c r="AQ59" s="174">
        <f t="shared" si="25"/>
        <v>113.32138379326531</v>
      </c>
      <c r="AR59">
        <f t="shared" si="39"/>
        <v>5.1109948789999997</v>
      </c>
      <c r="AS59">
        <f t="shared" si="45"/>
        <v>5.1109948789999993E-3</v>
      </c>
      <c r="AT59">
        <f>AS59*('Wet ref'!$B$40+M59)</f>
        <v>0.14595247015500312</v>
      </c>
      <c r="AU59" s="175">
        <f t="shared" si="40"/>
        <v>0.10111485517347156</v>
      </c>
      <c r="AV59" s="175">
        <f>AU59*'Soil samples'!AK59/100</f>
        <v>5.3068318148359155E-3</v>
      </c>
      <c r="AW59" s="174">
        <f t="shared" si="27"/>
        <v>5.3068318148359159</v>
      </c>
      <c r="AX59" s="175">
        <f t="shared" si="28"/>
        <v>0.10111485517347156</v>
      </c>
      <c r="AY59" s="175">
        <f>AX59*'Soil samples'!AR59/100</f>
        <v>5.3068318148359155E-3</v>
      </c>
      <c r="AZ59" s="174">
        <f t="shared" si="29"/>
        <v>5.3068318148359159</v>
      </c>
      <c r="BA59">
        <f t="shared" si="41"/>
        <v>4428.0502936599996</v>
      </c>
      <c r="BB59">
        <f t="shared" si="46"/>
        <v>4.4280502936599992</v>
      </c>
      <c r="BC59">
        <f>BB59*('Wet ref'!$B$40+M59)</f>
        <v>126.44991701825259</v>
      </c>
      <c r="BD59" s="175">
        <f t="shared" si="42"/>
        <v>87.603622140956389</v>
      </c>
      <c r="BE59" s="175">
        <f>BD59*'Soil samples'!AK59/100</f>
        <v>4.5977189827836664</v>
      </c>
      <c r="BF59" s="174">
        <f t="shared" si="33"/>
        <v>4.5977189827836664</v>
      </c>
      <c r="BG59" s="175">
        <f t="shared" si="31"/>
        <v>87.603622140956389</v>
      </c>
      <c r="BH59" s="175">
        <f>BG59*'Soil samples'!AR59/100</f>
        <v>4.5977189827836664</v>
      </c>
      <c r="BI59" s="174">
        <f t="shared" si="34"/>
        <v>4.5977189827836664</v>
      </c>
      <c r="BK59" s="6"/>
      <c r="BL59" s="31"/>
    </row>
    <row r="60" spans="1:64">
      <c r="A60" s="6" t="s">
        <v>64</v>
      </c>
      <c r="B60" s="6" t="s">
        <v>196</v>
      </c>
      <c r="C60" t="s">
        <v>13</v>
      </c>
      <c r="D60" s="8">
        <v>2</v>
      </c>
      <c r="E60" s="3">
        <v>10</v>
      </c>
      <c r="F60" s="26">
        <v>42765</v>
      </c>
      <c r="G60" s="3"/>
      <c r="H60">
        <f>'Wet ref'!B106</f>
        <v>3.7578670029999999</v>
      </c>
      <c r="I60">
        <f>'Wet ref'!C106</f>
        <v>65.190516790000004</v>
      </c>
      <c r="J60">
        <f>'Wet ref'!D106</f>
        <v>61.778677029999997</v>
      </c>
      <c r="K60">
        <f>'Wet ref'!E106</f>
        <v>0.28488440199999998</v>
      </c>
      <c r="L60" s="3">
        <f t="shared" si="10"/>
        <v>215.93601820699996</v>
      </c>
      <c r="M60" s="31">
        <f>'Wet ref'!$B$41*'Soil samples'!AI60%</f>
        <v>1.3784401959078147</v>
      </c>
      <c r="N60" s="105">
        <f>'Wet ref'!$B$41*'Soil samples'!AH60%</f>
        <v>3.6215598040921853</v>
      </c>
      <c r="O60">
        <f t="shared" si="35"/>
        <v>3.7578670029999999</v>
      </c>
      <c r="P60">
        <f t="shared" si="43"/>
        <v>3.7578670029999998E-3</v>
      </c>
      <c r="Q60">
        <f>P60*('Wet ref'!$B$40+M60)</f>
        <v>9.9126670002810821E-2</v>
      </c>
      <c r="R60" s="141">
        <f t="shared" si="32"/>
        <v>2.7371264141711132E-2</v>
      </c>
      <c r="S60" s="141">
        <f>R60*'Soil samples'!AK60/100</f>
        <v>1.6799988032076382E-2</v>
      </c>
      <c r="T60" s="149">
        <f t="shared" si="13"/>
        <v>1.6799988032076382E-2</v>
      </c>
      <c r="U60" s="141">
        <f t="shared" si="14"/>
        <v>3.7578670029999999</v>
      </c>
      <c r="V60" s="141">
        <f t="shared" si="15"/>
        <v>2.7371264141711132E-2</v>
      </c>
      <c r="W60" s="141">
        <f>V60*'Soil samples'!AR60/100</f>
        <v>1.6799988032076382E-2</v>
      </c>
      <c r="X60" s="149">
        <f t="shared" si="16"/>
        <v>1.6799988032076382E-2</v>
      </c>
      <c r="Y60">
        <f t="shared" si="36"/>
        <v>65.190516790000004</v>
      </c>
      <c r="Z60">
        <f t="shared" si="17"/>
        <v>6.519051679E-2</v>
      </c>
      <c r="AA60">
        <f>Z60*('Wet ref'!$B$40+M60)</f>
        <v>1.7196241484853392</v>
      </c>
      <c r="AB60" s="175">
        <f t="shared" si="1"/>
        <v>0.47482969811578096</v>
      </c>
      <c r="AC60" s="175">
        <f>AB60*'Soil samples'!AK60/100</f>
        <v>0.2914419006852953</v>
      </c>
      <c r="AD60" s="174">
        <f t="shared" si="18"/>
        <v>0.2914419006852953</v>
      </c>
      <c r="AE60" s="175">
        <f t="shared" si="19"/>
        <v>65.190516790000004</v>
      </c>
      <c r="AF60" s="175">
        <f t="shared" si="20"/>
        <v>0.47482969811578096</v>
      </c>
      <c r="AG60" s="175">
        <f>AF60*'Soil samples'!AR60/100</f>
        <v>0.2914419006852953</v>
      </c>
      <c r="AH60" s="174">
        <f t="shared" si="21"/>
        <v>0.2914419006852953</v>
      </c>
      <c r="AI60">
        <f t="shared" si="37"/>
        <v>61.778677029999997</v>
      </c>
      <c r="AJ60">
        <f t="shared" si="44"/>
        <v>6.177867703E-2</v>
      </c>
      <c r="AK60">
        <f>AJ60*('Wet ref'!$B$40+M60)</f>
        <v>1.6296251374181587</v>
      </c>
      <c r="AL60" s="175">
        <f t="shared" si="38"/>
        <v>0.44997880073021634</v>
      </c>
      <c r="AM60" s="175">
        <f>AL60*'Soil samples'!AK60/100</f>
        <v>0.27618886828962963</v>
      </c>
      <c r="AN60" s="174">
        <f t="shared" si="23"/>
        <v>276.18886828962962</v>
      </c>
      <c r="AO60" s="175">
        <f t="shared" si="24"/>
        <v>0.44997880073021634</v>
      </c>
      <c r="AP60" s="175">
        <f>AO60*'Soil samples'!AR60/100</f>
        <v>0.27618886828962963</v>
      </c>
      <c r="AQ60" s="174">
        <f t="shared" si="25"/>
        <v>276.18886828962962</v>
      </c>
      <c r="AR60">
        <f t="shared" si="39"/>
        <v>0.28488440199999998</v>
      </c>
      <c r="AS60">
        <f t="shared" si="45"/>
        <v>2.8488440199999997E-4</v>
      </c>
      <c r="AT60">
        <f>AS60*('Wet ref'!$B$40+M60)</f>
        <v>7.51480616090396E-3</v>
      </c>
      <c r="AU60" s="175">
        <f t="shared" si="40"/>
        <v>2.0750192092403382E-3</v>
      </c>
      <c r="AV60" s="175">
        <f>AU60*'Soil samples'!AK60/100</f>
        <v>1.2736093481500036E-3</v>
      </c>
      <c r="AW60" s="174">
        <f t="shared" si="27"/>
        <v>1.2736093481500037</v>
      </c>
      <c r="AX60" s="175">
        <f t="shared" si="28"/>
        <v>2.0750192092403382E-3</v>
      </c>
      <c r="AY60" s="175">
        <f>AX60*'Soil samples'!AR60/100</f>
        <v>1.2736093481500036E-3</v>
      </c>
      <c r="AZ60" s="174">
        <f t="shared" si="29"/>
        <v>1.2736093481500037</v>
      </c>
      <c r="BA60">
        <f t="shared" si="41"/>
        <v>215.93601820699996</v>
      </c>
      <c r="BB60">
        <f t="shared" si="46"/>
        <v>0.21593601820699995</v>
      </c>
      <c r="BC60">
        <f>BB60*('Wet ref'!$B$40+M60)</f>
        <v>5.6960553424158089</v>
      </c>
      <c r="BD60" s="175">
        <f t="shared" si="42"/>
        <v>1.5728182469828458</v>
      </c>
      <c r="BE60" s="175">
        <f>BD60*'Soil samples'!AK60/100</f>
        <v>0.96536745943263158</v>
      </c>
      <c r="BF60" s="174">
        <f t="shared" si="33"/>
        <v>0.96536745943263147</v>
      </c>
      <c r="BG60" s="175">
        <f t="shared" si="31"/>
        <v>1.5728182469828458</v>
      </c>
      <c r="BH60" s="175">
        <f>BG60*'Soil samples'!AR60/100</f>
        <v>0.96536745943263158</v>
      </c>
      <c r="BI60" s="174">
        <f t="shared" si="34"/>
        <v>0.96536745943263147</v>
      </c>
      <c r="BK60" s="6"/>
      <c r="BL60" s="31"/>
    </row>
    <row r="61" spans="1:64">
      <c r="A61" s="6" t="s">
        <v>65</v>
      </c>
      <c r="B61" s="6" t="s">
        <v>196</v>
      </c>
      <c r="C61" t="s">
        <v>13</v>
      </c>
      <c r="D61" s="8">
        <v>2</v>
      </c>
      <c r="E61" s="3">
        <v>20</v>
      </c>
      <c r="F61" s="26">
        <v>42765</v>
      </c>
      <c r="G61" s="3"/>
      <c r="H61">
        <f>'Wet ref'!B107</f>
        <v>1.366749328</v>
      </c>
      <c r="I61">
        <f>'Wet ref'!C107</f>
        <v>5.7797525680000001</v>
      </c>
      <c r="J61">
        <f>'Wet ref'!D107</f>
        <v>11.144166200000001</v>
      </c>
      <c r="K61">
        <f>'Wet ref'!E107</f>
        <v>0.142091685</v>
      </c>
      <c r="L61" s="3">
        <f t="shared" si="10"/>
        <v>134.94518310399999</v>
      </c>
      <c r="M61" s="31">
        <f>'Wet ref'!$B$41*'Soil samples'!AI61%</f>
        <v>0.73296641491242198</v>
      </c>
      <c r="N61" s="105">
        <f>'Wet ref'!$B$41*'Soil samples'!AH61%</f>
        <v>4.267033585087578</v>
      </c>
      <c r="O61">
        <f t="shared" si="35"/>
        <v>1.366749328</v>
      </c>
      <c r="P61">
        <f t="shared" si="43"/>
        <v>1.366749328E-3</v>
      </c>
      <c r="Q61">
        <f>P61*('Wet ref'!$B$40+M61)</f>
        <v>3.5170514555028121E-2</v>
      </c>
      <c r="R61" s="141">
        <f t="shared" si="32"/>
        <v>8.2423805329168206E-3</v>
      </c>
      <c r="S61" s="141">
        <f>R61*'Soil samples'!AK61/100</f>
        <v>1.0359826767329081E-2</v>
      </c>
      <c r="T61" s="149">
        <f t="shared" si="13"/>
        <v>1.0359826767329081E-2</v>
      </c>
      <c r="U61" s="141">
        <f t="shared" si="14"/>
        <v>1.366749328</v>
      </c>
      <c r="V61" s="141">
        <f t="shared" si="15"/>
        <v>8.2423805329168206E-3</v>
      </c>
      <c r="W61" s="141">
        <f>V61*'Soil samples'!AR61/100</f>
        <v>1.0359826767329081E-2</v>
      </c>
      <c r="X61" s="149">
        <f t="shared" si="16"/>
        <v>1.0359826767329081E-2</v>
      </c>
      <c r="Y61">
        <f t="shared" si="36"/>
        <v>5.7797525680000001</v>
      </c>
      <c r="Z61">
        <f t="shared" si="17"/>
        <v>5.7797525680000003E-3</v>
      </c>
      <c r="AA61">
        <f>Z61*('Wet ref'!$B$40+M61)</f>
        <v>0.14873017871884783</v>
      </c>
      <c r="AB61" s="175">
        <f t="shared" si="1"/>
        <v>3.4855638174170887E-2</v>
      </c>
      <c r="AC61" s="175">
        <f>AB61*'Soil samples'!AK61/100</f>
        <v>4.3809961443423813E-2</v>
      </c>
      <c r="AD61" s="174">
        <f t="shared" si="18"/>
        <v>4.3809961443423813E-2</v>
      </c>
      <c r="AE61" s="175">
        <f t="shared" si="19"/>
        <v>5.7797525680000001</v>
      </c>
      <c r="AF61" s="175">
        <f t="shared" si="20"/>
        <v>3.4855638174170887E-2</v>
      </c>
      <c r="AG61" s="175">
        <f>AF61*'Soil samples'!AR61/100</f>
        <v>4.3809961443423813E-2</v>
      </c>
      <c r="AH61" s="174">
        <f t="shared" si="21"/>
        <v>4.3809961443423813E-2</v>
      </c>
      <c r="AI61">
        <f t="shared" si="37"/>
        <v>11.144166200000001</v>
      </c>
      <c r="AJ61">
        <f t="shared" si="44"/>
        <v>1.1144166200000001E-2</v>
      </c>
      <c r="AK61">
        <f>AJ61*('Wet ref'!$B$40+M61)</f>
        <v>0.28677245454680222</v>
      </c>
      <c r="AL61" s="175">
        <f t="shared" si="38"/>
        <v>6.7206514509052406E-2</v>
      </c>
      <c r="AM61" s="175">
        <f>AL61*'Soil samples'!AK61/100</f>
        <v>8.4471694211306042E-2</v>
      </c>
      <c r="AN61" s="174">
        <f t="shared" si="23"/>
        <v>84.471694211306044</v>
      </c>
      <c r="AO61" s="175">
        <f t="shared" si="24"/>
        <v>6.7206514509052406E-2</v>
      </c>
      <c r="AP61" s="175">
        <f>AO61*'Soil samples'!AR61/100</f>
        <v>8.4471694211306042E-2</v>
      </c>
      <c r="AQ61" s="174">
        <f t="shared" si="25"/>
        <v>84.471694211306044</v>
      </c>
      <c r="AR61">
        <f t="shared" si="39"/>
        <v>0.142091685</v>
      </c>
      <c r="AS61">
        <f t="shared" si="45"/>
        <v>1.4209168500000001E-4</v>
      </c>
      <c r="AT61">
        <f>AS61*('Wet ref'!$B$40+M61)</f>
        <v>3.6564405579433152E-3</v>
      </c>
      <c r="AU61" s="175">
        <f t="shared" si="40"/>
        <v>8.5690456497034321E-4</v>
      </c>
      <c r="AV61" s="175">
        <f>AU61*'Soil samples'!AK61/100</f>
        <v>1.0770411307477825E-3</v>
      </c>
      <c r="AW61" s="174">
        <f t="shared" si="27"/>
        <v>1.0770411307477827</v>
      </c>
      <c r="AX61" s="175">
        <f t="shared" si="28"/>
        <v>8.5690456497034321E-4</v>
      </c>
      <c r="AY61" s="175">
        <f>AX61*'Soil samples'!AR61/100</f>
        <v>1.0770411307477825E-3</v>
      </c>
      <c r="AZ61" s="174">
        <f t="shared" si="29"/>
        <v>1.0770411307477827</v>
      </c>
      <c r="BA61">
        <f t="shared" si="41"/>
        <v>134.94518310399999</v>
      </c>
      <c r="BB61">
        <f t="shared" si="46"/>
        <v>0.134945183104</v>
      </c>
      <c r="BC61">
        <f>BB61*('Wet ref'!$B$40+M61)</f>
        <v>3.4725398646694394</v>
      </c>
      <c r="BD61" s="175">
        <f t="shared" si="42"/>
        <v>0.81380654626325555</v>
      </c>
      <c r="BE61" s="175">
        <f>BD61*'Soil samples'!AK61/100</f>
        <v>1.0228713425370297</v>
      </c>
      <c r="BF61" s="174">
        <f t="shared" si="33"/>
        <v>1.0228713425370297</v>
      </c>
      <c r="BG61" s="175">
        <f t="shared" si="31"/>
        <v>0.81380654626325555</v>
      </c>
      <c r="BH61" s="175">
        <f>BG61*'Soil samples'!AR61/100</f>
        <v>1.0228713425370297</v>
      </c>
      <c r="BI61" s="174">
        <f t="shared" si="34"/>
        <v>1.0228713425370297</v>
      </c>
      <c r="BK61" s="6"/>
      <c r="BL61" s="31"/>
    </row>
    <row r="62" spans="1:64">
      <c r="A62" s="6" t="s">
        <v>66</v>
      </c>
      <c r="B62" s="6" t="s">
        <v>196</v>
      </c>
      <c r="C62" t="s">
        <v>13</v>
      </c>
      <c r="D62" s="8">
        <v>3</v>
      </c>
      <c r="E62" s="3">
        <v>5</v>
      </c>
      <c r="F62" s="26">
        <v>42798</v>
      </c>
      <c r="G62" s="3"/>
      <c r="H62">
        <f>'Wet ref'!B108</f>
        <v>83.676839689999994</v>
      </c>
      <c r="I62">
        <f>'Wet ref'!C108</f>
        <v>3598.5005550000001</v>
      </c>
      <c r="J62">
        <f>'Wet ref'!D108</f>
        <v>202.82038360000001</v>
      </c>
      <c r="K62">
        <f>'Wet ref'!E108</f>
        <v>15.53997597</v>
      </c>
      <c r="L62" s="3">
        <f t="shared" si="10"/>
        <v>11857.798575309998</v>
      </c>
      <c r="M62" s="31">
        <f>'Wet ref'!$B$41*'Soil samples'!AI62%</f>
        <v>3.5154038301415493</v>
      </c>
      <c r="N62" s="105">
        <f>'Wet ref'!$B$41*'Soil samples'!AH62%</f>
        <v>1.4845961698584511</v>
      </c>
      <c r="O62">
        <f t="shared" si="35"/>
        <v>83.676839689999994</v>
      </c>
      <c r="P62">
        <f t="shared" si="43"/>
        <v>8.3676839689999991E-2</v>
      </c>
      <c r="Q62">
        <f>P62*('Wet ref'!$B$40+M62)</f>
        <v>2.3860788749903663</v>
      </c>
      <c r="R62" s="141">
        <f t="shared" si="32"/>
        <v>1.6072241889306955</v>
      </c>
      <c r="S62" s="141">
        <f>R62*'Soil samples'!AK62/100</f>
        <v>0.10637139624707062</v>
      </c>
      <c r="T62" s="149">
        <f t="shared" si="13"/>
        <v>0.10637139624707062</v>
      </c>
      <c r="U62" s="141">
        <f t="shared" si="14"/>
        <v>83.676839689999994</v>
      </c>
      <c r="V62" s="141">
        <f t="shared" si="15"/>
        <v>1.6072241889306955</v>
      </c>
      <c r="W62" s="141">
        <f>V62*'Soil samples'!AR62/100</f>
        <v>0.10637139624707062</v>
      </c>
      <c r="X62" s="149">
        <f t="shared" si="16"/>
        <v>0.10637139624707062</v>
      </c>
      <c r="Y62">
        <f t="shared" si="36"/>
        <v>3598.5005550000001</v>
      </c>
      <c r="Z62">
        <f t="shared" si="17"/>
        <v>3.5985005550000002</v>
      </c>
      <c r="AA62">
        <f>Z62*('Wet ref'!$B$40+M62)</f>
        <v>102.6126965088135</v>
      </c>
      <c r="AB62" s="175">
        <f t="shared" si="1"/>
        <v>69.118254911432999</v>
      </c>
      <c r="AC62" s="175">
        <f>AB62*'Soil samples'!AK62/100</f>
        <v>4.57447401036291</v>
      </c>
      <c r="AD62" s="174">
        <f t="shared" si="18"/>
        <v>4.57447401036291</v>
      </c>
      <c r="AE62" s="175">
        <f t="shared" si="19"/>
        <v>3598.5005550000001</v>
      </c>
      <c r="AF62" s="175">
        <f t="shared" si="20"/>
        <v>69.118254911432999</v>
      </c>
      <c r="AG62" s="175">
        <f>AF62*'Soil samples'!AR62/100</f>
        <v>4.57447401036291</v>
      </c>
      <c r="AH62" s="174">
        <f t="shared" si="21"/>
        <v>4.57447401036291</v>
      </c>
      <c r="AI62">
        <f t="shared" si="37"/>
        <v>202.82038360000001</v>
      </c>
      <c r="AJ62">
        <f t="shared" si="44"/>
        <v>0.20282038360000001</v>
      </c>
      <c r="AK62">
        <f>AJ62*('Wet ref'!$B$40+M62)</f>
        <v>5.7835051433382194</v>
      </c>
      <c r="AL62" s="175">
        <f t="shared" si="38"/>
        <v>3.8956756461857558</v>
      </c>
      <c r="AM62" s="175">
        <f>AL62*'Soil samples'!AK62/100</f>
        <v>0.25782865929001803</v>
      </c>
      <c r="AN62" s="174">
        <f t="shared" si="23"/>
        <v>257.82865929001804</v>
      </c>
      <c r="AO62" s="175">
        <f t="shared" si="24"/>
        <v>3.8956756461857558</v>
      </c>
      <c r="AP62" s="175">
        <f>AO62*'Soil samples'!AR62/100</f>
        <v>0.25782865929001803</v>
      </c>
      <c r="AQ62" s="174">
        <f t="shared" si="25"/>
        <v>257.82865929001804</v>
      </c>
      <c r="AR62">
        <f t="shared" si="39"/>
        <v>15.53997597</v>
      </c>
      <c r="AS62">
        <f t="shared" si="45"/>
        <v>1.553997597E-2</v>
      </c>
      <c r="AT62">
        <f>AS62*('Wet ref'!$B$40+M62)</f>
        <v>0.44312869029524565</v>
      </c>
      <c r="AU62" s="175">
        <f t="shared" si="40"/>
        <v>0.2984843281237185</v>
      </c>
      <c r="AV62" s="175">
        <f>AU62*'Soil samples'!AK62/100</f>
        <v>1.975467701336207E-2</v>
      </c>
      <c r="AW62" s="174">
        <f t="shared" si="27"/>
        <v>19.75467701336207</v>
      </c>
      <c r="AX62" s="175">
        <f t="shared" si="28"/>
        <v>0.2984843281237185</v>
      </c>
      <c r="AY62" s="175">
        <f>AX62*'Soil samples'!AR62/100</f>
        <v>1.975467701336207E-2</v>
      </c>
      <c r="AZ62" s="174">
        <f t="shared" si="29"/>
        <v>19.75467701336207</v>
      </c>
      <c r="BA62">
        <f t="shared" si="41"/>
        <v>11857.798575309998</v>
      </c>
      <c r="BB62">
        <f t="shared" si="46"/>
        <v>11.857798575309998</v>
      </c>
      <c r="BC62">
        <f>BB62*('Wet ref'!$B$40+M62)</f>
        <v>338.12991491144174</v>
      </c>
      <c r="BD62" s="175">
        <f t="shared" si="42"/>
        <v>227.7588490233548</v>
      </c>
      <c r="BE62" s="175">
        <f>BD62*'Soil samples'!AK62/100</f>
        <v>15.073831606752087</v>
      </c>
      <c r="BF62" s="174">
        <f t="shared" si="33"/>
        <v>15.073831606752087</v>
      </c>
      <c r="BG62" s="175">
        <f t="shared" si="31"/>
        <v>227.7588490233548</v>
      </c>
      <c r="BH62" s="175">
        <f>BG62*'Soil samples'!AR62/100</f>
        <v>15.073831606752087</v>
      </c>
      <c r="BI62" s="174">
        <f t="shared" si="34"/>
        <v>15.073831606752087</v>
      </c>
      <c r="BK62" s="6"/>
      <c r="BL62" s="31"/>
    </row>
    <row r="63" spans="1:64">
      <c r="A63" s="6" t="s">
        <v>67</v>
      </c>
      <c r="B63" s="6" t="s">
        <v>196</v>
      </c>
      <c r="C63" t="s">
        <v>13</v>
      </c>
      <c r="D63" s="8">
        <v>3</v>
      </c>
      <c r="E63" s="3">
        <v>10</v>
      </c>
      <c r="F63" s="26">
        <v>42798</v>
      </c>
      <c r="G63" s="3"/>
      <c r="H63">
        <f>'Wet ref'!B109</f>
        <v>59.600239709999997</v>
      </c>
      <c r="I63">
        <f>'Wet ref'!C109</f>
        <v>-45.994585120000004</v>
      </c>
      <c r="J63">
        <f>'Wet ref'!D109</f>
        <v>76.832826080000004</v>
      </c>
      <c r="K63">
        <f>'Wet ref'!E109</f>
        <v>6.4703624299999998</v>
      </c>
      <c r="L63" s="3">
        <f t="shared" si="10"/>
        <v>6456.75677541</v>
      </c>
      <c r="M63" s="31">
        <f>'Wet ref'!$B$41*'Soil samples'!AI63%</f>
        <v>2.8226722180166548</v>
      </c>
      <c r="N63" s="105">
        <f>'Wet ref'!$B$41*'Soil samples'!AH63%</f>
        <v>2.1773277819833452</v>
      </c>
      <c r="O63">
        <f t="shared" si="35"/>
        <v>59.600239709999997</v>
      </c>
      <c r="P63">
        <f t="shared" si="43"/>
        <v>5.9600239709999996E-2</v>
      </c>
      <c r="Q63">
        <f>P63*('Wet ref'!$B$40+M63)</f>
        <v>1.65823793356655</v>
      </c>
      <c r="R63" s="141">
        <f t="shared" si="32"/>
        <v>0.76159315436468089</v>
      </c>
      <c r="S63" s="141">
        <f>R63*'Soil samples'!AK63/100</f>
        <v>0.28687516250701317</v>
      </c>
      <c r="T63" s="149">
        <f t="shared" si="13"/>
        <v>0.28687516250701317</v>
      </c>
      <c r="U63" s="141">
        <f t="shared" si="14"/>
        <v>59.600239709999997</v>
      </c>
      <c r="V63" s="141">
        <f t="shared" si="15"/>
        <v>0.76159315436468089</v>
      </c>
      <c r="W63" s="141">
        <f>V63*'Soil samples'!AR63/100</f>
        <v>0.28687516250701317</v>
      </c>
      <c r="X63" s="149">
        <f t="shared" si="16"/>
        <v>0.28687516250701317</v>
      </c>
      <c r="Y63">
        <f t="shared" si="36"/>
        <v>0</v>
      </c>
      <c r="Z63">
        <f t="shared" si="17"/>
        <v>0</v>
      </c>
      <c r="AA63">
        <f>Z63*('Wet ref'!$B$40+M63)</f>
        <v>0</v>
      </c>
      <c r="AB63" s="175">
        <f t="shared" si="1"/>
        <v>0</v>
      </c>
      <c r="AC63" s="175">
        <f>AB63*'Soil samples'!AK63/100</f>
        <v>0</v>
      </c>
      <c r="AD63" s="174">
        <f t="shared" si="18"/>
        <v>0</v>
      </c>
      <c r="AE63" s="175">
        <f t="shared" si="19"/>
        <v>0</v>
      </c>
      <c r="AF63" s="175">
        <f t="shared" si="20"/>
        <v>0</v>
      </c>
      <c r="AG63" s="175">
        <f>AF63*'Soil samples'!AR63/100</f>
        <v>0</v>
      </c>
      <c r="AH63" s="174">
        <f t="shared" si="21"/>
        <v>0</v>
      </c>
      <c r="AI63">
        <f t="shared" si="37"/>
        <v>76.832826080000004</v>
      </c>
      <c r="AJ63">
        <f t="shared" si="44"/>
        <v>7.683282608E-2</v>
      </c>
      <c r="AK63">
        <f>AJ63*('Wet ref'!$B$40+M63)</f>
        <v>2.1376945356077215</v>
      </c>
      <c r="AL63" s="175">
        <f t="shared" si="38"/>
        <v>0.98179729910049585</v>
      </c>
      <c r="AM63" s="175">
        <f>AL63*'Soil samples'!AK63/100</f>
        <v>0.36982115466013582</v>
      </c>
      <c r="AN63" s="174">
        <f t="shared" si="23"/>
        <v>369.82115466013585</v>
      </c>
      <c r="AO63" s="175">
        <f t="shared" si="24"/>
        <v>0.98179729910049585</v>
      </c>
      <c r="AP63" s="175">
        <f>AO63*'Soil samples'!AR63/100</f>
        <v>0.36982115466013582</v>
      </c>
      <c r="AQ63" s="174">
        <f t="shared" si="25"/>
        <v>369.82115466013585</v>
      </c>
      <c r="AR63">
        <f t="shared" si="39"/>
        <v>6.4703624299999998</v>
      </c>
      <c r="AS63">
        <f t="shared" si="45"/>
        <v>6.4703624299999995E-3</v>
      </c>
      <c r="AT63">
        <f>AS63*('Wet ref'!$B$40+M63)</f>
        <v>0.18002277302165973</v>
      </c>
      <c r="AU63" s="175">
        <f t="shared" si="40"/>
        <v>8.2680602576831838E-2</v>
      </c>
      <c r="AV63" s="175">
        <f>AU63*'Soil samples'!AK63/100</f>
        <v>3.1143939732747129E-2</v>
      </c>
      <c r="AW63" s="174">
        <f t="shared" si="27"/>
        <v>31.143939732747128</v>
      </c>
      <c r="AX63" s="175">
        <f t="shared" si="28"/>
        <v>8.2680602576831838E-2</v>
      </c>
      <c r="AY63" s="175">
        <f>AX63*'Soil samples'!AR63/100</f>
        <v>3.1143939732747129E-2</v>
      </c>
      <c r="AZ63" s="174">
        <f t="shared" si="29"/>
        <v>31.143939732747128</v>
      </c>
      <c r="BA63">
        <f t="shared" si="41"/>
        <v>6410.76219029</v>
      </c>
      <c r="BB63">
        <f t="shared" si="46"/>
        <v>6.4107621902899998</v>
      </c>
      <c r="BC63">
        <f>BB63*('Wet ref'!$B$40+M63)</f>
        <v>178.36453508809319</v>
      </c>
      <c r="BD63" s="175">
        <f t="shared" si="42"/>
        <v>81.91900942246717</v>
      </c>
      <c r="BE63" s="175">
        <f>BD63*'Soil samples'!AK63/100</f>
        <v>30.857064570240123</v>
      </c>
      <c r="BF63" s="174">
        <f t="shared" si="33"/>
        <v>30.857064570240126</v>
      </c>
      <c r="BG63" s="175">
        <f t="shared" si="31"/>
        <v>81.91900942246717</v>
      </c>
      <c r="BH63" s="175">
        <f>BG63*'Soil samples'!AR63/100</f>
        <v>30.857064570240123</v>
      </c>
      <c r="BI63" s="174">
        <f t="shared" si="34"/>
        <v>30.857064570240126</v>
      </c>
      <c r="BK63" s="6"/>
      <c r="BL63" s="31"/>
    </row>
    <row r="64" spans="1:64">
      <c r="A64" s="6" t="s">
        <v>68</v>
      </c>
      <c r="B64" s="6" t="s">
        <v>196</v>
      </c>
      <c r="C64" t="s">
        <v>13</v>
      </c>
      <c r="D64" s="8">
        <v>3</v>
      </c>
      <c r="E64" s="3">
        <v>20</v>
      </c>
      <c r="F64" s="26">
        <v>42798</v>
      </c>
      <c r="G64" s="3"/>
      <c r="H64">
        <f>'Wet ref'!B110</f>
        <v>68.468428979999999</v>
      </c>
      <c r="I64">
        <f>'Wet ref'!C110</f>
        <v>318.20155779999999</v>
      </c>
      <c r="J64">
        <f>'Wet ref'!D110</f>
        <v>75.518574970000003</v>
      </c>
      <c r="K64">
        <f>'Wet ref'!E110</f>
        <v>7.7895364359999997</v>
      </c>
      <c r="L64" s="3">
        <f t="shared" si="10"/>
        <v>7402.8664492199996</v>
      </c>
      <c r="M64" s="31">
        <f>'Wet ref'!$B$41*'Soil samples'!AI64%</f>
        <v>2.8932772597062235</v>
      </c>
      <c r="N64" s="105">
        <f>'Wet ref'!$B$41*'Soil samples'!AH64%</f>
        <v>2.1067227402937769</v>
      </c>
      <c r="O64">
        <f t="shared" si="35"/>
        <v>68.468428979999999</v>
      </c>
      <c r="P64">
        <f t="shared" si="43"/>
        <v>6.8468428979999996E-2</v>
      </c>
      <c r="Q64">
        <f>P64*('Wet ref'!$B$40+M64)</f>
        <v>1.9098088730756444</v>
      </c>
      <c r="R64" s="141">
        <f t="shared" si="32"/>
        <v>0.90653071547959208</v>
      </c>
      <c r="S64" s="141">
        <f>R64*'Soil samples'!AK64/100</f>
        <v>0.38150342048559066</v>
      </c>
      <c r="T64" s="149">
        <f t="shared" si="13"/>
        <v>0.38150342048559066</v>
      </c>
      <c r="U64" s="141">
        <f t="shared" si="14"/>
        <v>68.468428979999999</v>
      </c>
      <c r="V64" s="141">
        <f t="shared" si="15"/>
        <v>0.90653071547959208</v>
      </c>
      <c r="W64" s="141">
        <f>V64*'Soil samples'!AR64/100</f>
        <v>0.38150342048559066</v>
      </c>
      <c r="X64" s="149">
        <f t="shared" si="16"/>
        <v>0.38150342048559066</v>
      </c>
      <c r="Y64">
        <f t="shared" si="36"/>
        <v>318.20155779999999</v>
      </c>
      <c r="Z64">
        <f t="shared" si="17"/>
        <v>0.31820155779999998</v>
      </c>
      <c r="AA64">
        <f>Z64*('Wet ref'!$B$40+M64)</f>
        <v>8.8756842761858348</v>
      </c>
      <c r="AB64" s="175">
        <f t="shared" si="1"/>
        <v>4.2130291311841743</v>
      </c>
      <c r="AC64" s="175">
        <f>AB64*'Soil samples'!AK64/100</f>
        <v>1.7730066910108819</v>
      </c>
      <c r="AD64" s="174">
        <f t="shared" si="18"/>
        <v>1.7730066910108819</v>
      </c>
      <c r="AE64" s="175">
        <f t="shared" si="19"/>
        <v>318.20155779999999</v>
      </c>
      <c r="AF64" s="175">
        <f t="shared" si="20"/>
        <v>4.2130291311841743</v>
      </c>
      <c r="AG64" s="175">
        <f>AF64*'Soil samples'!AR64/100</f>
        <v>1.7730066910108819</v>
      </c>
      <c r="AH64" s="174">
        <f t="shared" si="21"/>
        <v>1.7730066910108819</v>
      </c>
      <c r="AI64">
        <f t="shared" si="37"/>
        <v>75.518574970000003</v>
      </c>
      <c r="AJ64">
        <f t="shared" si="44"/>
        <v>7.5518574970000002E-2</v>
      </c>
      <c r="AK64">
        <f>AJ64*('Wet ref'!$B$40+M64)</f>
        <v>2.1064605498961209</v>
      </c>
      <c r="AL64" s="175">
        <f t="shared" si="38"/>
        <v>0.99987554584538285</v>
      </c>
      <c r="AM64" s="175">
        <f>AL64*'Soil samples'!AK64/100</f>
        <v>0.42078655944724908</v>
      </c>
      <c r="AN64" s="174">
        <f t="shared" si="23"/>
        <v>420.78655944724909</v>
      </c>
      <c r="AO64" s="175">
        <f t="shared" si="24"/>
        <v>0.99987554584538285</v>
      </c>
      <c r="AP64" s="175">
        <f>AO64*'Soil samples'!AR64/100</f>
        <v>0.42078655944724908</v>
      </c>
      <c r="AQ64" s="174">
        <f t="shared" si="25"/>
        <v>420.78655944724909</v>
      </c>
      <c r="AR64">
        <f t="shared" si="39"/>
        <v>7.7895364359999997</v>
      </c>
      <c r="AS64">
        <f t="shared" si="45"/>
        <v>7.7895364359999997E-3</v>
      </c>
      <c r="AT64">
        <f>AS64*('Wet ref'!$B$40+M64)</f>
        <v>0.21727569953393186</v>
      </c>
      <c r="AU64" s="175">
        <f t="shared" si="40"/>
        <v>0.10313445399257111</v>
      </c>
      <c r="AV64" s="175">
        <f>AU64*'Soil samples'!AK64/100</f>
        <v>4.3402993738898228E-2</v>
      </c>
      <c r="AW64" s="174">
        <f t="shared" si="27"/>
        <v>43.402993738898225</v>
      </c>
      <c r="AX64" s="175">
        <f t="shared" si="28"/>
        <v>0.10313445399257111</v>
      </c>
      <c r="AY64" s="175">
        <f>AX64*'Soil samples'!AR64/100</f>
        <v>4.3402993738898228E-2</v>
      </c>
      <c r="AZ64" s="174">
        <f t="shared" si="29"/>
        <v>43.402993738898225</v>
      </c>
      <c r="BA64">
        <f t="shared" si="41"/>
        <v>7402.8664492199996</v>
      </c>
      <c r="BB64">
        <f t="shared" si="46"/>
        <v>7.4028664492199994</v>
      </c>
      <c r="BC64">
        <f>BB64*('Wet ref'!$B$40+M64)</f>
        <v>206.49020638467036</v>
      </c>
      <c r="BD64" s="175">
        <f t="shared" si="42"/>
        <v>98.01489414590732</v>
      </c>
      <c r="BE64" s="175">
        <f>BD64*'Soil samples'!AK64/100</f>
        <v>41.248483627401747</v>
      </c>
      <c r="BF64" s="174">
        <f t="shared" si="33"/>
        <v>41.248483627401747</v>
      </c>
      <c r="BG64" s="175">
        <f t="shared" si="31"/>
        <v>98.01489414590732</v>
      </c>
      <c r="BH64" s="175">
        <f>BG64*'Soil samples'!AR64/100</f>
        <v>41.248483627401747</v>
      </c>
      <c r="BI64" s="174">
        <f t="shared" si="34"/>
        <v>41.248483627401747</v>
      </c>
      <c r="BK64" s="6"/>
      <c r="BL64" s="31"/>
    </row>
    <row r="65" spans="1:64">
      <c r="A65" s="6" t="s">
        <v>69</v>
      </c>
      <c r="B65" s="6" t="s">
        <v>196</v>
      </c>
      <c r="C65" t="s">
        <v>13</v>
      </c>
      <c r="D65" s="8">
        <v>4</v>
      </c>
      <c r="E65" s="3">
        <v>30</v>
      </c>
      <c r="F65" s="26">
        <v>42769</v>
      </c>
      <c r="G65" s="3"/>
      <c r="H65">
        <f>'Wet ref'!B111</f>
        <v>40.587094579999999</v>
      </c>
      <c r="I65">
        <f>'Wet ref'!C111</f>
        <v>298.31340879999999</v>
      </c>
      <c r="J65">
        <f>'Wet ref'!D111</f>
        <v>53.558633739999998</v>
      </c>
      <c r="K65">
        <f>'Wet ref'!E111</f>
        <v>4.3281161690000003</v>
      </c>
      <c r="L65" s="3">
        <f t="shared" si="10"/>
        <v>3989.21566562</v>
      </c>
      <c r="M65" s="31">
        <f>'Wet ref'!$B$41*'Soil samples'!AI65%</f>
        <v>2.675662099037794</v>
      </c>
      <c r="N65" s="105">
        <f>'Wet ref'!$B$41*'Soil samples'!AH65%</f>
        <v>2.324337900962206</v>
      </c>
      <c r="O65">
        <f t="shared" si="35"/>
        <v>40.587094579999999</v>
      </c>
      <c r="P65">
        <f t="shared" si="43"/>
        <v>4.0587094579999997E-2</v>
      </c>
      <c r="Q65">
        <f>P65*('Wet ref'!$B$40+M65)</f>
        <v>1.1232747151777682</v>
      </c>
      <c r="R65" s="141">
        <f t="shared" si="32"/>
        <v>0.48326653139062364</v>
      </c>
      <c r="S65" s="141">
        <f>R65*'Soil samples'!AK65/100</f>
        <v>0.16938982704880753</v>
      </c>
      <c r="T65" s="149">
        <f t="shared" si="13"/>
        <v>0.16938982704880753</v>
      </c>
      <c r="U65" s="141">
        <f t="shared" si="14"/>
        <v>40.587094579999999</v>
      </c>
      <c r="V65" s="141">
        <f t="shared" si="15"/>
        <v>0.48326653139062364</v>
      </c>
      <c r="W65" s="141">
        <f>V65*'Soil samples'!AR65/100</f>
        <v>0.16938982704880753</v>
      </c>
      <c r="X65" s="149">
        <f t="shared" si="16"/>
        <v>0.16938982704880753</v>
      </c>
      <c r="Y65">
        <f t="shared" si="36"/>
        <v>298.31340879999999</v>
      </c>
      <c r="Z65">
        <f t="shared" si="17"/>
        <v>0.29831340880000001</v>
      </c>
      <c r="AA65">
        <f>Z65*('Wet ref'!$B$40+M65)</f>
        <v>8.2560211015609273</v>
      </c>
      <c r="AB65" s="175">
        <f t="shared" si="1"/>
        <v>3.5519883310181291</v>
      </c>
      <c r="AC65" s="175">
        <f>AB65*'Soil samples'!AK65/100</f>
        <v>1.2450079821153885</v>
      </c>
      <c r="AD65" s="174">
        <f t="shared" si="18"/>
        <v>1.2450079821153885</v>
      </c>
      <c r="AE65" s="175">
        <f t="shared" si="19"/>
        <v>298.31340879999999</v>
      </c>
      <c r="AF65" s="175">
        <f t="shared" si="20"/>
        <v>3.5519883310181291</v>
      </c>
      <c r="AG65" s="175">
        <f>AF65*'Soil samples'!AR65/100</f>
        <v>1.2450079821153885</v>
      </c>
      <c r="AH65" s="174">
        <f t="shared" si="21"/>
        <v>1.2450079821153885</v>
      </c>
      <c r="AI65">
        <f t="shared" si="37"/>
        <v>53.558633739999998</v>
      </c>
      <c r="AJ65">
        <f t="shared" si="44"/>
        <v>5.355863374E-2</v>
      </c>
      <c r="AK65">
        <f>AJ65*('Wet ref'!$B$40+M65)</f>
        <v>1.4822706498743647</v>
      </c>
      <c r="AL65" s="175">
        <f t="shared" si="38"/>
        <v>0.63771736857224981</v>
      </c>
      <c r="AM65" s="175">
        <f>AL65*'Soil samples'!AK65/100</f>
        <v>0.2235264140010543</v>
      </c>
      <c r="AN65" s="174">
        <f t="shared" si="23"/>
        <v>223.52641400105429</v>
      </c>
      <c r="AO65" s="175">
        <f t="shared" si="24"/>
        <v>0.63771736857224981</v>
      </c>
      <c r="AP65" s="175">
        <f>AO65*'Soil samples'!AR65/100</f>
        <v>0.2235264140010543</v>
      </c>
      <c r="AQ65" s="174">
        <f t="shared" si="25"/>
        <v>223.52641400105429</v>
      </c>
      <c r="AR65">
        <f t="shared" si="39"/>
        <v>4.3281161690000003</v>
      </c>
      <c r="AS65">
        <f t="shared" si="45"/>
        <v>4.3281161690000005E-3</v>
      </c>
      <c r="AT65">
        <f>AS65*('Wet ref'!$B$40+M65)</f>
        <v>0.11978348061862597</v>
      </c>
      <c r="AU65" s="175">
        <f t="shared" si="40"/>
        <v>5.1534452270919476E-2</v>
      </c>
      <c r="AV65" s="175">
        <f>AU65*'Soil samples'!AK65/100</f>
        <v>1.8063348877288804E-2</v>
      </c>
      <c r="AW65" s="174">
        <f t="shared" si="27"/>
        <v>18.063348877288803</v>
      </c>
      <c r="AX65" s="175">
        <f t="shared" si="28"/>
        <v>5.1534452270919476E-2</v>
      </c>
      <c r="AY65" s="175">
        <f>AX65*'Soil samples'!AR65/100</f>
        <v>1.8063348877288804E-2</v>
      </c>
      <c r="AZ65" s="174">
        <f t="shared" si="29"/>
        <v>18.063348877288803</v>
      </c>
      <c r="BA65">
        <f t="shared" si="41"/>
        <v>3989.21566562</v>
      </c>
      <c r="BB65">
        <f t="shared" si="46"/>
        <v>3.9892156656200002</v>
      </c>
      <c r="BC65">
        <f>BB65*('Wet ref'!$B$40+M65)</f>
        <v>110.40418480188727</v>
      </c>
      <c r="BD65" s="175">
        <f t="shared" si="42"/>
        <v>47.499197408510724</v>
      </c>
      <c r="BE65" s="175">
        <f>BD65*'Soil samples'!AK65/100</f>
        <v>16.64895106812461</v>
      </c>
      <c r="BF65" s="174">
        <f t="shared" si="33"/>
        <v>16.64895106812461</v>
      </c>
      <c r="BG65" s="175">
        <f t="shared" si="31"/>
        <v>47.499197408510724</v>
      </c>
      <c r="BH65" s="175">
        <f>BG65*'Soil samples'!AR65/100</f>
        <v>16.64895106812461</v>
      </c>
      <c r="BI65" s="174">
        <f t="shared" si="34"/>
        <v>16.64895106812461</v>
      </c>
      <c r="BK65" s="6"/>
      <c r="BL65" s="31"/>
    </row>
    <row r="66" spans="1:64">
      <c r="A66" s="6" t="s">
        <v>70</v>
      </c>
      <c r="B66" s="6" t="s">
        <v>196</v>
      </c>
      <c r="C66" t="s">
        <v>13</v>
      </c>
      <c r="D66" s="8">
        <v>4</v>
      </c>
      <c r="E66" s="3">
        <v>10</v>
      </c>
      <c r="F66" s="26">
        <v>42769</v>
      </c>
      <c r="G66" s="3"/>
      <c r="H66">
        <f>'Wet ref'!B112</f>
        <v>36.516179139999998</v>
      </c>
      <c r="I66">
        <f>'Wet ref'!C112</f>
        <v>975.55691539999998</v>
      </c>
      <c r="J66">
        <f>'Wet ref'!D112</f>
        <v>72.304633629999998</v>
      </c>
      <c r="K66">
        <f>'Wet ref'!E112</f>
        <v>7.5970750220000003</v>
      </c>
      <c r="L66" s="3">
        <f t="shared" si="10"/>
        <v>6585.0019274599999</v>
      </c>
      <c r="M66" s="31">
        <f>'Wet ref'!$B$41*'Soil samples'!AI66%</f>
        <v>3.1681116980554282</v>
      </c>
      <c r="N66" s="105">
        <f>'Wet ref'!$B$41*'Soil samples'!AH66%</f>
        <v>1.831888301944572</v>
      </c>
      <c r="O66">
        <f t="shared" si="35"/>
        <v>36.516179139999998</v>
      </c>
      <c r="P66">
        <f t="shared" si="43"/>
        <v>3.651617914E-2</v>
      </c>
      <c r="Q66">
        <f>P66*('Wet ref'!$B$40+M66)</f>
        <v>1.0285918128017215</v>
      </c>
      <c r="R66" s="141">
        <f t="shared" si="32"/>
        <v>0.56149264761932194</v>
      </c>
      <c r="S66" s="141">
        <f>R66*'Soil samples'!AK66/100</f>
        <v>9.5494463900511861E-2</v>
      </c>
      <c r="T66" s="149">
        <f t="shared" si="13"/>
        <v>9.5494463900511861E-2</v>
      </c>
      <c r="U66" s="141">
        <f t="shared" si="14"/>
        <v>36.516179139999998</v>
      </c>
      <c r="V66" s="141">
        <f t="shared" si="15"/>
        <v>0.56149264761932194</v>
      </c>
      <c r="W66" s="141">
        <f>V66*'Soil samples'!AR66/100</f>
        <v>9.5494463900511861E-2</v>
      </c>
      <c r="X66" s="149">
        <f t="shared" si="16"/>
        <v>9.5494463900511861E-2</v>
      </c>
      <c r="Y66">
        <f t="shared" si="36"/>
        <v>975.55691539999998</v>
      </c>
      <c r="Z66">
        <f t="shared" si="17"/>
        <v>0.9755569154</v>
      </c>
      <c r="AA66">
        <f>Z66*('Wet ref'!$B$40+M66)</f>
        <v>27.479596160797609</v>
      </c>
      <c r="AB66" s="175">
        <f t="shared" si="1"/>
        <v>15.000694164391835</v>
      </c>
      <c r="AC66" s="175">
        <f>AB66*'Soil samples'!AK66/100</f>
        <v>2.5512057075684509</v>
      </c>
      <c r="AD66" s="174">
        <f t="shared" si="18"/>
        <v>2.5512057075684509</v>
      </c>
      <c r="AE66" s="175">
        <f t="shared" si="19"/>
        <v>975.55691539999998</v>
      </c>
      <c r="AF66" s="175">
        <f t="shared" si="20"/>
        <v>15.000694164391835</v>
      </c>
      <c r="AG66" s="175">
        <f>AF66*'Soil samples'!AR66/100</f>
        <v>2.5512057075684509</v>
      </c>
      <c r="AH66" s="174">
        <f t="shared" si="21"/>
        <v>2.5512057075684509</v>
      </c>
      <c r="AI66">
        <f t="shared" si="37"/>
        <v>72.304633629999998</v>
      </c>
      <c r="AJ66">
        <f t="shared" si="44"/>
        <v>7.2304633630000004E-2</v>
      </c>
      <c r="AK66">
        <f>AJ66*('Wet ref'!$B$40+M66)</f>
        <v>2.036684996376815</v>
      </c>
      <c r="AL66" s="175">
        <f t="shared" si="38"/>
        <v>1.1117954048916896</v>
      </c>
      <c r="AM66" s="175">
        <f>AL66*'Soil samples'!AK66/100</f>
        <v>0.18908583506362359</v>
      </c>
      <c r="AN66" s="174">
        <f t="shared" si="23"/>
        <v>189.08583506362359</v>
      </c>
      <c r="AO66" s="175">
        <f t="shared" si="24"/>
        <v>1.1117954048916896</v>
      </c>
      <c r="AP66" s="175">
        <f>AO66*'Soil samples'!AR66/100</f>
        <v>0.18908583506362359</v>
      </c>
      <c r="AQ66" s="174">
        <f t="shared" si="25"/>
        <v>189.08583506362359</v>
      </c>
      <c r="AR66">
        <f t="shared" si="39"/>
        <v>7.5970750220000003</v>
      </c>
      <c r="AS66">
        <f t="shared" si="45"/>
        <v>7.5970750219999999E-3</v>
      </c>
      <c r="AT66">
        <f>AS66*('Wet ref'!$B$40+M66)</f>
        <v>0.21399525779820289</v>
      </c>
      <c r="AU66" s="175">
        <f t="shared" si="40"/>
        <v>0.11681676091879853</v>
      </c>
      <c r="AV66" s="175">
        <f>AU66*'Soil samples'!AK66/100</f>
        <v>1.9867319733985159E-2</v>
      </c>
      <c r="AW66" s="174">
        <f t="shared" si="27"/>
        <v>19.867319733985159</v>
      </c>
      <c r="AX66" s="175">
        <f t="shared" si="28"/>
        <v>0.11681676091879853</v>
      </c>
      <c r="AY66" s="175">
        <f>AX66*'Soil samples'!AR66/100</f>
        <v>1.9867319733985159E-2</v>
      </c>
      <c r="AZ66" s="174">
        <f t="shared" si="29"/>
        <v>19.867319733985159</v>
      </c>
      <c r="BA66">
        <f t="shared" si="41"/>
        <v>6585.0019274599999</v>
      </c>
      <c r="BB66">
        <f t="shared" si="46"/>
        <v>6.5850019274599996</v>
      </c>
      <c r="BC66">
        <f>BB66*('Wet ref'!$B$40+M66)</f>
        <v>185.48706982460354</v>
      </c>
      <c r="BD66" s="175">
        <f t="shared" si="42"/>
        <v>101.25457410678737</v>
      </c>
      <c r="BE66" s="175">
        <f>BD66*'Soil samples'!AK66/100</f>
        <v>17.220619562516198</v>
      </c>
      <c r="BF66" s="174">
        <f t="shared" si="33"/>
        <v>17.220619562516198</v>
      </c>
      <c r="BG66" s="175">
        <f t="shared" si="31"/>
        <v>101.25457410678737</v>
      </c>
      <c r="BH66" s="175">
        <f>BG66*'Soil samples'!AR66/100</f>
        <v>17.220619562516198</v>
      </c>
      <c r="BI66" s="174">
        <f t="shared" si="34"/>
        <v>17.220619562516198</v>
      </c>
      <c r="BK66" s="6"/>
      <c r="BL66" s="31"/>
    </row>
    <row r="67" spans="1:64">
      <c r="A67" s="6" t="s">
        <v>71</v>
      </c>
      <c r="B67" s="6" t="s">
        <v>196</v>
      </c>
      <c r="C67" t="s">
        <v>13</v>
      </c>
      <c r="D67" s="8">
        <v>4</v>
      </c>
      <c r="E67" s="3">
        <v>20</v>
      </c>
      <c r="F67" s="26">
        <v>42769</v>
      </c>
      <c r="G67" s="3"/>
      <c r="H67">
        <f>'Wet ref'!B113</f>
        <v>31.45573199</v>
      </c>
      <c r="I67">
        <f>'Wet ref'!C113</f>
        <v>330.96352839999997</v>
      </c>
      <c r="J67">
        <f>'Wet ref'!D113</f>
        <v>61.037917319999998</v>
      </c>
      <c r="K67">
        <f>'Wet ref'!E113</f>
        <v>3.916480553</v>
      </c>
      <c r="L67" s="3">
        <f t="shared" si="10"/>
        <v>3554.0612926099998</v>
      </c>
      <c r="M67" s="31">
        <f>'Wet ref'!$B$41*'Soil samples'!AI67%</f>
        <v>2.5404644415507276</v>
      </c>
      <c r="N67" s="105">
        <f>'Wet ref'!$B$41*'Soil samples'!AH67%</f>
        <v>2.4595355584492724</v>
      </c>
      <c r="O67">
        <f t="shared" si="35"/>
        <v>31.45573199</v>
      </c>
      <c r="P67">
        <f t="shared" si="43"/>
        <v>3.1455731989999999E-2</v>
      </c>
      <c r="Q67">
        <f>P67*('Wet ref'!$B$40+M67)</f>
        <v>0.86630546835354472</v>
      </c>
      <c r="R67" s="141">
        <f t="shared" si="32"/>
        <v>0.35222319326814161</v>
      </c>
      <c r="S67" s="141">
        <f>R67*'Soil samples'!AK67/100</f>
        <v>0.11052325165254526</v>
      </c>
      <c r="T67" s="149">
        <f t="shared" si="13"/>
        <v>0.11052325165254526</v>
      </c>
      <c r="U67" s="141">
        <f t="shared" si="14"/>
        <v>31.45573199</v>
      </c>
      <c r="V67" s="141">
        <f t="shared" si="15"/>
        <v>0.35222319326814161</v>
      </c>
      <c r="W67" s="141">
        <f>V67*'Soil samples'!AR67/100</f>
        <v>0.11052325165254526</v>
      </c>
      <c r="X67" s="149">
        <f t="shared" si="16"/>
        <v>0.11052325165254526</v>
      </c>
      <c r="Y67">
        <f t="shared" si="36"/>
        <v>330.96352839999997</v>
      </c>
      <c r="Z67">
        <f t="shared" si="17"/>
        <v>0.33096352839999998</v>
      </c>
      <c r="AA67">
        <f>Z67*('Wet ref'!$B$40+M67)</f>
        <v>9.1148892853503636</v>
      </c>
      <c r="AB67" s="175">
        <f t="shared" si="1"/>
        <v>3.7059392184991484</v>
      </c>
      <c r="AC67" s="175">
        <f>AB67*'Soil samples'!AK67/100</f>
        <v>1.1628775750249996</v>
      </c>
      <c r="AD67" s="174">
        <f t="shared" si="18"/>
        <v>1.1628775750249996</v>
      </c>
      <c r="AE67" s="175">
        <f t="shared" si="19"/>
        <v>330.96352839999997</v>
      </c>
      <c r="AF67" s="175">
        <f t="shared" si="20"/>
        <v>3.7059392184991484</v>
      </c>
      <c r="AG67" s="175">
        <f>AF67*'Soil samples'!AR67/100</f>
        <v>1.1628775750249996</v>
      </c>
      <c r="AH67" s="174">
        <f t="shared" si="21"/>
        <v>1.1628775750249996</v>
      </c>
      <c r="AI67">
        <f t="shared" si="37"/>
        <v>61.037917319999998</v>
      </c>
      <c r="AJ67">
        <f t="shared" si="44"/>
        <v>6.1037917319999996E-2</v>
      </c>
      <c r="AK67">
        <f>AJ67*('Wet ref'!$B$40+M67)</f>
        <v>1.6810125915377732</v>
      </c>
      <c r="AL67" s="175">
        <f t="shared" si="38"/>
        <v>0.68346748871467633</v>
      </c>
      <c r="AM67" s="175">
        <f>AL67*'Soil samples'!AK67/100</f>
        <v>0.21446358642838917</v>
      </c>
      <c r="AN67" s="174">
        <f t="shared" si="23"/>
        <v>214.46358642838916</v>
      </c>
      <c r="AO67" s="175">
        <f t="shared" si="24"/>
        <v>0.68346748871467633</v>
      </c>
      <c r="AP67" s="175">
        <f>AO67*'Soil samples'!AR67/100</f>
        <v>0.21446358642838917</v>
      </c>
      <c r="AQ67" s="174">
        <f t="shared" si="25"/>
        <v>214.46358642838916</v>
      </c>
      <c r="AR67">
        <f t="shared" si="39"/>
        <v>3.916480553</v>
      </c>
      <c r="AS67">
        <f t="shared" si="45"/>
        <v>3.9164805529999999E-3</v>
      </c>
      <c r="AT67">
        <f>AS67*('Wet ref'!$B$40+M67)</f>
        <v>0.10786169340592143</v>
      </c>
      <c r="AU67" s="175">
        <f t="shared" si="40"/>
        <v>4.3854496445632933E-2</v>
      </c>
      <c r="AV67" s="175">
        <f>AU67*'Soil samples'!AK67/100</f>
        <v>1.3760994844727458E-2</v>
      </c>
      <c r="AW67" s="174">
        <f t="shared" si="27"/>
        <v>13.760994844727458</v>
      </c>
      <c r="AX67" s="175">
        <f t="shared" si="28"/>
        <v>4.3854496445632933E-2</v>
      </c>
      <c r="AY67" s="175">
        <f>AX67*'Soil samples'!AR67/100</f>
        <v>1.3760994844727458E-2</v>
      </c>
      <c r="AZ67" s="174">
        <f t="shared" si="29"/>
        <v>13.760994844727458</v>
      </c>
      <c r="BA67">
        <f t="shared" si="41"/>
        <v>3554.0612926099998</v>
      </c>
      <c r="BB67">
        <f t="shared" si="46"/>
        <v>3.5540612926099997</v>
      </c>
      <c r="BC67">
        <f>BB67*('Wet ref'!$B$40+M67)</f>
        <v>97.880498652217511</v>
      </c>
      <c r="BD67" s="175">
        <f t="shared" si="42"/>
        <v>39.796334033865641</v>
      </c>
      <c r="BE67" s="175">
        <f>BD67*'Soil samples'!AK67/100</f>
        <v>12.487594018049913</v>
      </c>
      <c r="BF67" s="174">
        <f t="shared" si="33"/>
        <v>12.487594018049913</v>
      </c>
      <c r="BG67" s="175">
        <f t="shared" si="31"/>
        <v>39.796334033865641</v>
      </c>
      <c r="BH67" s="175">
        <f>BG67*'Soil samples'!AR67/100</f>
        <v>12.487594018049913</v>
      </c>
      <c r="BI67" s="174">
        <f t="shared" si="34"/>
        <v>12.487594018049913</v>
      </c>
      <c r="BK67" s="6"/>
      <c r="BL67" s="31"/>
    </row>
    <row r="68" spans="1:64">
      <c r="A68" s="6" t="s">
        <v>72</v>
      </c>
      <c r="B68" s="6" t="s">
        <v>196</v>
      </c>
      <c r="C68" t="s">
        <v>13</v>
      </c>
      <c r="D68" s="8">
        <v>4</v>
      </c>
      <c r="E68" s="3">
        <v>5</v>
      </c>
      <c r="F68" s="26">
        <v>42769</v>
      </c>
      <c r="G68" s="3"/>
      <c r="H68">
        <f>'Wet ref'!B114</f>
        <v>83.254258519999993</v>
      </c>
      <c r="I68">
        <f>'Wet ref'!C114</f>
        <v>4133.3098600000003</v>
      </c>
      <c r="J68">
        <f>'Wet ref'!D114</f>
        <v>114.1203816</v>
      </c>
      <c r="K68">
        <f>'Wet ref'!E114</f>
        <v>18.759041109999998</v>
      </c>
      <c r="L68" s="3">
        <f t="shared" si="10"/>
        <v>14542.476991479998</v>
      </c>
      <c r="M68" s="31">
        <f>'Wet ref'!$B$41*'Soil samples'!AI68%</f>
        <v>3.066825596737436</v>
      </c>
      <c r="N68" s="105">
        <f>'Wet ref'!$B$41*'Soil samples'!AH68%</f>
        <v>1.9331744032625642</v>
      </c>
      <c r="O68">
        <f t="shared" ref="O68:O99" si="47">IF(H68&gt;0,H68,0)</f>
        <v>83.254258519999993</v>
      </c>
      <c r="P68">
        <f t="shared" si="43"/>
        <v>8.3254258519999999E-2</v>
      </c>
      <c r="Q68">
        <f>P68*('Wet ref'!$B$40+M68)</f>
        <v>2.336682754066532</v>
      </c>
      <c r="R68" s="141">
        <f t="shared" si="32"/>
        <v>1.2087283744927402</v>
      </c>
      <c r="S68" s="141">
        <f>R68*'Soil samples'!AK68/100</f>
        <v>0.10617886434478335</v>
      </c>
      <c r="T68" s="149">
        <f t="shared" si="13"/>
        <v>0.10617886434478335</v>
      </c>
      <c r="U68" s="141">
        <f t="shared" si="14"/>
        <v>83.254258519999993</v>
      </c>
      <c r="V68" s="141">
        <f t="shared" si="15"/>
        <v>1.2087283744927402</v>
      </c>
      <c r="W68" s="141">
        <f>V68*'Soil samples'!AR68/100</f>
        <v>0.10617886434478335</v>
      </c>
      <c r="X68" s="149">
        <f t="shared" si="16"/>
        <v>0.10617886434478335</v>
      </c>
      <c r="Y68">
        <f t="shared" ref="Y68:Y99" si="48">IF(I68&gt;0,I68,0)</f>
        <v>4133.3098600000003</v>
      </c>
      <c r="Z68">
        <f t="shared" si="17"/>
        <v>4.1333098600000007</v>
      </c>
      <c r="AA68">
        <f>Z68*('Wet ref'!$B$40+M68)</f>
        <v>116.00888697789526</v>
      </c>
      <c r="AB68" s="175">
        <f t="shared" ref="AB68:AB131" si="49">AA68/N68</f>
        <v>60.009529808645468</v>
      </c>
      <c r="AC68" s="175">
        <f>AB68*'Soil samples'!AK68/100</f>
        <v>5.2714438242755675</v>
      </c>
      <c r="AD68" s="174">
        <f t="shared" si="18"/>
        <v>5.2714438242755675</v>
      </c>
      <c r="AE68" s="175">
        <f t="shared" si="19"/>
        <v>4133.3098600000003</v>
      </c>
      <c r="AF68" s="175">
        <f t="shared" si="20"/>
        <v>60.009529808645468</v>
      </c>
      <c r="AG68" s="175">
        <f>AF68*'Soil samples'!AR68/100</f>
        <v>5.2714438242755675</v>
      </c>
      <c r="AH68" s="174">
        <f t="shared" si="21"/>
        <v>5.2714438242755675</v>
      </c>
      <c r="AI68">
        <f t="shared" ref="AI68:AI99" si="50">IF(J68&gt;0,J68,0)</f>
        <v>114.1203816</v>
      </c>
      <c r="AJ68">
        <f t="shared" si="44"/>
        <v>0.1141203816</v>
      </c>
      <c r="AK68">
        <f>AJ68*('Wet ref'!$B$40+M68)</f>
        <v>3.2029968474003243</v>
      </c>
      <c r="AL68" s="175">
        <f t="shared" ref="AL68:AL99" si="51">AK68/N68</f>
        <v>1.6568587096925742</v>
      </c>
      <c r="AM68" s="175">
        <f>AL68*'Soil samples'!AK68/100</f>
        <v>0.14554417674587092</v>
      </c>
      <c r="AN68" s="174">
        <f t="shared" si="23"/>
        <v>145.54417674587091</v>
      </c>
      <c r="AO68" s="175">
        <f t="shared" si="24"/>
        <v>1.6568587096925742</v>
      </c>
      <c r="AP68" s="175">
        <f>AO68*'Soil samples'!AR68/100</f>
        <v>0.14554417674587092</v>
      </c>
      <c r="AQ68" s="174">
        <f t="shared" si="25"/>
        <v>145.54417674587091</v>
      </c>
      <c r="AR68">
        <f t="shared" ref="AR68:AR99" si="52">IF(K68&gt;0,K68,0)</f>
        <v>18.759041109999998</v>
      </c>
      <c r="AS68">
        <f t="shared" si="45"/>
        <v>1.8759041109999999E-2</v>
      </c>
      <c r="AT68">
        <f>AS68*('Wet ref'!$B$40+M68)</f>
        <v>0.5265067351963979</v>
      </c>
      <c r="AU68" s="175">
        <f t="shared" ref="AU68:AU99" si="53">AT68/N68</f>
        <v>0.27235345880217909</v>
      </c>
      <c r="AV68" s="175">
        <f>AU68*'Soil samples'!AK68/100</f>
        <v>2.3924466047324348E-2</v>
      </c>
      <c r="AW68" s="174">
        <f t="shared" si="27"/>
        <v>23.924466047324348</v>
      </c>
      <c r="AX68" s="175">
        <f t="shared" si="28"/>
        <v>0.27235345880217909</v>
      </c>
      <c r="AY68" s="175">
        <f>AX68*'Soil samples'!AR68/100</f>
        <v>2.3924466047324348E-2</v>
      </c>
      <c r="AZ68" s="174">
        <f t="shared" si="29"/>
        <v>23.924466047324348</v>
      </c>
      <c r="BA68">
        <f t="shared" ref="BA68:BA99" si="54">IF(AR68*1000-O68-Y68&gt;0,AR68*1000-O68-Y68,0)</f>
        <v>14542.476991479998</v>
      </c>
      <c r="BB68">
        <f t="shared" si="46"/>
        <v>14.542476991479997</v>
      </c>
      <c r="BC68">
        <f>BB68*('Wet ref'!$B$40+M68)</f>
        <v>408.16116546443601</v>
      </c>
      <c r="BD68" s="175">
        <f t="shared" ref="BD68:BD99" si="55">BC68/N68</f>
        <v>211.13520061904083</v>
      </c>
      <c r="BE68" s="175">
        <f>BD68*'Soil samples'!AK68/100</f>
        <v>18.546843358703995</v>
      </c>
      <c r="BF68" s="174">
        <f t="shared" si="33"/>
        <v>18.546843358703995</v>
      </c>
      <c r="BG68" s="175">
        <f t="shared" si="31"/>
        <v>211.13520061904083</v>
      </c>
      <c r="BH68" s="175">
        <f>BG68*'Soil samples'!AR68/100</f>
        <v>18.546843358703995</v>
      </c>
      <c r="BI68" s="174">
        <f t="shared" si="34"/>
        <v>18.546843358703995</v>
      </c>
      <c r="BK68" s="6"/>
      <c r="BL68" s="31"/>
    </row>
    <row r="69" spans="1:64">
      <c r="A69" s="6" t="s">
        <v>73</v>
      </c>
      <c r="B69" s="6" t="s">
        <v>196</v>
      </c>
      <c r="C69" t="s">
        <v>13</v>
      </c>
      <c r="D69" s="8">
        <v>5</v>
      </c>
      <c r="E69" s="3">
        <v>5</v>
      </c>
      <c r="F69" s="26">
        <v>42821</v>
      </c>
      <c r="G69" s="3"/>
      <c r="H69">
        <f>'Wet ref'!B115</f>
        <v>106.2992191</v>
      </c>
      <c r="I69">
        <f>'Wet ref'!C115</f>
        <v>2754.1118430000001</v>
      </c>
      <c r="J69">
        <f>'Wet ref'!D115</f>
        <v>131.18175049999999</v>
      </c>
      <c r="K69">
        <f>'Wet ref'!E115</f>
        <v>19.075764240000002</v>
      </c>
      <c r="L69" s="3">
        <f t="shared" ref="L69:L131" si="56">K69*1000-H69-I69</f>
        <v>16215.353177899999</v>
      </c>
      <c r="M69" s="31">
        <f>'Wet ref'!$B$41*'Soil samples'!AI69%</f>
        <v>2.8272519505083142</v>
      </c>
      <c r="N69" s="105">
        <f>'Wet ref'!$B$41*'Soil samples'!AH69%</f>
        <v>2.1727480494916858</v>
      </c>
      <c r="O69">
        <f t="shared" si="47"/>
        <v>106.2992191</v>
      </c>
      <c r="P69">
        <f t="shared" si="43"/>
        <v>0.10629921910000001</v>
      </c>
      <c r="Q69">
        <f>P69*('Wet ref'!$B$40+M69)</f>
        <v>2.9580151520379858</v>
      </c>
      <c r="R69" s="141">
        <f t="shared" si="32"/>
        <v>1.3614165493003265</v>
      </c>
      <c r="S69" s="141">
        <f>R69*'Soil samples'!AK69/100</f>
        <v>0.18174045094121363</v>
      </c>
      <c r="T69" s="149">
        <f t="shared" ref="T69:T131" si="57">S69/1000000*1000000</f>
        <v>0.18174045094121363</v>
      </c>
      <c r="U69" s="141">
        <f t="shared" ref="U69:U131" si="58">O69</f>
        <v>106.2992191</v>
      </c>
      <c r="V69" s="141">
        <f t="shared" ref="V69:V131" si="59">R69</f>
        <v>1.3614165493003265</v>
      </c>
      <c r="W69" s="141">
        <f>V69*'Soil samples'!AR69/100</f>
        <v>0.18174045094121363</v>
      </c>
      <c r="X69" s="149">
        <f t="shared" ref="X69:X132" si="60">W69*1000000/1000000</f>
        <v>0.18174045094121363</v>
      </c>
      <c r="Y69">
        <f t="shared" si="48"/>
        <v>2754.1118430000001</v>
      </c>
      <c r="Z69">
        <f t="shared" ref="Z69:Z131" si="61">Y69/1000</f>
        <v>2.754111843</v>
      </c>
      <c r="AA69">
        <f>Z69*('Wet ref'!$B$40+M69)</f>
        <v>76.6393641550398</v>
      </c>
      <c r="AB69" s="175">
        <f t="shared" si="49"/>
        <v>35.273010219923833</v>
      </c>
      <c r="AC69" s="175">
        <f>AB69*'Soil samples'!AK69/100</f>
        <v>4.7087225336856413</v>
      </c>
      <c r="AD69" s="174">
        <f t="shared" ref="AD69:AD131" si="62">AC69/1000000*1000000</f>
        <v>4.7087225336856413</v>
      </c>
      <c r="AE69" s="175">
        <f t="shared" ref="AE69:AE131" si="63">Y69</f>
        <v>2754.1118430000001</v>
      </c>
      <c r="AF69" s="175">
        <f t="shared" ref="AF69:AF131" si="64">AB69</f>
        <v>35.273010219923833</v>
      </c>
      <c r="AG69" s="175">
        <f>AF69*'Soil samples'!AR69/100</f>
        <v>4.7087225336856413</v>
      </c>
      <c r="AH69" s="174">
        <f t="shared" ref="AH69:AH132" si="65">AG69/1000000*1000000</f>
        <v>4.7087225336856413</v>
      </c>
      <c r="AI69">
        <f t="shared" si="50"/>
        <v>131.18175049999999</v>
      </c>
      <c r="AJ69">
        <f t="shared" si="44"/>
        <v>0.1311817505</v>
      </c>
      <c r="AK69">
        <f>AJ69*('Wet ref'!$B$40+M69)</f>
        <v>3.6504276224722196</v>
      </c>
      <c r="AL69" s="175">
        <f t="shared" si="51"/>
        <v>1.6800970657072902</v>
      </c>
      <c r="AM69" s="175">
        <f>AL69*'Soil samples'!AK69/100</f>
        <v>0.22428227312469293</v>
      </c>
      <c r="AN69" s="174">
        <f t="shared" ref="AN69:AN132" si="66">AM69/1000*1000000</f>
        <v>224.28227312469295</v>
      </c>
      <c r="AO69" s="175">
        <f t="shared" ref="AO69:AO131" si="67">AL69</f>
        <v>1.6800970657072902</v>
      </c>
      <c r="AP69" s="175">
        <f>AO69*'Soil samples'!AR69/100</f>
        <v>0.22428227312469293</v>
      </c>
      <c r="AQ69" s="174">
        <f t="shared" ref="AQ69:AQ132" si="68">AP69/1000*1000000</f>
        <v>224.28227312469295</v>
      </c>
      <c r="AR69">
        <f t="shared" si="52"/>
        <v>19.075764240000002</v>
      </c>
      <c r="AS69">
        <f t="shared" si="45"/>
        <v>1.9075764240000001E-2</v>
      </c>
      <c r="AT69">
        <f>AS69*('Wet ref'!$B$40+M69)</f>
        <v>0.53082609765497679</v>
      </c>
      <c r="AU69" s="175">
        <f t="shared" si="53"/>
        <v>0.24431093047312297</v>
      </c>
      <c r="AV69" s="175">
        <f>AU69*'Soil samples'!AK69/100</f>
        <v>3.2613955439921738E-2</v>
      </c>
      <c r="AW69" s="174">
        <f t="shared" ref="AW69:AW132" si="69">AV69/1000*1000000</f>
        <v>32.613955439921739</v>
      </c>
      <c r="AX69" s="175">
        <f t="shared" ref="AX69:AX131" si="70">AU69</f>
        <v>0.24431093047312297</v>
      </c>
      <c r="AY69" s="175">
        <f>AX69*'Soil samples'!AR69/100</f>
        <v>3.2613955439921738E-2</v>
      </c>
      <c r="AZ69" s="174">
        <f t="shared" ref="AZ69:AZ132" si="71">AY69/1000*1000000</f>
        <v>32.613955439921739</v>
      </c>
      <c r="BA69">
        <f t="shared" si="54"/>
        <v>16215.353177899999</v>
      </c>
      <c r="BB69">
        <f t="shared" si="46"/>
        <v>16.215353177899999</v>
      </c>
      <c r="BC69">
        <f>BB69*('Wet ref'!$B$40+M69)</f>
        <v>451.2287183478989</v>
      </c>
      <c r="BD69" s="175">
        <f t="shared" si="55"/>
        <v>207.67650370389876</v>
      </c>
      <c r="BE69" s="175">
        <f>BD69*'Soil samples'!AK69/100</f>
        <v>27.723492455294878</v>
      </c>
      <c r="BF69" s="174">
        <f t="shared" si="33"/>
        <v>27.723492455294878</v>
      </c>
      <c r="BG69" s="175">
        <f t="shared" ref="BG69:BG131" si="72">BD69</f>
        <v>207.67650370389876</v>
      </c>
      <c r="BH69" s="175">
        <f>BG69*'Soil samples'!AR69/100</f>
        <v>27.723492455294878</v>
      </c>
      <c r="BI69" s="174">
        <f t="shared" si="34"/>
        <v>27.723492455294878</v>
      </c>
      <c r="BK69" s="6"/>
      <c r="BL69" s="31"/>
    </row>
    <row r="70" spans="1:64">
      <c r="A70" s="6" t="s">
        <v>74</v>
      </c>
      <c r="B70" s="6" t="s">
        <v>196</v>
      </c>
      <c r="C70" t="s">
        <v>13</v>
      </c>
      <c r="D70" s="8">
        <v>5</v>
      </c>
      <c r="E70" s="3">
        <v>10</v>
      </c>
      <c r="F70" s="26">
        <v>42821</v>
      </c>
      <c r="G70" s="3"/>
      <c r="H70">
        <f>'Wet ref'!B116</f>
        <v>62.862085139999998</v>
      </c>
      <c r="I70">
        <f>'Wet ref'!C116</f>
        <v>874.57389479999995</v>
      </c>
      <c r="J70">
        <f>'Wet ref'!D116</f>
        <v>64.670029470000003</v>
      </c>
      <c r="K70">
        <f>'Wet ref'!E116</f>
        <v>8.8080050290000003</v>
      </c>
      <c r="L70" s="3">
        <f t="shared" si="56"/>
        <v>7870.5690490600009</v>
      </c>
      <c r="M70" s="31">
        <f>'Wet ref'!$B$41*'Soil samples'!AI70%</f>
        <v>2.4655407055867675</v>
      </c>
      <c r="N70" s="105">
        <f>'Wet ref'!$B$41*'Soil samples'!AH70%</f>
        <v>2.534459294413232</v>
      </c>
      <c r="O70">
        <f t="shared" si="47"/>
        <v>62.862085139999998</v>
      </c>
      <c r="P70">
        <f t="shared" si="43"/>
        <v>6.2862085139999996E-2</v>
      </c>
      <c r="Q70">
        <f>P70*('Wet ref'!$B$40+M70)</f>
        <v>1.7265411582507311</v>
      </c>
      <c r="R70" s="141">
        <f t="shared" si="32"/>
        <v>0.68122662772946729</v>
      </c>
      <c r="S70" s="141">
        <f>R70*'Soil samples'!AK70/100</f>
        <v>0.21785496334807719</v>
      </c>
      <c r="T70" s="149">
        <f t="shared" si="57"/>
        <v>0.21785496334807719</v>
      </c>
      <c r="U70" s="141">
        <f t="shared" si="58"/>
        <v>62.862085139999998</v>
      </c>
      <c r="V70" s="141">
        <f t="shared" si="59"/>
        <v>0.68122662772946729</v>
      </c>
      <c r="W70" s="141">
        <f>V70*'Soil samples'!AR70/100</f>
        <v>0.21785496334807719</v>
      </c>
      <c r="X70" s="149">
        <f t="shared" si="60"/>
        <v>0.21785496334807719</v>
      </c>
      <c r="Y70">
        <f t="shared" si="48"/>
        <v>874.57389479999995</v>
      </c>
      <c r="Z70">
        <f t="shared" si="61"/>
        <v>0.87457389479999992</v>
      </c>
      <c r="AA70">
        <f>Z70*('Wet ref'!$B$40+M70)</f>
        <v>24.020644907672956</v>
      </c>
      <c r="AB70" s="175">
        <f t="shared" si="49"/>
        <v>9.4776211086215607</v>
      </c>
      <c r="AC70" s="175">
        <f>AB70*'Soil samples'!AK70/100</f>
        <v>3.0309249744501727</v>
      </c>
      <c r="AD70" s="174">
        <f t="shared" si="62"/>
        <v>3.0309249744501727</v>
      </c>
      <c r="AE70" s="175">
        <f t="shared" si="63"/>
        <v>874.57389479999995</v>
      </c>
      <c r="AF70" s="175">
        <f t="shared" si="64"/>
        <v>9.4776211086215607</v>
      </c>
      <c r="AG70" s="175">
        <f>AF70*'Soil samples'!AR70/100</f>
        <v>3.0309249744501727</v>
      </c>
      <c r="AH70" s="174">
        <f t="shared" si="65"/>
        <v>3.0309249744501727</v>
      </c>
      <c r="AI70">
        <f t="shared" si="50"/>
        <v>64.670029470000003</v>
      </c>
      <c r="AJ70">
        <f t="shared" si="44"/>
        <v>6.4670029470000001E-2</v>
      </c>
      <c r="AK70">
        <f>AJ70*('Wet ref'!$B$40+M70)</f>
        <v>1.776197326839781</v>
      </c>
      <c r="AL70" s="175">
        <f t="shared" si="51"/>
        <v>0.70081903889918229</v>
      </c>
      <c r="AM70" s="175">
        <f>AL70*'Soil samples'!AK70/100</f>
        <v>0.22412057870064347</v>
      </c>
      <c r="AN70" s="174">
        <f t="shared" si="66"/>
        <v>224.12057870064348</v>
      </c>
      <c r="AO70" s="175">
        <f t="shared" si="67"/>
        <v>0.70081903889918229</v>
      </c>
      <c r="AP70" s="175">
        <f>AO70*'Soil samples'!AR70/100</f>
        <v>0.22412057870064347</v>
      </c>
      <c r="AQ70" s="174">
        <f t="shared" si="68"/>
        <v>224.12057870064348</v>
      </c>
      <c r="AR70">
        <f t="shared" si="52"/>
        <v>8.8080050290000003</v>
      </c>
      <c r="AS70">
        <f t="shared" si="45"/>
        <v>8.808005029000001E-3</v>
      </c>
      <c r="AT70">
        <f>AS70*('Wet ref'!$B$40+M70)</f>
        <v>0.24191662065901248</v>
      </c>
      <c r="AU70" s="175">
        <f t="shared" si="53"/>
        <v>9.5450978909890155E-2</v>
      </c>
      <c r="AV70" s="175">
        <f>AU70*'Soil samples'!AK70/100</f>
        <v>3.0525039194754185E-2</v>
      </c>
      <c r="AW70" s="174">
        <f t="shared" si="69"/>
        <v>30.525039194754182</v>
      </c>
      <c r="AX70" s="175">
        <f t="shared" si="70"/>
        <v>9.5450978909890155E-2</v>
      </c>
      <c r="AY70" s="175">
        <f>AX70*'Soil samples'!AR70/100</f>
        <v>3.0525039194754185E-2</v>
      </c>
      <c r="AZ70" s="174">
        <f t="shared" si="71"/>
        <v>30.525039194754182</v>
      </c>
      <c r="BA70">
        <f t="shared" si="54"/>
        <v>7870.5690490600009</v>
      </c>
      <c r="BB70">
        <f t="shared" si="46"/>
        <v>7.8705690490600011</v>
      </c>
      <c r="BC70">
        <f>BB70*('Wet ref'!$B$40+M70)</f>
        <v>216.16943459308879</v>
      </c>
      <c r="BD70" s="175">
        <f t="shared" si="55"/>
        <v>85.292131173539119</v>
      </c>
      <c r="BE70" s="175">
        <f>BD70*'Soil samples'!AK70/100</f>
        <v>27.276259256955935</v>
      </c>
      <c r="BF70" s="174">
        <f t="shared" si="33"/>
        <v>27.276259256955935</v>
      </c>
      <c r="BG70" s="175">
        <f t="shared" si="72"/>
        <v>85.292131173539119</v>
      </c>
      <c r="BH70" s="175">
        <f>BG70*'Soil samples'!AR70/100</f>
        <v>27.276259256955935</v>
      </c>
      <c r="BI70" s="174">
        <f t="shared" si="34"/>
        <v>27.276259256955935</v>
      </c>
      <c r="BK70" s="6"/>
      <c r="BL70" s="31"/>
    </row>
    <row r="71" spans="1:64">
      <c r="A71" s="6" t="s">
        <v>75</v>
      </c>
      <c r="B71" s="6" t="s">
        <v>196</v>
      </c>
      <c r="C71" t="s">
        <v>13</v>
      </c>
      <c r="D71" s="8">
        <v>5</v>
      </c>
      <c r="E71" s="3">
        <v>20</v>
      </c>
      <c r="F71" s="26">
        <v>42821</v>
      </c>
      <c r="G71" s="3"/>
      <c r="H71">
        <f>'Wet ref'!B117</f>
        <v>39.95397474</v>
      </c>
      <c r="I71">
        <f>'Wet ref'!C117</f>
        <v>572.27921930000002</v>
      </c>
      <c r="J71">
        <f>'Wet ref'!D117</f>
        <v>52.483337380000002</v>
      </c>
      <c r="K71">
        <f>'Wet ref'!E117</f>
        <v>5.9946061720000001</v>
      </c>
      <c r="L71" s="3">
        <f t="shared" si="56"/>
        <v>5382.3729779599998</v>
      </c>
      <c r="M71" s="31">
        <f>'Wet ref'!$B$41*'Soil samples'!AI71%</f>
        <v>2.0940604636256808</v>
      </c>
      <c r="N71" s="105">
        <f>'Wet ref'!$B$41*'Soil samples'!AH71%</f>
        <v>2.9059395363743192</v>
      </c>
      <c r="O71">
        <f t="shared" si="47"/>
        <v>39.95397474</v>
      </c>
      <c r="P71">
        <f t="shared" si="43"/>
        <v>3.9953974740000002E-2</v>
      </c>
      <c r="Q71">
        <f>P71*('Wet ref'!$B$40+M71)</f>
        <v>1.0825154073677332</v>
      </c>
      <c r="R71" s="141">
        <f t="shared" ref="R71:R134" si="73">Q71/N71</f>
        <v>0.37251821444239869</v>
      </c>
      <c r="S71" s="141">
        <f>R71*'Soil samples'!AK71/100</f>
        <v>0.17790058204681317</v>
      </c>
      <c r="T71" s="149">
        <f t="shared" si="57"/>
        <v>0.17790058204681317</v>
      </c>
      <c r="U71" s="141">
        <f t="shared" si="58"/>
        <v>39.95397474</v>
      </c>
      <c r="V71" s="141">
        <f t="shared" si="59"/>
        <v>0.37251821444239869</v>
      </c>
      <c r="W71" s="141">
        <f>V71*'Soil samples'!AR71/100</f>
        <v>0.17790058204681317</v>
      </c>
      <c r="X71" s="149">
        <f t="shared" si="60"/>
        <v>0.17790058204681317</v>
      </c>
      <c r="Y71">
        <f t="shared" si="48"/>
        <v>572.27921930000002</v>
      </c>
      <c r="Z71">
        <f t="shared" si="61"/>
        <v>0.57227921930000003</v>
      </c>
      <c r="AA71">
        <f>Z71*('Wet ref'!$B$40+M71)</f>
        <v>15.505367769790702</v>
      </c>
      <c r="AB71" s="175">
        <f t="shared" si="49"/>
        <v>5.3357503057811142</v>
      </c>
      <c r="AC71" s="175">
        <f>AB71*'Soil samples'!AK71/100</f>
        <v>2.5481521392874025</v>
      </c>
      <c r="AD71" s="174">
        <f t="shared" si="62"/>
        <v>2.5481521392874025</v>
      </c>
      <c r="AE71" s="175">
        <f t="shared" si="63"/>
        <v>572.27921930000002</v>
      </c>
      <c r="AF71" s="175">
        <f t="shared" si="64"/>
        <v>5.3357503057811142</v>
      </c>
      <c r="AG71" s="175">
        <f>AF71*'Soil samples'!AR71/100</f>
        <v>2.5481521392874025</v>
      </c>
      <c r="AH71" s="174">
        <f t="shared" si="65"/>
        <v>2.5481521392874025</v>
      </c>
      <c r="AI71">
        <f t="shared" si="50"/>
        <v>52.483337380000002</v>
      </c>
      <c r="AJ71">
        <f t="shared" si="44"/>
        <v>5.2483337380000002E-2</v>
      </c>
      <c r="AK71">
        <f>AJ71*('Wet ref'!$B$40+M71)</f>
        <v>1.4219867163065858</v>
      </c>
      <c r="AL71" s="175">
        <f t="shared" si="51"/>
        <v>0.48933802596621445</v>
      </c>
      <c r="AM71" s="175">
        <f>AL71*'Soil samples'!AK71/100</f>
        <v>0.23368929695782417</v>
      </c>
      <c r="AN71" s="174">
        <f t="shared" si="66"/>
        <v>233.68929695782415</v>
      </c>
      <c r="AO71" s="175">
        <f t="shared" si="67"/>
        <v>0.48933802596621445</v>
      </c>
      <c r="AP71" s="175">
        <f>AO71*'Soil samples'!AR71/100</f>
        <v>0.23368929695782417</v>
      </c>
      <c r="AQ71" s="174">
        <f t="shared" si="68"/>
        <v>233.68929695782415</v>
      </c>
      <c r="AR71">
        <f t="shared" si="52"/>
        <v>5.9946061720000001</v>
      </c>
      <c r="AS71">
        <f t="shared" si="45"/>
        <v>5.9946061719999997E-3</v>
      </c>
      <c r="AT71">
        <f>AS71*('Wet ref'!$B$40+M71)</f>
        <v>0.16241822207979167</v>
      </c>
      <c r="AU71" s="175">
        <f t="shared" si="53"/>
        <v>5.5891810564798444E-2</v>
      </c>
      <c r="AV71" s="175">
        <f>AU71*'Soil samples'!AK71/100</f>
        <v>2.6691810616592947E-2</v>
      </c>
      <c r="AW71" s="174">
        <f t="shared" si="69"/>
        <v>26.691810616592946</v>
      </c>
      <c r="AX71" s="175">
        <f t="shared" si="70"/>
        <v>5.5891810564798444E-2</v>
      </c>
      <c r="AY71" s="175">
        <f>AX71*'Soil samples'!AR71/100</f>
        <v>2.6691810616592947E-2</v>
      </c>
      <c r="AZ71" s="174">
        <f t="shared" si="71"/>
        <v>26.691810616592946</v>
      </c>
      <c r="BA71">
        <f t="shared" si="54"/>
        <v>5382.3729779599998</v>
      </c>
      <c r="BB71">
        <f t="shared" si="46"/>
        <v>5.3823729779600002</v>
      </c>
      <c r="BC71">
        <f>BB71*('Wet ref'!$B$40+M71)</f>
        <v>145.83033890263326</v>
      </c>
      <c r="BD71" s="175">
        <f t="shared" si="55"/>
        <v>50.183542044574942</v>
      </c>
      <c r="BE71" s="175">
        <f>BD71*'Soil samples'!AK71/100</f>
        <v>23.965757895258733</v>
      </c>
      <c r="BF71" s="174">
        <f t="shared" si="33"/>
        <v>23.965757895258733</v>
      </c>
      <c r="BG71" s="175">
        <f t="shared" si="72"/>
        <v>50.183542044574942</v>
      </c>
      <c r="BH71" s="175">
        <f>BG71*'Soil samples'!AR71/100</f>
        <v>23.965757895258733</v>
      </c>
      <c r="BI71" s="174">
        <f t="shared" si="34"/>
        <v>23.965757895258733</v>
      </c>
      <c r="BK71" s="6"/>
      <c r="BL71" s="31"/>
    </row>
    <row r="72" spans="1:64">
      <c r="A72" s="6" t="s">
        <v>76</v>
      </c>
      <c r="B72" s="6" t="s">
        <v>196</v>
      </c>
      <c r="C72" t="s">
        <v>13</v>
      </c>
      <c r="D72" s="8">
        <v>5</v>
      </c>
      <c r="E72" s="3">
        <v>30</v>
      </c>
      <c r="F72" s="26">
        <v>42821</v>
      </c>
      <c r="G72" s="3"/>
      <c r="H72">
        <f>'Wet ref'!B118</f>
        <v>10.316146359999999</v>
      </c>
      <c r="I72">
        <f>'Wet ref'!C118</f>
        <v>14.949806479999999</v>
      </c>
      <c r="J72">
        <f>'Wet ref'!D118</f>
        <v>1.7687767109999999</v>
      </c>
      <c r="K72">
        <f>'Wet ref'!E118</f>
        <v>-0.30907089999999998</v>
      </c>
      <c r="L72" s="3">
        <f t="shared" si="56"/>
        <v>-334.33685284000001</v>
      </c>
      <c r="M72" s="31">
        <f>'Wet ref'!$B$41*'Soil samples'!AI72%</f>
        <v>0.24243666475362885</v>
      </c>
      <c r="N72" s="105">
        <f>'Wet ref'!$B$41*'Soil samples'!AH72%</f>
        <v>4.7575633352463704</v>
      </c>
      <c r="O72">
        <f t="shared" si="47"/>
        <v>10.316146359999999</v>
      </c>
      <c r="P72">
        <f t="shared" si="43"/>
        <v>1.0316146359999999E-2</v>
      </c>
      <c r="Q72">
        <f>P72*('Wet ref'!$B$40+M72)</f>
        <v>0.26040467111662868</v>
      </c>
      <c r="R72" s="141">
        <f t="shared" si="73"/>
        <v>5.4734882705065158E-2</v>
      </c>
      <c r="S72" s="141">
        <f>R72*'Soil samples'!AK72/100</f>
        <v>6.3752271582773024E-2</v>
      </c>
      <c r="T72" s="149">
        <f t="shared" si="57"/>
        <v>6.3752271582773024E-2</v>
      </c>
      <c r="U72" s="141">
        <f t="shared" si="58"/>
        <v>10.316146359999999</v>
      </c>
      <c r="V72" s="141">
        <f t="shared" si="59"/>
        <v>5.4734882705065158E-2</v>
      </c>
      <c r="W72" s="141">
        <f>V72*'Soil samples'!AR72/100</f>
        <v>6.3752271582773024E-2</v>
      </c>
      <c r="X72" s="149">
        <f t="shared" si="60"/>
        <v>6.3752271582773024E-2</v>
      </c>
      <c r="Y72">
        <f t="shared" si="48"/>
        <v>14.949806479999999</v>
      </c>
      <c r="Z72">
        <f t="shared" si="61"/>
        <v>1.4949806479999999E-2</v>
      </c>
      <c r="AA72">
        <f>Z72*('Wet ref'!$B$40+M72)</f>
        <v>0.37736954322172339</v>
      </c>
      <c r="AB72" s="175">
        <f t="shared" si="49"/>
        <v>7.9319920015774481E-2</v>
      </c>
      <c r="AC72" s="175">
        <f>AB72*'Soil samples'!AK72/100</f>
        <v>9.2387611571542308E-2</v>
      </c>
      <c r="AD72" s="174">
        <f t="shared" si="62"/>
        <v>9.2387611571542308E-2</v>
      </c>
      <c r="AE72" s="175">
        <f t="shared" si="63"/>
        <v>14.949806479999999</v>
      </c>
      <c r="AF72" s="175">
        <f t="shared" si="64"/>
        <v>7.9319920015774481E-2</v>
      </c>
      <c r="AG72" s="175">
        <f>AF72*'Soil samples'!AR72/100</f>
        <v>9.2387611571542308E-2</v>
      </c>
      <c r="AH72" s="174">
        <f t="shared" si="65"/>
        <v>9.2387611571542308E-2</v>
      </c>
      <c r="AI72">
        <f t="shared" si="50"/>
        <v>1.7687767109999999</v>
      </c>
      <c r="AJ72">
        <f t="shared" si="44"/>
        <v>1.7687767109999999E-3</v>
      </c>
      <c r="AK72">
        <f>AJ72*('Wet ref'!$B$40+M72)</f>
        <v>4.4648234101508734E-2</v>
      </c>
      <c r="AL72" s="175">
        <f t="shared" si="51"/>
        <v>9.3846851750207187E-3</v>
      </c>
      <c r="AM72" s="175">
        <f>AL72*'Soil samples'!AK72/100</f>
        <v>1.0930780672731368E-2</v>
      </c>
      <c r="AN72" s="174">
        <f t="shared" si="66"/>
        <v>10.930780672731368</v>
      </c>
      <c r="AO72" s="175">
        <f t="shared" si="67"/>
        <v>9.3846851750207187E-3</v>
      </c>
      <c r="AP72" s="175">
        <f>AO72*'Soil samples'!AR72/100</f>
        <v>1.0930780672731368E-2</v>
      </c>
      <c r="AQ72" s="174">
        <f t="shared" si="68"/>
        <v>10.930780672731368</v>
      </c>
      <c r="AR72">
        <f t="shared" si="52"/>
        <v>0</v>
      </c>
      <c r="AS72">
        <f t="shared" si="45"/>
        <v>0</v>
      </c>
      <c r="AT72">
        <f>AS72*('Wet ref'!$B$40+M72)</f>
        <v>0</v>
      </c>
      <c r="AU72" s="175">
        <f t="shared" si="53"/>
        <v>0</v>
      </c>
      <c r="AV72" s="175">
        <f>AU72*'Soil samples'!AK72/100</f>
        <v>0</v>
      </c>
      <c r="AW72" s="174">
        <f t="shared" si="69"/>
        <v>0</v>
      </c>
      <c r="AX72" s="175">
        <f t="shared" si="70"/>
        <v>0</v>
      </c>
      <c r="AY72" s="175">
        <f>AX72*'Soil samples'!AR72/100</f>
        <v>0</v>
      </c>
      <c r="AZ72" s="174">
        <f t="shared" si="71"/>
        <v>0</v>
      </c>
      <c r="BA72">
        <f t="shared" si="54"/>
        <v>0</v>
      </c>
      <c r="BB72">
        <f t="shared" si="46"/>
        <v>0</v>
      </c>
      <c r="BC72">
        <f>BB72*('Wet ref'!$B$40+M72)</f>
        <v>0</v>
      </c>
      <c r="BD72" s="175">
        <f t="shared" si="55"/>
        <v>0</v>
      </c>
      <c r="BE72" s="175">
        <f>BD72*'Soil samples'!AK72/100</f>
        <v>0</v>
      </c>
      <c r="BF72" s="174">
        <f t="shared" si="33"/>
        <v>0</v>
      </c>
      <c r="BG72" s="175">
        <f t="shared" si="72"/>
        <v>0</v>
      </c>
      <c r="BH72" s="175">
        <f>BG72*'Soil samples'!AR72/100</f>
        <v>0</v>
      </c>
      <c r="BI72" s="174">
        <f t="shared" si="34"/>
        <v>0</v>
      </c>
      <c r="BK72" s="6"/>
      <c r="BL72" s="31"/>
    </row>
    <row r="73" spans="1:64">
      <c r="A73" s="6" t="s">
        <v>77</v>
      </c>
      <c r="B73" s="6" t="s">
        <v>196</v>
      </c>
      <c r="C73" t="s">
        <v>13</v>
      </c>
      <c r="D73" s="8">
        <v>6</v>
      </c>
      <c r="E73" s="3">
        <v>5</v>
      </c>
      <c r="F73" s="26">
        <v>42783</v>
      </c>
      <c r="G73" s="3"/>
      <c r="H73">
        <f>'Wet ref'!B119</f>
        <v>7.6197476240000004</v>
      </c>
      <c r="I73">
        <f>'Wet ref'!C119</f>
        <v>253.6681322</v>
      </c>
      <c r="J73">
        <f>'Wet ref'!D119</f>
        <v>23.223328649999999</v>
      </c>
      <c r="K73">
        <f>'Wet ref'!E119</f>
        <v>-8.8646937999999995E-2</v>
      </c>
      <c r="L73" s="3">
        <f t="shared" si="56"/>
        <v>-349.93481782399999</v>
      </c>
      <c r="M73" s="31">
        <f>'Wet ref'!$B$41*'Soil samples'!AI73%</f>
        <v>0.71812294100029916</v>
      </c>
      <c r="N73" s="105">
        <f>'Wet ref'!$B$41*'Soil samples'!AH73%</f>
        <v>4.2818770589997008</v>
      </c>
      <c r="O73">
        <f t="shared" si="47"/>
        <v>7.6197476240000004</v>
      </c>
      <c r="P73">
        <f t="shared" si="43"/>
        <v>7.6197476240000006E-3</v>
      </c>
      <c r="Q73">
        <f>P73*('Wet ref'!$B$40+M73)</f>
        <v>0.19596560617342693</v>
      </c>
      <c r="R73" s="141">
        <f t="shared" si="73"/>
        <v>4.5766285083207618E-2</v>
      </c>
      <c r="S73" s="141">
        <f>R73*'Soil samples'!AK73/100</f>
        <v>1.7119555355310578E-2</v>
      </c>
      <c r="T73" s="149">
        <f t="shared" si="57"/>
        <v>1.7119555355310578E-2</v>
      </c>
      <c r="U73" s="141">
        <f t="shared" si="58"/>
        <v>7.6197476240000004</v>
      </c>
      <c r="V73" s="141">
        <f t="shared" si="59"/>
        <v>4.5766285083207618E-2</v>
      </c>
      <c r="W73" s="141">
        <f>V73*'Soil samples'!AR73/100</f>
        <v>1.7119555355310578E-2</v>
      </c>
      <c r="X73" s="149">
        <f t="shared" si="60"/>
        <v>1.7119555355310578E-2</v>
      </c>
      <c r="Y73">
        <f t="shared" si="48"/>
        <v>253.6681322</v>
      </c>
      <c r="Z73">
        <f t="shared" si="61"/>
        <v>0.25366813220000001</v>
      </c>
      <c r="AA73">
        <f>Z73*('Wet ref'!$B$40+M73)</f>
        <v>6.523868210133517</v>
      </c>
      <c r="AB73" s="175">
        <f t="shared" si="49"/>
        <v>1.5236000754439158</v>
      </c>
      <c r="AC73" s="175">
        <f>AB73*'Soil samples'!AK73/100</f>
        <v>0.56992512683726415</v>
      </c>
      <c r="AD73" s="174">
        <f t="shared" si="62"/>
        <v>0.56992512683726415</v>
      </c>
      <c r="AE73" s="175">
        <f t="shared" si="63"/>
        <v>253.6681322</v>
      </c>
      <c r="AF73" s="175">
        <f t="shared" si="64"/>
        <v>1.5236000754439158</v>
      </c>
      <c r="AG73" s="175">
        <f>AF73*'Soil samples'!AR73/100</f>
        <v>0.56992512683726415</v>
      </c>
      <c r="AH73" s="174">
        <f t="shared" si="65"/>
        <v>0.56992512683726415</v>
      </c>
      <c r="AI73">
        <f t="shared" si="50"/>
        <v>23.223328649999999</v>
      </c>
      <c r="AJ73">
        <f t="shared" si="44"/>
        <v>2.322332865E-2</v>
      </c>
      <c r="AK73">
        <f>AJ73*('Wet ref'!$B$40+M73)</f>
        <v>0.59726042131995449</v>
      </c>
      <c r="AL73" s="175">
        <f t="shared" si="51"/>
        <v>0.13948565385935716</v>
      </c>
      <c r="AM73" s="175">
        <f>AL73*'Soil samples'!AK73/100</f>
        <v>5.2176670406511229E-2</v>
      </c>
      <c r="AN73" s="174">
        <f t="shared" si="66"/>
        <v>52.176670406511228</v>
      </c>
      <c r="AO73" s="175">
        <f t="shared" si="67"/>
        <v>0.13948565385935716</v>
      </c>
      <c r="AP73" s="175">
        <f>AO73*'Soil samples'!AR73/100</f>
        <v>5.2176670406511229E-2</v>
      </c>
      <c r="AQ73" s="174">
        <f t="shared" si="68"/>
        <v>52.176670406511228</v>
      </c>
      <c r="AR73">
        <f t="shared" si="52"/>
        <v>0</v>
      </c>
      <c r="AS73">
        <f t="shared" si="45"/>
        <v>0</v>
      </c>
      <c r="AT73">
        <f>AS73*('Wet ref'!$B$40+M73)</f>
        <v>0</v>
      </c>
      <c r="AU73" s="175">
        <f t="shared" si="53"/>
        <v>0</v>
      </c>
      <c r="AV73" s="175">
        <f>AU73*'Soil samples'!AK73/100</f>
        <v>0</v>
      </c>
      <c r="AW73" s="174">
        <f t="shared" si="69"/>
        <v>0</v>
      </c>
      <c r="AX73" s="175">
        <f t="shared" si="70"/>
        <v>0</v>
      </c>
      <c r="AY73" s="175">
        <f>AX73*'Soil samples'!AR73/100</f>
        <v>0</v>
      </c>
      <c r="AZ73" s="174">
        <f t="shared" si="71"/>
        <v>0</v>
      </c>
      <c r="BA73">
        <f t="shared" si="54"/>
        <v>0</v>
      </c>
      <c r="BB73">
        <f t="shared" si="46"/>
        <v>0</v>
      </c>
      <c r="BC73">
        <f>BB73*('Wet ref'!$B$40+M73)</f>
        <v>0</v>
      </c>
      <c r="BD73" s="175">
        <f t="shared" si="55"/>
        <v>0</v>
      </c>
      <c r="BE73" s="175">
        <f>BD73*'Soil samples'!AK73/100</f>
        <v>0</v>
      </c>
      <c r="BF73" s="174">
        <f t="shared" si="33"/>
        <v>0</v>
      </c>
      <c r="BG73" s="175">
        <f t="shared" si="72"/>
        <v>0</v>
      </c>
      <c r="BH73" s="175">
        <f>BG73*'Soil samples'!AR73/100</f>
        <v>0</v>
      </c>
      <c r="BI73" s="174">
        <f t="shared" si="34"/>
        <v>0</v>
      </c>
      <c r="BK73" s="6"/>
      <c r="BL73" s="31"/>
    </row>
    <row r="74" spans="1:64">
      <c r="A74" s="6" t="s">
        <v>78</v>
      </c>
      <c r="B74" s="6" t="s">
        <v>196</v>
      </c>
      <c r="C74" t="s">
        <v>13</v>
      </c>
      <c r="D74" s="8">
        <v>6</v>
      </c>
      <c r="E74" s="3">
        <v>10</v>
      </c>
      <c r="F74" s="26">
        <v>42783</v>
      </c>
      <c r="G74" s="3"/>
      <c r="H74">
        <f>'Wet ref'!B120</f>
        <v>0.34864450699999999</v>
      </c>
      <c r="I74">
        <f>'Wet ref'!C120</f>
        <v>26.950728959999999</v>
      </c>
      <c r="J74">
        <f>'Wet ref'!D120</f>
        <v>3.8739680299999999</v>
      </c>
      <c r="K74">
        <f>'Wet ref'!E120</f>
        <v>-0.66586819500000005</v>
      </c>
      <c r="L74" s="3">
        <f t="shared" si="56"/>
        <v>-693.16756846700002</v>
      </c>
      <c r="M74" s="31">
        <f>'Wet ref'!$B$41*'Soil samples'!AI74%</f>
        <v>0.33713132751765545</v>
      </c>
      <c r="N74" s="105">
        <f>'Wet ref'!$B$41*'Soil samples'!AH74%</f>
        <v>4.6628686724823449</v>
      </c>
      <c r="O74">
        <f t="shared" si="47"/>
        <v>0.34864450699999999</v>
      </c>
      <c r="P74">
        <f t="shared" si="43"/>
        <v>3.4864450699999998E-4</v>
      </c>
      <c r="Q74">
        <f>P74*('Wet ref'!$B$40+M74)</f>
        <v>8.8336516604766487E-3</v>
      </c>
      <c r="R74" s="141">
        <f t="shared" si="73"/>
        <v>1.8944671791011277E-3</v>
      </c>
      <c r="S74" s="141">
        <f>R74*'Soil samples'!AK74/100</f>
        <v>1.1640986158176136E-3</v>
      </c>
      <c r="T74" s="149">
        <f t="shared" si="57"/>
        <v>1.1640986158176136E-3</v>
      </c>
      <c r="U74" s="141">
        <f t="shared" si="58"/>
        <v>0.34864450699999999</v>
      </c>
      <c r="V74" s="141">
        <f t="shared" si="59"/>
        <v>1.8944671791011277E-3</v>
      </c>
      <c r="W74" s="141">
        <f>V74*'Soil samples'!AR74/100</f>
        <v>1.1640986158176136E-3</v>
      </c>
      <c r="X74" s="149">
        <f t="shared" si="60"/>
        <v>1.1640986158176136E-3</v>
      </c>
      <c r="Y74">
        <f t="shared" si="48"/>
        <v>26.950728959999999</v>
      </c>
      <c r="Z74">
        <f t="shared" si="61"/>
        <v>2.695072896E-2</v>
      </c>
      <c r="AA74">
        <f>Z74*('Wet ref'!$B$40+M74)</f>
        <v>0.68285415903185331</v>
      </c>
      <c r="AB74" s="175">
        <f t="shared" si="49"/>
        <v>0.14644507641008173</v>
      </c>
      <c r="AC74" s="175">
        <f>AB74*'Soil samples'!AK74/100</f>
        <v>8.998652107721769E-2</v>
      </c>
      <c r="AD74" s="174">
        <f t="shared" si="62"/>
        <v>8.998652107721769E-2</v>
      </c>
      <c r="AE74" s="175">
        <f t="shared" si="63"/>
        <v>26.950728959999999</v>
      </c>
      <c r="AF74" s="175">
        <f t="shared" si="64"/>
        <v>0.14644507641008173</v>
      </c>
      <c r="AG74" s="175">
        <f>AF74*'Soil samples'!AR74/100</f>
        <v>8.998652107721769E-2</v>
      </c>
      <c r="AH74" s="174">
        <f t="shared" si="65"/>
        <v>8.998652107721769E-2</v>
      </c>
      <c r="AI74">
        <f t="shared" si="50"/>
        <v>3.8739680299999999</v>
      </c>
      <c r="AJ74">
        <f t="shared" si="44"/>
        <v>3.8739680300000001E-3</v>
      </c>
      <c r="AK74">
        <f>AJ74*('Wet ref'!$B$40+M74)</f>
        <v>9.8155236734714865E-2</v>
      </c>
      <c r="AL74" s="175">
        <f t="shared" si="51"/>
        <v>2.1050397004310335E-2</v>
      </c>
      <c r="AM74" s="175">
        <f>AL74*'Soil samples'!AK74/100</f>
        <v>1.2934897096900733E-2</v>
      </c>
      <c r="AN74" s="174">
        <f t="shared" si="66"/>
        <v>12.934897096900732</v>
      </c>
      <c r="AO74" s="175">
        <f t="shared" si="67"/>
        <v>2.1050397004310335E-2</v>
      </c>
      <c r="AP74" s="175">
        <f>AO74*'Soil samples'!AR74/100</f>
        <v>1.2934897096900733E-2</v>
      </c>
      <c r="AQ74" s="174">
        <f t="shared" si="68"/>
        <v>12.934897096900732</v>
      </c>
      <c r="AR74">
        <f t="shared" si="52"/>
        <v>0</v>
      </c>
      <c r="AS74">
        <f t="shared" si="45"/>
        <v>0</v>
      </c>
      <c r="AT74">
        <f>AS74*('Wet ref'!$B$40+M74)</f>
        <v>0</v>
      </c>
      <c r="AU74" s="175">
        <f t="shared" si="53"/>
        <v>0</v>
      </c>
      <c r="AV74" s="175">
        <f>AU74*'Soil samples'!AK74/100</f>
        <v>0</v>
      </c>
      <c r="AW74" s="174">
        <f t="shared" si="69"/>
        <v>0</v>
      </c>
      <c r="AX74" s="175">
        <f t="shared" si="70"/>
        <v>0</v>
      </c>
      <c r="AY74" s="175">
        <f>AX74*'Soil samples'!AR74/100</f>
        <v>0</v>
      </c>
      <c r="AZ74" s="174">
        <f t="shared" si="71"/>
        <v>0</v>
      </c>
      <c r="BA74">
        <f t="shared" si="54"/>
        <v>0</v>
      </c>
      <c r="BB74">
        <f t="shared" si="46"/>
        <v>0</v>
      </c>
      <c r="BC74">
        <f>BB74*('Wet ref'!$B$40+M74)</f>
        <v>0</v>
      </c>
      <c r="BD74" s="175">
        <f t="shared" si="55"/>
        <v>0</v>
      </c>
      <c r="BE74" s="175">
        <f>BD74*'Soil samples'!AK74/100</f>
        <v>0</v>
      </c>
      <c r="BF74" s="174">
        <f t="shared" si="33"/>
        <v>0</v>
      </c>
      <c r="BG74" s="175">
        <f t="shared" si="72"/>
        <v>0</v>
      </c>
      <c r="BH74" s="175">
        <f>BG74*'Soil samples'!AR74/100</f>
        <v>0</v>
      </c>
      <c r="BI74" s="174">
        <f t="shared" si="34"/>
        <v>0</v>
      </c>
      <c r="BK74" s="6"/>
      <c r="BL74" s="31"/>
    </row>
    <row r="75" spans="1:64">
      <c r="A75" s="6" t="s">
        <v>79</v>
      </c>
      <c r="B75" s="6" t="s">
        <v>196</v>
      </c>
      <c r="C75" t="s">
        <v>13</v>
      </c>
      <c r="D75" s="8">
        <v>6</v>
      </c>
      <c r="E75" s="3">
        <v>20</v>
      </c>
      <c r="F75" s="26">
        <v>42783</v>
      </c>
      <c r="G75" s="3"/>
      <c r="H75">
        <f>'Wet ref'!B121</f>
        <v>2.7728468290000001</v>
      </c>
      <c r="I75">
        <f>'Wet ref'!C121</f>
        <v>4.8255595959999997</v>
      </c>
      <c r="J75">
        <f>'Wet ref'!D121</f>
        <v>3.0734696279999998</v>
      </c>
      <c r="K75">
        <f>'Wet ref'!E121</f>
        <v>-0.75785569699999999</v>
      </c>
      <c r="L75" s="3">
        <f t="shared" si="56"/>
        <v>-765.45410342499986</v>
      </c>
      <c r="M75" s="31">
        <f>'Wet ref'!$B$41*'Soil samples'!AI75%</f>
        <v>0.56897881766774883</v>
      </c>
      <c r="N75" s="105">
        <f>'Wet ref'!$B$41*'Soil samples'!AH75%</f>
        <v>4.431021182332251</v>
      </c>
      <c r="O75">
        <f t="shared" si="47"/>
        <v>2.7728468290000001</v>
      </c>
      <c r="P75">
        <f t="shared" si="43"/>
        <v>2.772846829E-3</v>
      </c>
      <c r="Q75">
        <f>P75*('Wet ref'!$B$40+M75)</f>
        <v>7.0898861835338181E-2</v>
      </c>
      <c r="R75" s="141">
        <f t="shared" si="73"/>
        <v>1.6000569376204345E-2</v>
      </c>
      <c r="S75" s="141">
        <f>R75*'Soil samples'!AK75/100</f>
        <v>1.6637126918280454E-2</v>
      </c>
      <c r="T75" s="149">
        <f t="shared" si="57"/>
        <v>1.6637126918280454E-2</v>
      </c>
      <c r="U75" s="141">
        <f t="shared" si="58"/>
        <v>2.7728468290000001</v>
      </c>
      <c r="V75" s="141">
        <f t="shared" si="59"/>
        <v>1.6000569376204345E-2</v>
      </c>
      <c r="W75" s="141">
        <f>V75*'Soil samples'!AR75/100</f>
        <v>1.6637126918280454E-2</v>
      </c>
      <c r="X75" s="149">
        <f t="shared" si="60"/>
        <v>1.6637126918280454E-2</v>
      </c>
      <c r="Y75">
        <f t="shared" si="48"/>
        <v>4.8255595959999997</v>
      </c>
      <c r="Z75">
        <f t="shared" si="61"/>
        <v>4.8255595959999995E-3</v>
      </c>
      <c r="AA75">
        <f>Z75*('Wet ref'!$B$40+M75)</f>
        <v>0.12338463109351733</v>
      </c>
      <c r="AB75" s="175">
        <f t="shared" si="49"/>
        <v>2.7845642351132769E-2</v>
      </c>
      <c r="AC75" s="175">
        <f>AB75*'Soil samples'!AK75/100</f>
        <v>2.8953437532404772E-2</v>
      </c>
      <c r="AD75" s="174">
        <f t="shared" si="62"/>
        <v>2.8953437532404772E-2</v>
      </c>
      <c r="AE75" s="175">
        <f t="shared" si="63"/>
        <v>4.8255595959999997</v>
      </c>
      <c r="AF75" s="175">
        <f t="shared" si="64"/>
        <v>2.7845642351132769E-2</v>
      </c>
      <c r="AG75" s="175">
        <f>AF75*'Soil samples'!AR75/100</f>
        <v>2.8953437532404772E-2</v>
      </c>
      <c r="AH75" s="174">
        <f t="shared" si="65"/>
        <v>2.8953437532404772E-2</v>
      </c>
      <c r="AI75">
        <f t="shared" si="50"/>
        <v>3.0734696279999998</v>
      </c>
      <c r="AJ75">
        <f t="shared" si="44"/>
        <v>3.0734696279999998E-3</v>
      </c>
      <c r="AK75">
        <f>AJ75*('Wet ref'!$B$40+M75)</f>
        <v>7.8585479815077172E-2</v>
      </c>
      <c r="AL75" s="175">
        <f t="shared" si="51"/>
        <v>1.7735297707088371E-2</v>
      </c>
      <c r="AM75" s="175">
        <f>AL75*'Soil samples'!AK75/100</f>
        <v>1.8440868693406005E-2</v>
      </c>
      <c r="AN75" s="174">
        <f t="shared" si="66"/>
        <v>18.440868693406006</v>
      </c>
      <c r="AO75" s="175">
        <f t="shared" si="67"/>
        <v>1.7735297707088371E-2</v>
      </c>
      <c r="AP75" s="175">
        <f>AO75*'Soil samples'!AR75/100</f>
        <v>1.8440868693406005E-2</v>
      </c>
      <c r="AQ75" s="174">
        <f t="shared" si="68"/>
        <v>18.440868693406006</v>
      </c>
      <c r="AR75">
        <f t="shared" si="52"/>
        <v>0</v>
      </c>
      <c r="AS75">
        <f t="shared" si="45"/>
        <v>0</v>
      </c>
      <c r="AT75">
        <f>AS75*('Wet ref'!$B$40+M75)</f>
        <v>0</v>
      </c>
      <c r="AU75" s="175">
        <f t="shared" si="53"/>
        <v>0</v>
      </c>
      <c r="AV75" s="175">
        <f>AU75*'Soil samples'!AK75/100</f>
        <v>0</v>
      </c>
      <c r="AW75" s="174">
        <f t="shared" si="69"/>
        <v>0</v>
      </c>
      <c r="AX75" s="175">
        <f t="shared" si="70"/>
        <v>0</v>
      </c>
      <c r="AY75" s="175">
        <f>AX75*'Soil samples'!AR75/100</f>
        <v>0</v>
      </c>
      <c r="AZ75" s="174">
        <f t="shared" si="71"/>
        <v>0</v>
      </c>
      <c r="BA75">
        <f t="shared" si="54"/>
        <v>0</v>
      </c>
      <c r="BB75">
        <f t="shared" si="46"/>
        <v>0</v>
      </c>
      <c r="BC75">
        <f>BB75*('Wet ref'!$B$40+M75)</f>
        <v>0</v>
      </c>
      <c r="BD75" s="175">
        <f t="shared" si="55"/>
        <v>0</v>
      </c>
      <c r="BE75" s="175">
        <f>BD75*'Soil samples'!AK75/100</f>
        <v>0</v>
      </c>
      <c r="BF75" s="174">
        <f t="shared" si="33"/>
        <v>0</v>
      </c>
      <c r="BG75" s="175">
        <f t="shared" si="72"/>
        <v>0</v>
      </c>
      <c r="BH75" s="175">
        <f>BG75*'Soil samples'!AR75/100</f>
        <v>0</v>
      </c>
      <c r="BI75" s="174">
        <f t="shared" si="34"/>
        <v>0</v>
      </c>
      <c r="BK75" s="6"/>
      <c r="BL75" s="31"/>
    </row>
    <row r="76" spans="1:64">
      <c r="A76" s="7" t="s">
        <v>80</v>
      </c>
      <c r="B76" s="7" t="s">
        <v>196</v>
      </c>
      <c r="C76" s="4" t="s">
        <v>13</v>
      </c>
      <c r="D76" s="4">
        <v>6</v>
      </c>
      <c r="E76" s="5">
        <v>30</v>
      </c>
      <c r="F76" s="26">
        <v>42783</v>
      </c>
      <c r="G76" s="5"/>
      <c r="H76">
        <f>'Wet ref'!B122</f>
        <v>5.6812880760000004</v>
      </c>
      <c r="I76">
        <f>'Wet ref'!C122</f>
        <v>25.140356789999998</v>
      </c>
      <c r="J76">
        <f>'Wet ref'!D122</f>
        <v>6.3770190019999999</v>
      </c>
      <c r="K76">
        <f>'Wet ref'!E122</f>
        <v>-0.38230473100000001</v>
      </c>
      <c r="L76" s="3">
        <f t="shared" si="56"/>
        <v>-413.12637586599999</v>
      </c>
      <c r="M76" s="31">
        <f>'Wet ref'!$B$41*'Soil samples'!AI76%</f>
        <v>0.6396312930924517</v>
      </c>
      <c r="N76" s="105">
        <f>'Wet ref'!$B$41*'Soil samples'!AH76%</f>
        <v>4.3603687069075487</v>
      </c>
      <c r="O76">
        <f t="shared" si="47"/>
        <v>5.6812880760000004</v>
      </c>
      <c r="P76">
        <f t="shared" si="43"/>
        <v>5.6812880760000002E-3</v>
      </c>
      <c r="Q76">
        <f>P76*('Wet ref'!$B$40+M76)</f>
        <v>0.14566613153848262</v>
      </c>
      <c r="R76" s="141">
        <f t="shared" si="73"/>
        <v>3.3406838120758744E-2</v>
      </c>
      <c r="S76" s="141">
        <f>R76*'Soil samples'!AK76/100</f>
        <v>3.0683113947265975E-2</v>
      </c>
      <c r="T76" s="149">
        <f t="shared" si="57"/>
        <v>3.0683113947265972E-2</v>
      </c>
      <c r="U76" s="141">
        <f t="shared" si="58"/>
        <v>5.6812880760000004</v>
      </c>
      <c r="V76" s="141">
        <f t="shared" si="59"/>
        <v>3.3406838120758744E-2</v>
      </c>
      <c r="W76" s="141">
        <f>V76*'Soil samples'!AR76/100</f>
        <v>3.0683113947265975E-2</v>
      </c>
      <c r="X76" s="149">
        <f t="shared" si="60"/>
        <v>3.0683113947265975E-2</v>
      </c>
      <c r="Y76">
        <f t="shared" si="48"/>
        <v>25.140356789999998</v>
      </c>
      <c r="Z76">
        <f t="shared" si="61"/>
        <v>2.5140356789999999E-2</v>
      </c>
      <c r="AA76">
        <f>Z76*('Wet ref'!$B$40+M76)</f>
        <v>0.64458947867239325</v>
      </c>
      <c r="AB76" s="175">
        <f t="shared" si="49"/>
        <v>0.14782912226006401</v>
      </c>
      <c r="AC76" s="175">
        <f>AB76*'Soil samples'!AK76/100</f>
        <v>0.13577632778755291</v>
      </c>
      <c r="AD76" s="174">
        <f t="shared" si="62"/>
        <v>0.13577632778755291</v>
      </c>
      <c r="AE76" s="175">
        <f t="shared" si="63"/>
        <v>25.140356789999998</v>
      </c>
      <c r="AF76" s="175">
        <f t="shared" si="64"/>
        <v>0.14782912226006401</v>
      </c>
      <c r="AG76" s="175">
        <f>AF76*'Soil samples'!AR76/100</f>
        <v>0.13577632778755291</v>
      </c>
      <c r="AH76" s="174">
        <f t="shared" si="65"/>
        <v>0.13577632778755291</v>
      </c>
      <c r="AI76">
        <f t="shared" si="50"/>
        <v>6.3770190019999999</v>
      </c>
      <c r="AJ76">
        <f t="shared" si="44"/>
        <v>6.3770190020000003E-3</v>
      </c>
      <c r="AK76">
        <f>AJ76*('Wet ref'!$B$40+M76)</f>
        <v>0.16350441596032442</v>
      </c>
      <c r="AL76" s="175">
        <f t="shared" si="51"/>
        <v>3.7497841799778595E-2</v>
      </c>
      <c r="AM76" s="175">
        <f>AL76*'Soil samples'!AK76/100</f>
        <v>3.4440570177882733E-2</v>
      </c>
      <c r="AN76" s="174">
        <f t="shared" si="66"/>
        <v>34.440570177882734</v>
      </c>
      <c r="AO76" s="175">
        <f t="shared" si="67"/>
        <v>3.7497841799778595E-2</v>
      </c>
      <c r="AP76" s="175">
        <f>AO76*'Soil samples'!AR76/100</f>
        <v>3.4440570177882733E-2</v>
      </c>
      <c r="AQ76" s="174">
        <f t="shared" si="68"/>
        <v>34.440570177882734</v>
      </c>
      <c r="AR76">
        <f t="shared" si="52"/>
        <v>0</v>
      </c>
      <c r="AS76">
        <f t="shared" si="45"/>
        <v>0</v>
      </c>
      <c r="AT76">
        <f>AS76*('Wet ref'!$B$40+M76)</f>
        <v>0</v>
      </c>
      <c r="AU76" s="175">
        <f t="shared" si="53"/>
        <v>0</v>
      </c>
      <c r="AV76" s="175">
        <f>AU76*'Soil samples'!AK76/100</f>
        <v>0</v>
      </c>
      <c r="AW76" s="174">
        <f t="shared" si="69"/>
        <v>0</v>
      </c>
      <c r="AX76" s="175">
        <f t="shared" si="70"/>
        <v>0</v>
      </c>
      <c r="AY76" s="175">
        <f>AX76*'Soil samples'!AR76/100</f>
        <v>0</v>
      </c>
      <c r="AZ76" s="174">
        <f t="shared" si="71"/>
        <v>0</v>
      </c>
      <c r="BA76">
        <f t="shared" si="54"/>
        <v>0</v>
      </c>
      <c r="BB76">
        <f t="shared" si="46"/>
        <v>0</v>
      </c>
      <c r="BC76">
        <f>BB76*('Wet ref'!$B$40+M76)</f>
        <v>0</v>
      </c>
      <c r="BD76" s="175">
        <f t="shared" si="55"/>
        <v>0</v>
      </c>
      <c r="BE76" s="175">
        <f>BD76*'Soil samples'!AK76/100</f>
        <v>0</v>
      </c>
      <c r="BF76" s="174">
        <f t="shared" si="33"/>
        <v>0</v>
      </c>
      <c r="BG76" s="175">
        <f t="shared" si="72"/>
        <v>0</v>
      </c>
      <c r="BH76" s="175">
        <f>BG76*'Soil samples'!AR76/100</f>
        <v>0</v>
      </c>
      <c r="BI76" s="174">
        <f t="shared" si="34"/>
        <v>0</v>
      </c>
      <c r="BK76" s="7"/>
      <c r="BL76" s="31"/>
    </row>
    <row r="77" spans="1:64">
      <c r="A77" s="6" t="s">
        <v>81</v>
      </c>
      <c r="B77" s="6" t="s">
        <v>197</v>
      </c>
      <c r="C77" t="s">
        <v>12</v>
      </c>
      <c r="D77" s="8">
        <v>1</v>
      </c>
      <c r="E77" s="3">
        <v>5</v>
      </c>
      <c r="F77" s="26">
        <v>42783</v>
      </c>
      <c r="G77" s="3"/>
      <c r="H77">
        <f>'Wet ref'!B123</f>
        <v>490.4200472</v>
      </c>
      <c r="I77">
        <f>'Wet ref'!C123</f>
        <v>2676.9463529999998</v>
      </c>
      <c r="J77">
        <f>'Wet ref'!D123</f>
        <v>35.290543360000001</v>
      </c>
      <c r="K77">
        <f>'Wet ref'!E123</f>
        <v>7.9438935739999996</v>
      </c>
      <c r="L77" s="3">
        <f t="shared" si="56"/>
        <v>4776.5271737999992</v>
      </c>
      <c r="M77" s="31">
        <f>'Wet ref'!$B$41*'Soil samples'!AI77%</f>
        <v>2.4752224919093853</v>
      </c>
      <c r="N77" s="105">
        <f>'Wet ref'!$B$41*'Soil samples'!AH77%</f>
        <v>2.5247775080906147</v>
      </c>
      <c r="O77">
        <f t="shared" si="47"/>
        <v>490.4200472</v>
      </c>
      <c r="P77">
        <f t="shared" si="43"/>
        <v>0.49042004719999999</v>
      </c>
      <c r="Q77">
        <f>P77*('Wet ref'!$B$40+M77)</f>
        <v>13.474399911312702</v>
      </c>
      <c r="R77" s="141">
        <f t="shared" si="73"/>
        <v>5.3368662656943719</v>
      </c>
      <c r="S77" s="141">
        <f>R77*'Soil samples'!AK77/100</f>
        <v>0.89712554609519857</v>
      </c>
      <c r="T77" s="149">
        <f t="shared" si="57"/>
        <v>0.89712554609519857</v>
      </c>
      <c r="U77" s="141">
        <f t="shared" si="58"/>
        <v>490.4200472</v>
      </c>
      <c r="V77" s="141">
        <f t="shared" si="59"/>
        <v>5.3368662656943719</v>
      </c>
      <c r="W77" s="141">
        <f>V77*'Soil samples'!AR77/100</f>
        <v>0.89712554609519857</v>
      </c>
      <c r="X77" s="149">
        <f t="shared" si="60"/>
        <v>0.89712554609519857</v>
      </c>
      <c r="Y77">
        <f t="shared" si="48"/>
        <v>2676.9463529999998</v>
      </c>
      <c r="Z77">
        <f t="shared" si="61"/>
        <v>2.6769463529999999</v>
      </c>
      <c r="AA77">
        <f>Z77*('Wet ref'!$B$40+M77)</f>
        <v>73.549696647580404</v>
      </c>
      <c r="AB77" s="175">
        <f t="shared" si="49"/>
        <v>29.131159641549171</v>
      </c>
      <c r="AC77" s="175">
        <f>AB77*'Soil samples'!AK77/100</f>
        <v>4.8969388027958978</v>
      </c>
      <c r="AD77" s="174">
        <f t="shared" si="62"/>
        <v>4.8969388027958978</v>
      </c>
      <c r="AE77" s="175">
        <f t="shared" si="63"/>
        <v>2676.9463529999998</v>
      </c>
      <c r="AF77" s="175">
        <f t="shared" si="64"/>
        <v>29.131159641549171</v>
      </c>
      <c r="AG77" s="175">
        <f>AF77*'Soil samples'!AR77/100</f>
        <v>4.8969388027958978</v>
      </c>
      <c r="AH77" s="174">
        <f t="shared" si="65"/>
        <v>4.8969388027958978</v>
      </c>
      <c r="AI77">
        <f t="shared" si="50"/>
        <v>35.290543360000001</v>
      </c>
      <c r="AJ77">
        <f t="shared" si="44"/>
        <v>3.5290543360000003E-2</v>
      </c>
      <c r="AK77">
        <f>AJ77*('Wet ref'!$B$40+M77)</f>
        <v>0.96961553067637551</v>
      </c>
      <c r="AL77" s="175">
        <f t="shared" si="51"/>
        <v>0.38403999068007216</v>
      </c>
      <c r="AM77" s="175">
        <f>AL77*'Soil samples'!AK77/100</f>
        <v>6.4557002032433003E-2</v>
      </c>
      <c r="AN77" s="174">
        <f t="shared" si="66"/>
        <v>64.557002032433005</v>
      </c>
      <c r="AO77" s="175">
        <f t="shared" si="67"/>
        <v>0.38403999068007216</v>
      </c>
      <c r="AP77" s="175">
        <f>AO77*'Soil samples'!AR77/100</f>
        <v>6.4557002032433003E-2</v>
      </c>
      <c r="AQ77" s="174">
        <f t="shared" si="68"/>
        <v>64.557002032433005</v>
      </c>
      <c r="AR77">
        <f t="shared" si="52"/>
        <v>7.9438935739999996</v>
      </c>
      <c r="AS77">
        <f t="shared" si="45"/>
        <v>7.9438935739999991E-3</v>
      </c>
      <c r="AT77">
        <f>AS77*('Wet ref'!$B$40+M77)</f>
        <v>0.2182602433976992</v>
      </c>
      <c r="AU77" s="175">
        <f t="shared" si="53"/>
        <v>8.6447317713456831E-2</v>
      </c>
      <c r="AV77" s="175">
        <f>AU77*'Soil samples'!AK77/100</f>
        <v>1.4531767005418797E-2</v>
      </c>
      <c r="AW77" s="174">
        <f t="shared" si="69"/>
        <v>14.531767005418796</v>
      </c>
      <c r="AX77" s="175">
        <f t="shared" si="70"/>
        <v>8.6447317713456831E-2</v>
      </c>
      <c r="AY77" s="175">
        <f>AX77*'Soil samples'!AR77/100</f>
        <v>1.4531767005418797E-2</v>
      </c>
      <c r="AZ77" s="174">
        <f t="shared" si="71"/>
        <v>14.531767005418796</v>
      </c>
      <c r="BA77">
        <f t="shared" si="54"/>
        <v>4776.5271737999992</v>
      </c>
      <c r="BB77">
        <f t="shared" si="46"/>
        <v>4.776527173799999</v>
      </c>
      <c r="BC77">
        <f>BB77*('Wet ref'!$B$40+M77)</f>
        <v>131.23614683880609</v>
      </c>
      <c r="BD77" s="175">
        <f t="shared" si="55"/>
        <v>51.97929180621329</v>
      </c>
      <c r="BE77" s="175">
        <f>BD77*'Soil samples'!AK77/100</f>
        <v>8.7377026565277003</v>
      </c>
      <c r="BF77" s="174">
        <f t="shared" si="33"/>
        <v>8.7377026565277003</v>
      </c>
      <c r="BG77" s="175">
        <f t="shared" si="72"/>
        <v>51.97929180621329</v>
      </c>
      <c r="BH77" s="175">
        <f>BG77*'Soil samples'!AR77/100</f>
        <v>8.7377026565277003</v>
      </c>
      <c r="BI77" s="174">
        <f t="shared" si="34"/>
        <v>8.7377026565277003</v>
      </c>
      <c r="BK77" s="6"/>
      <c r="BL77" s="31"/>
    </row>
    <row r="78" spans="1:64">
      <c r="A78" s="6" t="s">
        <v>82</v>
      </c>
      <c r="B78" s="6" t="s">
        <v>197</v>
      </c>
      <c r="C78" t="s">
        <v>12</v>
      </c>
      <c r="D78" s="8">
        <v>1</v>
      </c>
      <c r="E78" s="3">
        <v>10</v>
      </c>
      <c r="F78" s="26">
        <v>42783</v>
      </c>
      <c r="G78" s="3"/>
      <c r="H78">
        <f>'Wet ref'!B124</f>
        <v>364.76906919999999</v>
      </c>
      <c r="I78">
        <f>'Wet ref'!C124</f>
        <v>1662.607514</v>
      </c>
      <c r="J78">
        <f>'Wet ref'!D124</f>
        <v>33.809023930000002</v>
      </c>
      <c r="K78">
        <f>'Wet ref'!E124</f>
        <v>6.6798364579999996</v>
      </c>
      <c r="L78" s="3">
        <f t="shared" si="56"/>
        <v>4652.4598747999999</v>
      </c>
      <c r="M78" s="31">
        <f>'Wet ref'!$B$41*'Soil samples'!AI78%</f>
        <v>2.2720601237842617</v>
      </c>
      <c r="N78" s="105">
        <f>'Wet ref'!$B$41*'Soil samples'!AH78%</f>
        <v>2.7279398762157383</v>
      </c>
      <c r="O78">
        <f t="shared" si="47"/>
        <v>364.76906919999999</v>
      </c>
      <c r="P78">
        <f t="shared" si="43"/>
        <v>0.36476906919999996</v>
      </c>
      <c r="Q78">
        <f>P78*('Wet ref'!$B$40+M78)</f>
        <v>9.94800398651922</v>
      </c>
      <c r="R78" s="141">
        <f t="shared" si="73"/>
        <v>3.6467093990060082</v>
      </c>
      <c r="S78" s="141">
        <f>R78*'Soil samples'!AK78/100</f>
        <v>0.85174810132577561</v>
      </c>
      <c r="T78" s="149">
        <f t="shared" si="57"/>
        <v>0.85174810132577561</v>
      </c>
      <c r="U78" s="141">
        <f t="shared" si="58"/>
        <v>364.76906919999999</v>
      </c>
      <c r="V78" s="141">
        <f t="shared" si="59"/>
        <v>3.6467093990060082</v>
      </c>
      <c r="W78" s="141">
        <f>V78*'Soil samples'!AR78/100</f>
        <v>0.85174810132577561</v>
      </c>
      <c r="X78" s="149">
        <f t="shared" si="60"/>
        <v>0.85174810132577561</v>
      </c>
      <c r="Y78">
        <f t="shared" si="48"/>
        <v>1662.607514</v>
      </c>
      <c r="Z78">
        <f t="shared" si="61"/>
        <v>1.6626075140000001</v>
      </c>
      <c r="AA78">
        <f>Z78*('Wet ref'!$B$40+M78)</f>
        <v>45.342732084063485</v>
      </c>
      <c r="AB78" s="175">
        <f t="shared" si="49"/>
        <v>16.621602433175315</v>
      </c>
      <c r="AC78" s="175">
        <f>AB78*'Soil samples'!AK78/100</f>
        <v>3.8822447210375155</v>
      </c>
      <c r="AD78" s="174">
        <f t="shared" si="62"/>
        <v>3.8822447210375155</v>
      </c>
      <c r="AE78" s="175">
        <f t="shared" si="63"/>
        <v>1662.607514</v>
      </c>
      <c r="AF78" s="175">
        <f t="shared" si="64"/>
        <v>16.621602433175315</v>
      </c>
      <c r="AG78" s="175">
        <f>AF78*'Soil samples'!AR78/100</f>
        <v>3.8822447210375155</v>
      </c>
      <c r="AH78" s="174">
        <f t="shared" si="65"/>
        <v>3.8822447210375155</v>
      </c>
      <c r="AI78">
        <f t="shared" si="50"/>
        <v>33.809023930000002</v>
      </c>
      <c r="AJ78">
        <f t="shared" si="44"/>
        <v>3.3809023930000001E-2</v>
      </c>
      <c r="AK78">
        <f>AJ78*('Wet ref'!$B$40+M78)</f>
        <v>0.92204173334542083</v>
      </c>
      <c r="AL78" s="175">
        <f t="shared" si="51"/>
        <v>0.33799928707538035</v>
      </c>
      <c r="AM78" s="175">
        <f>AL78*'Soil samples'!AK78/100</f>
        <v>7.8945213209034928E-2</v>
      </c>
      <c r="AN78" s="174">
        <f t="shared" si="66"/>
        <v>78.945213209034918</v>
      </c>
      <c r="AO78" s="175">
        <f t="shared" si="67"/>
        <v>0.33799928707538035</v>
      </c>
      <c r="AP78" s="175">
        <f>AO78*'Soil samples'!AR78/100</f>
        <v>7.8945213209034928E-2</v>
      </c>
      <c r="AQ78" s="174">
        <f t="shared" si="68"/>
        <v>78.945213209034918</v>
      </c>
      <c r="AR78">
        <f t="shared" si="52"/>
        <v>6.6798364579999996</v>
      </c>
      <c r="AS78">
        <f t="shared" si="45"/>
        <v>6.6798364579999997E-3</v>
      </c>
      <c r="AT78">
        <f>AS78*('Wet ref'!$B$40+M78)</f>
        <v>0.18217290149962209</v>
      </c>
      <c r="AU78" s="175">
        <f t="shared" si="53"/>
        <v>6.6780394644304478E-2</v>
      </c>
      <c r="AV78" s="175">
        <f>AU78*'Soil samples'!AK78/100</f>
        <v>1.5597643826397644E-2</v>
      </c>
      <c r="AW78" s="174">
        <f t="shared" si="69"/>
        <v>15.597643826397645</v>
      </c>
      <c r="AX78" s="175">
        <f t="shared" si="70"/>
        <v>6.6780394644304478E-2</v>
      </c>
      <c r="AY78" s="175">
        <f>AX78*'Soil samples'!AR78/100</f>
        <v>1.5597643826397644E-2</v>
      </c>
      <c r="AZ78" s="174">
        <f t="shared" si="71"/>
        <v>15.597643826397645</v>
      </c>
      <c r="BA78">
        <f t="shared" si="54"/>
        <v>4652.4598747999999</v>
      </c>
      <c r="BB78">
        <f t="shared" si="46"/>
        <v>4.6524598747999999</v>
      </c>
      <c r="BC78">
        <f>BB78*('Wet ref'!$B$40+M78)</f>
        <v>126.88216542903939</v>
      </c>
      <c r="BD78" s="175">
        <f t="shared" si="55"/>
        <v>46.512082812123147</v>
      </c>
      <c r="BE78" s="175">
        <f>BD78*'Soil samples'!AK78/100</f>
        <v>10.863651004034352</v>
      </c>
      <c r="BF78" s="174">
        <f t="shared" si="33"/>
        <v>10.863651004034352</v>
      </c>
      <c r="BG78" s="175">
        <f t="shared" si="72"/>
        <v>46.512082812123147</v>
      </c>
      <c r="BH78" s="175">
        <f>BG78*'Soil samples'!AR78/100</f>
        <v>10.863651004034352</v>
      </c>
      <c r="BI78" s="174">
        <f t="shared" si="34"/>
        <v>10.863651004034352</v>
      </c>
      <c r="BK78" s="6"/>
      <c r="BL78" s="31"/>
    </row>
    <row r="79" spans="1:64">
      <c r="A79" s="6" t="s">
        <v>83</v>
      </c>
      <c r="B79" s="6" t="s">
        <v>197</v>
      </c>
      <c r="C79" t="s">
        <v>12</v>
      </c>
      <c r="D79" s="8">
        <v>1</v>
      </c>
      <c r="E79" s="3">
        <v>20</v>
      </c>
      <c r="F79" s="26">
        <v>42783</v>
      </c>
      <c r="G79" s="3"/>
      <c r="H79">
        <f>'Wet ref'!B125</f>
        <v>526.11537369999996</v>
      </c>
      <c r="I79">
        <f>'Wet ref'!C125</f>
        <v>2132.0358630000001</v>
      </c>
      <c r="J79">
        <f>'Wet ref'!D125</f>
        <v>58.7917427</v>
      </c>
      <c r="K79">
        <f>'Wet ref'!E125</f>
        <v>9.9392941140000008</v>
      </c>
      <c r="L79" s="3">
        <f t="shared" si="56"/>
        <v>7281.1428772999998</v>
      </c>
      <c r="M79" s="31">
        <f>'Wet ref'!$B$41*'Soil samples'!AI79%</f>
        <v>1.9162760095402582</v>
      </c>
      <c r="N79" s="105">
        <f>'Wet ref'!$B$41*'Soil samples'!AH79%</f>
        <v>3.0837239904597418</v>
      </c>
      <c r="O79">
        <f t="shared" si="47"/>
        <v>526.11537369999996</v>
      </c>
      <c r="P79">
        <f t="shared" si="43"/>
        <v>0.52611537369999994</v>
      </c>
      <c r="Q79">
        <f>P79*('Wet ref'!$B$40+M79)</f>
        <v>14.161066611371616</v>
      </c>
      <c r="R79" s="141">
        <f t="shared" si="73"/>
        <v>4.5921965309419255</v>
      </c>
      <c r="S79" s="141">
        <f>R79*'Soil samples'!AK79/100</f>
        <v>1.4251697437684394</v>
      </c>
      <c r="T79" s="149">
        <f t="shared" si="57"/>
        <v>1.4251697437684394</v>
      </c>
      <c r="U79" s="141">
        <f t="shared" si="58"/>
        <v>526.11537369999996</v>
      </c>
      <c r="V79" s="141">
        <f t="shared" si="59"/>
        <v>4.5921965309419255</v>
      </c>
      <c r="W79" s="141">
        <f>V79*'Soil samples'!AR79/100</f>
        <v>1.4251697437684394</v>
      </c>
      <c r="X79" s="149">
        <f t="shared" si="60"/>
        <v>1.4251697437684394</v>
      </c>
      <c r="Y79">
        <f t="shared" si="48"/>
        <v>2132.0358630000001</v>
      </c>
      <c r="Z79">
        <f t="shared" si="61"/>
        <v>2.132035863</v>
      </c>
      <c r="AA79">
        <f>Z79*('Wet ref'!$B$40+M79)</f>
        <v>57.38646575074636</v>
      </c>
      <c r="AB79" s="175">
        <f t="shared" si="49"/>
        <v>18.609468917544341</v>
      </c>
      <c r="AC79" s="175">
        <f>AB79*'Soil samples'!AK79/100</f>
        <v>5.7753739131551143</v>
      </c>
      <c r="AD79" s="174">
        <f t="shared" si="62"/>
        <v>5.7753739131551143</v>
      </c>
      <c r="AE79" s="175">
        <f t="shared" si="63"/>
        <v>2132.0358630000001</v>
      </c>
      <c r="AF79" s="175">
        <f t="shared" si="64"/>
        <v>18.609468917544341</v>
      </c>
      <c r="AG79" s="175">
        <f>AF79*'Soil samples'!AR79/100</f>
        <v>5.7753739131551143</v>
      </c>
      <c r="AH79" s="174">
        <f t="shared" si="65"/>
        <v>5.7753739131551143</v>
      </c>
      <c r="AI79">
        <f t="shared" si="50"/>
        <v>58.7917427</v>
      </c>
      <c r="AJ79">
        <f t="shared" si="44"/>
        <v>5.8791742700000003E-2</v>
      </c>
      <c r="AK79">
        <f>AJ79*('Wet ref'!$B$40+M79)</f>
        <v>1.5824547735950738</v>
      </c>
      <c r="AL79" s="175">
        <f t="shared" si="51"/>
        <v>0.51316355759814647</v>
      </c>
      <c r="AM79" s="175">
        <f>AL79*'Soil samples'!AK79/100</f>
        <v>0.15925824841460823</v>
      </c>
      <c r="AN79" s="174">
        <f t="shared" si="66"/>
        <v>159.25824841460823</v>
      </c>
      <c r="AO79" s="175">
        <f t="shared" si="67"/>
        <v>0.51316355759814647</v>
      </c>
      <c r="AP79" s="175">
        <f>AO79*'Soil samples'!AR79/100</f>
        <v>0.15925824841460823</v>
      </c>
      <c r="AQ79" s="174">
        <f t="shared" si="68"/>
        <v>159.25824841460823</v>
      </c>
      <c r="AR79">
        <f t="shared" si="52"/>
        <v>9.9392941140000008</v>
      </c>
      <c r="AS79">
        <f t="shared" si="45"/>
        <v>9.9392941140000017E-3</v>
      </c>
      <c r="AT79">
        <f>AS79*('Wet ref'!$B$40+M79)</f>
        <v>0.26752878371242295</v>
      </c>
      <c r="AU79" s="175">
        <f t="shared" si="53"/>
        <v>8.6755100177606362E-2</v>
      </c>
      <c r="AV79" s="175">
        <f>AU79*'Soil samples'!AK79/100</f>
        <v>2.6924096792818243E-2</v>
      </c>
      <c r="AW79" s="174">
        <f t="shared" si="69"/>
        <v>26.924096792818244</v>
      </c>
      <c r="AX79" s="175">
        <f t="shared" si="70"/>
        <v>8.6755100177606362E-2</v>
      </c>
      <c r="AY79" s="175">
        <f>AX79*'Soil samples'!AR79/100</f>
        <v>2.6924096792818243E-2</v>
      </c>
      <c r="AZ79" s="174">
        <f t="shared" si="71"/>
        <v>26.924096792818244</v>
      </c>
      <c r="BA79">
        <f t="shared" si="54"/>
        <v>7281.1428772999998</v>
      </c>
      <c r="BB79">
        <f t="shared" si="46"/>
        <v>7.2811428772999998</v>
      </c>
      <c r="BC79">
        <f>BB79*('Wet ref'!$B$40+M79)</f>
        <v>195.98125135030492</v>
      </c>
      <c r="BD79" s="175">
        <f t="shared" si="55"/>
        <v>63.553434729120085</v>
      </c>
      <c r="BE79" s="175">
        <f>BD79*'Soil samples'!AK79/100</f>
        <v>19.723553135894687</v>
      </c>
      <c r="BF79" s="174">
        <f t="shared" si="33"/>
        <v>19.723553135894687</v>
      </c>
      <c r="BG79" s="175">
        <f t="shared" si="72"/>
        <v>63.553434729120085</v>
      </c>
      <c r="BH79" s="175">
        <f>BG79*'Soil samples'!AR79/100</f>
        <v>19.723553135894687</v>
      </c>
      <c r="BI79" s="174">
        <f t="shared" si="34"/>
        <v>19.723553135894687</v>
      </c>
      <c r="BK79" s="6"/>
      <c r="BL79" s="31"/>
    </row>
    <row r="80" spans="1:64">
      <c r="A80" s="6" t="s">
        <v>84</v>
      </c>
      <c r="B80" s="6" t="s">
        <v>197</v>
      </c>
      <c r="C80" t="s">
        <v>12</v>
      </c>
      <c r="D80" s="8">
        <v>2</v>
      </c>
      <c r="E80" s="3">
        <v>5</v>
      </c>
      <c r="F80" s="26">
        <v>42783</v>
      </c>
      <c r="G80" s="3"/>
      <c r="H80">
        <f>'Wet ref'!B126</f>
        <v>633.03893760000005</v>
      </c>
      <c r="I80">
        <f>'Wet ref'!C126</f>
        <v>1061.5264790000001</v>
      </c>
      <c r="J80">
        <f>'Wet ref'!D126</f>
        <v>92.412675559999997</v>
      </c>
      <c r="K80">
        <f>'Wet ref'!E126</f>
        <v>6.8243939320000004</v>
      </c>
      <c r="L80" s="3">
        <f t="shared" si="56"/>
        <v>5129.8285154000005</v>
      </c>
      <c r="M80" s="31">
        <f>'Wet ref'!$B$41*'Soil samples'!AI80%</f>
        <v>2.5315180592767983</v>
      </c>
      <c r="N80" s="105">
        <f>'Wet ref'!$B$41*'Soil samples'!AH80%</f>
        <v>2.4684819407232017</v>
      </c>
      <c r="O80">
        <f t="shared" si="47"/>
        <v>633.03893760000005</v>
      </c>
      <c r="P80">
        <f t="shared" si="43"/>
        <v>0.63303893760000007</v>
      </c>
      <c r="Q80">
        <f>P80*('Wet ref'!$B$40+M80)</f>
        <v>17.428522942759802</v>
      </c>
      <c r="R80" s="141">
        <f t="shared" si="73"/>
        <v>7.0604214903244111</v>
      </c>
      <c r="S80" s="141">
        <f>R80*'Soil samples'!AK80/100</f>
        <v>1.4664359204038095</v>
      </c>
      <c r="T80" s="149">
        <f t="shared" si="57"/>
        <v>1.4664359204038095</v>
      </c>
      <c r="U80" s="141">
        <f t="shared" si="58"/>
        <v>633.03893760000005</v>
      </c>
      <c r="V80" s="141">
        <f t="shared" si="59"/>
        <v>7.0604214903244111</v>
      </c>
      <c r="W80" s="141">
        <f>V80*'Soil samples'!AR80/100</f>
        <v>1.4664359204038095</v>
      </c>
      <c r="X80" s="149">
        <f t="shared" si="60"/>
        <v>1.4664359204038095</v>
      </c>
      <c r="Y80">
        <f t="shared" si="48"/>
        <v>1061.5264790000001</v>
      </c>
      <c r="Z80">
        <f t="shared" si="61"/>
        <v>1.0615264790000001</v>
      </c>
      <c r="AA80">
        <f>Z80*('Wet ref'!$B$40+M80)</f>
        <v>29.225435426989016</v>
      </c>
      <c r="AB80" s="175">
        <f t="shared" si="49"/>
        <v>11.839436596577537</v>
      </c>
      <c r="AC80" s="175">
        <f>AB80*'Soil samples'!AK80/100</f>
        <v>2.4590281368268556</v>
      </c>
      <c r="AD80" s="174">
        <f t="shared" si="62"/>
        <v>2.4590281368268556</v>
      </c>
      <c r="AE80" s="175">
        <f t="shared" si="63"/>
        <v>1061.5264790000001</v>
      </c>
      <c r="AF80" s="175">
        <f t="shared" si="64"/>
        <v>11.839436596577537</v>
      </c>
      <c r="AG80" s="175">
        <f>AF80*'Soil samples'!AR80/100</f>
        <v>2.4590281368268556</v>
      </c>
      <c r="AH80" s="174">
        <f t="shared" si="65"/>
        <v>2.4590281368268556</v>
      </c>
      <c r="AI80">
        <f t="shared" si="50"/>
        <v>92.412675559999997</v>
      </c>
      <c r="AJ80">
        <f t="shared" si="44"/>
        <v>9.2412675559999991E-2</v>
      </c>
      <c r="AK80">
        <f>AJ80*('Wet ref'!$B$40+M80)</f>
        <v>2.5442612460862275</v>
      </c>
      <c r="AL80" s="175">
        <f t="shared" si="51"/>
        <v>1.030698748130531</v>
      </c>
      <c r="AM80" s="175">
        <f>AL80*'Soil samples'!AK80/100</f>
        <v>0.21407414124569515</v>
      </c>
      <c r="AN80" s="174">
        <f t="shared" si="66"/>
        <v>214.07414124569516</v>
      </c>
      <c r="AO80" s="175">
        <f t="shared" si="67"/>
        <v>1.030698748130531</v>
      </c>
      <c r="AP80" s="175">
        <f>AO80*'Soil samples'!AR80/100</f>
        <v>0.21407414124569515</v>
      </c>
      <c r="AQ80" s="174">
        <f t="shared" si="68"/>
        <v>214.07414124569516</v>
      </c>
      <c r="AR80">
        <f t="shared" si="52"/>
        <v>6.8243939320000004</v>
      </c>
      <c r="AS80">
        <f t="shared" si="45"/>
        <v>6.8243939320000004E-3</v>
      </c>
      <c r="AT80">
        <f>AS80*('Wet ref'!$B$40+M80)</f>
        <v>0.18788592478247701</v>
      </c>
      <c r="AU80" s="175">
        <f t="shared" si="53"/>
        <v>7.6113955578476403E-2</v>
      </c>
      <c r="AV80" s="175">
        <f>AU80*'Soil samples'!AK80/100</f>
        <v>1.5808721711197612E-2</v>
      </c>
      <c r="AW80" s="174">
        <f t="shared" si="69"/>
        <v>15.808721711197611</v>
      </c>
      <c r="AX80" s="175">
        <f t="shared" si="70"/>
        <v>7.6113955578476403E-2</v>
      </c>
      <c r="AY80" s="175">
        <f>AX80*'Soil samples'!AR80/100</f>
        <v>1.5808721711197612E-2</v>
      </c>
      <c r="AZ80" s="174">
        <f t="shared" si="71"/>
        <v>15.808721711197611</v>
      </c>
      <c r="BA80">
        <f t="shared" si="54"/>
        <v>5129.8285154000005</v>
      </c>
      <c r="BB80">
        <f t="shared" si="46"/>
        <v>5.1298285154000007</v>
      </c>
      <c r="BC80">
        <f>BB80*('Wet ref'!$B$40+M80)</f>
        <v>141.23196641272821</v>
      </c>
      <c r="BD80" s="175">
        <f t="shared" si="55"/>
        <v>57.214097491574471</v>
      </c>
      <c r="BE80" s="175">
        <f>BD80*'Soil samples'!AK80/100</f>
        <v>11.88325765396695</v>
      </c>
      <c r="BF80" s="174">
        <f t="shared" si="33"/>
        <v>11.88325765396695</v>
      </c>
      <c r="BG80" s="175">
        <f t="shared" si="72"/>
        <v>57.214097491574471</v>
      </c>
      <c r="BH80" s="175">
        <f>BG80*'Soil samples'!AR80/100</f>
        <v>11.88325765396695</v>
      </c>
      <c r="BI80" s="174">
        <f t="shared" si="34"/>
        <v>11.88325765396695</v>
      </c>
      <c r="BK80" s="6"/>
      <c r="BL80" s="31"/>
    </row>
    <row r="81" spans="1:64">
      <c r="A81" s="6" t="s">
        <v>85</v>
      </c>
      <c r="B81" s="6" t="s">
        <v>197</v>
      </c>
      <c r="C81" t="s">
        <v>12</v>
      </c>
      <c r="D81" s="8">
        <v>2</v>
      </c>
      <c r="E81" s="3">
        <v>10</v>
      </c>
      <c r="F81" s="26">
        <v>42783</v>
      </c>
      <c r="G81" s="3"/>
      <c r="H81">
        <f>'Wet ref'!B127</f>
        <v>479.70513310000001</v>
      </c>
      <c r="I81">
        <f>'Wet ref'!C127</f>
        <v>662.91020309999999</v>
      </c>
      <c r="J81">
        <f>'Wet ref'!D127</f>
        <v>60.59451834</v>
      </c>
      <c r="K81">
        <f>'Wet ref'!E127</f>
        <v>7.1633031100000002</v>
      </c>
      <c r="L81" s="3">
        <f t="shared" si="56"/>
        <v>6020.6877737999994</v>
      </c>
      <c r="M81" s="31">
        <f>'Wet ref'!$B$41*'Soil samples'!AI81%</f>
        <v>2.5120492742815319</v>
      </c>
      <c r="N81" s="105">
        <f>'Wet ref'!$B$41*'Soil samples'!AH81%</f>
        <v>2.4879507257184681</v>
      </c>
      <c r="O81">
        <f t="shared" si="47"/>
        <v>479.70513310000001</v>
      </c>
      <c r="P81">
        <f t="shared" si="43"/>
        <v>0.47970513310000001</v>
      </c>
      <c r="Q81">
        <f>P81*('Wet ref'!$B$40+M81)</f>
        <v>13.19767125897298</v>
      </c>
      <c r="R81" s="141">
        <f t="shared" si="73"/>
        <v>5.3046353058948821</v>
      </c>
      <c r="S81" s="141">
        <f>R81*'Soil samples'!AK81/100</f>
        <v>1.4752356933279993</v>
      </c>
      <c r="T81" s="149">
        <f t="shared" si="57"/>
        <v>1.4752356933279993</v>
      </c>
      <c r="U81" s="141">
        <f t="shared" si="58"/>
        <v>479.70513310000001</v>
      </c>
      <c r="V81" s="141">
        <f t="shared" si="59"/>
        <v>5.3046353058948821</v>
      </c>
      <c r="W81" s="141">
        <f>V81*'Soil samples'!AR81/100</f>
        <v>1.4752356933279993</v>
      </c>
      <c r="X81" s="149">
        <f t="shared" si="60"/>
        <v>1.4752356933279993</v>
      </c>
      <c r="Y81">
        <f t="shared" si="48"/>
        <v>662.91020309999999</v>
      </c>
      <c r="Z81">
        <f t="shared" si="61"/>
        <v>0.66291020310000004</v>
      </c>
      <c r="AA81">
        <f>Z81*('Wet ref'!$B$40+M81)</f>
        <v>18.238018172111179</v>
      </c>
      <c r="AB81" s="175">
        <f t="shared" si="49"/>
        <v>7.3305383356595302</v>
      </c>
      <c r="AC81" s="175">
        <f>AB81*'Soil samples'!AK81/100</f>
        <v>2.0386456712785868</v>
      </c>
      <c r="AD81" s="174">
        <f t="shared" si="62"/>
        <v>2.0386456712785868</v>
      </c>
      <c r="AE81" s="175">
        <f t="shared" si="63"/>
        <v>662.91020309999999</v>
      </c>
      <c r="AF81" s="175">
        <f t="shared" si="64"/>
        <v>7.3305383356595302</v>
      </c>
      <c r="AG81" s="175">
        <f>AF81*'Soil samples'!AR81/100</f>
        <v>2.0386456712785868</v>
      </c>
      <c r="AH81" s="174">
        <f t="shared" si="65"/>
        <v>2.0386456712785868</v>
      </c>
      <c r="AI81">
        <f t="shared" si="50"/>
        <v>60.59451834</v>
      </c>
      <c r="AJ81">
        <f t="shared" si="44"/>
        <v>6.059451834E-2</v>
      </c>
      <c r="AK81">
        <f>AJ81*('Wet ref'!$B$40+M81)</f>
        <v>1.6670793743214358</v>
      </c>
      <c r="AL81" s="175">
        <f t="shared" si="51"/>
        <v>0.67006125044539144</v>
      </c>
      <c r="AM81" s="175">
        <f>AL81*'Soil samples'!AK81/100</f>
        <v>0.18634613246165002</v>
      </c>
      <c r="AN81" s="174">
        <f t="shared" si="66"/>
        <v>186.34613246165</v>
      </c>
      <c r="AO81" s="175">
        <f t="shared" si="67"/>
        <v>0.67006125044539144</v>
      </c>
      <c r="AP81" s="175">
        <f>AO81*'Soil samples'!AR81/100</f>
        <v>0.18634613246165002</v>
      </c>
      <c r="AQ81" s="174">
        <f t="shared" si="68"/>
        <v>186.34613246165</v>
      </c>
      <c r="AR81">
        <f t="shared" si="52"/>
        <v>7.1633031100000002</v>
      </c>
      <c r="AS81">
        <f t="shared" si="45"/>
        <v>7.1633031099999998E-3</v>
      </c>
      <c r="AT81">
        <f>AS81*('Wet ref'!$B$40+M81)</f>
        <v>0.19707714812893412</v>
      </c>
      <c r="AU81" s="175">
        <f t="shared" si="53"/>
        <v>7.9212641187667562E-2</v>
      </c>
      <c r="AV81" s="175">
        <f>AU81*'Soil samples'!AK81/100</f>
        <v>2.2029283617852249E-2</v>
      </c>
      <c r="AW81" s="174">
        <f t="shared" si="69"/>
        <v>22.029283617852247</v>
      </c>
      <c r="AX81" s="175">
        <f t="shared" si="70"/>
        <v>7.9212641187667562E-2</v>
      </c>
      <c r="AY81" s="175">
        <f>AX81*'Soil samples'!AR81/100</f>
        <v>2.2029283617852249E-2</v>
      </c>
      <c r="AZ81" s="174">
        <f t="shared" si="71"/>
        <v>22.029283617852247</v>
      </c>
      <c r="BA81">
        <f t="shared" si="54"/>
        <v>6020.6877737999994</v>
      </c>
      <c r="BB81">
        <f t="shared" si="46"/>
        <v>6.0206877737999998</v>
      </c>
      <c r="BC81">
        <f>BB81*('Wet ref'!$B$40+M81)</f>
        <v>165.64145869784997</v>
      </c>
      <c r="BD81" s="175">
        <f t="shared" si="55"/>
        <v>66.577467546113155</v>
      </c>
      <c r="BE81" s="175">
        <f>BD81*'Soil samples'!AK81/100</f>
        <v>18.515402253245664</v>
      </c>
      <c r="BF81" s="174">
        <f t="shared" ref="BF81:BF144" si="74">BE81/1000000*1000000</f>
        <v>18.515402253245664</v>
      </c>
      <c r="BG81" s="175">
        <f t="shared" si="72"/>
        <v>66.577467546113155</v>
      </c>
      <c r="BH81" s="175">
        <f>BG81*'Soil samples'!AR81/100</f>
        <v>18.515402253245664</v>
      </c>
      <c r="BI81" s="174">
        <f t="shared" ref="BI81:BI144" si="75">BH81/1000000*1000000</f>
        <v>18.515402253245664</v>
      </c>
      <c r="BK81" s="6"/>
      <c r="BL81" s="31"/>
    </row>
    <row r="82" spans="1:64">
      <c r="A82" s="6" t="s">
        <v>86</v>
      </c>
      <c r="B82" s="6" t="s">
        <v>197</v>
      </c>
      <c r="C82" t="s">
        <v>12</v>
      </c>
      <c r="D82" s="8">
        <v>2</v>
      </c>
      <c r="E82" s="3">
        <v>20</v>
      </c>
      <c r="F82" s="26">
        <v>42783</v>
      </c>
      <c r="G82" s="3"/>
      <c r="H82">
        <f>'Wet ref'!B128</f>
        <v>142.60716790000001</v>
      </c>
      <c r="I82">
        <f>'Wet ref'!C128</f>
        <v>299.56159120000001</v>
      </c>
      <c r="J82">
        <f>'Wet ref'!D128</f>
        <v>74.884012190000007</v>
      </c>
      <c r="K82">
        <f>'Wet ref'!E128</f>
        <v>5.7948323190000002</v>
      </c>
      <c r="L82" s="3">
        <f t="shared" si="56"/>
        <v>5352.6635599000001</v>
      </c>
      <c r="M82" s="31">
        <f>'Wet ref'!$B$41*'Soil samples'!AI82%</f>
        <v>2.6094486945140254</v>
      </c>
      <c r="N82" s="105">
        <f>'Wet ref'!$B$41*'Soil samples'!AH82%</f>
        <v>2.3905513054859746</v>
      </c>
      <c r="O82">
        <f t="shared" si="47"/>
        <v>142.60716790000001</v>
      </c>
      <c r="P82">
        <f t="shared" si="43"/>
        <v>0.1426071679</v>
      </c>
      <c r="Q82">
        <f>P82*('Wet ref'!$B$40+M82)</f>
        <v>3.9373052856049973</v>
      </c>
      <c r="R82" s="141">
        <f t="shared" si="73"/>
        <v>1.6470281464235645</v>
      </c>
      <c r="S82" s="141">
        <f>R82*'Soil samples'!AK82/100</f>
        <v>0.52019677433413225</v>
      </c>
      <c r="T82" s="149">
        <f t="shared" si="57"/>
        <v>0.52019677433413225</v>
      </c>
      <c r="U82" s="141">
        <f t="shared" si="58"/>
        <v>142.60716790000001</v>
      </c>
      <c r="V82" s="141">
        <f t="shared" si="59"/>
        <v>1.6470281464235645</v>
      </c>
      <c r="W82" s="141">
        <f>V82*'Soil samples'!AR82/100</f>
        <v>0.52019677433413225</v>
      </c>
      <c r="X82" s="149">
        <f t="shared" si="60"/>
        <v>0.52019677433413225</v>
      </c>
      <c r="Y82">
        <f t="shared" si="48"/>
        <v>299.56159120000001</v>
      </c>
      <c r="Z82">
        <f t="shared" si="61"/>
        <v>0.29956159120000003</v>
      </c>
      <c r="AA82">
        <f>Z82*('Wet ref'!$B$40+M82)</f>
        <v>8.2707303830833858</v>
      </c>
      <c r="AB82" s="175">
        <f t="shared" si="49"/>
        <v>3.4597585770710038</v>
      </c>
      <c r="AC82" s="175">
        <f>AB82*'Soil samples'!AK82/100</f>
        <v>1.092728898212977</v>
      </c>
      <c r="AD82" s="174">
        <f t="shared" si="62"/>
        <v>1.092728898212977</v>
      </c>
      <c r="AE82" s="175">
        <f t="shared" si="63"/>
        <v>299.56159120000001</v>
      </c>
      <c r="AF82" s="175">
        <f t="shared" si="64"/>
        <v>3.4597585770710038</v>
      </c>
      <c r="AG82" s="175">
        <f>AF82*'Soil samples'!AR82/100</f>
        <v>1.092728898212977</v>
      </c>
      <c r="AH82" s="174">
        <f t="shared" si="65"/>
        <v>1.092728898212977</v>
      </c>
      <c r="AI82">
        <f t="shared" si="50"/>
        <v>74.884012190000007</v>
      </c>
      <c r="AJ82">
        <f t="shared" si="44"/>
        <v>7.4884012190000002E-2</v>
      </c>
      <c r="AK82">
        <f>AJ82*('Wet ref'!$B$40+M82)</f>
        <v>2.0675062925991678</v>
      </c>
      <c r="AL82" s="175">
        <f t="shared" si="51"/>
        <v>0.86486589426235505</v>
      </c>
      <c r="AM82" s="175">
        <f>AL82*'Soil samples'!AK82/100</f>
        <v>0.27315893137820202</v>
      </c>
      <c r="AN82" s="174">
        <f t="shared" si="66"/>
        <v>273.158931378202</v>
      </c>
      <c r="AO82" s="175">
        <f t="shared" si="67"/>
        <v>0.86486589426235505</v>
      </c>
      <c r="AP82" s="175">
        <f>AO82*'Soil samples'!AR82/100</f>
        <v>0.27315893137820202</v>
      </c>
      <c r="AQ82" s="174">
        <f t="shared" si="68"/>
        <v>273.158931378202</v>
      </c>
      <c r="AR82">
        <f t="shared" si="52"/>
        <v>5.7948323190000002</v>
      </c>
      <c r="AS82">
        <f t="shared" si="45"/>
        <v>5.7948323189999998E-3</v>
      </c>
      <c r="AT82">
        <f>AS82*('Wet ref'!$B$40+M82)</f>
        <v>0.15999212560474221</v>
      </c>
      <c r="AU82" s="175">
        <f t="shared" si="53"/>
        <v>6.6926873829305858E-2</v>
      </c>
      <c r="AV82" s="175">
        <f>AU82*'Soil samples'!AK82/100</f>
        <v>2.1138159634898544E-2</v>
      </c>
      <c r="AW82" s="174">
        <f t="shared" si="69"/>
        <v>21.138159634898546</v>
      </c>
      <c r="AX82" s="175">
        <f t="shared" si="70"/>
        <v>6.6926873829305858E-2</v>
      </c>
      <c r="AY82" s="175">
        <f>AX82*'Soil samples'!AR82/100</f>
        <v>2.1138159634898544E-2</v>
      </c>
      <c r="AZ82" s="174">
        <f t="shared" si="71"/>
        <v>21.138159634898546</v>
      </c>
      <c r="BA82">
        <f t="shared" si="54"/>
        <v>5352.6635599000001</v>
      </c>
      <c r="BB82">
        <f t="shared" si="46"/>
        <v>5.3526635598999999</v>
      </c>
      <c r="BC82">
        <f>BB82*('Wet ref'!$B$40+M82)</f>
        <v>147.78408993605385</v>
      </c>
      <c r="BD82" s="175">
        <f t="shared" si="55"/>
        <v>61.82008710581129</v>
      </c>
      <c r="BE82" s="175">
        <f>BD82*'Soil samples'!AK82/100</f>
        <v>19.525233962351432</v>
      </c>
      <c r="BF82" s="174">
        <f t="shared" si="74"/>
        <v>19.525233962351432</v>
      </c>
      <c r="BG82" s="175">
        <f t="shared" si="72"/>
        <v>61.82008710581129</v>
      </c>
      <c r="BH82" s="175">
        <f>BG82*'Soil samples'!AR82/100</f>
        <v>19.525233962351432</v>
      </c>
      <c r="BI82" s="174">
        <f t="shared" si="75"/>
        <v>19.525233962351432</v>
      </c>
      <c r="BK82" s="6"/>
      <c r="BL82" s="31"/>
    </row>
    <row r="83" spans="1:64">
      <c r="A83" s="6" t="s">
        <v>87</v>
      </c>
      <c r="B83" s="6" t="s">
        <v>197</v>
      </c>
      <c r="C83" t="s">
        <v>12</v>
      </c>
      <c r="D83" s="8">
        <v>3</v>
      </c>
      <c r="E83" s="3">
        <v>5</v>
      </c>
      <c r="F83" s="26">
        <v>42769</v>
      </c>
      <c r="G83" s="3"/>
      <c r="H83">
        <f>'Wet ref'!B129</f>
        <v>2771.040708</v>
      </c>
      <c r="I83">
        <f>'Wet ref'!C129</f>
        <v>5006.3820159999996</v>
      </c>
      <c r="J83">
        <f>'Wet ref'!D129</f>
        <v>64.526656619999997</v>
      </c>
      <c r="K83">
        <f>'Wet ref'!E129</f>
        <v>14.73416505</v>
      </c>
      <c r="L83" s="3">
        <f t="shared" si="56"/>
        <v>6956.7423259999996</v>
      </c>
      <c r="M83" s="31">
        <f>'Wet ref'!$B$41*'Soil samples'!AI83%</f>
        <v>2.8104047246829946</v>
      </c>
      <c r="N83" s="105">
        <f>'Wet ref'!$B$41*'Soil samples'!AH83%</f>
        <v>2.1895952753170054</v>
      </c>
      <c r="O83">
        <f t="shared" si="47"/>
        <v>2771.040708</v>
      </c>
      <c r="P83">
        <f t="shared" si="43"/>
        <v>2.7710407080000001</v>
      </c>
      <c r="Q83">
        <f>P83*('Wet ref'!$B$40+M83)</f>
        <v>77.06376359805212</v>
      </c>
      <c r="R83" s="141">
        <f t="shared" si="73"/>
        <v>35.195437470468136</v>
      </c>
      <c r="S83" s="141">
        <f>R83*'Soil samples'!AK83/100</f>
        <v>3.1287888020809178</v>
      </c>
      <c r="T83" s="149">
        <f t="shared" si="57"/>
        <v>3.1287888020809178</v>
      </c>
      <c r="U83" s="141">
        <f t="shared" si="58"/>
        <v>2771.040708</v>
      </c>
      <c r="V83" s="141">
        <f t="shared" si="59"/>
        <v>35.195437470468136</v>
      </c>
      <c r="W83" s="141">
        <f>V83*'Soil samples'!AR83/100</f>
        <v>3.1287888020809178</v>
      </c>
      <c r="X83" s="149">
        <f t="shared" si="60"/>
        <v>3.1287888020809178</v>
      </c>
      <c r="Y83">
        <f t="shared" si="48"/>
        <v>5006.3820159999996</v>
      </c>
      <c r="Z83">
        <f t="shared" si="61"/>
        <v>5.0063820159999999</v>
      </c>
      <c r="AA83">
        <f>Z83*('Wet ref'!$B$40+M83)</f>
        <v>139.22951007133437</v>
      </c>
      <c r="AB83" s="175">
        <f t="shared" si="49"/>
        <v>63.586869975857525</v>
      </c>
      <c r="AC83" s="175">
        <f>AB83*'Soil samples'!AK83/100</f>
        <v>5.6527181088961784</v>
      </c>
      <c r="AD83" s="174">
        <f t="shared" si="62"/>
        <v>5.6527181088961784</v>
      </c>
      <c r="AE83" s="175">
        <f t="shared" si="63"/>
        <v>5006.3820159999996</v>
      </c>
      <c r="AF83" s="175">
        <f t="shared" si="64"/>
        <v>63.586869975857525</v>
      </c>
      <c r="AG83" s="175">
        <f>AF83*'Soil samples'!AR83/100</f>
        <v>5.6527181088961784</v>
      </c>
      <c r="AH83" s="174">
        <f t="shared" si="65"/>
        <v>5.6527181088961784</v>
      </c>
      <c r="AI83">
        <f t="shared" si="50"/>
        <v>64.526656619999997</v>
      </c>
      <c r="AJ83">
        <f t="shared" si="44"/>
        <v>6.4526656619999997E-2</v>
      </c>
      <c r="AK83">
        <f>AJ83*('Wet ref'!$B$40+M83)</f>
        <v>1.7945124361328453</v>
      </c>
      <c r="AL83" s="175">
        <f t="shared" si="51"/>
        <v>0.81956353138049187</v>
      </c>
      <c r="AM83" s="175">
        <f>AL83*'Soil samples'!AK83/100</f>
        <v>7.2857204906993558E-2</v>
      </c>
      <c r="AN83" s="174">
        <f t="shared" si="66"/>
        <v>72.857204906993559</v>
      </c>
      <c r="AO83" s="175">
        <f t="shared" si="67"/>
        <v>0.81956353138049187</v>
      </c>
      <c r="AP83" s="175">
        <f>AO83*'Soil samples'!AR83/100</f>
        <v>7.2857204906993558E-2</v>
      </c>
      <c r="AQ83" s="174">
        <f t="shared" si="68"/>
        <v>72.857204906993559</v>
      </c>
      <c r="AR83">
        <f t="shared" si="52"/>
        <v>14.73416505</v>
      </c>
      <c r="AS83">
        <f t="shared" si="45"/>
        <v>1.4734165049999999E-2</v>
      </c>
      <c r="AT83">
        <f>AS83*('Wet ref'!$B$40+M83)</f>
        <v>0.40976309332077904</v>
      </c>
      <c r="AU83" s="175">
        <f t="shared" si="53"/>
        <v>0.18714102005059099</v>
      </c>
      <c r="AV83" s="175">
        <f>AU83*'Soil samples'!AK83/100</f>
        <v>1.6636381588823638E-2</v>
      </c>
      <c r="AW83" s="174">
        <f t="shared" si="69"/>
        <v>16.636381588823639</v>
      </c>
      <c r="AX83" s="175">
        <f t="shared" si="70"/>
        <v>0.18714102005059099</v>
      </c>
      <c r="AY83" s="175">
        <f>AX83*'Soil samples'!AR83/100</f>
        <v>1.6636381588823638E-2</v>
      </c>
      <c r="AZ83" s="174">
        <f t="shared" si="71"/>
        <v>16.636381588823639</v>
      </c>
      <c r="BA83">
        <f t="shared" si="54"/>
        <v>6956.7423259999996</v>
      </c>
      <c r="BB83">
        <f t="shared" si="46"/>
        <v>6.9567423259999996</v>
      </c>
      <c r="BC83">
        <f>BB83*('Wet ref'!$B$40+M83)</f>
        <v>193.46981965139256</v>
      </c>
      <c r="BD83" s="175">
        <f t="shared" si="55"/>
        <v>88.358712604265349</v>
      </c>
      <c r="BE83" s="175">
        <f>BD83*'Soil samples'!AK83/100</f>
        <v>7.8548746778465421</v>
      </c>
      <c r="BF83" s="174">
        <f t="shared" si="74"/>
        <v>7.854874677846543</v>
      </c>
      <c r="BG83" s="175">
        <f t="shared" si="72"/>
        <v>88.358712604265349</v>
      </c>
      <c r="BH83" s="175">
        <f>BG83*'Soil samples'!AR83/100</f>
        <v>7.8548746778465421</v>
      </c>
      <c r="BI83" s="174">
        <f t="shared" si="75"/>
        <v>7.854874677846543</v>
      </c>
      <c r="BK83" s="6"/>
      <c r="BL83" s="31"/>
    </row>
    <row r="84" spans="1:64">
      <c r="A84" s="6" t="s">
        <v>88</v>
      </c>
      <c r="B84" s="6" t="s">
        <v>197</v>
      </c>
      <c r="C84" t="s">
        <v>12</v>
      </c>
      <c r="D84" s="8">
        <v>3</v>
      </c>
      <c r="E84" s="3">
        <v>10</v>
      </c>
      <c r="F84" s="26">
        <v>42769</v>
      </c>
      <c r="G84" s="3"/>
      <c r="H84">
        <f>'Wet ref'!B130</f>
        <v>530.41036240000005</v>
      </c>
      <c r="I84">
        <f>'Wet ref'!C130</f>
        <v>394.53694359999997</v>
      </c>
      <c r="J84">
        <f>'Wet ref'!D130</f>
        <v>17.428676039999999</v>
      </c>
      <c r="K84">
        <f>'Wet ref'!E130</f>
        <v>0.496696421</v>
      </c>
      <c r="L84" s="3">
        <f t="shared" si="56"/>
        <v>-428.25088500000004</v>
      </c>
      <c r="M84" s="31">
        <f>'Wet ref'!$B$41*'Soil samples'!AI84%</f>
        <v>0.24201486020455007</v>
      </c>
      <c r="N84" s="105">
        <f>'Wet ref'!$B$41*'Soil samples'!AH84%</f>
        <v>4.7579851397954496</v>
      </c>
      <c r="O84">
        <f t="shared" si="47"/>
        <v>530.41036240000005</v>
      </c>
      <c r="P84">
        <f t="shared" si="43"/>
        <v>0.53041036240000006</v>
      </c>
      <c r="Q84">
        <f>P84*('Wet ref'!$B$40+M84)</f>
        <v>13.388626249707281</v>
      </c>
      <c r="R84" s="141">
        <f t="shared" si="73"/>
        <v>2.8139277144280594</v>
      </c>
      <c r="S84" s="141">
        <f>R84*'Soil samples'!AK84/100</f>
        <v>2.7296731197903203</v>
      </c>
      <c r="T84" s="149">
        <f t="shared" si="57"/>
        <v>2.7296731197903203</v>
      </c>
      <c r="U84" s="141">
        <f t="shared" si="58"/>
        <v>530.41036240000005</v>
      </c>
      <c r="V84" s="141">
        <f t="shared" si="59"/>
        <v>2.8139277144280594</v>
      </c>
      <c r="W84" s="141">
        <f>V84*'Soil samples'!AR84/100</f>
        <v>2.7296731197903203</v>
      </c>
      <c r="X84" s="149">
        <f t="shared" si="60"/>
        <v>2.7296731197903203</v>
      </c>
      <c r="Y84">
        <f t="shared" si="48"/>
        <v>394.53694359999997</v>
      </c>
      <c r="Z84">
        <f t="shared" si="61"/>
        <v>0.39453694359999997</v>
      </c>
      <c r="AA84">
        <f>Z84*('Wet ref'!$B$40+M84)</f>
        <v>9.9589073932508825</v>
      </c>
      <c r="AB84" s="175">
        <f t="shared" si="49"/>
        <v>2.0930934209851326</v>
      </c>
      <c r="AC84" s="175">
        <f>AB84*'Soil samples'!AK84/100</f>
        <v>2.0304220393359897</v>
      </c>
      <c r="AD84" s="174">
        <f t="shared" si="62"/>
        <v>2.0304220393359897</v>
      </c>
      <c r="AE84" s="175">
        <f t="shared" si="63"/>
        <v>394.53694359999997</v>
      </c>
      <c r="AF84" s="175">
        <f t="shared" si="64"/>
        <v>2.0930934209851326</v>
      </c>
      <c r="AG84" s="175">
        <f>AF84*'Soil samples'!AR84/100</f>
        <v>2.0304220393359897</v>
      </c>
      <c r="AH84" s="174">
        <f t="shared" si="65"/>
        <v>2.0304220393359897</v>
      </c>
      <c r="AI84">
        <f t="shared" si="50"/>
        <v>17.428676039999999</v>
      </c>
      <c r="AJ84">
        <f t="shared" si="44"/>
        <v>1.742867604E-2</v>
      </c>
      <c r="AK84">
        <f>AJ84*('Wet ref'!$B$40+M84)</f>
        <v>0.43993489959537097</v>
      </c>
      <c r="AL84" s="175">
        <f t="shared" si="51"/>
        <v>9.2462436655336891E-2</v>
      </c>
      <c r="AM84" s="175">
        <f>AL84*'Soil samples'!AK84/100</f>
        <v>8.969392732950425E-2</v>
      </c>
      <c r="AN84" s="174">
        <f t="shared" si="66"/>
        <v>89.693927329504248</v>
      </c>
      <c r="AO84" s="175">
        <f t="shared" si="67"/>
        <v>9.2462436655336891E-2</v>
      </c>
      <c r="AP84" s="175">
        <f>AO84*'Soil samples'!AR84/100</f>
        <v>8.969392732950425E-2</v>
      </c>
      <c r="AQ84" s="174">
        <f t="shared" si="68"/>
        <v>89.693927329504248</v>
      </c>
      <c r="AR84">
        <f t="shared" si="52"/>
        <v>0.496696421</v>
      </c>
      <c r="AS84">
        <f t="shared" si="45"/>
        <v>4.9669642099999997E-4</v>
      </c>
      <c r="AT84">
        <f>AS84*('Wet ref'!$B$40+M84)</f>
        <v>1.2537618439892415E-2</v>
      </c>
      <c r="AU84" s="175">
        <f t="shared" si="53"/>
        <v>2.6350688519450522E-3</v>
      </c>
      <c r="AV84" s="175">
        <f>AU84*'Soil samples'!AK84/100</f>
        <v>2.5561696475252652E-3</v>
      </c>
      <c r="AW84" s="174">
        <f t="shared" si="69"/>
        <v>2.5561696475252655</v>
      </c>
      <c r="AX84" s="175">
        <f t="shared" si="70"/>
        <v>2.6350688519450522E-3</v>
      </c>
      <c r="AY84" s="175">
        <f>AX84*'Soil samples'!AR84/100</f>
        <v>2.5561696475252652E-3</v>
      </c>
      <c r="AZ84" s="174">
        <f t="shared" si="71"/>
        <v>2.5561696475252655</v>
      </c>
      <c r="BA84">
        <f t="shared" si="54"/>
        <v>0</v>
      </c>
      <c r="BB84">
        <f t="shared" si="46"/>
        <v>0</v>
      </c>
      <c r="BC84">
        <f>BB84*('Wet ref'!$B$40+M84)</f>
        <v>0</v>
      </c>
      <c r="BD84" s="175">
        <f t="shared" si="55"/>
        <v>0</v>
      </c>
      <c r="BE84" s="175">
        <f>BD84*'Soil samples'!AK84/100</f>
        <v>0</v>
      </c>
      <c r="BF84" s="174">
        <f t="shared" si="74"/>
        <v>0</v>
      </c>
      <c r="BG84" s="175">
        <f t="shared" si="72"/>
        <v>0</v>
      </c>
      <c r="BH84" s="175">
        <f>BG84*'Soil samples'!AR84/100</f>
        <v>0</v>
      </c>
      <c r="BI84" s="174">
        <f t="shared" si="75"/>
        <v>0</v>
      </c>
      <c r="BK84" s="6"/>
      <c r="BL84" s="31"/>
    </row>
    <row r="85" spans="1:64">
      <c r="A85" s="6" t="s">
        <v>89</v>
      </c>
      <c r="B85" s="6" t="s">
        <v>197</v>
      </c>
      <c r="C85" t="s">
        <v>12</v>
      </c>
      <c r="D85" s="8">
        <v>3</v>
      </c>
      <c r="E85" s="3">
        <v>20</v>
      </c>
      <c r="F85" s="26">
        <v>42769</v>
      </c>
      <c r="G85" s="3"/>
      <c r="H85">
        <f>'Wet ref'!B131</f>
        <v>965.09608830000002</v>
      </c>
      <c r="I85">
        <f>'Wet ref'!C131</f>
        <v>999.81239119999998</v>
      </c>
      <c r="J85">
        <f>'Wet ref'!D131</f>
        <v>19.674850660000001</v>
      </c>
      <c r="K85">
        <f>'Wet ref'!E131</f>
        <v>3.443062286</v>
      </c>
      <c r="L85" s="3">
        <f t="shared" si="56"/>
        <v>1478.1538064999995</v>
      </c>
      <c r="M85" s="31">
        <f>'Wet ref'!$B$41*'Soil samples'!AI85%</f>
        <v>0.51390761211467584</v>
      </c>
      <c r="N85" s="105">
        <f>'Wet ref'!$B$41*'Soil samples'!AH85%</f>
        <v>4.4860923878853241</v>
      </c>
      <c r="O85">
        <f t="shared" si="47"/>
        <v>965.09608830000002</v>
      </c>
      <c r="P85">
        <f t="shared" si="43"/>
        <v>0.96509608830000004</v>
      </c>
      <c r="Q85">
        <f>P85*('Wet ref'!$B$40+M85)</f>
        <v>24.623372433699469</v>
      </c>
      <c r="R85" s="141">
        <f t="shared" si="73"/>
        <v>5.4888241936779538</v>
      </c>
      <c r="S85" s="141">
        <f>R85*'Soil samples'!AK85/100</f>
        <v>4.0057302275142321</v>
      </c>
      <c r="T85" s="149">
        <f t="shared" si="57"/>
        <v>4.0057302275142321</v>
      </c>
      <c r="U85" s="141">
        <f t="shared" si="58"/>
        <v>965.09608830000002</v>
      </c>
      <c r="V85" s="141">
        <f t="shared" si="59"/>
        <v>5.4888241936779538</v>
      </c>
      <c r="W85" s="141">
        <f>V85*'Soil samples'!AR85/100</f>
        <v>4.0057302275142321</v>
      </c>
      <c r="X85" s="149">
        <f t="shared" si="60"/>
        <v>4.0057302275142321</v>
      </c>
      <c r="Y85">
        <f t="shared" si="48"/>
        <v>999.81239119999998</v>
      </c>
      <c r="Z85">
        <f t="shared" si="61"/>
        <v>0.99981239119999998</v>
      </c>
      <c r="AA85">
        <f>Z85*('Wet ref'!$B$40+M85)</f>
        <v>25.509120978524255</v>
      </c>
      <c r="AB85" s="175">
        <f t="shared" si="49"/>
        <v>5.6862674178114432</v>
      </c>
      <c r="AC85" s="175">
        <f>AB85*'Soil samples'!AK85/100</f>
        <v>4.1498238007863275</v>
      </c>
      <c r="AD85" s="174">
        <f t="shared" si="62"/>
        <v>4.1498238007863275</v>
      </c>
      <c r="AE85" s="175">
        <f t="shared" si="63"/>
        <v>999.81239119999998</v>
      </c>
      <c r="AF85" s="175">
        <f t="shared" si="64"/>
        <v>5.6862674178114432</v>
      </c>
      <c r="AG85" s="175">
        <f>AF85*'Soil samples'!AR85/100</f>
        <v>4.1498238007863275</v>
      </c>
      <c r="AH85" s="174">
        <f t="shared" si="65"/>
        <v>4.1498238007863275</v>
      </c>
      <c r="AI85">
        <f t="shared" si="50"/>
        <v>19.674850660000001</v>
      </c>
      <c r="AJ85">
        <f t="shared" si="44"/>
        <v>1.967485066E-2</v>
      </c>
      <c r="AK85">
        <f>AJ85*('Wet ref'!$B$40+M85)</f>
        <v>0.50198232202139348</v>
      </c>
      <c r="AL85" s="175">
        <f t="shared" si="51"/>
        <v>0.11189745520555816</v>
      </c>
      <c r="AM85" s="175">
        <f>AL85*'Soil samples'!AK85/100</f>
        <v>8.1662484146440339E-2</v>
      </c>
      <c r="AN85" s="174">
        <f t="shared" si="66"/>
        <v>81.662484146440335</v>
      </c>
      <c r="AO85" s="175">
        <f t="shared" si="67"/>
        <v>0.11189745520555816</v>
      </c>
      <c r="AP85" s="175">
        <f>AO85*'Soil samples'!AR85/100</f>
        <v>8.1662484146440339E-2</v>
      </c>
      <c r="AQ85" s="174">
        <f t="shared" si="68"/>
        <v>81.662484146440335</v>
      </c>
      <c r="AR85">
        <f t="shared" si="52"/>
        <v>3.443062286</v>
      </c>
      <c r="AS85">
        <f t="shared" si="45"/>
        <v>3.4430622859999999E-3</v>
      </c>
      <c r="AT85">
        <f>AS85*('Wet ref'!$B$40+M85)</f>
        <v>8.7845973067760347E-2</v>
      </c>
      <c r="AU85" s="175">
        <f t="shared" si="53"/>
        <v>1.9581846621123559E-2</v>
      </c>
      <c r="AV85" s="175">
        <f>AU85*'Soil samples'!AK85/100</f>
        <v>1.4290782898663262E-2</v>
      </c>
      <c r="AW85" s="174">
        <f t="shared" si="69"/>
        <v>14.290782898663263</v>
      </c>
      <c r="AX85" s="175">
        <f t="shared" si="70"/>
        <v>1.9581846621123559E-2</v>
      </c>
      <c r="AY85" s="175">
        <f>AX85*'Soil samples'!AR85/100</f>
        <v>1.4290782898663262E-2</v>
      </c>
      <c r="AZ85" s="174">
        <f t="shared" si="71"/>
        <v>14.290782898663263</v>
      </c>
      <c r="BA85">
        <f t="shared" si="54"/>
        <v>1478.1538064999995</v>
      </c>
      <c r="BB85">
        <f t="shared" si="46"/>
        <v>1.4781538064999995</v>
      </c>
      <c r="BC85">
        <f>BB85*('Wet ref'!$B$40+M85)</f>
        <v>37.713479655536617</v>
      </c>
      <c r="BD85" s="175">
        <f t="shared" si="55"/>
        <v>8.4067550096341588</v>
      </c>
      <c r="BE85" s="175">
        <f>BD85*'Soil samples'!AK85/100</f>
        <v>6.1352288703626989</v>
      </c>
      <c r="BF85" s="174">
        <f t="shared" si="74"/>
        <v>6.1352288703626989</v>
      </c>
      <c r="BG85" s="175">
        <f t="shared" si="72"/>
        <v>8.4067550096341588</v>
      </c>
      <c r="BH85" s="175">
        <f>BG85*'Soil samples'!AR85/100</f>
        <v>6.1352288703626989</v>
      </c>
      <c r="BI85" s="174">
        <f t="shared" si="75"/>
        <v>6.1352288703626989</v>
      </c>
      <c r="BK85" s="6"/>
      <c r="BL85" s="31"/>
    </row>
    <row r="86" spans="1:64">
      <c r="A86" s="6" t="s">
        <v>90</v>
      </c>
      <c r="B86" s="6" t="s">
        <v>197</v>
      </c>
      <c r="C86" t="s">
        <v>12</v>
      </c>
      <c r="D86" s="8">
        <v>3</v>
      </c>
      <c r="E86" s="3">
        <v>30</v>
      </c>
      <c r="F86" s="26">
        <v>42769</v>
      </c>
      <c r="G86" s="3"/>
      <c r="H86">
        <f>'Wet ref'!B132</f>
        <v>416.4984187</v>
      </c>
      <c r="I86">
        <f>'Wet ref'!C132</f>
        <v>94.658019449999998</v>
      </c>
      <c r="J86">
        <f>'Wet ref'!D132</f>
        <v>7.3089425139999999</v>
      </c>
      <c r="K86">
        <f>'Wet ref'!E132</f>
        <v>9.1826055000000004E-2</v>
      </c>
      <c r="L86" s="3">
        <f t="shared" si="56"/>
        <v>-419.33038314999999</v>
      </c>
      <c r="M86" s="31">
        <f>'Wet ref'!$B$41*'Soil samples'!AI86%</f>
        <v>0.20603649940052904</v>
      </c>
      <c r="N86" s="105">
        <f>'Wet ref'!$B$41*'Soil samples'!AH86%</f>
        <v>4.793963500599471</v>
      </c>
      <c r="O86">
        <f t="shared" si="47"/>
        <v>416.4984187</v>
      </c>
      <c r="P86">
        <f t="shared" si="43"/>
        <v>0.41649841869999998</v>
      </c>
      <c r="Q86">
        <f>P86*('Wet ref'!$B$40+M86)</f>
        <v>10.498274343694803</v>
      </c>
      <c r="R86" s="141">
        <f t="shared" si="73"/>
        <v>2.1898945084546479</v>
      </c>
      <c r="S86" s="141">
        <f>R86*'Soil samples'!AK86/100</f>
        <v>3.4098395068320717</v>
      </c>
      <c r="T86" s="149">
        <f t="shared" si="57"/>
        <v>3.4098395068320717</v>
      </c>
      <c r="U86" s="141">
        <f t="shared" si="58"/>
        <v>416.4984187</v>
      </c>
      <c r="V86" s="141">
        <f t="shared" si="59"/>
        <v>2.1898945084546479</v>
      </c>
      <c r="W86" s="141">
        <f>V86*'Soil samples'!AR86/100</f>
        <v>3.4098395068320717</v>
      </c>
      <c r="X86" s="149">
        <f t="shared" si="60"/>
        <v>3.4098395068320717</v>
      </c>
      <c r="Y86">
        <f t="shared" si="48"/>
        <v>94.658019449999998</v>
      </c>
      <c r="Z86">
        <f t="shared" si="61"/>
        <v>9.4658019449999992E-2</v>
      </c>
      <c r="AA86">
        <f>Z86*('Wet ref'!$B$40+M86)</f>
        <v>2.3859534932176651</v>
      </c>
      <c r="AB86" s="175">
        <f t="shared" si="49"/>
        <v>0.49769955339028105</v>
      </c>
      <c r="AC86" s="175">
        <f>AB86*'Soil samples'!AK86/100</f>
        <v>0.77495769459709773</v>
      </c>
      <c r="AD86" s="174">
        <f t="shared" si="62"/>
        <v>0.77495769459709773</v>
      </c>
      <c r="AE86" s="175">
        <f t="shared" si="63"/>
        <v>94.658019449999998</v>
      </c>
      <c r="AF86" s="175">
        <f t="shared" si="64"/>
        <v>0.49769955339028105</v>
      </c>
      <c r="AG86" s="175">
        <f>AF86*'Soil samples'!AR86/100</f>
        <v>0.77495769459709773</v>
      </c>
      <c r="AH86" s="174">
        <f t="shared" si="65"/>
        <v>0.77495769459709773</v>
      </c>
      <c r="AI86">
        <f t="shared" si="50"/>
        <v>7.3089425139999999</v>
      </c>
      <c r="AJ86">
        <f t="shared" si="44"/>
        <v>7.3089425140000002E-3</v>
      </c>
      <c r="AK86">
        <f>AJ86*('Wet ref'!$B$40+M86)</f>
        <v>0.18422947177990426</v>
      </c>
      <c r="AL86" s="175">
        <f t="shared" si="51"/>
        <v>3.8429469009696654E-2</v>
      </c>
      <c r="AM86" s="175">
        <f>AL86*'Soil samples'!AK86/100</f>
        <v>5.9837732434112917E-2</v>
      </c>
      <c r="AN86" s="174">
        <f t="shared" si="66"/>
        <v>59.837732434112915</v>
      </c>
      <c r="AO86" s="175">
        <f t="shared" si="67"/>
        <v>3.8429469009696654E-2</v>
      </c>
      <c r="AP86" s="175">
        <f>AO86*'Soil samples'!AR86/100</f>
        <v>5.9837732434112917E-2</v>
      </c>
      <c r="AQ86" s="174">
        <f t="shared" si="68"/>
        <v>59.837732434112915</v>
      </c>
      <c r="AR86">
        <f t="shared" si="52"/>
        <v>9.1826055000000004E-2</v>
      </c>
      <c r="AS86">
        <f t="shared" si="45"/>
        <v>9.1826055000000009E-5</v>
      </c>
      <c r="AT86">
        <f>AS86*('Wet ref'!$B$40+M86)</f>
        <v>2.3145708939259608E-3</v>
      </c>
      <c r="AU86" s="175">
        <f t="shared" si="53"/>
        <v>4.8280945268701575E-4</v>
      </c>
      <c r="AV86" s="175">
        <f>AU86*'Soil samples'!AK86/100</f>
        <v>7.5177262634715215E-4</v>
      </c>
      <c r="AW86" s="174">
        <f t="shared" si="69"/>
        <v>0.75177262634715214</v>
      </c>
      <c r="AX86" s="175">
        <f t="shared" si="70"/>
        <v>4.8280945268701575E-4</v>
      </c>
      <c r="AY86" s="175">
        <f>AX86*'Soil samples'!AR86/100</f>
        <v>7.5177262634715215E-4</v>
      </c>
      <c r="AZ86" s="174">
        <f t="shared" si="71"/>
        <v>0.75177262634715214</v>
      </c>
      <c r="BA86">
        <f t="shared" si="54"/>
        <v>0</v>
      </c>
      <c r="BB86">
        <f t="shared" si="46"/>
        <v>0</v>
      </c>
      <c r="BC86">
        <f>BB86*('Wet ref'!$B$40+M86)</f>
        <v>0</v>
      </c>
      <c r="BD86" s="175">
        <f t="shared" si="55"/>
        <v>0</v>
      </c>
      <c r="BE86" s="175">
        <f>BD86*'Soil samples'!AK86/100</f>
        <v>0</v>
      </c>
      <c r="BF86" s="174">
        <f t="shared" si="74"/>
        <v>0</v>
      </c>
      <c r="BG86" s="175">
        <f t="shared" si="72"/>
        <v>0</v>
      </c>
      <c r="BH86" s="175">
        <f>BG86*'Soil samples'!AR86/100</f>
        <v>0</v>
      </c>
      <c r="BI86" s="174">
        <f t="shared" si="75"/>
        <v>0</v>
      </c>
      <c r="BK86" s="6"/>
      <c r="BL86" s="31"/>
    </row>
    <row r="87" spans="1:64">
      <c r="A87" s="6" t="s">
        <v>91</v>
      </c>
      <c r="B87" s="6" t="s">
        <v>197</v>
      </c>
      <c r="C87" t="s">
        <v>12</v>
      </c>
      <c r="D87" s="8">
        <v>4</v>
      </c>
      <c r="E87" s="3">
        <v>5</v>
      </c>
      <c r="F87" s="26">
        <v>42791</v>
      </c>
      <c r="G87" s="3"/>
      <c r="H87">
        <f>'Wet ref'!B133</f>
        <v>205.2093356</v>
      </c>
      <c r="I87">
        <f>'Wet ref'!C133</f>
        <v>59.329817429999999</v>
      </c>
      <c r="J87">
        <f>'Wet ref'!D133</f>
        <v>61.300767540000002</v>
      </c>
      <c r="K87">
        <f>'Wet ref'!E133</f>
        <v>5.4229922909999999</v>
      </c>
      <c r="L87" s="3">
        <f t="shared" si="56"/>
        <v>5158.4531379700002</v>
      </c>
      <c r="M87" s="31">
        <f>'Wet ref'!$B$41*'Soil samples'!AI87%</f>
        <v>1.2239910627007398</v>
      </c>
      <c r="N87" s="105">
        <f>'Wet ref'!$B$41*'Soil samples'!AH87%</f>
        <v>3.77600893729926</v>
      </c>
      <c r="O87">
        <f t="shared" si="47"/>
        <v>205.2093356</v>
      </c>
      <c r="P87">
        <f t="shared" si="43"/>
        <v>0.20520933560000001</v>
      </c>
      <c r="Q87">
        <f>P87*('Wet ref'!$B$40+M87)</f>
        <v>5.3814077827571571</v>
      </c>
      <c r="R87" s="141">
        <f t="shared" si="73"/>
        <v>1.4251575862545858</v>
      </c>
      <c r="S87" s="141">
        <f>R87*'Soil samples'!AK87/100</f>
        <v>0.44202883527567283</v>
      </c>
      <c r="T87" s="149">
        <f t="shared" si="57"/>
        <v>0.44202883527567283</v>
      </c>
      <c r="U87" s="141">
        <f t="shared" si="58"/>
        <v>205.2093356</v>
      </c>
      <c r="V87" s="141">
        <f t="shared" si="59"/>
        <v>1.4251575862545858</v>
      </c>
      <c r="W87" s="141">
        <f>V87*'Soil samples'!AR87/100</f>
        <v>0.44202883527567283</v>
      </c>
      <c r="X87" s="149">
        <f t="shared" si="60"/>
        <v>0.44202883527567283</v>
      </c>
      <c r="Y87">
        <f t="shared" si="48"/>
        <v>59.329817429999999</v>
      </c>
      <c r="Z87">
        <f t="shared" si="61"/>
        <v>5.9329817430000001E-2</v>
      </c>
      <c r="AA87">
        <f>Z87*('Wet ref'!$B$40+M87)</f>
        <v>1.5558646020359865</v>
      </c>
      <c r="AB87" s="175">
        <f t="shared" si="49"/>
        <v>0.41203943843120189</v>
      </c>
      <c r="AC87" s="175">
        <f>AB87*'Soil samples'!AK87/100</f>
        <v>0.12779871841123591</v>
      </c>
      <c r="AD87" s="174">
        <f t="shared" si="62"/>
        <v>0.12779871841123591</v>
      </c>
      <c r="AE87" s="175">
        <f t="shared" si="63"/>
        <v>59.329817429999999</v>
      </c>
      <c r="AF87" s="175">
        <f t="shared" si="64"/>
        <v>0.41203943843120189</v>
      </c>
      <c r="AG87" s="175">
        <f>AF87*'Soil samples'!AR87/100</f>
        <v>0.12779871841123591</v>
      </c>
      <c r="AH87" s="174">
        <f t="shared" si="65"/>
        <v>0.12779871841123591</v>
      </c>
      <c r="AI87">
        <f t="shared" si="50"/>
        <v>61.300767540000002</v>
      </c>
      <c r="AJ87">
        <f t="shared" si="44"/>
        <v>6.1300767540000002E-2</v>
      </c>
      <c r="AK87">
        <f>AJ87*('Wet ref'!$B$40+M87)</f>
        <v>1.6075507801056557</v>
      </c>
      <c r="AL87" s="175">
        <f t="shared" si="51"/>
        <v>0.42572748285268491</v>
      </c>
      <c r="AM87" s="175">
        <f>AL87*'Soil samples'!AK87/100</f>
        <v>0.13204422107787855</v>
      </c>
      <c r="AN87" s="174">
        <f t="shared" si="66"/>
        <v>132.04422107787855</v>
      </c>
      <c r="AO87" s="175">
        <f t="shared" si="67"/>
        <v>0.42572748285268491</v>
      </c>
      <c r="AP87" s="175">
        <f>AO87*'Soil samples'!AR87/100</f>
        <v>0.13204422107787855</v>
      </c>
      <c r="AQ87" s="174">
        <f t="shared" si="68"/>
        <v>132.04422107787855</v>
      </c>
      <c r="AR87">
        <f t="shared" si="52"/>
        <v>5.4229922909999999</v>
      </c>
      <c r="AS87">
        <f t="shared" si="45"/>
        <v>5.4229922909999999E-3</v>
      </c>
      <c r="AT87">
        <f>AS87*('Wet ref'!$B$40+M87)</f>
        <v>0.142212501372279</v>
      </c>
      <c r="AU87" s="175">
        <f t="shared" si="53"/>
        <v>3.7662119908538828E-2</v>
      </c>
      <c r="AV87" s="175">
        <f>AU87*'Soil samples'!AK87/100</f>
        <v>1.1681334862718995E-2</v>
      </c>
      <c r="AW87" s="174">
        <f t="shared" si="69"/>
        <v>11.681334862718995</v>
      </c>
      <c r="AX87" s="175">
        <f t="shared" si="70"/>
        <v>3.7662119908538828E-2</v>
      </c>
      <c r="AY87" s="175">
        <f>AX87*'Soil samples'!AR87/100</f>
        <v>1.1681334862718995E-2</v>
      </c>
      <c r="AZ87" s="174">
        <f t="shared" si="71"/>
        <v>11.681334862718995</v>
      </c>
      <c r="BA87">
        <f t="shared" si="54"/>
        <v>5158.4531379700002</v>
      </c>
      <c r="BB87">
        <f t="shared" si="46"/>
        <v>5.1584531379700005</v>
      </c>
      <c r="BC87">
        <f>BB87*('Wet ref'!$B$40+M87)</f>
        <v>135.27522898748589</v>
      </c>
      <c r="BD87" s="175">
        <f t="shared" si="55"/>
        <v>35.824922883853048</v>
      </c>
      <c r="BE87" s="175">
        <f>BD87*'Soil samples'!AK87/100</f>
        <v>11.11150730903209</v>
      </c>
      <c r="BF87" s="174">
        <f t="shared" si="74"/>
        <v>11.11150730903209</v>
      </c>
      <c r="BG87" s="175">
        <f t="shared" si="72"/>
        <v>35.824922883853048</v>
      </c>
      <c r="BH87" s="175">
        <f>BG87*'Soil samples'!AR87/100</f>
        <v>11.11150730903209</v>
      </c>
      <c r="BI87" s="174">
        <f t="shared" si="75"/>
        <v>11.11150730903209</v>
      </c>
      <c r="BK87" s="6"/>
      <c r="BL87" s="31"/>
    </row>
    <row r="88" spans="1:64">
      <c r="A88" s="6" t="s">
        <v>92</v>
      </c>
      <c r="B88" s="6" t="s">
        <v>197</v>
      </c>
      <c r="C88" t="s">
        <v>12</v>
      </c>
      <c r="D88" s="8">
        <v>4</v>
      </c>
      <c r="E88" s="3">
        <v>10</v>
      </c>
      <c r="F88" s="26">
        <v>42791</v>
      </c>
      <c r="G88" s="3"/>
      <c r="H88">
        <f>'Wet ref'!B134</f>
        <v>160.99170480000001</v>
      </c>
      <c r="I88">
        <f>'Wet ref'!C134</f>
        <v>-41.604196229999999</v>
      </c>
      <c r="J88">
        <f>'Wet ref'!D134</f>
        <v>53.785640749999999</v>
      </c>
      <c r="K88">
        <f>'Wet ref'!E134</f>
        <v>4.7699466880000001</v>
      </c>
      <c r="L88" s="3">
        <f t="shared" si="56"/>
        <v>4650.5591794299999</v>
      </c>
      <c r="M88" s="31">
        <f>'Wet ref'!$B$41*'Soil samples'!AI88%</f>
        <v>1.154271918977801</v>
      </c>
      <c r="N88" s="105">
        <f>'Wet ref'!$B$41*'Soil samples'!AH88%</f>
        <v>3.845728081022199</v>
      </c>
      <c r="O88">
        <f t="shared" si="47"/>
        <v>160.99170480000001</v>
      </c>
      <c r="P88">
        <f t="shared" si="43"/>
        <v>0.1609917048</v>
      </c>
      <c r="Q88">
        <f>P88*('Wet ref'!$B$40+M88)</f>
        <v>4.2106208240390037</v>
      </c>
      <c r="R88" s="141">
        <f t="shared" si="73"/>
        <v>1.0948826165889025</v>
      </c>
      <c r="S88" s="141">
        <f>R88*'Soil samples'!AK88/100</f>
        <v>0.53963316480883861</v>
      </c>
      <c r="T88" s="149">
        <f t="shared" si="57"/>
        <v>0.53963316480883861</v>
      </c>
      <c r="U88" s="141">
        <f t="shared" si="58"/>
        <v>160.99170480000001</v>
      </c>
      <c r="V88" s="141">
        <f t="shared" si="59"/>
        <v>1.0948826165889025</v>
      </c>
      <c r="W88" s="141">
        <f>V88*'Soil samples'!AR88/100</f>
        <v>0.53963316480883861</v>
      </c>
      <c r="X88" s="149">
        <f t="shared" si="60"/>
        <v>0.53963316480883861</v>
      </c>
      <c r="Y88">
        <f t="shared" si="48"/>
        <v>0</v>
      </c>
      <c r="Z88">
        <f t="shared" si="61"/>
        <v>0</v>
      </c>
      <c r="AA88">
        <f>Z88*('Wet ref'!$B$40+M88)</f>
        <v>0</v>
      </c>
      <c r="AB88" s="175">
        <f t="shared" si="49"/>
        <v>0</v>
      </c>
      <c r="AC88" s="175">
        <f>AB88*'Soil samples'!AK88/100</f>
        <v>0</v>
      </c>
      <c r="AD88" s="174">
        <f t="shared" si="62"/>
        <v>0</v>
      </c>
      <c r="AE88" s="175">
        <f t="shared" si="63"/>
        <v>0</v>
      </c>
      <c r="AF88" s="175">
        <f t="shared" si="64"/>
        <v>0</v>
      </c>
      <c r="AG88" s="175">
        <f>AF88*'Soil samples'!AR88/100</f>
        <v>0</v>
      </c>
      <c r="AH88" s="174">
        <f t="shared" si="65"/>
        <v>0</v>
      </c>
      <c r="AI88">
        <f t="shared" si="50"/>
        <v>53.785640749999999</v>
      </c>
      <c r="AJ88">
        <f t="shared" si="44"/>
        <v>5.3785640750000002E-2</v>
      </c>
      <c r="AK88">
        <f>AJ88*('Wet ref'!$B$40+M88)</f>
        <v>1.4067242735119532</v>
      </c>
      <c r="AL88" s="175">
        <f t="shared" si="51"/>
        <v>0.36578880354381277</v>
      </c>
      <c r="AM88" s="175">
        <f>AL88*'Soil samples'!AK88/100</f>
        <v>0.18028578289329186</v>
      </c>
      <c r="AN88" s="174">
        <f t="shared" si="66"/>
        <v>180.28578289329187</v>
      </c>
      <c r="AO88" s="175">
        <f t="shared" si="67"/>
        <v>0.36578880354381277</v>
      </c>
      <c r="AP88" s="175">
        <f>AO88*'Soil samples'!AR88/100</f>
        <v>0.18028578289329186</v>
      </c>
      <c r="AQ88" s="174">
        <f t="shared" si="68"/>
        <v>180.28578289329187</v>
      </c>
      <c r="AR88">
        <f t="shared" si="52"/>
        <v>4.7699466880000001</v>
      </c>
      <c r="AS88">
        <f t="shared" si="45"/>
        <v>4.7699466880000005E-3</v>
      </c>
      <c r="AT88">
        <f>AS88*('Wet ref'!$B$40+M88)</f>
        <v>0.12475448271697959</v>
      </c>
      <c r="AU88" s="175">
        <f t="shared" si="53"/>
        <v>3.2439756552891719E-2</v>
      </c>
      <c r="AV88" s="175">
        <f>AU88*'Soil samples'!AK88/100</f>
        <v>1.5988534505008097E-2</v>
      </c>
      <c r="AW88" s="174">
        <f t="shared" si="69"/>
        <v>15.988534505008099</v>
      </c>
      <c r="AX88" s="175">
        <f t="shared" si="70"/>
        <v>3.2439756552891719E-2</v>
      </c>
      <c r="AY88" s="175">
        <f>AX88*'Soil samples'!AR88/100</f>
        <v>1.5988534505008097E-2</v>
      </c>
      <c r="AZ88" s="174">
        <f t="shared" si="71"/>
        <v>15.988534505008099</v>
      </c>
      <c r="BA88">
        <f t="shared" si="54"/>
        <v>4608.9549832000002</v>
      </c>
      <c r="BB88">
        <f t="shared" si="46"/>
        <v>4.6089549832000003</v>
      </c>
      <c r="BC88">
        <f>BB88*('Wet ref'!$B$40+M88)</f>
        <v>120.54386189294057</v>
      </c>
      <c r="BD88" s="175">
        <f t="shared" si="55"/>
        <v>31.344873936302815</v>
      </c>
      <c r="BE88" s="175">
        <f>BD88*'Soil samples'!AK88/100</f>
        <v>15.448901340199258</v>
      </c>
      <c r="BF88" s="174">
        <f t="shared" si="74"/>
        <v>15.448901340199257</v>
      </c>
      <c r="BG88" s="175">
        <f t="shared" si="72"/>
        <v>31.344873936302815</v>
      </c>
      <c r="BH88" s="175">
        <f>BG88*'Soil samples'!AR88/100</f>
        <v>15.448901340199258</v>
      </c>
      <c r="BI88" s="174">
        <f t="shared" si="75"/>
        <v>15.448901340199257</v>
      </c>
      <c r="BK88" s="6"/>
      <c r="BL88" s="31"/>
    </row>
    <row r="89" spans="1:64">
      <c r="A89" s="6" t="s">
        <v>93</v>
      </c>
      <c r="B89" s="6" t="s">
        <v>197</v>
      </c>
      <c r="C89" t="s">
        <v>12</v>
      </c>
      <c r="D89" s="8">
        <v>4</v>
      </c>
      <c r="E89" s="3">
        <v>20</v>
      </c>
      <c r="F89" s="26">
        <v>42791</v>
      </c>
      <c r="G89" s="3"/>
      <c r="H89">
        <f>'Wet ref'!B135</f>
        <v>83.113453269999994</v>
      </c>
      <c r="I89">
        <f>'Wet ref'!C135</f>
        <v>-1.536739691</v>
      </c>
      <c r="J89">
        <f>'Wet ref'!D135</f>
        <v>36.927383370000001</v>
      </c>
      <c r="K89">
        <f>'Wet ref'!E135</f>
        <v>2.9625305580000001</v>
      </c>
      <c r="L89" s="3">
        <f t="shared" si="56"/>
        <v>2880.9538444210002</v>
      </c>
      <c r="M89" s="31">
        <f>'Wet ref'!$B$41*'Soil samples'!AI89%</f>
        <v>1.2824545806833989</v>
      </c>
      <c r="N89" s="105">
        <f>'Wet ref'!$B$41*'Soil samples'!AH89%</f>
        <v>3.7175454193166013</v>
      </c>
      <c r="O89">
        <f t="shared" si="47"/>
        <v>83.113453269999994</v>
      </c>
      <c r="P89">
        <f t="shared" si="43"/>
        <v>8.3113453269999998E-2</v>
      </c>
      <c r="Q89">
        <f>P89*('Wet ref'!$B$40+M89)</f>
        <v>2.1844255606125271</v>
      </c>
      <c r="R89" s="141">
        <f t="shared" si="73"/>
        <v>0.58759888964963647</v>
      </c>
      <c r="S89" s="141">
        <f>R89*'Soil samples'!AK89/100</f>
        <v>0.30044589160664686</v>
      </c>
      <c r="T89" s="149">
        <f t="shared" si="57"/>
        <v>0.30044589160664686</v>
      </c>
      <c r="U89" s="141">
        <f t="shared" si="58"/>
        <v>83.113453269999994</v>
      </c>
      <c r="V89" s="141">
        <f t="shared" si="59"/>
        <v>0.58759888964963647</v>
      </c>
      <c r="W89" s="141">
        <f>V89*'Soil samples'!AR89/100</f>
        <v>0.30044589160664686</v>
      </c>
      <c r="X89" s="149">
        <f t="shared" si="60"/>
        <v>0.30044589160664686</v>
      </c>
      <c r="Y89">
        <f t="shared" si="48"/>
        <v>0</v>
      </c>
      <c r="Z89">
        <f t="shared" si="61"/>
        <v>0</v>
      </c>
      <c r="AA89">
        <f>Z89*('Wet ref'!$B$40+M89)</f>
        <v>0</v>
      </c>
      <c r="AB89" s="175">
        <f t="shared" si="49"/>
        <v>0</v>
      </c>
      <c r="AC89" s="175">
        <f>AB89*'Soil samples'!AK89/100</f>
        <v>0</v>
      </c>
      <c r="AD89" s="174">
        <f t="shared" si="62"/>
        <v>0</v>
      </c>
      <c r="AE89" s="175">
        <f t="shared" si="63"/>
        <v>0</v>
      </c>
      <c r="AF89" s="175">
        <f t="shared" si="64"/>
        <v>0</v>
      </c>
      <c r="AG89" s="175">
        <f>AF89*'Soil samples'!AR89/100</f>
        <v>0</v>
      </c>
      <c r="AH89" s="174">
        <f t="shared" si="65"/>
        <v>0</v>
      </c>
      <c r="AI89">
        <f t="shared" si="50"/>
        <v>36.927383370000001</v>
      </c>
      <c r="AJ89">
        <f t="shared" si="44"/>
        <v>3.6927383370000004E-2</v>
      </c>
      <c r="AK89">
        <f>AJ89*('Wet ref'!$B$40+M89)</f>
        <v>0.97054227620550859</v>
      </c>
      <c r="AL89" s="175">
        <f t="shared" si="51"/>
        <v>0.26107072455995012</v>
      </c>
      <c r="AM89" s="175">
        <f>AL89*'Soil samples'!AK89/100</f>
        <v>0.13348838466930563</v>
      </c>
      <c r="AN89" s="174">
        <f t="shared" si="66"/>
        <v>133.48838466930562</v>
      </c>
      <c r="AO89" s="175">
        <f t="shared" si="67"/>
        <v>0.26107072455995012</v>
      </c>
      <c r="AP89" s="175">
        <f>AO89*'Soil samples'!AR89/100</f>
        <v>0.13348838466930563</v>
      </c>
      <c r="AQ89" s="174">
        <f t="shared" si="68"/>
        <v>133.48838466930562</v>
      </c>
      <c r="AR89">
        <f t="shared" si="52"/>
        <v>2.9625305580000001</v>
      </c>
      <c r="AS89">
        <f t="shared" si="45"/>
        <v>2.962530558E-3</v>
      </c>
      <c r="AT89">
        <f>AS89*('Wet ref'!$B$40+M89)</f>
        <v>7.786257483452165E-2</v>
      </c>
      <c r="AU89" s="175">
        <f t="shared" si="53"/>
        <v>2.0944619648745319E-2</v>
      </c>
      <c r="AV89" s="175">
        <f>AU89*'Soil samples'!AK89/100</f>
        <v>1.0709218542740104E-2</v>
      </c>
      <c r="AW89" s="174">
        <f t="shared" si="69"/>
        <v>10.709218542740105</v>
      </c>
      <c r="AX89" s="175">
        <f t="shared" si="70"/>
        <v>2.0944619648745319E-2</v>
      </c>
      <c r="AY89" s="175">
        <f>AX89*'Soil samples'!AR89/100</f>
        <v>1.0709218542740104E-2</v>
      </c>
      <c r="AZ89" s="174">
        <f t="shared" si="71"/>
        <v>10.709218542740105</v>
      </c>
      <c r="BA89">
        <f t="shared" si="54"/>
        <v>2879.4171047300001</v>
      </c>
      <c r="BB89">
        <f t="shared" si="46"/>
        <v>2.8794171047299999</v>
      </c>
      <c r="BC89">
        <f>BB89*('Wet ref'!$B$40+M89)</f>
        <v>75.678149273909114</v>
      </c>
      <c r="BD89" s="175">
        <f t="shared" si="55"/>
        <v>20.357020759095683</v>
      </c>
      <c r="BE89" s="175">
        <f>BD89*'Soil samples'!AK89/100</f>
        <v>10.408772651133456</v>
      </c>
      <c r="BF89" s="174">
        <f t="shared" si="74"/>
        <v>10.408772651133456</v>
      </c>
      <c r="BG89" s="175">
        <f t="shared" si="72"/>
        <v>20.357020759095683</v>
      </c>
      <c r="BH89" s="175">
        <f>BG89*'Soil samples'!AR89/100</f>
        <v>10.408772651133456</v>
      </c>
      <c r="BI89" s="174">
        <f t="shared" si="75"/>
        <v>10.408772651133456</v>
      </c>
      <c r="BK89" s="6"/>
      <c r="BL89" s="31"/>
    </row>
    <row r="90" spans="1:64">
      <c r="A90" s="6" t="s">
        <v>94</v>
      </c>
      <c r="B90" s="6" t="s">
        <v>197</v>
      </c>
      <c r="C90" t="s">
        <v>12</v>
      </c>
      <c r="D90" s="8">
        <v>5</v>
      </c>
      <c r="E90" s="3">
        <v>5</v>
      </c>
      <c r="F90" s="26">
        <v>42765</v>
      </c>
      <c r="G90" s="3"/>
      <c r="H90">
        <f>'Wet ref'!B136</f>
        <v>1326.3845550000001</v>
      </c>
      <c r="I90">
        <f>'Wet ref'!C136</f>
        <v>3220.2482639999998</v>
      </c>
      <c r="J90">
        <f>'Wet ref'!D136</f>
        <v>109.1634033</v>
      </c>
      <c r="K90">
        <f>'Wet ref'!E136</f>
        <v>11.189572009999999</v>
      </c>
      <c r="L90" s="3">
        <f t="shared" si="56"/>
        <v>6642.9391909999995</v>
      </c>
      <c r="M90" s="31">
        <f>'Wet ref'!$B$41*'Soil samples'!AI90%</f>
        <v>2.5104804901644631</v>
      </c>
      <c r="N90" s="105">
        <f>'Wet ref'!$B$41*'Soil samples'!AH90%</f>
        <v>2.4895195098355369</v>
      </c>
      <c r="O90">
        <f t="shared" si="47"/>
        <v>1326.3845550000001</v>
      </c>
      <c r="P90">
        <f t="shared" si="43"/>
        <v>1.3263845550000002</v>
      </c>
      <c r="Q90">
        <f>P90*('Wet ref'!$B$40+M90)</f>
        <v>36.489476422782978</v>
      </c>
      <c r="R90" s="141">
        <f t="shared" si="73"/>
        <v>14.657236578633421</v>
      </c>
      <c r="S90" s="141">
        <f>R90*'Soil samples'!AK90/100</f>
        <v>3.372357410993605</v>
      </c>
      <c r="T90" s="149">
        <f t="shared" si="57"/>
        <v>3.372357410993605</v>
      </c>
      <c r="U90" s="141">
        <f t="shared" si="58"/>
        <v>1326.3845550000001</v>
      </c>
      <c r="V90" s="141">
        <f t="shared" si="59"/>
        <v>14.657236578633421</v>
      </c>
      <c r="W90" s="141">
        <f>V90*'Soil samples'!AR90/100</f>
        <v>3.372357410993605</v>
      </c>
      <c r="X90" s="149">
        <f t="shared" si="60"/>
        <v>3.372357410993605</v>
      </c>
      <c r="Y90">
        <f t="shared" si="48"/>
        <v>3220.2482639999998</v>
      </c>
      <c r="Z90">
        <f t="shared" si="61"/>
        <v>3.2202482639999999</v>
      </c>
      <c r="AA90">
        <f>Z90*('Wet ref'!$B$40+M90)</f>
        <v>88.590577040257969</v>
      </c>
      <c r="AB90" s="175">
        <f t="shared" si="49"/>
        <v>35.585411839616576</v>
      </c>
      <c r="AC90" s="175">
        <f>AB90*'Soil samples'!AK90/100</f>
        <v>8.1875411300606462</v>
      </c>
      <c r="AD90" s="174">
        <f t="shared" si="62"/>
        <v>8.1875411300606462</v>
      </c>
      <c r="AE90" s="175">
        <f t="shared" si="63"/>
        <v>3220.2482639999998</v>
      </c>
      <c r="AF90" s="175">
        <f t="shared" si="64"/>
        <v>35.585411839616576</v>
      </c>
      <c r="AG90" s="175">
        <f>AF90*'Soil samples'!AR90/100</f>
        <v>8.1875411300606462</v>
      </c>
      <c r="AH90" s="174">
        <f t="shared" si="65"/>
        <v>8.1875411300606462</v>
      </c>
      <c r="AI90">
        <f t="shared" si="50"/>
        <v>109.1634033</v>
      </c>
      <c r="AJ90">
        <f t="shared" si="44"/>
        <v>0.1091634033</v>
      </c>
      <c r="AK90">
        <f>AJ90*('Wet ref'!$B$40+M90)</f>
        <v>3.003137676724605</v>
      </c>
      <c r="AL90" s="175">
        <f t="shared" si="51"/>
        <v>1.2063121678138602</v>
      </c>
      <c r="AM90" s="175">
        <f>AL90*'Soil samples'!AK90/100</f>
        <v>0.27754998408288822</v>
      </c>
      <c r="AN90" s="174">
        <f t="shared" si="66"/>
        <v>277.54998408288822</v>
      </c>
      <c r="AO90" s="175">
        <f t="shared" si="67"/>
        <v>1.2063121678138602</v>
      </c>
      <c r="AP90" s="175">
        <f>AO90*'Soil samples'!AR90/100</f>
        <v>0.27754998408288822</v>
      </c>
      <c r="AQ90" s="174">
        <f t="shared" si="68"/>
        <v>277.54998408288822</v>
      </c>
      <c r="AR90">
        <f t="shared" si="52"/>
        <v>11.189572009999999</v>
      </c>
      <c r="AS90">
        <f t="shared" si="45"/>
        <v>1.1189572009999999E-2</v>
      </c>
      <c r="AT90">
        <f>AS90*('Wet ref'!$B$40+M90)</f>
        <v>0.30783050247439531</v>
      </c>
      <c r="AU90" s="175">
        <f t="shared" si="53"/>
        <v>0.12365056841620464</v>
      </c>
      <c r="AV90" s="175">
        <f>AU90*'Soil samples'!AK90/100</f>
        <v>2.8449695038683633E-2</v>
      </c>
      <c r="AW90" s="174">
        <f t="shared" si="69"/>
        <v>28.449695038683636</v>
      </c>
      <c r="AX90" s="175">
        <f t="shared" si="70"/>
        <v>0.12365056841620464</v>
      </c>
      <c r="AY90" s="175">
        <f>AX90*'Soil samples'!AR90/100</f>
        <v>2.8449695038683633E-2</v>
      </c>
      <c r="AZ90" s="174">
        <f t="shared" si="71"/>
        <v>28.449695038683636</v>
      </c>
      <c r="BA90">
        <f t="shared" si="54"/>
        <v>6642.9391909999995</v>
      </c>
      <c r="BB90">
        <f t="shared" si="46"/>
        <v>6.6429391909999991</v>
      </c>
      <c r="BC90">
        <f>BB90*('Wet ref'!$B$40+M90)</f>
        <v>182.75044901135436</v>
      </c>
      <c r="BD90" s="175">
        <f t="shared" si="55"/>
        <v>73.40791999795465</v>
      </c>
      <c r="BE90" s="175">
        <f>BD90*'Soil samples'!AK90/100</f>
        <v>16.889796497629384</v>
      </c>
      <c r="BF90" s="174">
        <f t="shared" si="74"/>
        <v>16.889796497629384</v>
      </c>
      <c r="BG90" s="175">
        <f t="shared" si="72"/>
        <v>73.40791999795465</v>
      </c>
      <c r="BH90" s="175">
        <f>BG90*'Soil samples'!AR90/100</f>
        <v>16.889796497629384</v>
      </c>
      <c r="BI90" s="174">
        <f t="shared" si="75"/>
        <v>16.889796497629384</v>
      </c>
      <c r="BK90" s="6"/>
      <c r="BL90" s="31"/>
    </row>
    <row r="91" spans="1:64">
      <c r="A91" s="6" t="s">
        <v>95</v>
      </c>
      <c r="B91" s="6" t="s">
        <v>197</v>
      </c>
      <c r="C91" t="s">
        <v>12</v>
      </c>
      <c r="D91" s="8">
        <v>5</v>
      </c>
      <c r="E91" s="3">
        <v>10</v>
      </c>
      <c r="F91" s="26">
        <v>42765</v>
      </c>
      <c r="G91" s="3"/>
      <c r="H91">
        <f>'Wet ref'!B137</f>
        <v>750.34665189999998</v>
      </c>
      <c r="I91">
        <f>'Wet ref'!C137</f>
        <v>2999.2934949999999</v>
      </c>
      <c r="J91">
        <f>'Wet ref'!D137</f>
        <v>73.917578169999999</v>
      </c>
      <c r="K91">
        <f>'Wet ref'!E137</f>
        <v>9.2777919480000008</v>
      </c>
      <c r="L91" s="3">
        <f t="shared" si="56"/>
        <v>5528.1518011000007</v>
      </c>
      <c r="M91" s="31">
        <f>'Wet ref'!$B$41*'Soil samples'!AI91%</f>
        <v>1.9368705477769588</v>
      </c>
      <c r="N91" s="105">
        <f>'Wet ref'!$B$41*'Soil samples'!AH91%</f>
        <v>3.0631294522230412</v>
      </c>
      <c r="O91">
        <f t="shared" si="47"/>
        <v>750.34665189999998</v>
      </c>
      <c r="P91">
        <f t="shared" si="43"/>
        <v>0.75034665189999994</v>
      </c>
      <c r="Q91">
        <f>P91*('Wet ref'!$B$40+M91)</f>
        <v>20.211990628188158</v>
      </c>
      <c r="R91" s="141">
        <f t="shared" si="73"/>
        <v>6.5984774536771438</v>
      </c>
      <c r="S91" s="141">
        <f>R91*'Soil samples'!AK91/100</f>
        <v>1.6727443443888541</v>
      </c>
      <c r="T91" s="149">
        <f t="shared" si="57"/>
        <v>1.6727443443888541</v>
      </c>
      <c r="U91" s="141">
        <f t="shared" si="58"/>
        <v>750.34665189999998</v>
      </c>
      <c r="V91" s="141">
        <f t="shared" si="59"/>
        <v>6.5984774536771438</v>
      </c>
      <c r="W91" s="141">
        <f>V91*'Soil samples'!AR91/100</f>
        <v>1.6727443443888541</v>
      </c>
      <c r="X91" s="149">
        <f t="shared" si="60"/>
        <v>1.6727443443888543</v>
      </c>
      <c r="Y91">
        <f t="shared" si="48"/>
        <v>2999.2934949999999</v>
      </c>
      <c r="Z91">
        <f t="shared" si="61"/>
        <v>2.9992934949999999</v>
      </c>
      <c r="AA91">
        <f>Z91*('Wet ref'!$B$40+M91)</f>
        <v>80.791580609604509</v>
      </c>
      <c r="AB91" s="175">
        <f t="shared" si="49"/>
        <v>26.37550318056936</v>
      </c>
      <c r="AC91" s="175">
        <f>AB91*'Soil samples'!AK91/100</f>
        <v>6.686311211250878</v>
      </c>
      <c r="AD91" s="174">
        <f t="shared" si="62"/>
        <v>6.686311211250878</v>
      </c>
      <c r="AE91" s="175">
        <f t="shared" si="63"/>
        <v>2999.2934949999999</v>
      </c>
      <c r="AF91" s="175">
        <f t="shared" si="64"/>
        <v>26.37550318056936</v>
      </c>
      <c r="AG91" s="175">
        <f>AF91*'Soil samples'!AR91/100</f>
        <v>6.686311211250878</v>
      </c>
      <c r="AH91" s="174">
        <f t="shared" si="65"/>
        <v>6.686311211250878</v>
      </c>
      <c r="AI91">
        <f t="shared" si="50"/>
        <v>73.917578169999999</v>
      </c>
      <c r="AJ91">
        <f t="shared" si="44"/>
        <v>7.3917578169999998E-2</v>
      </c>
      <c r="AK91">
        <f>AJ91*('Wet ref'!$B$40+M91)</f>
        <v>1.991108234370474</v>
      </c>
      <c r="AL91" s="175">
        <f t="shared" si="51"/>
        <v>0.65002418782054527</v>
      </c>
      <c r="AM91" s="175">
        <f>AL91*'Soil samples'!AK91/100</f>
        <v>0.16478411747650065</v>
      </c>
      <c r="AN91" s="174">
        <f t="shared" si="66"/>
        <v>164.78411747650065</v>
      </c>
      <c r="AO91" s="175">
        <f t="shared" si="67"/>
        <v>0.65002418782054527</v>
      </c>
      <c r="AP91" s="175">
        <f>AO91*'Soil samples'!AR91/100</f>
        <v>0.16478411747650065</v>
      </c>
      <c r="AQ91" s="174">
        <f t="shared" si="68"/>
        <v>164.78411747650065</v>
      </c>
      <c r="AR91">
        <f t="shared" si="52"/>
        <v>9.2777919480000008</v>
      </c>
      <c r="AS91">
        <f t="shared" si="45"/>
        <v>9.2777919480000002E-3</v>
      </c>
      <c r="AT91">
        <f>AS91*('Wet ref'!$B$40+M91)</f>
        <v>0.24991468067248343</v>
      </c>
      <c r="AU91" s="175">
        <f t="shared" si="53"/>
        <v>8.1588024460118688E-2</v>
      </c>
      <c r="AV91" s="175">
        <f>AU91*'Soil samples'!AK91/100</f>
        <v>2.0682938972454757E-2</v>
      </c>
      <c r="AW91" s="174">
        <f t="shared" si="69"/>
        <v>20.682938972454757</v>
      </c>
      <c r="AX91" s="175">
        <f t="shared" si="70"/>
        <v>8.1588024460118688E-2</v>
      </c>
      <c r="AY91" s="175">
        <f>AX91*'Soil samples'!AR91/100</f>
        <v>2.0682938972454757E-2</v>
      </c>
      <c r="AZ91" s="174">
        <f t="shared" si="71"/>
        <v>20.682938972454757</v>
      </c>
      <c r="BA91">
        <f t="shared" si="54"/>
        <v>5528.1518011000007</v>
      </c>
      <c r="BB91">
        <f t="shared" si="46"/>
        <v>5.5281518011000008</v>
      </c>
      <c r="BC91">
        <f>BB91*('Wet ref'!$B$40+M91)</f>
        <v>148.91110943469076</v>
      </c>
      <c r="BD91" s="175">
        <f t="shared" si="55"/>
        <v>48.614043825872173</v>
      </c>
      <c r="BE91" s="175">
        <f>BD91*'Soil samples'!AK91/100</f>
        <v>12.323883416815022</v>
      </c>
      <c r="BF91" s="174">
        <f t="shared" si="74"/>
        <v>12.323883416815022</v>
      </c>
      <c r="BG91" s="175">
        <f t="shared" si="72"/>
        <v>48.614043825872173</v>
      </c>
      <c r="BH91" s="175">
        <f>BG91*'Soil samples'!AR91/100</f>
        <v>12.323883416815022</v>
      </c>
      <c r="BI91" s="174">
        <f t="shared" si="75"/>
        <v>12.323883416815022</v>
      </c>
      <c r="BK91" s="6"/>
      <c r="BL91" s="31"/>
    </row>
    <row r="92" spans="1:64">
      <c r="A92" s="6" t="s">
        <v>96</v>
      </c>
      <c r="B92" s="6" t="s">
        <v>197</v>
      </c>
      <c r="C92" t="s">
        <v>12</v>
      </c>
      <c r="D92" s="8">
        <v>5</v>
      </c>
      <c r="E92" s="3">
        <v>20</v>
      </c>
      <c r="F92" s="26">
        <v>42765</v>
      </c>
      <c r="G92" s="3"/>
      <c r="H92">
        <f>'Wet ref'!B138</f>
        <v>738.16548639999996</v>
      </c>
      <c r="I92">
        <f>'Wet ref'!C138</f>
        <v>1942.310013</v>
      </c>
      <c r="J92">
        <f>'Wet ref'!D138</f>
        <v>57.585021230000002</v>
      </c>
      <c r="K92">
        <f>'Wet ref'!E138</f>
        <v>7.2131968290000001</v>
      </c>
      <c r="L92" s="3">
        <f t="shared" si="56"/>
        <v>4532.7213296</v>
      </c>
      <c r="M92" s="31">
        <f>'Wet ref'!$B$41*'Soil samples'!AI92%</f>
        <v>1.8350548741123307</v>
      </c>
      <c r="N92" s="105">
        <f>'Wet ref'!$B$41*'Soil samples'!AH92%</f>
        <v>3.1649451258876695</v>
      </c>
      <c r="O92">
        <f t="shared" si="47"/>
        <v>738.16548639999996</v>
      </c>
      <c r="P92">
        <f t="shared" si="43"/>
        <v>0.73816548640000001</v>
      </c>
      <c r="Q92">
        <f>P92*('Wet ref'!$B$40+M92)</f>
        <v>19.80871133371982</v>
      </c>
      <c r="R92" s="141">
        <f t="shared" si="73"/>
        <v>6.2587850802513003</v>
      </c>
      <c r="S92" s="141">
        <f>R92*'Soil samples'!AK92/100</f>
        <v>1.3961179748005734</v>
      </c>
      <c r="T92" s="149">
        <f t="shared" si="57"/>
        <v>1.3961179748005734</v>
      </c>
      <c r="U92" s="141">
        <f t="shared" si="58"/>
        <v>738.16548639999996</v>
      </c>
      <c r="V92" s="141">
        <f t="shared" si="59"/>
        <v>6.2587850802513003</v>
      </c>
      <c r="W92" s="141">
        <f>V92*'Soil samples'!AR92/100</f>
        <v>1.3961179748005734</v>
      </c>
      <c r="X92" s="149">
        <f t="shared" si="60"/>
        <v>1.3961179748005734</v>
      </c>
      <c r="Y92">
        <f t="shared" si="48"/>
        <v>1942.310013</v>
      </c>
      <c r="Z92">
        <f t="shared" si="61"/>
        <v>1.9423100129999999</v>
      </c>
      <c r="AA92">
        <f>Z92*('Wet ref'!$B$40+M92)</f>
        <v>52.121995781392833</v>
      </c>
      <c r="AB92" s="175">
        <f t="shared" si="49"/>
        <v>16.468530640566549</v>
      </c>
      <c r="AC92" s="175">
        <f>AB92*'Soil samples'!AK92/100</f>
        <v>3.673558262672568</v>
      </c>
      <c r="AD92" s="174">
        <f t="shared" si="62"/>
        <v>3.673558262672568</v>
      </c>
      <c r="AE92" s="175">
        <f t="shared" si="63"/>
        <v>1942.310013</v>
      </c>
      <c r="AF92" s="175">
        <f t="shared" si="64"/>
        <v>16.468530640566549</v>
      </c>
      <c r="AG92" s="175">
        <f>AF92*'Soil samples'!AR92/100</f>
        <v>3.673558262672568</v>
      </c>
      <c r="AH92" s="174">
        <f t="shared" si="65"/>
        <v>3.673558262672568</v>
      </c>
      <c r="AI92">
        <f t="shared" si="50"/>
        <v>57.585021230000002</v>
      </c>
      <c r="AJ92">
        <f t="shared" si="44"/>
        <v>5.7585021230000005E-2</v>
      </c>
      <c r="AK92">
        <f>AJ92*('Wet ref'!$B$40+M92)</f>
        <v>1.5452972046339737</v>
      </c>
      <c r="AL92" s="175">
        <f t="shared" si="51"/>
        <v>0.48825402753248859</v>
      </c>
      <c r="AM92" s="175">
        <f>AL92*'Soil samples'!AK92/100</f>
        <v>0.1089125469826025</v>
      </c>
      <c r="AN92" s="174">
        <f t="shared" si="66"/>
        <v>108.91254698260249</v>
      </c>
      <c r="AO92" s="175">
        <f t="shared" si="67"/>
        <v>0.48825402753248859</v>
      </c>
      <c r="AP92" s="175">
        <f>AO92*'Soil samples'!AR92/100</f>
        <v>0.1089125469826025</v>
      </c>
      <c r="AQ92" s="174">
        <f t="shared" si="68"/>
        <v>108.91254698260249</v>
      </c>
      <c r="AR92">
        <f t="shared" si="52"/>
        <v>7.2131968290000001</v>
      </c>
      <c r="AS92">
        <f t="shared" si="45"/>
        <v>7.2131968290000004E-3</v>
      </c>
      <c r="AT92">
        <f>AS92*('Wet ref'!$B$40+M92)</f>
        <v>0.19356653272398808</v>
      </c>
      <c r="AU92" s="175">
        <f t="shared" si="53"/>
        <v>6.1159522527171349E-2</v>
      </c>
      <c r="AV92" s="175">
        <f>AU92*'Soil samples'!AK92/100</f>
        <v>1.3642569226386686E-2</v>
      </c>
      <c r="AW92" s="174">
        <f t="shared" si="69"/>
        <v>13.642569226386685</v>
      </c>
      <c r="AX92" s="175">
        <f t="shared" si="70"/>
        <v>6.1159522527171349E-2</v>
      </c>
      <c r="AY92" s="175">
        <f>AX92*'Soil samples'!AR92/100</f>
        <v>1.3642569226386686E-2</v>
      </c>
      <c r="AZ92" s="174">
        <f t="shared" si="71"/>
        <v>13.642569226386685</v>
      </c>
      <c r="BA92">
        <f t="shared" si="54"/>
        <v>4532.7213296</v>
      </c>
      <c r="BB92">
        <f t="shared" si="46"/>
        <v>4.5327213296000002</v>
      </c>
      <c r="BC92">
        <f>BB92*('Wet ref'!$B$40+M92)</f>
        <v>121.63582560887541</v>
      </c>
      <c r="BD92" s="175">
        <f t="shared" si="55"/>
        <v>38.432206806353491</v>
      </c>
      <c r="BE92" s="175">
        <f>BD92*'Soil samples'!AK92/100</f>
        <v>8.5728929889135408</v>
      </c>
      <c r="BF92" s="174">
        <f t="shared" si="74"/>
        <v>8.5728929889135408</v>
      </c>
      <c r="BG92" s="175">
        <f t="shared" si="72"/>
        <v>38.432206806353491</v>
      </c>
      <c r="BH92" s="175">
        <f>BG92*'Soil samples'!AR92/100</f>
        <v>8.5728929889135408</v>
      </c>
      <c r="BI92" s="174">
        <f t="shared" si="75"/>
        <v>8.5728929889135408</v>
      </c>
      <c r="BK92" s="6"/>
      <c r="BL92" s="31"/>
    </row>
    <row r="93" spans="1:64">
      <c r="A93" s="6" t="s">
        <v>97</v>
      </c>
      <c r="B93" s="6" t="s">
        <v>197</v>
      </c>
      <c r="C93" t="s">
        <v>12</v>
      </c>
      <c r="D93" s="8">
        <v>6</v>
      </c>
      <c r="E93" s="3">
        <v>5</v>
      </c>
      <c r="F93" s="26">
        <v>42818</v>
      </c>
      <c r="G93" s="3"/>
      <c r="H93">
        <f>'Wet ref'!B139</f>
        <v>1856.280293</v>
      </c>
      <c r="I93">
        <f>'Wet ref'!C139</f>
        <v>2819.6657650000002</v>
      </c>
      <c r="J93">
        <f>'Wet ref'!D139</f>
        <v>88.207072019999998</v>
      </c>
      <c r="K93">
        <f>'Wet ref'!E139</f>
        <v>15.46938855</v>
      </c>
      <c r="L93" s="3">
        <f t="shared" si="56"/>
        <v>10793.442492</v>
      </c>
      <c r="M93" s="31">
        <f>'Wet ref'!$B$41*'Soil samples'!AI93%</f>
        <v>2.3868395259734476</v>
      </c>
      <c r="N93" s="105">
        <f>'Wet ref'!$B$41*'Soil samples'!AH93%</f>
        <v>2.6131604740265524</v>
      </c>
      <c r="O93">
        <f t="shared" si="47"/>
        <v>1856.280293</v>
      </c>
      <c r="P93">
        <f t="shared" si="43"/>
        <v>1.856280293</v>
      </c>
      <c r="Q93">
        <f>P93*('Wet ref'!$B$40+M93)</f>
        <v>50.837650499617972</v>
      </c>
      <c r="R93" s="141">
        <f t="shared" si="73"/>
        <v>19.45446940779857</v>
      </c>
      <c r="S93" s="141">
        <f>R93*'Soil samples'!AK93/100</f>
        <v>4.2449438167181004</v>
      </c>
      <c r="T93" s="149">
        <f t="shared" si="57"/>
        <v>4.2449438167181004</v>
      </c>
      <c r="U93" s="141">
        <f t="shared" si="58"/>
        <v>1856.280293</v>
      </c>
      <c r="V93" s="141">
        <f t="shared" si="59"/>
        <v>19.45446940779857</v>
      </c>
      <c r="W93" s="141">
        <f>V93*'Soil samples'!AR93/100</f>
        <v>4.2449438167181004</v>
      </c>
      <c r="X93" s="149">
        <f t="shared" si="60"/>
        <v>4.2449438167181004</v>
      </c>
      <c r="Y93">
        <f t="shared" si="48"/>
        <v>2819.6657650000002</v>
      </c>
      <c r="Z93">
        <f t="shared" si="61"/>
        <v>2.8196657650000003</v>
      </c>
      <c r="AA93">
        <f>Z93*('Wet ref'!$B$40+M93)</f>
        <v>77.221733822936159</v>
      </c>
      <c r="AB93" s="175">
        <f t="shared" si="49"/>
        <v>29.551087501314896</v>
      </c>
      <c r="AC93" s="175">
        <f>AB93*'Soil samples'!AK93/100</f>
        <v>6.4480147742151699</v>
      </c>
      <c r="AD93" s="174">
        <f t="shared" si="62"/>
        <v>6.4480147742151699</v>
      </c>
      <c r="AE93" s="175">
        <f t="shared" si="63"/>
        <v>2819.6657650000002</v>
      </c>
      <c r="AF93" s="175">
        <f t="shared" si="64"/>
        <v>29.551087501314896</v>
      </c>
      <c r="AG93" s="175">
        <f>AF93*'Soil samples'!AR93/100</f>
        <v>6.4480147742151699</v>
      </c>
      <c r="AH93" s="174">
        <f t="shared" si="65"/>
        <v>6.4480147742151699</v>
      </c>
      <c r="AI93">
        <f t="shared" si="50"/>
        <v>88.207072019999998</v>
      </c>
      <c r="AJ93">
        <f t="shared" si="44"/>
        <v>8.8207072019999999E-2</v>
      </c>
      <c r="AK93">
        <f>AJ93*('Wet ref'!$B$40+M93)</f>
        <v>2.4157129264677226</v>
      </c>
      <c r="AL93" s="175">
        <f t="shared" si="51"/>
        <v>0.92444109364068716</v>
      </c>
      <c r="AM93" s="175">
        <f>AL93*'Soil samples'!AK93/100</f>
        <v>0.20171202936005486</v>
      </c>
      <c r="AN93" s="174">
        <f t="shared" si="66"/>
        <v>201.71202936005486</v>
      </c>
      <c r="AO93" s="175">
        <f t="shared" si="67"/>
        <v>0.92444109364068716</v>
      </c>
      <c r="AP93" s="175">
        <f>AO93*'Soil samples'!AR93/100</f>
        <v>0.20171202936005486</v>
      </c>
      <c r="AQ93" s="174">
        <f t="shared" si="68"/>
        <v>201.71202936005486</v>
      </c>
      <c r="AR93">
        <f t="shared" si="52"/>
        <v>15.46938855</v>
      </c>
      <c r="AS93">
        <f t="shared" si="45"/>
        <v>1.5469388549999999E-2</v>
      </c>
      <c r="AT93">
        <f>AS93*('Wet ref'!$B$40+M93)</f>
        <v>0.42365766178378106</v>
      </c>
      <c r="AU93" s="175">
        <f t="shared" si="53"/>
        <v>0.16212462494925839</v>
      </c>
      <c r="AV93" s="175">
        <f>AU93*'Soil samples'!AK93/100</f>
        <v>3.537541475894572E-2</v>
      </c>
      <c r="AW93" s="174">
        <f t="shared" si="69"/>
        <v>35.375414758945723</v>
      </c>
      <c r="AX93" s="175">
        <f t="shared" si="70"/>
        <v>0.16212462494925839</v>
      </c>
      <c r="AY93" s="175">
        <f>AX93*'Soil samples'!AR93/100</f>
        <v>3.537541475894572E-2</v>
      </c>
      <c r="AZ93" s="174">
        <f t="shared" si="71"/>
        <v>35.375414758945723</v>
      </c>
      <c r="BA93">
        <f t="shared" si="54"/>
        <v>10793.442492</v>
      </c>
      <c r="BB93">
        <f t="shared" si="46"/>
        <v>10.793442492</v>
      </c>
      <c r="BC93">
        <f>BB93*('Wet ref'!$B$40+M93)</f>
        <v>295.59827746122693</v>
      </c>
      <c r="BD93" s="175">
        <f t="shared" si="55"/>
        <v>113.11906804014492</v>
      </c>
      <c r="BE93" s="175">
        <f>BD93*'Soil samples'!AK93/100</f>
        <v>24.68245616801245</v>
      </c>
      <c r="BF93" s="174">
        <f t="shared" si="74"/>
        <v>24.68245616801245</v>
      </c>
      <c r="BG93" s="175">
        <f t="shared" si="72"/>
        <v>113.11906804014492</v>
      </c>
      <c r="BH93" s="175">
        <f>BG93*'Soil samples'!AR93/100</f>
        <v>24.68245616801245</v>
      </c>
      <c r="BI93" s="174">
        <f t="shared" si="75"/>
        <v>24.68245616801245</v>
      </c>
      <c r="BK93" s="6"/>
      <c r="BL93" s="31"/>
    </row>
    <row r="94" spans="1:64">
      <c r="A94" s="6" t="s">
        <v>98</v>
      </c>
      <c r="B94" s="6" t="s">
        <v>197</v>
      </c>
      <c r="C94" t="s">
        <v>12</v>
      </c>
      <c r="D94" s="8">
        <v>6</v>
      </c>
      <c r="E94" s="3">
        <v>10</v>
      </c>
      <c r="F94" s="26">
        <v>42818</v>
      </c>
      <c r="G94" s="3"/>
      <c r="H94">
        <f>'Wet ref'!B140</f>
        <v>964.61786480000001</v>
      </c>
      <c r="I94">
        <f>'Wet ref'!C140</f>
        <v>1131.75047</v>
      </c>
      <c r="J94">
        <f>'Wet ref'!D140</f>
        <v>163.05831370000001</v>
      </c>
      <c r="K94">
        <f>'Wet ref'!E140</f>
        <v>8.5252573740000006</v>
      </c>
      <c r="L94" s="3">
        <f t="shared" si="56"/>
        <v>6428.8890392000003</v>
      </c>
      <c r="M94" s="31">
        <f>'Wet ref'!$B$41*'Soil samples'!AI94%</f>
        <v>2.079441294396557</v>
      </c>
      <c r="N94" s="105">
        <f>'Wet ref'!$B$41*'Soil samples'!AH94%</f>
        <v>2.920558705603443</v>
      </c>
      <c r="O94">
        <f t="shared" si="47"/>
        <v>964.61786480000001</v>
      </c>
      <c r="P94">
        <f t="shared" si="43"/>
        <v>0.9646178648</v>
      </c>
      <c r="Q94">
        <f>P94*('Wet ref'!$B$40+M94)</f>
        <v>26.121312841377755</v>
      </c>
      <c r="R94" s="141">
        <f t="shared" si="73"/>
        <v>8.9439437705055802</v>
      </c>
      <c r="S94" s="141">
        <f>R94*'Soil samples'!AK94/100</f>
        <v>3.3780081766469698</v>
      </c>
      <c r="T94" s="149">
        <f t="shared" si="57"/>
        <v>3.3780081766469698</v>
      </c>
      <c r="U94" s="141">
        <f t="shared" si="58"/>
        <v>964.61786480000001</v>
      </c>
      <c r="V94" s="141">
        <f t="shared" si="59"/>
        <v>8.9439437705055802</v>
      </c>
      <c r="W94" s="141">
        <f>V94*'Soil samples'!AR94/100</f>
        <v>3.3780081766469698</v>
      </c>
      <c r="X94" s="149">
        <f t="shared" si="60"/>
        <v>3.3780081766469698</v>
      </c>
      <c r="Y94">
        <f t="shared" si="48"/>
        <v>1131.75047</v>
      </c>
      <c r="Z94">
        <f t="shared" si="61"/>
        <v>1.1317504699999998</v>
      </c>
      <c r="AA94">
        <f>Z94*('Wet ref'!$B$40+M94)</f>
        <v>30.647170412270707</v>
      </c>
      <c r="AB94" s="175">
        <f t="shared" si="49"/>
        <v>10.493598486300044</v>
      </c>
      <c r="AC94" s="175">
        <f>AB94*'Soil samples'!AK94/100</f>
        <v>3.9632920777148457</v>
      </c>
      <c r="AD94" s="174">
        <f t="shared" si="62"/>
        <v>3.9632920777148457</v>
      </c>
      <c r="AE94" s="175">
        <f t="shared" si="63"/>
        <v>1131.75047</v>
      </c>
      <c r="AF94" s="175">
        <f t="shared" si="64"/>
        <v>10.493598486300044</v>
      </c>
      <c r="AG94" s="175">
        <f>AF94*'Soil samples'!AR94/100</f>
        <v>3.9632920777148457</v>
      </c>
      <c r="AH94" s="174">
        <f t="shared" si="65"/>
        <v>3.9632920777148457</v>
      </c>
      <c r="AI94">
        <f t="shared" si="50"/>
        <v>163.05831370000001</v>
      </c>
      <c r="AJ94">
        <f t="shared" si="44"/>
        <v>0.16305831370000001</v>
      </c>
      <c r="AK94">
        <f>AJ94*('Wet ref'!$B$40+M94)</f>
        <v>4.415528033402448</v>
      </c>
      <c r="AL94" s="175">
        <f t="shared" si="51"/>
        <v>1.5118778557440831</v>
      </c>
      <c r="AM94" s="175">
        <f>AL94*'Soil samples'!AK94/100</f>
        <v>0.57101608527960435</v>
      </c>
      <c r="AN94" s="174">
        <f t="shared" si="66"/>
        <v>571.01608527960434</v>
      </c>
      <c r="AO94" s="175">
        <f t="shared" si="67"/>
        <v>1.5118778557440831</v>
      </c>
      <c r="AP94" s="175">
        <f>AO94*'Soil samples'!AR94/100</f>
        <v>0.57101608527960435</v>
      </c>
      <c r="AQ94" s="174">
        <f t="shared" si="68"/>
        <v>571.01608527960434</v>
      </c>
      <c r="AR94">
        <f t="shared" si="52"/>
        <v>8.5252573740000006</v>
      </c>
      <c r="AS94">
        <f t="shared" si="45"/>
        <v>8.5252573740000007E-3</v>
      </c>
      <c r="AT94">
        <f>AS94*('Wet ref'!$B$40+M94)</f>
        <v>0.23085920657885436</v>
      </c>
      <c r="AU94" s="175">
        <f t="shared" si="53"/>
        <v>7.9046247601845226E-2</v>
      </c>
      <c r="AV94" s="175">
        <f>AU94*'Soil samples'!AK94/100</f>
        <v>2.9854712594777434E-2</v>
      </c>
      <c r="AW94" s="174">
        <f t="shared" si="69"/>
        <v>29.854712594777435</v>
      </c>
      <c r="AX94" s="175">
        <f t="shared" si="70"/>
        <v>7.9046247601845226E-2</v>
      </c>
      <c r="AY94" s="175">
        <f>AX94*'Soil samples'!AR94/100</f>
        <v>2.9854712594777434E-2</v>
      </c>
      <c r="AZ94" s="174">
        <f t="shared" si="71"/>
        <v>29.854712594777435</v>
      </c>
      <c r="BA94">
        <f t="shared" si="54"/>
        <v>6428.8890392000003</v>
      </c>
      <c r="BB94">
        <f t="shared" si="46"/>
        <v>6.4288890392000004</v>
      </c>
      <c r="BC94">
        <f>BB94*('Wet ref'!$B$40+M94)</f>
        <v>174.09072332520589</v>
      </c>
      <c r="BD94" s="175">
        <f t="shared" si="55"/>
        <v>59.608705345039603</v>
      </c>
      <c r="BE94" s="175">
        <f>BD94*'Soil samples'!AK94/100</f>
        <v>22.513412340415616</v>
      </c>
      <c r="BF94" s="174">
        <f t="shared" si="74"/>
        <v>22.513412340415616</v>
      </c>
      <c r="BG94" s="175">
        <f t="shared" si="72"/>
        <v>59.608705345039603</v>
      </c>
      <c r="BH94" s="175">
        <f>BG94*'Soil samples'!AR94/100</f>
        <v>22.513412340415616</v>
      </c>
      <c r="BI94" s="174">
        <f t="shared" si="75"/>
        <v>22.513412340415616</v>
      </c>
      <c r="BK94" s="6"/>
      <c r="BL94" s="31"/>
    </row>
    <row r="95" spans="1:64">
      <c r="A95" s="6" t="s">
        <v>99</v>
      </c>
      <c r="B95" s="6" t="s">
        <v>197</v>
      </c>
      <c r="C95" t="s">
        <v>12</v>
      </c>
      <c r="D95" s="8">
        <v>6</v>
      </c>
      <c r="E95" s="3">
        <v>20</v>
      </c>
      <c r="F95" s="26">
        <v>42818</v>
      </c>
      <c r="G95" s="3"/>
      <c r="H95">
        <f>'Wet ref'!B141</f>
        <v>298.0659091</v>
      </c>
      <c r="I95">
        <f>'Wet ref'!C141</f>
        <v>273.96269819999998</v>
      </c>
      <c r="J95">
        <f>'Wet ref'!D141</f>
        <v>58.635089409999999</v>
      </c>
      <c r="K95">
        <f>'Wet ref'!E141</f>
        <v>6.2023888869999997</v>
      </c>
      <c r="L95" s="3">
        <f t="shared" si="56"/>
        <v>5630.3602797000003</v>
      </c>
      <c r="M95" s="31">
        <f>'Wet ref'!$B$41*'Soil samples'!AI95%</f>
        <v>2.423639147128906</v>
      </c>
      <c r="N95" s="105">
        <f>'Wet ref'!$B$41*'Soil samples'!AH95%</f>
        <v>2.576360852871094</v>
      </c>
      <c r="O95">
        <f t="shared" si="47"/>
        <v>298.0659091</v>
      </c>
      <c r="P95">
        <f t="shared" si="43"/>
        <v>0.29806590910000003</v>
      </c>
      <c r="Q95">
        <f>P95*('Wet ref'!$B$40+M95)</f>
        <v>8.1740519332193262</v>
      </c>
      <c r="R95" s="141">
        <f t="shared" si="73"/>
        <v>3.172712364461745</v>
      </c>
      <c r="S95" s="141">
        <f>R95*'Soil samples'!AK95/100</f>
        <v>1.0495482682253614</v>
      </c>
      <c r="T95" s="149">
        <f t="shared" si="57"/>
        <v>1.0495482682253614</v>
      </c>
      <c r="U95" s="141">
        <f t="shared" si="58"/>
        <v>298.0659091</v>
      </c>
      <c r="V95" s="141">
        <f t="shared" si="59"/>
        <v>3.172712364461745</v>
      </c>
      <c r="W95" s="141">
        <f>V95*'Soil samples'!AR95/100</f>
        <v>1.0495482682253614</v>
      </c>
      <c r="X95" s="149">
        <f t="shared" si="60"/>
        <v>1.0495482682253614</v>
      </c>
      <c r="Y95">
        <f t="shared" si="48"/>
        <v>273.96269819999998</v>
      </c>
      <c r="Z95">
        <f t="shared" si="61"/>
        <v>0.27396269819999997</v>
      </c>
      <c r="AA95">
        <f>Z95*('Wet ref'!$B$40+M95)</f>
        <v>7.5130541752105806</v>
      </c>
      <c r="AB95" s="175">
        <f t="shared" si="49"/>
        <v>2.9161497958789586</v>
      </c>
      <c r="AC95" s="175">
        <f>AB95*'Soil samples'!AK95/100</f>
        <v>0.96467615609703838</v>
      </c>
      <c r="AD95" s="174">
        <f t="shared" si="62"/>
        <v>0.96467615609703838</v>
      </c>
      <c r="AE95" s="175">
        <f t="shared" si="63"/>
        <v>273.96269819999998</v>
      </c>
      <c r="AF95" s="175">
        <f t="shared" si="64"/>
        <v>2.9161497958789586</v>
      </c>
      <c r="AG95" s="175">
        <f>AF95*'Soil samples'!AR95/100</f>
        <v>0.96467615609703838</v>
      </c>
      <c r="AH95" s="174">
        <f t="shared" si="65"/>
        <v>0.96467615609703838</v>
      </c>
      <c r="AI95">
        <f t="shared" si="50"/>
        <v>58.635089409999999</v>
      </c>
      <c r="AJ95">
        <f t="shared" si="44"/>
        <v>5.8635089410000001E-2</v>
      </c>
      <c r="AK95">
        <f>AJ95*('Wet ref'!$B$40+M95)</f>
        <v>1.6079875333394795</v>
      </c>
      <c r="AL95" s="175">
        <f t="shared" si="51"/>
        <v>0.62413133297982692</v>
      </c>
      <c r="AM95" s="175">
        <f>AL95*'Soil samples'!AK95/100</f>
        <v>0.20646559928078914</v>
      </c>
      <c r="AN95" s="174">
        <f t="shared" si="66"/>
        <v>206.46559928078912</v>
      </c>
      <c r="AO95" s="175">
        <f t="shared" si="67"/>
        <v>0.62413133297982692</v>
      </c>
      <c r="AP95" s="175">
        <f>AO95*'Soil samples'!AR95/100</f>
        <v>0.20646559928078914</v>
      </c>
      <c r="AQ95" s="174">
        <f t="shared" si="68"/>
        <v>206.46559928078912</v>
      </c>
      <c r="AR95">
        <f t="shared" si="52"/>
        <v>6.2023888869999997</v>
      </c>
      <c r="AS95">
        <f t="shared" si="45"/>
        <v>6.202388887E-3</v>
      </c>
      <c r="AT95">
        <f>AS95*('Wet ref'!$B$40+M95)</f>
        <v>0.17009207468725049</v>
      </c>
      <c r="AU95" s="175">
        <f t="shared" si="53"/>
        <v>6.6020283803683813E-2</v>
      </c>
      <c r="AV95" s="175">
        <f>AU95*'Soil samples'!AK95/100</f>
        <v>2.1839822389842962E-2</v>
      </c>
      <c r="AW95" s="174">
        <f t="shared" si="69"/>
        <v>21.839822389842961</v>
      </c>
      <c r="AX95" s="175">
        <f t="shared" si="70"/>
        <v>6.6020283803683813E-2</v>
      </c>
      <c r="AY95" s="175">
        <f>AX95*'Soil samples'!AR95/100</f>
        <v>2.1839822389842962E-2</v>
      </c>
      <c r="AZ95" s="174">
        <f t="shared" si="71"/>
        <v>21.839822389842961</v>
      </c>
      <c r="BA95">
        <f t="shared" si="54"/>
        <v>5630.3602797000003</v>
      </c>
      <c r="BB95">
        <f t="shared" si="46"/>
        <v>5.6303602797000005</v>
      </c>
      <c r="BC95">
        <f>BB95*('Wet ref'!$B$40+M95)</f>
        <v>154.40496857882059</v>
      </c>
      <c r="BD95" s="175">
        <f t="shared" si="55"/>
        <v>59.931421643343107</v>
      </c>
      <c r="BE95" s="175">
        <f>BD95*'Soil samples'!AK95/100</f>
        <v>19.825597965520561</v>
      </c>
      <c r="BF95" s="174">
        <f t="shared" si="74"/>
        <v>19.825597965520561</v>
      </c>
      <c r="BG95" s="175">
        <f t="shared" si="72"/>
        <v>59.931421643343107</v>
      </c>
      <c r="BH95" s="175">
        <f>BG95*'Soil samples'!AR95/100</f>
        <v>19.825597965520561</v>
      </c>
      <c r="BI95" s="174">
        <f t="shared" si="75"/>
        <v>19.825597965520561</v>
      </c>
      <c r="BK95" s="6"/>
      <c r="BL95" s="31"/>
    </row>
    <row r="96" spans="1:64">
      <c r="A96" s="6" t="s">
        <v>100</v>
      </c>
      <c r="B96" s="6" t="s">
        <v>197</v>
      </c>
      <c r="C96" t="s">
        <v>12</v>
      </c>
      <c r="D96" s="8">
        <v>6</v>
      </c>
      <c r="E96" s="3">
        <v>30</v>
      </c>
      <c r="F96" s="26">
        <v>42818</v>
      </c>
      <c r="G96" s="3"/>
      <c r="H96">
        <f>'Wet ref'!B142</f>
        <v>252.43165389999999</v>
      </c>
      <c r="I96">
        <f>'Wet ref'!C142</f>
        <v>-44.527313069999998</v>
      </c>
      <c r="J96">
        <f>'Wet ref'!D142</f>
        <v>81.265436629999996</v>
      </c>
      <c r="K96">
        <f>'Wet ref'!E142</f>
        <v>5.0777158189999998</v>
      </c>
      <c r="L96" s="3">
        <f t="shared" si="56"/>
        <v>4869.8114781699996</v>
      </c>
      <c r="M96" s="31">
        <f>'Wet ref'!$B$41*'Soil samples'!AI96%</f>
        <v>2.3025812326859207</v>
      </c>
      <c r="N96" s="105">
        <f>'Wet ref'!$B$41*'Soil samples'!AH96%</f>
        <v>2.6974187673140793</v>
      </c>
      <c r="O96">
        <f t="shared" si="47"/>
        <v>252.43165389999999</v>
      </c>
      <c r="P96">
        <f t="shared" si="43"/>
        <v>0.2524316539</v>
      </c>
      <c r="Q96">
        <f>P96*('Wet ref'!$B$40+M96)</f>
        <v>6.8920357363060072</v>
      </c>
      <c r="R96" s="141">
        <f t="shared" si="73"/>
        <v>2.5550484855448179</v>
      </c>
      <c r="S96" s="141">
        <f>R96*'Soil samples'!AK96/100</f>
        <v>1.2689616197686622</v>
      </c>
      <c r="T96" s="149">
        <f t="shared" si="57"/>
        <v>1.2689616197686622</v>
      </c>
      <c r="U96" s="141">
        <f t="shared" si="58"/>
        <v>252.43165389999999</v>
      </c>
      <c r="V96" s="141">
        <f t="shared" si="59"/>
        <v>2.5550484855448179</v>
      </c>
      <c r="W96" s="141">
        <f>V96*'Soil samples'!AR96/100</f>
        <v>1.2689616197686622</v>
      </c>
      <c r="X96" s="149">
        <f t="shared" si="60"/>
        <v>1.2689616197686622</v>
      </c>
      <c r="Y96">
        <f t="shared" si="48"/>
        <v>0</v>
      </c>
      <c r="Z96">
        <f t="shared" si="61"/>
        <v>0</v>
      </c>
      <c r="AA96">
        <f>Z96*('Wet ref'!$B$40+M96)</f>
        <v>0</v>
      </c>
      <c r="AB96" s="175">
        <f t="shared" si="49"/>
        <v>0</v>
      </c>
      <c r="AC96" s="175">
        <f>AB96*'Soil samples'!AK96/100</f>
        <v>0</v>
      </c>
      <c r="AD96" s="174">
        <f t="shared" si="62"/>
        <v>0</v>
      </c>
      <c r="AE96" s="175">
        <f t="shared" si="63"/>
        <v>0</v>
      </c>
      <c r="AF96" s="175">
        <f t="shared" si="64"/>
        <v>0</v>
      </c>
      <c r="AG96" s="175">
        <f>AF96*'Soil samples'!AR96/100</f>
        <v>0</v>
      </c>
      <c r="AH96" s="174">
        <f t="shared" si="65"/>
        <v>0</v>
      </c>
      <c r="AI96">
        <f t="shared" si="50"/>
        <v>81.265436629999996</v>
      </c>
      <c r="AJ96">
        <f t="shared" si="44"/>
        <v>8.1265436629999993E-2</v>
      </c>
      <c r="AK96">
        <f>AJ96*('Wet ref'!$B$40+M96)</f>
        <v>2.2187561850002648</v>
      </c>
      <c r="AL96" s="175">
        <f t="shared" si="51"/>
        <v>0.82254791576524966</v>
      </c>
      <c r="AM96" s="175">
        <f>AL96*'Soil samples'!AK96/100</f>
        <v>0.4085173887822488</v>
      </c>
      <c r="AN96" s="174">
        <f t="shared" si="66"/>
        <v>408.51738878224882</v>
      </c>
      <c r="AO96" s="175">
        <f t="shared" si="67"/>
        <v>0.82254791576524966</v>
      </c>
      <c r="AP96" s="175">
        <f>AO96*'Soil samples'!AR96/100</f>
        <v>0.4085173887822488</v>
      </c>
      <c r="AQ96" s="174">
        <f t="shared" si="68"/>
        <v>408.51738878224882</v>
      </c>
      <c r="AR96">
        <f t="shared" si="52"/>
        <v>5.0777158189999998</v>
      </c>
      <c r="AS96">
        <f t="shared" si="45"/>
        <v>5.0777158189999998E-3</v>
      </c>
      <c r="AT96">
        <f>AS96*('Wet ref'!$B$40+M96)</f>
        <v>0.13863474862474182</v>
      </c>
      <c r="AU96" s="175">
        <f t="shared" si="53"/>
        <v>5.1395337759433481E-2</v>
      </c>
      <c r="AV96" s="175">
        <f>AU96*'Soil samples'!AK96/100</f>
        <v>2.5525429916787461E-2</v>
      </c>
      <c r="AW96" s="174">
        <f t="shared" si="69"/>
        <v>25.525429916787459</v>
      </c>
      <c r="AX96" s="175">
        <f t="shared" si="70"/>
        <v>5.1395337759433481E-2</v>
      </c>
      <c r="AY96" s="175">
        <f>AX96*'Soil samples'!AR96/100</f>
        <v>2.5525429916787461E-2</v>
      </c>
      <c r="AZ96" s="174">
        <f t="shared" si="71"/>
        <v>25.525429916787459</v>
      </c>
      <c r="BA96">
        <f t="shared" si="54"/>
        <v>4825.2841650999999</v>
      </c>
      <c r="BB96">
        <f t="shared" si="46"/>
        <v>4.8252841651000002</v>
      </c>
      <c r="BC96">
        <f>BB96*('Wet ref'!$B$40+M96)</f>
        <v>131.74271288843582</v>
      </c>
      <c r="BD96" s="175">
        <f t="shared" si="55"/>
        <v>48.840289273888665</v>
      </c>
      <c r="BE96" s="175">
        <f>BD96*'Soil samples'!AK96/100</f>
        <v>24.256468297018799</v>
      </c>
      <c r="BF96" s="174">
        <f t="shared" si="74"/>
        <v>24.256468297018799</v>
      </c>
      <c r="BG96" s="175">
        <f t="shared" si="72"/>
        <v>48.840289273888665</v>
      </c>
      <c r="BH96" s="175">
        <f>BG96*'Soil samples'!AR96/100</f>
        <v>24.256468297018799</v>
      </c>
      <c r="BI96" s="174">
        <f t="shared" si="75"/>
        <v>24.256468297018799</v>
      </c>
      <c r="BK96" s="6"/>
      <c r="BL96" s="31"/>
    </row>
    <row r="97" spans="1:64">
      <c r="A97" s="6" t="s">
        <v>101</v>
      </c>
      <c r="B97" s="6" t="s">
        <v>197</v>
      </c>
      <c r="C97" t="s">
        <v>13</v>
      </c>
      <c r="D97" s="8">
        <v>1</v>
      </c>
      <c r="E97" s="3">
        <v>5</v>
      </c>
      <c r="F97" s="26">
        <v>42783</v>
      </c>
      <c r="G97" s="3" t="s">
        <v>663</v>
      </c>
      <c r="H97">
        <f>'Wet ref'!B143</f>
        <v>76.339567279999997</v>
      </c>
      <c r="I97">
        <f>'Wet ref'!C143</f>
        <v>745.29660230000002</v>
      </c>
      <c r="J97">
        <f>'Wet ref'!D143</f>
        <v>75.888954830000003</v>
      </c>
      <c r="K97">
        <f>'Wet ref'!E143</f>
        <v>8.3890569730000006</v>
      </c>
      <c r="L97" s="3">
        <f t="shared" si="56"/>
        <v>7567.420803420001</v>
      </c>
      <c r="M97" s="31">
        <f>'Wet ref'!$B$41*'Soil samples'!AI97%</f>
        <v>2.6174849594008998</v>
      </c>
      <c r="N97" s="105">
        <f>'Wet ref'!$B$41*'Soil samples'!AH97%</f>
        <v>2.3825150405990998</v>
      </c>
      <c r="O97">
        <f t="shared" si="47"/>
        <v>76.339567279999997</v>
      </c>
      <c r="P97">
        <f t="shared" si="43"/>
        <v>7.6339567279999992E-2</v>
      </c>
      <c r="Q97">
        <f>P97*('Wet ref'!$B$40+M97)</f>
        <v>2.1083068511625731</v>
      </c>
      <c r="R97" s="141">
        <f t="shared" si="73"/>
        <v>0.88490809721496022</v>
      </c>
      <c r="S97" s="141">
        <f>R97*'Soil samples'!AK97/100</f>
        <v>6.7423653100178893E-2</v>
      </c>
      <c r="T97" s="149">
        <f t="shared" si="57"/>
        <v>6.7423653100178893E-2</v>
      </c>
      <c r="U97" s="141">
        <f t="shared" si="58"/>
        <v>76.339567279999997</v>
      </c>
      <c r="V97" s="141">
        <f t="shared" si="59"/>
        <v>0.88490809721496022</v>
      </c>
      <c r="W97" s="141">
        <f>V97*'Soil samples'!AR97/100</f>
        <v>6.7423653100178893E-2</v>
      </c>
      <c r="X97" s="149">
        <f t="shared" si="60"/>
        <v>6.7423653100178893E-2</v>
      </c>
      <c r="Y97">
        <f t="shared" si="48"/>
        <v>745.29660230000002</v>
      </c>
      <c r="Z97">
        <f t="shared" si="61"/>
        <v>0.74529660230000006</v>
      </c>
      <c r="AA97">
        <f>Z97*('Wet ref'!$B$40+M97)</f>
        <v>20.583217704312847</v>
      </c>
      <c r="AB97" s="175">
        <f t="shared" si="49"/>
        <v>8.6392813281619638</v>
      </c>
      <c r="AC97" s="175">
        <f>AB97*'Soil samples'!AK97/100</f>
        <v>0.65825130218392292</v>
      </c>
      <c r="AD97" s="174">
        <f t="shared" si="62"/>
        <v>0.65825130218392292</v>
      </c>
      <c r="AE97" s="175">
        <f t="shared" si="63"/>
        <v>745.29660230000002</v>
      </c>
      <c r="AF97" s="175">
        <f t="shared" si="64"/>
        <v>8.6392813281619638</v>
      </c>
      <c r="AG97" s="175">
        <f>AF97*'Soil samples'!AR97/100</f>
        <v>0.65825130218392292</v>
      </c>
      <c r="AH97" s="174">
        <f t="shared" si="65"/>
        <v>0.65825130218392292</v>
      </c>
      <c r="AI97">
        <f t="shared" si="50"/>
        <v>75.888954830000003</v>
      </c>
      <c r="AJ97">
        <f t="shared" si="44"/>
        <v>7.5888954830000008E-2</v>
      </c>
      <c r="AK97">
        <f>AJ97*('Wet ref'!$B$40+M97)</f>
        <v>2.0958620686021794</v>
      </c>
      <c r="AL97" s="175">
        <f t="shared" si="51"/>
        <v>0.87968471673327209</v>
      </c>
      <c r="AM97" s="175">
        <f>AL97*'Soil samples'!AK97/100</f>
        <v>6.7025668953897499E-2</v>
      </c>
      <c r="AN97" s="174">
        <f t="shared" si="66"/>
        <v>67.025668953897494</v>
      </c>
      <c r="AO97" s="175">
        <f t="shared" si="67"/>
        <v>0.87968471673327209</v>
      </c>
      <c r="AP97" s="175">
        <f>AO97*'Soil samples'!AR97/100</f>
        <v>6.7025668953897499E-2</v>
      </c>
      <c r="AQ97" s="174">
        <f t="shared" si="68"/>
        <v>67.025668953897494</v>
      </c>
      <c r="AR97">
        <f t="shared" si="52"/>
        <v>8.3890569730000006</v>
      </c>
      <c r="AS97">
        <f t="shared" si="45"/>
        <v>8.3890569730000007E-3</v>
      </c>
      <c r="AT97">
        <f>AS97*('Wet ref'!$B$40+M97)</f>
        <v>0.23168465477538477</v>
      </c>
      <c r="AU97" s="175">
        <f t="shared" si="53"/>
        <v>9.7243732285998946E-2</v>
      </c>
      <c r="AV97" s="175">
        <f>AU97*'Soil samples'!AK97/100</f>
        <v>7.4092752597167836E-3</v>
      </c>
      <c r="AW97" s="174">
        <f t="shared" si="69"/>
        <v>7.4092752597167832</v>
      </c>
      <c r="AX97" s="175">
        <f t="shared" si="70"/>
        <v>9.7243732285998946E-2</v>
      </c>
      <c r="AY97" s="175">
        <f>AX97*'Soil samples'!AR97/100</f>
        <v>7.4092752597167836E-3</v>
      </c>
      <c r="AZ97" s="174">
        <f t="shared" si="71"/>
        <v>7.4092752597167832</v>
      </c>
      <c r="BA97">
        <f t="shared" si="54"/>
        <v>7567.420803420001</v>
      </c>
      <c r="BB97">
        <f t="shared" si="46"/>
        <v>7.567420803420001</v>
      </c>
      <c r="BC97">
        <f>BB97*('Wet ref'!$B$40+M97)</f>
        <v>208.99313021990938</v>
      </c>
      <c r="BD97" s="175">
        <f t="shared" si="55"/>
        <v>87.719542860622028</v>
      </c>
      <c r="BE97" s="175">
        <f>BD97*'Soil samples'!AK97/100</f>
        <v>6.6836003044326819</v>
      </c>
      <c r="BF97" s="174">
        <f t="shared" si="74"/>
        <v>6.6836003044326819</v>
      </c>
      <c r="BG97" s="175">
        <f t="shared" si="72"/>
        <v>87.719542860622028</v>
      </c>
      <c r="BH97" s="175">
        <f>BG97*'Soil samples'!AR97/100</f>
        <v>6.6836003044326819</v>
      </c>
      <c r="BI97" s="174">
        <f t="shared" si="75"/>
        <v>6.6836003044326819</v>
      </c>
      <c r="BK97" s="6"/>
      <c r="BL97" s="31"/>
    </row>
    <row r="98" spans="1:64">
      <c r="A98" s="6" t="s">
        <v>102</v>
      </c>
      <c r="B98" s="6" t="s">
        <v>197</v>
      </c>
      <c r="C98" t="s">
        <v>13</v>
      </c>
      <c r="D98" s="8">
        <v>1</v>
      </c>
      <c r="E98" s="3">
        <v>10</v>
      </c>
      <c r="F98" s="26">
        <v>42783</v>
      </c>
      <c r="G98" s="3"/>
      <c r="H98">
        <f>'Wet ref'!B144</f>
        <v>47.74390528</v>
      </c>
      <c r="I98">
        <f>'Wet ref'!C144</f>
        <v>132.35590060000001</v>
      </c>
      <c r="J98">
        <f>'Wet ref'!D144</f>
        <v>71.874515079999995</v>
      </c>
      <c r="K98">
        <f>'Wet ref'!E144</f>
        <v>6.9046815309999996</v>
      </c>
      <c r="L98" s="3">
        <f t="shared" si="56"/>
        <v>6724.5817251199996</v>
      </c>
      <c r="M98" s="31">
        <f>'Wet ref'!$B$41*'Soil samples'!AI98%</f>
        <v>2.1739008524001795</v>
      </c>
      <c r="N98" s="105">
        <f>'Wet ref'!$B$41*'Soil samples'!AH98%</f>
        <v>2.8260991475998205</v>
      </c>
      <c r="O98">
        <f t="shared" si="47"/>
        <v>47.74390528</v>
      </c>
      <c r="P98">
        <f t="shared" si="43"/>
        <v>4.7743905279999999E-2</v>
      </c>
      <c r="Q98">
        <f>P98*('Wet ref'!$B$40+M98)</f>
        <v>1.2973881483851055</v>
      </c>
      <c r="R98" s="141">
        <f t="shared" si="73"/>
        <v>0.4590738260145491</v>
      </c>
      <c r="S98" s="141">
        <f>R98*'Soil samples'!AK98/100</f>
        <v>9.0843118149925045E-2</v>
      </c>
      <c r="T98" s="149">
        <f t="shared" si="57"/>
        <v>9.0843118149925045E-2</v>
      </c>
      <c r="U98" s="141">
        <f t="shared" si="58"/>
        <v>47.74390528</v>
      </c>
      <c r="V98" s="141">
        <f t="shared" si="59"/>
        <v>0.4590738260145491</v>
      </c>
      <c r="W98" s="141">
        <f>V98*'Soil samples'!AR98/100</f>
        <v>9.0843118149925045E-2</v>
      </c>
      <c r="X98" s="149">
        <f t="shared" si="60"/>
        <v>9.0843118149925031E-2</v>
      </c>
      <c r="Y98">
        <f t="shared" si="48"/>
        <v>132.35590060000001</v>
      </c>
      <c r="Z98">
        <f t="shared" si="61"/>
        <v>0.13235590060000002</v>
      </c>
      <c r="AA98">
        <f>Z98*('Wet ref'!$B$40+M98)</f>
        <v>3.596626120134534</v>
      </c>
      <c r="AB98" s="175">
        <f t="shared" si="49"/>
        <v>1.2726468295314814</v>
      </c>
      <c r="AC98" s="175">
        <f>AB98*'Soil samples'!AK98/100</f>
        <v>0.25183576093181997</v>
      </c>
      <c r="AD98" s="174">
        <f t="shared" si="62"/>
        <v>0.25183576093181997</v>
      </c>
      <c r="AE98" s="175">
        <f t="shared" si="63"/>
        <v>132.35590060000001</v>
      </c>
      <c r="AF98" s="175">
        <f t="shared" si="64"/>
        <v>1.2726468295314814</v>
      </c>
      <c r="AG98" s="175">
        <f>AF98*'Soil samples'!AR98/100</f>
        <v>0.25183576093181997</v>
      </c>
      <c r="AH98" s="174">
        <f t="shared" si="65"/>
        <v>0.25183576093181997</v>
      </c>
      <c r="AI98">
        <f t="shared" si="50"/>
        <v>71.874515079999995</v>
      </c>
      <c r="AJ98">
        <f t="shared" si="44"/>
        <v>7.1874515079999993E-2</v>
      </c>
      <c r="AK98">
        <f>AJ98*('Wet ref'!$B$40+M98)</f>
        <v>1.9531109465982615</v>
      </c>
      <c r="AL98" s="175">
        <f t="shared" si="51"/>
        <v>0.69109781525429503</v>
      </c>
      <c r="AM98" s="175">
        <f>AL98*'Soil samples'!AK98/100</f>
        <v>0.13675682848081019</v>
      </c>
      <c r="AN98" s="174">
        <f t="shared" si="66"/>
        <v>136.75682848081019</v>
      </c>
      <c r="AO98" s="175">
        <f t="shared" si="67"/>
        <v>0.69109781525429503</v>
      </c>
      <c r="AP98" s="175">
        <f>AO98*'Soil samples'!AR98/100</f>
        <v>0.13675682848081019</v>
      </c>
      <c r="AQ98" s="174">
        <f t="shared" si="68"/>
        <v>136.75682848081019</v>
      </c>
      <c r="AR98">
        <f t="shared" si="52"/>
        <v>6.9046815309999996</v>
      </c>
      <c r="AS98">
        <f t="shared" si="45"/>
        <v>6.9046815309999994E-3</v>
      </c>
      <c r="AT98">
        <f>AS98*('Wet ref'!$B$40+M98)</f>
        <v>0.18762713134079267</v>
      </c>
      <c r="AU98" s="175">
        <f t="shared" si="53"/>
        <v>6.6390852387518906E-2</v>
      </c>
      <c r="AV98" s="175">
        <f>AU98*'Soil samples'!AK98/100</f>
        <v>1.3137651736482299E-2</v>
      </c>
      <c r="AW98" s="174">
        <f t="shared" si="69"/>
        <v>13.137651736482299</v>
      </c>
      <c r="AX98" s="175">
        <f t="shared" si="70"/>
        <v>6.6390852387518906E-2</v>
      </c>
      <c r="AY98" s="175">
        <f>AX98*'Soil samples'!AR98/100</f>
        <v>1.3137651736482299E-2</v>
      </c>
      <c r="AZ98" s="174">
        <f t="shared" si="71"/>
        <v>13.137651736482299</v>
      </c>
      <c r="BA98">
        <f t="shared" si="54"/>
        <v>6724.5817251199996</v>
      </c>
      <c r="BB98">
        <f t="shared" si="46"/>
        <v>6.7245817251199993</v>
      </c>
      <c r="BC98">
        <f>BB98*('Wet ref'!$B$40+M98)</f>
        <v>182.73311707227302</v>
      </c>
      <c r="BD98" s="175">
        <f t="shared" si="55"/>
        <v>64.659131731972863</v>
      </c>
      <c r="BE98" s="175">
        <f>BD98*'Soil samples'!AK98/100</f>
        <v>12.79497285740055</v>
      </c>
      <c r="BF98" s="174">
        <f t="shared" si="74"/>
        <v>12.79497285740055</v>
      </c>
      <c r="BG98" s="175">
        <f t="shared" si="72"/>
        <v>64.659131731972863</v>
      </c>
      <c r="BH98" s="175">
        <f>BG98*'Soil samples'!AR98/100</f>
        <v>12.79497285740055</v>
      </c>
      <c r="BI98" s="174">
        <f t="shared" si="75"/>
        <v>12.79497285740055</v>
      </c>
      <c r="BK98" s="6"/>
      <c r="BL98" s="31"/>
    </row>
    <row r="99" spans="1:64">
      <c r="A99" s="6" t="s">
        <v>103</v>
      </c>
      <c r="B99" s="6" t="s">
        <v>197</v>
      </c>
      <c r="C99" t="s">
        <v>13</v>
      </c>
      <c r="D99" s="8">
        <v>1</v>
      </c>
      <c r="E99" s="3">
        <v>20</v>
      </c>
      <c r="F99" s="26">
        <v>42783</v>
      </c>
      <c r="G99" s="3"/>
      <c r="H99">
        <f>'Wet ref'!B145</f>
        <v>27.68107453</v>
      </c>
      <c r="I99">
        <f>'Wet ref'!C145</f>
        <v>45.331195389999998</v>
      </c>
      <c r="J99">
        <f>'Wet ref'!D145</f>
        <v>84.252370959999993</v>
      </c>
      <c r="K99">
        <f>'Wet ref'!E145</f>
        <v>1.451293094</v>
      </c>
      <c r="L99" s="3">
        <f t="shared" si="56"/>
        <v>1378.28082408</v>
      </c>
      <c r="M99" s="31">
        <f>'Wet ref'!$B$41*'Soil samples'!AI99%</f>
        <v>2.0556142203449497</v>
      </c>
      <c r="N99" s="105">
        <f>'Wet ref'!$B$41*'Soil samples'!AH99%</f>
        <v>2.9443857796550503</v>
      </c>
      <c r="O99">
        <f t="shared" si="47"/>
        <v>27.68107453</v>
      </c>
      <c r="P99">
        <f t="shared" si="43"/>
        <v>2.7681074529999999E-2</v>
      </c>
      <c r="Q99">
        <f>P99*('Wet ref'!$B$40+M99)</f>
        <v>0.7489284736882964</v>
      </c>
      <c r="R99" s="141">
        <f t="shared" si="73"/>
        <v>0.25435813433932464</v>
      </c>
      <c r="S99" s="141">
        <f>R99*'Soil samples'!AK99/100</f>
        <v>7.4368597437247802E-2</v>
      </c>
      <c r="T99" s="149">
        <f t="shared" si="57"/>
        <v>7.4368597437247802E-2</v>
      </c>
      <c r="U99" s="141">
        <f t="shared" si="58"/>
        <v>27.68107453</v>
      </c>
      <c r="V99" s="141">
        <f t="shared" si="59"/>
        <v>0.25435813433932464</v>
      </c>
      <c r="W99" s="141">
        <f>V99*'Soil samples'!AR99/100</f>
        <v>7.4368597437247802E-2</v>
      </c>
      <c r="X99" s="149">
        <f t="shared" si="60"/>
        <v>7.4368597437247802E-2</v>
      </c>
      <c r="Y99">
        <f t="shared" si="48"/>
        <v>45.331195389999998</v>
      </c>
      <c r="Z99">
        <f t="shared" si="61"/>
        <v>4.5331195389999995E-2</v>
      </c>
      <c r="AA99">
        <f>Z99*('Wet ref'!$B$40+M99)</f>
        <v>1.2264633346189193</v>
      </c>
      <c r="AB99" s="175">
        <f t="shared" si="49"/>
        <v>0.41654301657529597</v>
      </c>
      <c r="AC99" s="175">
        <f>AB99*'Soil samples'!AK99/100</f>
        <v>0.12178780912765864</v>
      </c>
      <c r="AD99" s="174">
        <f t="shared" si="62"/>
        <v>0.12178780912765864</v>
      </c>
      <c r="AE99" s="175">
        <f t="shared" si="63"/>
        <v>45.331195389999998</v>
      </c>
      <c r="AF99" s="175">
        <f t="shared" si="64"/>
        <v>0.41654301657529597</v>
      </c>
      <c r="AG99" s="175">
        <f>AF99*'Soil samples'!AR99/100</f>
        <v>0.12178780912765864</v>
      </c>
      <c r="AH99" s="174">
        <f t="shared" si="65"/>
        <v>0.12178780912765864</v>
      </c>
      <c r="AI99">
        <f t="shared" si="50"/>
        <v>84.252370959999993</v>
      </c>
      <c r="AJ99">
        <f t="shared" si="44"/>
        <v>8.4252370959999989E-2</v>
      </c>
      <c r="AK99">
        <f>AJ99*('Wet ref'!$B$40+M99)</f>
        <v>2.2794996458431536</v>
      </c>
      <c r="AL99" s="175">
        <f t="shared" si="51"/>
        <v>0.77418511582072935</v>
      </c>
      <c r="AM99" s="175">
        <f>AL99*'Soil samples'!AK99/100</f>
        <v>0.22635431483222504</v>
      </c>
      <c r="AN99" s="174">
        <f t="shared" si="66"/>
        <v>226.35431483222504</v>
      </c>
      <c r="AO99" s="175">
        <f t="shared" si="67"/>
        <v>0.77418511582072935</v>
      </c>
      <c r="AP99" s="175">
        <f>AO99*'Soil samples'!AR99/100</f>
        <v>0.22635431483222504</v>
      </c>
      <c r="AQ99" s="174">
        <f t="shared" si="68"/>
        <v>226.35431483222504</v>
      </c>
      <c r="AR99">
        <f t="shared" si="52"/>
        <v>1.451293094</v>
      </c>
      <c r="AS99">
        <f t="shared" si="45"/>
        <v>1.451293094E-3</v>
      </c>
      <c r="AT99">
        <f>AS99*('Wet ref'!$B$40+M99)</f>
        <v>3.9265626071914819E-2</v>
      </c>
      <c r="AU99" s="175">
        <f t="shared" si="53"/>
        <v>1.3335761347317397E-2</v>
      </c>
      <c r="AV99" s="175">
        <f>AU99*'Soil samples'!AK99/100</f>
        <v>3.8990766689411399E-3</v>
      </c>
      <c r="AW99" s="174">
        <f t="shared" si="69"/>
        <v>3.8990766689411402</v>
      </c>
      <c r="AX99" s="175">
        <f t="shared" si="70"/>
        <v>1.3335761347317397E-2</v>
      </c>
      <c r="AY99" s="175">
        <f>AX99*'Soil samples'!AR99/100</f>
        <v>3.8990766689411399E-3</v>
      </c>
      <c r="AZ99" s="174">
        <f t="shared" si="71"/>
        <v>3.8990766689411402</v>
      </c>
      <c r="BA99">
        <f t="shared" si="54"/>
        <v>1378.28082408</v>
      </c>
      <c r="BB99">
        <f t="shared" si="46"/>
        <v>1.37828082408</v>
      </c>
      <c r="BC99">
        <f>BB99*('Wet ref'!$B$40+M99)</f>
        <v>37.290234263607601</v>
      </c>
      <c r="BD99" s="175">
        <f t="shared" si="55"/>
        <v>12.664860196402776</v>
      </c>
      <c r="BE99" s="175">
        <f>BD99*'Soil samples'!AK99/100</f>
        <v>3.702920262376233</v>
      </c>
      <c r="BF99" s="174">
        <f t="shared" si="74"/>
        <v>3.702920262376233</v>
      </c>
      <c r="BG99" s="175">
        <f t="shared" si="72"/>
        <v>12.664860196402776</v>
      </c>
      <c r="BH99" s="175">
        <f>BG99*'Soil samples'!AR99/100</f>
        <v>3.702920262376233</v>
      </c>
      <c r="BI99" s="174">
        <f t="shared" si="75"/>
        <v>3.702920262376233</v>
      </c>
      <c r="BK99" s="6"/>
      <c r="BL99" s="31"/>
    </row>
    <row r="100" spans="1:64">
      <c r="A100" s="6" t="s">
        <v>104</v>
      </c>
      <c r="B100" s="6" t="s">
        <v>197</v>
      </c>
      <c r="C100" t="s">
        <v>13</v>
      </c>
      <c r="D100" s="8">
        <v>2</v>
      </c>
      <c r="E100" s="3">
        <v>5</v>
      </c>
      <c r="F100" s="26">
        <v>42798</v>
      </c>
      <c r="G100" s="3"/>
      <c r="H100">
        <f>'Wet ref'!B146</f>
        <v>64.793025459999996</v>
      </c>
      <c r="I100">
        <f>'Wet ref'!C146</f>
        <v>358.9752901</v>
      </c>
      <c r="J100">
        <f>'Wet ref'!D146</f>
        <v>82.125673719999995</v>
      </c>
      <c r="K100">
        <f>'Wet ref'!E146</f>
        <v>6.3565967920000004</v>
      </c>
      <c r="L100" s="3">
        <f t="shared" si="56"/>
        <v>5932.8284764400005</v>
      </c>
      <c r="M100" s="31">
        <f>'Wet ref'!$B$41*'Soil samples'!AI100%</f>
        <v>2.015226153157188</v>
      </c>
      <c r="N100" s="105">
        <f>'Wet ref'!$B$41*'Soil samples'!AH100%</f>
        <v>2.984773846842812</v>
      </c>
      <c r="O100">
        <f t="shared" ref="O100:O131" si="76">IF(H100&gt;0,H100,0)</f>
        <v>64.793025459999996</v>
      </c>
      <c r="P100">
        <f t="shared" si="43"/>
        <v>6.4793025460000001E-2</v>
      </c>
      <c r="Q100">
        <f>P100*('Wet ref'!$B$40+M100)</f>
        <v>1.7503982359491714</v>
      </c>
      <c r="R100" s="141">
        <f t="shared" si="73"/>
        <v>0.58644249975611407</v>
      </c>
      <c r="S100" s="141">
        <f>R100*'Soil samples'!AK100/100</f>
        <v>9.4206433058784289E-2</v>
      </c>
      <c r="T100" s="149">
        <f t="shared" si="57"/>
        <v>9.4206433058784289E-2</v>
      </c>
      <c r="U100" s="141">
        <f t="shared" si="58"/>
        <v>64.793025459999996</v>
      </c>
      <c r="V100" s="141">
        <f t="shared" si="59"/>
        <v>0.58644249975611407</v>
      </c>
      <c r="W100" s="141">
        <f>V100*'Soil samples'!AR100/100</f>
        <v>9.4206433058784289E-2</v>
      </c>
      <c r="X100" s="149">
        <f t="shared" si="60"/>
        <v>9.4206433058784289E-2</v>
      </c>
      <c r="Y100">
        <f t="shared" ref="Y100:Y131" si="77">IF(I100&gt;0,I100,0)</f>
        <v>358.9752901</v>
      </c>
      <c r="Z100">
        <f t="shared" si="61"/>
        <v>0.35897529010000001</v>
      </c>
      <c r="AA100">
        <f>Z100*('Wet ref'!$B$40+M100)</f>
        <v>9.6977986454467082</v>
      </c>
      <c r="AB100" s="175">
        <f t="shared" si="49"/>
        <v>3.2490899287745689</v>
      </c>
      <c r="AC100" s="175">
        <f>AB100*'Soil samples'!AK100/100</f>
        <v>0.52193552309794122</v>
      </c>
      <c r="AD100" s="174">
        <f t="shared" si="62"/>
        <v>0.52193552309794122</v>
      </c>
      <c r="AE100" s="175">
        <f t="shared" si="63"/>
        <v>358.9752901</v>
      </c>
      <c r="AF100" s="175">
        <f t="shared" si="64"/>
        <v>3.2490899287745689</v>
      </c>
      <c r="AG100" s="175">
        <f>AF100*'Soil samples'!AR100/100</f>
        <v>0.52193552309794122</v>
      </c>
      <c r="AH100" s="174">
        <f t="shared" si="65"/>
        <v>0.52193552309794122</v>
      </c>
      <c r="AI100">
        <f t="shared" ref="AI100:AI131" si="78">IF(J100&gt;0,J100,0)</f>
        <v>82.125673719999995</v>
      </c>
      <c r="AJ100">
        <f t="shared" si="44"/>
        <v>8.212567372E-2</v>
      </c>
      <c r="AK100">
        <f>AJ100*('Wet ref'!$B$40+M100)</f>
        <v>2.2186436485261978</v>
      </c>
      <c r="AL100" s="175">
        <f t="shared" ref="AL100:AL131" si="79">AK100/N100</f>
        <v>0.74332052020390105</v>
      </c>
      <c r="AM100" s="175">
        <f>AL100*'Soil samples'!AK100/100</f>
        <v>0.11940740116367982</v>
      </c>
      <c r="AN100" s="174">
        <f t="shared" si="66"/>
        <v>119.40740116367982</v>
      </c>
      <c r="AO100" s="175">
        <f t="shared" si="67"/>
        <v>0.74332052020390105</v>
      </c>
      <c r="AP100" s="175">
        <f>AO100*'Soil samples'!AR100/100</f>
        <v>0.11940740116367982</v>
      </c>
      <c r="AQ100" s="174">
        <f t="shared" si="68"/>
        <v>119.40740116367982</v>
      </c>
      <c r="AR100">
        <f t="shared" ref="AR100:AR131" si="80">IF(K100&gt;0,K100,0)</f>
        <v>6.3565967920000004</v>
      </c>
      <c r="AS100">
        <f t="shared" si="45"/>
        <v>6.3565967920000003E-3</v>
      </c>
      <c r="AT100">
        <f>AS100*('Wet ref'!$B$40+M100)</f>
        <v>0.17172489990031348</v>
      </c>
      <c r="AU100" s="175">
        <f t="shared" ref="AU100:AU131" si="81">AT100/N100</f>
        <v>5.7533638631267821E-2</v>
      </c>
      <c r="AV100" s="175">
        <f>AU100*'Soil samples'!AK100/100</f>
        <v>9.24223411263486E-3</v>
      </c>
      <c r="AW100" s="174">
        <f t="shared" si="69"/>
        <v>9.2422341126348613</v>
      </c>
      <c r="AX100" s="175">
        <f t="shared" si="70"/>
        <v>5.7533638631267821E-2</v>
      </c>
      <c r="AY100" s="175">
        <f>AX100*'Soil samples'!AR100/100</f>
        <v>9.24223411263486E-3</v>
      </c>
      <c r="AZ100" s="174">
        <f t="shared" si="71"/>
        <v>9.2422341126348613</v>
      </c>
      <c r="BA100">
        <f t="shared" ref="BA100:BA131" si="82">IF(AR100*1000-O100-Y100&gt;0,AR100*1000-O100-Y100,0)</f>
        <v>5932.8284764400005</v>
      </c>
      <c r="BB100">
        <f t="shared" si="46"/>
        <v>5.9328284764400001</v>
      </c>
      <c r="BC100">
        <f>BB100*('Wet ref'!$B$40+M100)</f>
        <v>160.2767030189176</v>
      </c>
      <c r="BD100" s="175">
        <f t="shared" ref="BD100:BD131" si="83">BC100/N100</f>
        <v>53.698106202737144</v>
      </c>
      <c r="BE100" s="175">
        <f>BD100*'Soil samples'!AK100/100</f>
        <v>8.6260921564781352</v>
      </c>
      <c r="BF100" s="174">
        <f t="shared" si="74"/>
        <v>8.6260921564781352</v>
      </c>
      <c r="BG100" s="175">
        <f t="shared" si="72"/>
        <v>53.698106202737144</v>
      </c>
      <c r="BH100" s="175">
        <f>BG100*'Soil samples'!AR100/100</f>
        <v>8.6260921564781352</v>
      </c>
      <c r="BI100" s="174">
        <f t="shared" si="75"/>
        <v>8.6260921564781352</v>
      </c>
      <c r="BK100" s="6"/>
      <c r="BL100" s="31"/>
    </row>
    <row r="101" spans="1:64">
      <c r="A101" s="6" t="s">
        <v>105</v>
      </c>
      <c r="B101" s="6" t="s">
        <v>197</v>
      </c>
      <c r="C101" t="s">
        <v>13</v>
      </c>
      <c r="D101" s="8">
        <v>2</v>
      </c>
      <c r="E101" s="3">
        <v>10</v>
      </c>
      <c r="F101" s="26">
        <v>42798</v>
      </c>
      <c r="G101" s="3"/>
      <c r="H101">
        <f>'Wet ref'!B147</f>
        <v>66.705919600000001</v>
      </c>
      <c r="I101">
        <f>'Wet ref'!C147</f>
        <v>300.33998780000002</v>
      </c>
      <c r="J101">
        <f>'Wet ref'!D147</f>
        <v>84.479377970000002</v>
      </c>
      <c r="K101">
        <f>'Wet ref'!E147</f>
        <v>5.5911286520000001</v>
      </c>
      <c r="L101" s="3">
        <f t="shared" si="56"/>
        <v>5224.0827446000003</v>
      </c>
      <c r="M101" s="31">
        <f>'Wet ref'!$B$41*'Soil samples'!AI101%</f>
        <v>1.7408946951702298</v>
      </c>
      <c r="N101" s="105">
        <f>'Wet ref'!$B$41*'Soil samples'!AH101%</f>
        <v>3.2591053048297702</v>
      </c>
      <c r="O101">
        <f t="shared" si="76"/>
        <v>66.705919600000001</v>
      </c>
      <c r="P101">
        <f t="shared" si="43"/>
        <v>6.6705919599999997E-2</v>
      </c>
      <c r="Q101">
        <f>P101*('Wet ref'!$B$40+M101)</f>
        <v>1.7837759715680919</v>
      </c>
      <c r="R101" s="141">
        <f t="shared" si="73"/>
        <v>0.54732075362052846</v>
      </c>
      <c r="S101" s="141">
        <f>R101*'Soil samples'!AK101/100</f>
        <v>0.13431833065907722</v>
      </c>
      <c r="T101" s="149">
        <f t="shared" si="57"/>
        <v>0.13431833065907722</v>
      </c>
      <c r="U101" s="141">
        <f t="shared" si="58"/>
        <v>66.705919600000001</v>
      </c>
      <c r="V101" s="141">
        <f t="shared" si="59"/>
        <v>0.54732075362052846</v>
      </c>
      <c r="W101" s="141">
        <f>V101*'Soil samples'!AR101/100</f>
        <v>0.13431833065907722</v>
      </c>
      <c r="X101" s="149">
        <f t="shared" si="60"/>
        <v>0.13431833065907722</v>
      </c>
      <c r="Y101">
        <f t="shared" si="77"/>
        <v>300.33998780000002</v>
      </c>
      <c r="Z101">
        <f t="shared" si="61"/>
        <v>0.30033998780000004</v>
      </c>
      <c r="AA101">
        <f>Z101*('Wet ref'!$B$40+M101)</f>
        <v>8.0313599865085123</v>
      </c>
      <c r="AB101" s="175">
        <f t="shared" si="49"/>
        <v>2.4642836715360463</v>
      </c>
      <c r="AC101" s="175">
        <f>AB101*'Soil samples'!AK101/100</f>
        <v>0.60476140698409053</v>
      </c>
      <c r="AD101" s="174">
        <f t="shared" si="62"/>
        <v>0.60476140698409053</v>
      </c>
      <c r="AE101" s="175">
        <f t="shared" si="63"/>
        <v>300.33998780000002</v>
      </c>
      <c r="AF101" s="175">
        <f t="shared" si="64"/>
        <v>2.4642836715360463</v>
      </c>
      <c r="AG101" s="175">
        <f>AF101*'Soil samples'!AR101/100</f>
        <v>0.60476140698409053</v>
      </c>
      <c r="AH101" s="174">
        <f t="shared" si="65"/>
        <v>0.60476140698409053</v>
      </c>
      <c r="AI101">
        <f t="shared" si="78"/>
        <v>84.479377970000002</v>
      </c>
      <c r="AJ101">
        <f t="shared" si="44"/>
        <v>8.4479377970000005E-2</v>
      </c>
      <c r="AK101">
        <f>AJ101*('Wet ref'!$B$40+M101)</f>
        <v>2.2590541502092538</v>
      </c>
      <c r="AL101" s="175">
        <f t="shared" si="79"/>
        <v>0.6931516287189281</v>
      </c>
      <c r="AM101" s="175">
        <f>AL101*'Soil samples'!AK101/100</f>
        <v>0.17010677751075673</v>
      </c>
      <c r="AN101" s="174">
        <f t="shared" si="66"/>
        <v>170.10677751075673</v>
      </c>
      <c r="AO101" s="175">
        <f t="shared" si="67"/>
        <v>0.6931516287189281</v>
      </c>
      <c r="AP101" s="175">
        <f>AO101*'Soil samples'!AR101/100</f>
        <v>0.17010677751075673</v>
      </c>
      <c r="AQ101" s="174">
        <f t="shared" si="68"/>
        <v>170.10677751075673</v>
      </c>
      <c r="AR101">
        <f t="shared" si="80"/>
        <v>5.5911286520000001</v>
      </c>
      <c r="AS101">
        <f t="shared" si="45"/>
        <v>5.5911286519999999E-3</v>
      </c>
      <c r="AT101">
        <f>AS101*('Wet ref'!$B$40+M101)</f>
        <v>0.14951178251028108</v>
      </c>
      <c r="AU101" s="175">
        <f t="shared" si="81"/>
        <v>4.5875100227266326E-2</v>
      </c>
      <c r="AV101" s="175">
        <f>AU101*'Soil samples'!AK101/100</f>
        <v>1.1258237223024159E-2</v>
      </c>
      <c r="AW101" s="174">
        <f t="shared" si="69"/>
        <v>11.258237223024159</v>
      </c>
      <c r="AX101" s="175">
        <f t="shared" si="70"/>
        <v>4.5875100227266326E-2</v>
      </c>
      <c r="AY101" s="175">
        <f>AX101*'Soil samples'!AR101/100</f>
        <v>1.1258237223024159E-2</v>
      </c>
      <c r="AZ101" s="174">
        <f t="shared" si="71"/>
        <v>11.258237223024159</v>
      </c>
      <c r="BA101">
        <f t="shared" si="82"/>
        <v>5224.0827446000003</v>
      </c>
      <c r="BB101">
        <f t="shared" si="46"/>
        <v>5.2240827446000004</v>
      </c>
      <c r="BC101">
        <f>BB101*('Wet ref'!$B$40+M101)</f>
        <v>139.6966465522045</v>
      </c>
      <c r="BD101" s="175">
        <f t="shared" si="83"/>
        <v>42.86349580210976</v>
      </c>
      <c r="BE101" s="175">
        <f>BD101*'Soil samples'!AK101/100</f>
        <v>10.519157485380992</v>
      </c>
      <c r="BF101" s="174">
        <f t="shared" si="74"/>
        <v>10.519157485380992</v>
      </c>
      <c r="BG101" s="175">
        <f t="shared" si="72"/>
        <v>42.86349580210976</v>
      </c>
      <c r="BH101" s="175">
        <f>BG101*'Soil samples'!AR101/100</f>
        <v>10.519157485380992</v>
      </c>
      <c r="BI101" s="174">
        <f t="shared" si="75"/>
        <v>10.519157485380992</v>
      </c>
      <c r="BK101" s="6"/>
      <c r="BL101" s="31"/>
    </row>
    <row r="102" spans="1:64">
      <c r="A102" s="6" t="s">
        <v>106</v>
      </c>
      <c r="B102" s="6" t="s">
        <v>197</v>
      </c>
      <c r="C102" t="s">
        <v>13</v>
      </c>
      <c r="D102" s="8">
        <v>2</v>
      </c>
      <c r="E102" s="3">
        <v>20</v>
      </c>
      <c r="F102" s="26">
        <v>42798</v>
      </c>
      <c r="G102" s="3"/>
      <c r="H102">
        <f>'Wet ref'!B148</f>
        <v>50.670392700000001</v>
      </c>
      <c r="I102">
        <f>'Wet ref'!C148</f>
        <v>160.4800899</v>
      </c>
      <c r="J102">
        <f>'Wet ref'!D148</f>
        <v>79.951185519999996</v>
      </c>
      <c r="K102">
        <f>'Wet ref'!E148</f>
        <v>2.4658318719999999</v>
      </c>
      <c r="L102" s="3">
        <f t="shared" si="56"/>
        <v>2254.6813893999997</v>
      </c>
      <c r="M102" s="31">
        <f>'Wet ref'!$B$41*'Soil samples'!AI102%</f>
        <v>2.0090785975823842</v>
      </c>
      <c r="N102" s="105">
        <f>'Wet ref'!$B$41*'Soil samples'!AH102%</f>
        <v>2.9909214024176158</v>
      </c>
      <c r="O102">
        <f t="shared" si="76"/>
        <v>50.670392700000001</v>
      </c>
      <c r="P102">
        <f t="shared" si="43"/>
        <v>5.0670392700000004E-2</v>
      </c>
      <c r="Q102">
        <f>P102*('Wet ref'!$B$40+M102)</f>
        <v>1.3685606190046649</v>
      </c>
      <c r="R102" s="141">
        <f t="shared" si="73"/>
        <v>0.45757157573530105</v>
      </c>
      <c r="S102" s="141">
        <f>R102*'Soil samples'!AK102/100</f>
        <v>0.12694768301887269</v>
      </c>
      <c r="T102" s="149">
        <f t="shared" si="57"/>
        <v>0.12694768301887269</v>
      </c>
      <c r="U102" s="141">
        <f t="shared" si="58"/>
        <v>50.670392700000001</v>
      </c>
      <c r="V102" s="141">
        <f t="shared" si="59"/>
        <v>0.45757157573530105</v>
      </c>
      <c r="W102" s="141">
        <f>V102*'Soil samples'!AR102/100</f>
        <v>0.12694768301887269</v>
      </c>
      <c r="X102" s="149">
        <f t="shared" si="60"/>
        <v>0.12694768301887269</v>
      </c>
      <c r="Y102">
        <f t="shared" si="77"/>
        <v>160.4800899</v>
      </c>
      <c r="Z102">
        <f t="shared" si="61"/>
        <v>0.16048008989999998</v>
      </c>
      <c r="AA102">
        <f>Z102*('Wet ref'!$B$40+M102)</f>
        <v>4.3344193614561863</v>
      </c>
      <c r="AB102" s="175">
        <f t="shared" si="49"/>
        <v>1.4491919974736203</v>
      </c>
      <c r="AC102" s="175">
        <f>AB102*'Soil samples'!AK102/100</f>
        <v>0.40206073996867575</v>
      </c>
      <c r="AD102" s="174">
        <f t="shared" si="62"/>
        <v>0.40206073996867575</v>
      </c>
      <c r="AE102" s="175">
        <f t="shared" si="63"/>
        <v>160.4800899</v>
      </c>
      <c r="AF102" s="175">
        <f t="shared" si="64"/>
        <v>1.4491919974736203</v>
      </c>
      <c r="AG102" s="175">
        <f>AF102*'Soil samples'!AR102/100</f>
        <v>0.40206073996867575</v>
      </c>
      <c r="AH102" s="174">
        <f t="shared" si="65"/>
        <v>0.40206073996867575</v>
      </c>
      <c r="AI102">
        <f t="shared" si="78"/>
        <v>79.951185519999996</v>
      </c>
      <c r="AJ102">
        <f t="shared" si="44"/>
        <v>7.9951185519999995E-2</v>
      </c>
      <c r="AK102">
        <f>AJ102*('Wet ref'!$B$40+M102)</f>
        <v>2.1594078536795704</v>
      </c>
      <c r="AL102" s="175">
        <f t="shared" si="79"/>
        <v>0.72198749587136657</v>
      </c>
      <c r="AM102" s="175">
        <f>AL102*'Soil samples'!AK102/100</f>
        <v>0.2003066725073169</v>
      </c>
      <c r="AN102" s="174">
        <f t="shared" si="66"/>
        <v>200.3066725073169</v>
      </c>
      <c r="AO102" s="175">
        <f t="shared" si="67"/>
        <v>0.72198749587136657</v>
      </c>
      <c r="AP102" s="175">
        <f>AO102*'Soil samples'!AR102/100</f>
        <v>0.2003066725073169</v>
      </c>
      <c r="AQ102" s="174">
        <f t="shared" si="68"/>
        <v>200.3066725073169</v>
      </c>
      <c r="AR102">
        <f t="shared" si="80"/>
        <v>2.4658318719999999</v>
      </c>
      <c r="AS102">
        <f t="shared" si="45"/>
        <v>2.4658318719999999E-3</v>
      </c>
      <c r="AT102">
        <f>AS102*('Wet ref'!$B$40+M102)</f>
        <v>6.6599846839271698E-2</v>
      </c>
      <c r="AU102" s="175">
        <f t="shared" si="81"/>
        <v>2.2267334335645809E-2</v>
      </c>
      <c r="AV102" s="175">
        <f>AU102*'Soil samples'!AK102/100</f>
        <v>6.1778017928108405E-3</v>
      </c>
      <c r="AW102" s="174">
        <f t="shared" si="69"/>
        <v>6.1778017928108397</v>
      </c>
      <c r="AX102" s="175">
        <f t="shared" si="70"/>
        <v>2.2267334335645809E-2</v>
      </c>
      <c r="AY102" s="175">
        <f>AX102*'Soil samples'!AR102/100</f>
        <v>6.1778017928108405E-3</v>
      </c>
      <c r="AZ102" s="174">
        <f t="shared" si="71"/>
        <v>6.1778017928108397</v>
      </c>
      <c r="BA102">
        <f t="shared" si="82"/>
        <v>2254.6813893999997</v>
      </c>
      <c r="BB102">
        <f t="shared" si="46"/>
        <v>2.2546813893999995</v>
      </c>
      <c r="BC102">
        <f>BB102*('Wet ref'!$B$40+M102)</f>
        <v>60.896866858810839</v>
      </c>
      <c r="BD102" s="175">
        <f t="shared" si="83"/>
        <v>20.360570762436886</v>
      </c>
      <c r="BE102" s="175">
        <f>BD102*'Soil samples'!AK102/100</f>
        <v>5.6487933698232915</v>
      </c>
      <c r="BF102" s="174">
        <f t="shared" si="74"/>
        <v>5.6487933698232915</v>
      </c>
      <c r="BG102" s="175">
        <f t="shared" si="72"/>
        <v>20.360570762436886</v>
      </c>
      <c r="BH102" s="175">
        <f>BG102*'Soil samples'!AR102/100</f>
        <v>5.6487933698232915</v>
      </c>
      <c r="BI102" s="174">
        <f t="shared" si="75"/>
        <v>5.6487933698232915</v>
      </c>
      <c r="BK102" s="6"/>
      <c r="BL102" s="31"/>
    </row>
    <row r="103" spans="1:64">
      <c r="A103" s="6" t="s">
        <v>107</v>
      </c>
      <c r="B103" s="6" t="s">
        <v>197</v>
      </c>
      <c r="C103" t="s">
        <v>13</v>
      </c>
      <c r="D103" s="8">
        <v>2</v>
      </c>
      <c r="E103" s="3">
        <v>30</v>
      </c>
      <c r="F103" s="26">
        <v>42798</v>
      </c>
      <c r="G103" s="3"/>
      <c r="H103">
        <f>'Wet ref'!B149</f>
        <v>26.132111510000001</v>
      </c>
      <c r="I103">
        <f>'Wet ref'!C149</f>
        <v>42.658878520000002</v>
      </c>
      <c r="J103">
        <f>'Wet ref'!D149</f>
        <v>60.261314390000003</v>
      </c>
      <c r="K103">
        <f>'Wet ref'!E149</f>
        <v>0.50576366800000006</v>
      </c>
      <c r="L103" s="3">
        <f t="shared" si="56"/>
        <v>436.97267797000006</v>
      </c>
      <c r="M103" s="31">
        <f>'Wet ref'!$B$41*'Soil samples'!AI103%</f>
        <v>1.4950030230821212</v>
      </c>
      <c r="N103" s="105">
        <f>'Wet ref'!$B$41*'Soil samples'!AH103%</f>
        <v>3.5049969769178784</v>
      </c>
      <c r="O103">
        <f t="shared" si="76"/>
        <v>26.132111510000001</v>
      </c>
      <c r="P103">
        <f t="shared" si="43"/>
        <v>2.613211151E-2</v>
      </c>
      <c r="Q103">
        <f>P103*('Wet ref'!$B$40+M103)</f>
        <v>0.69237037345696906</v>
      </c>
      <c r="R103" s="141">
        <f t="shared" si="73"/>
        <v>0.19753808006585086</v>
      </c>
      <c r="S103" s="141">
        <f>R103*'Soil samples'!AK103/100</f>
        <v>8.3319850741811696E-2</v>
      </c>
      <c r="T103" s="149">
        <f t="shared" si="57"/>
        <v>8.3319850741811696E-2</v>
      </c>
      <c r="U103" s="141">
        <f t="shared" si="58"/>
        <v>26.132111510000001</v>
      </c>
      <c r="V103" s="141">
        <f t="shared" si="59"/>
        <v>0.19753808006585086</v>
      </c>
      <c r="W103" s="141">
        <f>V103*'Soil samples'!AR103/100</f>
        <v>8.3319850741811696E-2</v>
      </c>
      <c r="X103" s="149">
        <f t="shared" si="60"/>
        <v>8.3319850741811696E-2</v>
      </c>
      <c r="Y103">
        <f t="shared" si="77"/>
        <v>42.658878520000002</v>
      </c>
      <c r="Z103">
        <f t="shared" si="61"/>
        <v>4.2658878519999999E-2</v>
      </c>
      <c r="AA103">
        <f>Z103*('Wet ref'!$B$40+M103)</f>
        <v>1.1302471153486928</v>
      </c>
      <c r="AB103" s="175">
        <f t="shared" si="49"/>
        <v>0.32246735811526334</v>
      </c>
      <c r="AC103" s="175">
        <f>AB103*'Soil samples'!AK103/100</f>
        <v>0.13601393786106175</v>
      </c>
      <c r="AD103" s="174">
        <f t="shared" si="62"/>
        <v>0.13601393786106175</v>
      </c>
      <c r="AE103" s="175">
        <f t="shared" si="63"/>
        <v>42.658878520000002</v>
      </c>
      <c r="AF103" s="175">
        <f t="shared" si="64"/>
        <v>0.32246735811526334</v>
      </c>
      <c r="AG103" s="175">
        <f>AF103*'Soil samples'!AR103/100</f>
        <v>0.13601393786106175</v>
      </c>
      <c r="AH103" s="174">
        <f t="shared" si="65"/>
        <v>0.13601393786106175</v>
      </c>
      <c r="AI103">
        <f t="shared" si="78"/>
        <v>60.261314390000003</v>
      </c>
      <c r="AJ103">
        <f t="shared" si="44"/>
        <v>6.0261314390000001E-2</v>
      </c>
      <c r="AK103">
        <f>AJ103*('Wet ref'!$B$40+M103)</f>
        <v>1.5966237069379521</v>
      </c>
      <c r="AL103" s="175">
        <f t="shared" si="79"/>
        <v>0.45552784137975044</v>
      </c>
      <c r="AM103" s="175">
        <f>AL103*'Soil samples'!AK103/100</f>
        <v>0.19213769689291321</v>
      </c>
      <c r="AN103" s="174">
        <f t="shared" si="66"/>
        <v>192.13769689291323</v>
      </c>
      <c r="AO103" s="175">
        <f t="shared" si="67"/>
        <v>0.45552784137975044</v>
      </c>
      <c r="AP103" s="175">
        <f>AO103*'Soil samples'!AR103/100</f>
        <v>0.19213769689291321</v>
      </c>
      <c r="AQ103" s="174">
        <f t="shared" si="68"/>
        <v>192.13769689291323</v>
      </c>
      <c r="AR103">
        <f t="shared" si="80"/>
        <v>0.50576366800000006</v>
      </c>
      <c r="AS103">
        <f t="shared" si="45"/>
        <v>5.0576366800000004E-4</v>
      </c>
      <c r="AT103">
        <f>AS103*('Wet ref'!$B$40+M103)</f>
        <v>1.3400209912625102E-2</v>
      </c>
      <c r="AU103" s="175">
        <f t="shared" si="81"/>
        <v>3.8231730300687982E-3</v>
      </c>
      <c r="AV103" s="175">
        <f>AU103*'Soil samples'!AK103/100</f>
        <v>1.6125812608853054E-3</v>
      </c>
      <c r="AW103" s="174">
        <f t="shared" si="69"/>
        <v>1.6125812608853056</v>
      </c>
      <c r="AX103" s="175">
        <f t="shared" si="70"/>
        <v>3.8231730300687982E-3</v>
      </c>
      <c r="AY103" s="175">
        <f>AX103*'Soil samples'!AR103/100</f>
        <v>1.6125812608853054E-3</v>
      </c>
      <c r="AZ103" s="174">
        <f t="shared" si="71"/>
        <v>1.6125812608853056</v>
      </c>
      <c r="BA103">
        <f t="shared" si="82"/>
        <v>436.97267797000006</v>
      </c>
      <c r="BB103">
        <f t="shared" si="46"/>
        <v>0.43697267797000006</v>
      </c>
      <c r="BC103">
        <f>BB103*('Wet ref'!$B$40+M103)</f>
        <v>11.577592423819441</v>
      </c>
      <c r="BD103" s="175">
        <f t="shared" si="83"/>
        <v>3.3031675918876839</v>
      </c>
      <c r="BE103" s="175">
        <f>BD103*'Soil samples'!AK103/100</f>
        <v>1.3932474722824317</v>
      </c>
      <c r="BF103" s="174">
        <f t="shared" si="74"/>
        <v>1.3932474722824317</v>
      </c>
      <c r="BG103" s="175">
        <f t="shared" si="72"/>
        <v>3.3031675918876839</v>
      </c>
      <c r="BH103" s="175">
        <f>BG103*'Soil samples'!AR103/100</f>
        <v>1.3932474722824317</v>
      </c>
      <c r="BI103" s="174">
        <f t="shared" si="75"/>
        <v>1.3932474722824317</v>
      </c>
      <c r="BK103" s="6"/>
      <c r="BL103" s="31"/>
    </row>
    <row r="104" spans="1:64">
      <c r="A104" s="6" t="s">
        <v>108</v>
      </c>
      <c r="B104" s="6" t="s">
        <v>197</v>
      </c>
      <c r="C104" t="s">
        <v>13</v>
      </c>
      <c r="D104" s="8">
        <v>3</v>
      </c>
      <c r="E104" s="3">
        <v>5</v>
      </c>
      <c r="F104" s="26">
        <v>42818</v>
      </c>
      <c r="G104" s="3"/>
      <c r="H104">
        <f>'Wet ref'!B150</f>
        <v>242.8530921</v>
      </c>
      <c r="I104">
        <f>'Wet ref'!C150</f>
        <v>398.73429149999998</v>
      </c>
      <c r="J104">
        <f>'Wet ref'!D150</f>
        <v>29.041876729999998</v>
      </c>
      <c r="K104">
        <f>'Wet ref'!E150</f>
        <v>16.872332270000001</v>
      </c>
      <c r="L104" s="3">
        <f t="shared" si="56"/>
        <v>16230.744886400003</v>
      </c>
      <c r="M104" s="31">
        <f>'Wet ref'!$B$41*'Soil samples'!AI104%</f>
        <v>2.6407730722346745</v>
      </c>
      <c r="N104" s="105">
        <f>'Wet ref'!$B$41*'Soil samples'!AH104%</f>
        <v>2.3592269277653255</v>
      </c>
      <c r="O104">
        <f t="shared" si="76"/>
        <v>242.8530921</v>
      </c>
      <c r="P104">
        <f t="shared" si="43"/>
        <v>0.2428530921</v>
      </c>
      <c r="Q104">
        <f>P104*('Wet ref'!$B$40+M104)</f>
        <v>6.7126472086266071</v>
      </c>
      <c r="R104" s="141">
        <f t="shared" si="73"/>
        <v>2.8452740724627406</v>
      </c>
      <c r="S104" s="141">
        <f>R104*'Soil samples'!AK104/100</f>
        <v>0.31629993647048577</v>
      </c>
      <c r="T104" s="149">
        <f t="shared" si="57"/>
        <v>0.31629993647048577</v>
      </c>
      <c r="U104" s="141">
        <f t="shared" si="58"/>
        <v>242.8530921</v>
      </c>
      <c r="V104" s="141">
        <f t="shared" si="59"/>
        <v>2.8452740724627406</v>
      </c>
      <c r="W104" s="141">
        <f>V104*'Soil samples'!AR104/100</f>
        <v>0.31629993647048577</v>
      </c>
      <c r="X104" s="149">
        <f t="shared" si="60"/>
        <v>0.31629993647048577</v>
      </c>
      <c r="Y104">
        <f t="shared" si="77"/>
        <v>398.73429149999998</v>
      </c>
      <c r="Z104">
        <f t="shared" si="61"/>
        <v>0.3987342915</v>
      </c>
      <c r="AA104">
        <f>Z104*('Wet ref'!$B$40+M104)</f>
        <v>11.02132406746977</v>
      </c>
      <c r="AB104" s="175">
        <f t="shared" si="49"/>
        <v>4.6715828552826997</v>
      </c>
      <c r="AC104" s="175">
        <f>AB104*'Soil samples'!AK104/100</f>
        <v>0.51932479005917576</v>
      </c>
      <c r="AD104" s="174">
        <f t="shared" si="62"/>
        <v>0.51932479005917576</v>
      </c>
      <c r="AE104" s="175">
        <f t="shared" si="63"/>
        <v>398.73429149999998</v>
      </c>
      <c r="AF104" s="175">
        <f t="shared" si="64"/>
        <v>4.6715828552826997</v>
      </c>
      <c r="AG104" s="175">
        <f>AF104*'Soil samples'!AR104/100</f>
        <v>0.51932479005917576</v>
      </c>
      <c r="AH104" s="174">
        <f t="shared" si="65"/>
        <v>0.51932479005917576</v>
      </c>
      <c r="AI104">
        <f t="shared" si="78"/>
        <v>29.041876729999998</v>
      </c>
      <c r="AJ104">
        <f t="shared" si="44"/>
        <v>2.9041876729999999E-2</v>
      </c>
      <c r="AK104">
        <f>AJ104*('Wet ref'!$B$40+M104)</f>
        <v>0.8027399242857427</v>
      </c>
      <c r="AL104" s="175">
        <f t="shared" si="79"/>
        <v>0.34025549422077128</v>
      </c>
      <c r="AM104" s="175">
        <f>AL104*'Soil samples'!AK104/100</f>
        <v>3.7825105232344197E-2</v>
      </c>
      <c r="AN104" s="174">
        <f t="shared" si="66"/>
        <v>37.8251052323442</v>
      </c>
      <c r="AO104" s="175">
        <f t="shared" si="67"/>
        <v>0.34025549422077128</v>
      </c>
      <c r="AP104" s="175">
        <f>AO104*'Soil samples'!AR104/100</f>
        <v>3.7825105232344197E-2</v>
      </c>
      <c r="AQ104" s="174">
        <f t="shared" si="68"/>
        <v>37.8251052323442</v>
      </c>
      <c r="AR104">
        <f t="shared" si="80"/>
        <v>16.872332270000001</v>
      </c>
      <c r="AS104">
        <f t="shared" si="45"/>
        <v>1.6872332270000002E-2</v>
      </c>
      <c r="AT104">
        <f>AS104*('Wet ref'!$B$40+M104)</f>
        <v>0.46636430747441215</v>
      </c>
      <c r="AU104" s="175">
        <f t="shared" si="81"/>
        <v>0.19767674825420686</v>
      </c>
      <c r="AV104" s="175">
        <f>AU104*'Soil samples'!AK104/100</f>
        <v>2.1975086168194304E-2</v>
      </c>
      <c r="AW104" s="174">
        <f t="shared" si="69"/>
        <v>21.975086168194302</v>
      </c>
      <c r="AX104" s="175">
        <f t="shared" si="70"/>
        <v>0.19767674825420686</v>
      </c>
      <c r="AY104" s="175">
        <f>AX104*'Soil samples'!AR104/100</f>
        <v>2.1975086168194304E-2</v>
      </c>
      <c r="AZ104" s="174">
        <f t="shared" si="71"/>
        <v>21.975086168194302</v>
      </c>
      <c r="BA104">
        <f t="shared" si="82"/>
        <v>16230.744886400003</v>
      </c>
      <c r="BB104">
        <f t="shared" si="46"/>
        <v>16.230744886400004</v>
      </c>
      <c r="BC104">
        <f>BB104*('Wet ref'!$B$40+M104)</f>
        <v>448.63033619831583</v>
      </c>
      <c r="BD104" s="175">
        <f t="shared" si="83"/>
        <v>190.15989132646146</v>
      </c>
      <c r="BE104" s="175">
        <f>BD104*'Soil samples'!AK104/100</f>
        <v>21.139461441664643</v>
      </c>
      <c r="BF104" s="174">
        <f t="shared" si="74"/>
        <v>21.139461441664643</v>
      </c>
      <c r="BG104" s="175">
        <f t="shared" si="72"/>
        <v>190.15989132646146</v>
      </c>
      <c r="BH104" s="175">
        <f>BG104*'Soil samples'!AR104/100</f>
        <v>21.139461441664643</v>
      </c>
      <c r="BI104" s="174">
        <f t="shared" si="75"/>
        <v>21.139461441664643</v>
      </c>
      <c r="BK104" s="6"/>
      <c r="BL104" s="31"/>
    </row>
    <row r="105" spans="1:64">
      <c r="A105" s="6" t="s">
        <v>109</v>
      </c>
      <c r="B105" s="6" t="s">
        <v>197</v>
      </c>
      <c r="C105" t="s">
        <v>13</v>
      </c>
      <c r="D105" s="8">
        <v>3</v>
      </c>
      <c r="E105" s="3">
        <v>10</v>
      </c>
      <c r="F105" s="26">
        <v>42818</v>
      </c>
      <c r="G105" s="3"/>
      <c r="H105">
        <f>'Wet ref'!B151</f>
        <v>192.00650110000001</v>
      </c>
      <c r="I105">
        <f>'Wet ref'!C151</f>
        <v>205.69903529999999</v>
      </c>
      <c r="J105">
        <f>'Wet ref'!D151</f>
        <v>84.479377970000002</v>
      </c>
      <c r="K105">
        <f>'Wet ref'!E151</f>
        <v>15.19405282</v>
      </c>
      <c r="L105" s="3">
        <f t="shared" si="56"/>
        <v>14796.347283599998</v>
      </c>
      <c r="M105" s="31">
        <f>'Wet ref'!$B$41*'Soil samples'!AI105%</f>
        <v>2.1820088518958909</v>
      </c>
      <c r="N105" s="105">
        <f>'Wet ref'!$B$41*'Soil samples'!AH105%</f>
        <v>2.8179911481041087</v>
      </c>
      <c r="O105">
        <f t="shared" si="76"/>
        <v>192.00650110000001</v>
      </c>
      <c r="P105">
        <f t="shared" si="43"/>
        <v>0.1920065011</v>
      </c>
      <c r="Q105">
        <f>P105*('Wet ref'!$B$40+M105)</f>
        <v>5.2191224125217586</v>
      </c>
      <c r="R105" s="141">
        <f t="shared" si="73"/>
        <v>1.8520719683711873</v>
      </c>
      <c r="S105" s="141">
        <f>R105*'Soil samples'!AK105/100</f>
        <v>0.21544537318889806</v>
      </c>
      <c r="T105" s="149">
        <f t="shared" si="57"/>
        <v>0.21544537318889806</v>
      </c>
      <c r="U105" s="141">
        <f t="shared" si="58"/>
        <v>192.00650110000001</v>
      </c>
      <c r="V105" s="141">
        <f t="shared" si="59"/>
        <v>1.8520719683711873</v>
      </c>
      <c r="W105" s="141">
        <f>V105*'Soil samples'!AR105/100</f>
        <v>0.21544537318889806</v>
      </c>
      <c r="X105" s="149">
        <f t="shared" si="60"/>
        <v>0.21544537318889806</v>
      </c>
      <c r="Y105">
        <f t="shared" si="77"/>
        <v>205.69903529999999</v>
      </c>
      <c r="Z105">
        <f t="shared" si="61"/>
        <v>0.2056990353</v>
      </c>
      <c r="AA105">
        <f>Z105*('Wet ref'!$B$40+M105)</f>
        <v>5.5913129983510448</v>
      </c>
      <c r="AB105" s="175">
        <f t="shared" si="49"/>
        <v>1.9841485315213907</v>
      </c>
      <c r="AC105" s="175">
        <f>AB105*'Soil samples'!AK105/100</f>
        <v>0.230809400571931</v>
      </c>
      <c r="AD105" s="174">
        <f t="shared" si="62"/>
        <v>0.230809400571931</v>
      </c>
      <c r="AE105" s="175">
        <f t="shared" si="63"/>
        <v>205.69903529999999</v>
      </c>
      <c r="AF105" s="175">
        <f t="shared" si="64"/>
        <v>1.9841485315213907</v>
      </c>
      <c r="AG105" s="175">
        <f>AF105*'Soil samples'!AR105/100</f>
        <v>0.230809400571931</v>
      </c>
      <c r="AH105" s="174">
        <f t="shared" si="65"/>
        <v>0.230809400571931</v>
      </c>
      <c r="AI105">
        <f t="shared" si="78"/>
        <v>84.479377970000002</v>
      </c>
      <c r="AJ105">
        <f t="shared" si="44"/>
        <v>8.4479377970000005E-2</v>
      </c>
      <c r="AK105">
        <f>AJ105*('Wet ref'!$B$40+M105)</f>
        <v>2.2963191997831989</v>
      </c>
      <c r="AL105" s="175">
        <f t="shared" si="79"/>
        <v>0.8148780741657472</v>
      </c>
      <c r="AM105" s="175">
        <f>AL105*'Soil samples'!AK105/100</f>
        <v>9.4792056567050392E-2</v>
      </c>
      <c r="AN105" s="174">
        <f t="shared" si="66"/>
        <v>94.792056567050395</v>
      </c>
      <c r="AO105" s="175">
        <f t="shared" si="67"/>
        <v>0.8148780741657472</v>
      </c>
      <c r="AP105" s="175">
        <f>AO105*'Soil samples'!AR105/100</f>
        <v>9.4792056567050392E-2</v>
      </c>
      <c r="AQ105" s="174">
        <f t="shared" si="68"/>
        <v>94.792056567050395</v>
      </c>
      <c r="AR105">
        <f t="shared" si="80"/>
        <v>15.19405282</v>
      </c>
      <c r="AS105">
        <f t="shared" si="45"/>
        <v>1.519405282E-2</v>
      </c>
      <c r="AT105">
        <f>AS105*('Wet ref'!$B$40+M105)</f>
        <v>0.41300487824941373</v>
      </c>
      <c r="AU105" s="175">
        <f t="shared" si="81"/>
        <v>0.14656003391894101</v>
      </c>
      <c r="AV105" s="175">
        <f>AU105*'Soil samples'!AK105/100</f>
        <v>1.7048841374135787E-2</v>
      </c>
      <c r="AW105" s="174">
        <f t="shared" si="69"/>
        <v>17.048841374135787</v>
      </c>
      <c r="AX105" s="175">
        <f t="shared" si="70"/>
        <v>0.14656003391894101</v>
      </c>
      <c r="AY105" s="175">
        <f>AX105*'Soil samples'!AR105/100</f>
        <v>1.7048841374135787E-2</v>
      </c>
      <c r="AZ105" s="174">
        <f t="shared" si="71"/>
        <v>17.048841374135787</v>
      </c>
      <c r="BA105">
        <f t="shared" si="82"/>
        <v>14796.347283599998</v>
      </c>
      <c r="BB105">
        <f t="shared" si="46"/>
        <v>14.796347283599998</v>
      </c>
      <c r="BC105">
        <f>BB105*('Wet ref'!$B$40+M105)</f>
        <v>402.19444283854085</v>
      </c>
      <c r="BD105" s="175">
        <f t="shared" si="83"/>
        <v>142.72381341904841</v>
      </c>
      <c r="BE105" s="175">
        <f>BD105*'Soil samples'!AK105/100</f>
        <v>16.602586600374956</v>
      </c>
      <c r="BF105" s="174">
        <f t="shared" si="74"/>
        <v>16.602586600374956</v>
      </c>
      <c r="BG105" s="175">
        <f t="shared" si="72"/>
        <v>142.72381341904841</v>
      </c>
      <c r="BH105" s="175">
        <f>BG105*'Soil samples'!AR105/100</f>
        <v>16.602586600374956</v>
      </c>
      <c r="BI105" s="174">
        <f t="shared" si="75"/>
        <v>16.602586600374956</v>
      </c>
      <c r="BK105" s="6"/>
      <c r="BL105" s="31"/>
    </row>
    <row r="106" spans="1:64">
      <c r="A106" s="6" t="s">
        <v>110</v>
      </c>
      <c r="B106" s="6" t="s">
        <v>197</v>
      </c>
      <c r="C106" t="s">
        <v>13</v>
      </c>
      <c r="D106" s="8">
        <v>3</v>
      </c>
      <c r="E106" s="3">
        <v>20</v>
      </c>
      <c r="F106" s="26">
        <v>42818</v>
      </c>
      <c r="G106" s="3"/>
      <c r="H106">
        <f>'Wet ref'!B152</f>
        <v>120.02934759999999</v>
      </c>
      <c r="I106">
        <f>'Wet ref'!C152</f>
        <v>76.980997919999993</v>
      </c>
      <c r="J106">
        <f>'Wet ref'!D152</f>
        <v>37.898596490000003</v>
      </c>
      <c r="K106">
        <f>'Wet ref'!E152</f>
        <v>4.825063578</v>
      </c>
      <c r="L106" s="3">
        <f t="shared" si="56"/>
        <v>4628.0532324800006</v>
      </c>
      <c r="M106" s="31">
        <f>'Wet ref'!$B$41*'Soil samples'!AI106%</f>
        <v>1.4340434130008077</v>
      </c>
      <c r="N106" s="105">
        <f>'Wet ref'!$B$41*'Soil samples'!AH106%</f>
        <v>3.5659565869991923</v>
      </c>
      <c r="O106">
        <f t="shared" si="76"/>
        <v>120.02934759999999</v>
      </c>
      <c r="P106">
        <f t="shared" si="43"/>
        <v>0.12002934759999999</v>
      </c>
      <c r="Q106">
        <f>P106*('Wet ref'!$B$40+M106)</f>
        <v>3.172860985292564</v>
      </c>
      <c r="R106" s="141">
        <f t="shared" si="73"/>
        <v>0.88976433332369187</v>
      </c>
      <c r="S106" s="141">
        <f>R106*'Soil samples'!AK106/100</f>
        <v>0.39863825419215765</v>
      </c>
      <c r="T106" s="149">
        <f t="shared" si="57"/>
        <v>0.39863825419215765</v>
      </c>
      <c r="U106" s="141">
        <f t="shared" si="58"/>
        <v>120.02934759999999</v>
      </c>
      <c r="V106" s="141">
        <f t="shared" si="59"/>
        <v>0.88976433332369187</v>
      </c>
      <c r="W106" s="141">
        <f>V106*'Soil samples'!AR106/100</f>
        <v>0.39863825419215765</v>
      </c>
      <c r="X106" s="149">
        <f t="shared" si="60"/>
        <v>0.39863825419215765</v>
      </c>
      <c r="Y106">
        <f t="shared" si="77"/>
        <v>76.980997919999993</v>
      </c>
      <c r="Z106">
        <f t="shared" si="61"/>
        <v>7.6980997919999988E-2</v>
      </c>
      <c r="AA106">
        <f>Z106*('Wet ref'!$B$40+M106)</f>
        <v>2.0349190409934046</v>
      </c>
      <c r="AB106" s="175">
        <f t="shared" si="49"/>
        <v>0.57065165863553613</v>
      </c>
      <c r="AC106" s="175">
        <f>AB106*'Soil samples'!AK106/100</f>
        <v>0.25566722831041133</v>
      </c>
      <c r="AD106" s="174">
        <f t="shared" si="62"/>
        <v>0.25566722831041133</v>
      </c>
      <c r="AE106" s="175">
        <f t="shared" si="63"/>
        <v>76.980997919999993</v>
      </c>
      <c r="AF106" s="175">
        <f t="shared" si="64"/>
        <v>0.57065165863553613</v>
      </c>
      <c r="AG106" s="175">
        <f>AF106*'Soil samples'!AR106/100</f>
        <v>0.25566722831041133</v>
      </c>
      <c r="AH106" s="174">
        <f t="shared" si="65"/>
        <v>0.25566722831041133</v>
      </c>
      <c r="AI106">
        <f t="shared" si="78"/>
        <v>37.898596490000003</v>
      </c>
      <c r="AJ106">
        <f t="shared" si="44"/>
        <v>3.7898596490000006E-2</v>
      </c>
      <c r="AK106">
        <f>AJ106*('Wet ref'!$B$40+M106)</f>
        <v>1.0018131449084602</v>
      </c>
      <c r="AL106" s="175">
        <f t="shared" si="79"/>
        <v>0.28093812150178238</v>
      </c>
      <c r="AM106" s="175">
        <f>AL106*'Soil samples'!AK106/100</f>
        <v>0.12586780352629892</v>
      </c>
      <c r="AN106" s="174">
        <f t="shared" si="66"/>
        <v>125.86780352629893</v>
      </c>
      <c r="AO106" s="175">
        <f t="shared" si="67"/>
        <v>0.28093812150178238</v>
      </c>
      <c r="AP106" s="175">
        <f>AO106*'Soil samples'!AR106/100</f>
        <v>0.12586780352629892</v>
      </c>
      <c r="AQ106" s="174">
        <f t="shared" si="68"/>
        <v>125.86780352629893</v>
      </c>
      <c r="AR106">
        <f t="shared" si="80"/>
        <v>4.825063578</v>
      </c>
      <c r="AS106">
        <f t="shared" si="45"/>
        <v>4.8250635780000004E-3</v>
      </c>
      <c r="AT106">
        <f>AS106*('Wet ref'!$B$40+M106)</f>
        <v>0.12754594009134101</v>
      </c>
      <c r="AU106" s="175">
        <f t="shared" si="81"/>
        <v>3.5767664855020823E-2</v>
      </c>
      <c r="AV106" s="175">
        <f>AU106*'Soil samples'!AK106/100</f>
        <v>1.6024871913076083E-2</v>
      </c>
      <c r="AW106" s="174">
        <f t="shared" si="69"/>
        <v>16.024871913076083</v>
      </c>
      <c r="AX106" s="175">
        <f t="shared" si="70"/>
        <v>3.5767664855020823E-2</v>
      </c>
      <c r="AY106" s="175">
        <f>AX106*'Soil samples'!AR106/100</f>
        <v>1.6024871913076083E-2</v>
      </c>
      <c r="AZ106" s="174">
        <f t="shared" si="71"/>
        <v>16.024871913076083</v>
      </c>
      <c r="BA106">
        <f t="shared" si="82"/>
        <v>4628.0532324800006</v>
      </c>
      <c r="BB106">
        <f t="shared" si="46"/>
        <v>4.628053232480001</v>
      </c>
      <c r="BC106">
        <f>BB106*('Wet ref'!$B$40+M106)</f>
        <v>122.33816006505506</v>
      </c>
      <c r="BD106" s="175">
        <f t="shared" si="83"/>
        <v>34.307248863061602</v>
      </c>
      <c r="BE106" s="175">
        <f>BD106*'Soil samples'!AK106/100</f>
        <v>15.370566430573517</v>
      </c>
      <c r="BF106" s="174">
        <f t="shared" si="74"/>
        <v>15.370566430573517</v>
      </c>
      <c r="BG106" s="175">
        <f t="shared" si="72"/>
        <v>34.307248863061602</v>
      </c>
      <c r="BH106" s="175">
        <f>BG106*'Soil samples'!AR106/100</f>
        <v>15.370566430573517</v>
      </c>
      <c r="BI106" s="174">
        <f t="shared" si="75"/>
        <v>15.370566430573517</v>
      </c>
      <c r="BK106" s="6"/>
      <c r="BL106" s="31"/>
    </row>
    <row r="107" spans="1:64">
      <c r="A107" s="6" t="s">
        <v>111</v>
      </c>
      <c r="B107" s="6" t="s">
        <v>197</v>
      </c>
      <c r="C107" t="s">
        <v>13</v>
      </c>
      <c r="D107" s="8">
        <v>3</v>
      </c>
      <c r="E107" s="3">
        <v>30</v>
      </c>
      <c r="F107" s="26">
        <v>42818</v>
      </c>
      <c r="G107" s="3"/>
      <c r="H107">
        <f>'Wet ref'!B153</f>
        <v>66.047234349999997</v>
      </c>
      <c r="I107">
        <f>'Wet ref'!C153</f>
        <v>74.582543079999994</v>
      </c>
      <c r="J107">
        <f>'Wet ref'!D153</f>
        <v>93.21317397</v>
      </c>
      <c r="K107">
        <f>'Wet ref'!E153</f>
        <v>1.611768804</v>
      </c>
      <c r="L107" s="3">
        <f t="shared" si="56"/>
        <v>1471.1390265699999</v>
      </c>
      <c r="M107" s="31">
        <f>'Wet ref'!$B$41*'Soil samples'!AI107%</f>
        <v>1.8974819224121187</v>
      </c>
      <c r="N107" s="105">
        <f>'Wet ref'!$B$41*'Soil samples'!AH107%</f>
        <v>3.1025180775878813</v>
      </c>
      <c r="O107">
        <f t="shared" si="76"/>
        <v>66.047234349999997</v>
      </c>
      <c r="P107">
        <f t="shared" si="43"/>
        <v>6.6047234349999998E-2</v>
      </c>
      <c r="Q107">
        <f>P107*('Wet ref'!$B$40+M107)</f>
        <v>1.7765042919544416</v>
      </c>
      <c r="R107" s="141">
        <f t="shared" si="73"/>
        <v>0.57260078669247361</v>
      </c>
      <c r="S107" s="141">
        <f>R107*'Soil samples'!AK107/100</f>
        <v>0.2510200564531625</v>
      </c>
      <c r="T107" s="149">
        <f t="shared" si="57"/>
        <v>0.2510200564531625</v>
      </c>
      <c r="U107" s="141">
        <f t="shared" si="58"/>
        <v>66.047234349999997</v>
      </c>
      <c r="V107" s="141">
        <f t="shared" si="59"/>
        <v>0.57260078669247361</v>
      </c>
      <c r="W107" s="141">
        <f>V107*'Soil samples'!AR107/100</f>
        <v>0.2510200564531625</v>
      </c>
      <c r="X107" s="149">
        <f t="shared" si="60"/>
        <v>0.2510200564531625</v>
      </c>
      <c r="Y107">
        <f t="shared" si="77"/>
        <v>74.582543079999994</v>
      </c>
      <c r="Z107">
        <f t="shared" si="61"/>
        <v>7.4582543079999994E-2</v>
      </c>
      <c r="AA107">
        <f>Z107*('Wet ref'!$B$40+M107)</f>
        <v>2.0060826042218229</v>
      </c>
      <c r="AB107" s="175">
        <f t="shared" si="49"/>
        <v>0.64659819993103618</v>
      </c>
      <c r="AC107" s="175">
        <f>AB107*'Soil samples'!AK107/100</f>
        <v>0.28345947197654348</v>
      </c>
      <c r="AD107" s="174">
        <f t="shared" si="62"/>
        <v>0.28345947197654348</v>
      </c>
      <c r="AE107" s="175">
        <f t="shared" si="63"/>
        <v>74.582543079999994</v>
      </c>
      <c r="AF107" s="175">
        <f t="shared" si="64"/>
        <v>0.64659819993103618</v>
      </c>
      <c r="AG107" s="175">
        <f>AF107*'Soil samples'!AR107/100</f>
        <v>0.28345947197654348</v>
      </c>
      <c r="AH107" s="174">
        <f t="shared" si="65"/>
        <v>0.28345947197654348</v>
      </c>
      <c r="AI107">
        <f t="shared" si="78"/>
        <v>93.21317397</v>
      </c>
      <c r="AJ107">
        <f t="shared" si="44"/>
        <v>9.3213173969999993E-2</v>
      </c>
      <c r="AK107">
        <f>AJ107*('Wet ref'!$B$40+M107)</f>
        <v>2.5071996617887309</v>
      </c>
      <c r="AL107" s="175">
        <f t="shared" si="79"/>
        <v>0.80811766413235753</v>
      </c>
      <c r="AM107" s="175">
        <f>AL107*'Soil samples'!AK107/100</f>
        <v>0.35426731221074753</v>
      </c>
      <c r="AN107" s="174">
        <f t="shared" si="66"/>
        <v>354.26731221074749</v>
      </c>
      <c r="AO107" s="175">
        <f t="shared" si="67"/>
        <v>0.80811766413235753</v>
      </c>
      <c r="AP107" s="175">
        <f>AO107*'Soil samples'!AR107/100</f>
        <v>0.35426731221074753</v>
      </c>
      <c r="AQ107" s="174">
        <f t="shared" si="68"/>
        <v>354.26731221074749</v>
      </c>
      <c r="AR107">
        <f t="shared" si="80"/>
        <v>1.611768804</v>
      </c>
      <c r="AS107">
        <f t="shared" si="45"/>
        <v>1.611768804E-3</v>
      </c>
      <c r="AT107">
        <f>AS107*('Wet ref'!$B$40+M107)</f>
        <v>4.3352522268697805E-2</v>
      </c>
      <c r="AU107" s="175">
        <f t="shared" si="81"/>
        <v>1.3973334299603226E-2</v>
      </c>
      <c r="AV107" s="175">
        <f>AU107*'Soil samples'!AK107/100</f>
        <v>6.125711396566997E-3</v>
      </c>
      <c r="AW107" s="174">
        <f t="shared" si="69"/>
        <v>6.1257113965669969</v>
      </c>
      <c r="AX107" s="175">
        <f t="shared" si="70"/>
        <v>1.3973334299603226E-2</v>
      </c>
      <c r="AY107" s="175">
        <f>AX107*'Soil samples'!AR107/100</f>
        <v>6.125711396566997E-3</v>
      </c>
      <c r="AZ107" s="174">
        <f t="shared" si="71"/>
        <v>6.1257113965669969</v>
      </c>
      <c r="BA107">
        <f t="shared" si="82"/>
        <v>1471.1390265699999</v>
      </c>
      <c r="BB107">
        <f t="shared" si="46"/>
        <v>1.47113902657</v>
      </c>
      <c r="BC107">
        <f>BB107*('Wet ref'!$B$40+M107)</f>
        <v>39.569935372521535</v>
      </c>
      <c r="BD107" s="175">
        <f t="shared" si="83"/>
        <v>12.754135312979715</v>
      </c>
      <c r="BE107" s="175">
        <f>BD107*'Soil samples'!AK107/100</f>
        <v>5.5912318681372914</v>
      </c>
      <c r="BF107" s="174">
        <f t="shared" si="74"/>
        <v>5.5912318681372914</v>
      </c>
      <c r="BG107" s="175">
        <f t="shared" si="72"/>
        <v>12.754135312979715</v>
      </c>
      <c r="BH107" s="175">
        <f>BG107*'Soil samples'!AR107/100</f>
        <v>5.5912318681372914</v>
      </c>
      <c r="BI107" s="174">
        <f t="shared" si="75"/>
        <v>5.5912318681372914</v>
      </c>
      <c r="BK107" s="6"/>
      <c r="BL107" s="31"/>
    </row>
    <row r="108" spans="1:64">
      <c r="A108" s="206" t="s">
        <v>112</v>
      </c>
      <c r="B108" s="6" t="s">
        <v>197</v>
      </c>
      <c r="C108" t="s">
        <v>13</v>
      </c>
      <c r="D108" s="8">
        <v>4</v>
      </c>
      <c r="E108" s="3">
        <v>5</v>
      </c>
      <c r="F108" s="8" t="s">
        <v>469</v>
      </c>
      <c r="G108" s="8" t="s">
        <v>469</v>
      </c>
      <c r="H108" s="6" t="s">
        <v>469</v>
      </c>
      <c r="I108" s="6" t="s">
        <v>469</v>
      </c>
      <c r="J108" s="6" t="s">
        <v>469</v>
      </c>
      <c r="K108" s="6" t="s">
        <v>469</v>
      </c>
      <c r="L108" s="3" t="s">
        <v>469</v>
      </c>
      <c r="M108" s="31">
        <f>'Wet ref'!$B$41*'Soil samples'!AI108%</f>
        <v>3.0816973415132924</v>
      </c>
      <c r="N108" s="105">
        <f>'Wet ref'!$B$41*'Soil samples'!AH108%</f>
        <v>1.9183026584867076</v>
      </c>
      <c r="O108" t="s">
        <v>469</v>
      </c>
      <c r="P108" t="s">
        <v>469</v>
      </c>
      <c r="Q108" t="s">
        <v>469</v>
      </c>
      <c r="R108" t="s">
        <v>469</v>
      </c>
      <c r="S108" t="s">
        <v>469</v>
      </c>
      <c r="T108" t="s">
        <v>469</v>
      </c>
      <c r="U108" s="151">
        <f>BO21</f>
        <v>87.336302421999989</v>
      </c>
      <c r="V108" s="151">
        <f>BO5</f>
        <v>1.0025299568504751</v>
      </c>
      <c r="W108" s="141">
        <f>V108*'Soil samples'!AR108/100</f>
        <v>3.0847420338278767E-2</v>
      </c>
      <c r="X108" s="149">
        <f t="shared" si="60"/>
        <v>3.0847420338278767E-2</v>
      </c>
      <c r="Y108" t="s">
        <v>469</v>
      </c>
      <c r="Z108" t="s">
        <v>469</v>
      </c>
      <c r="AA108" t="e">
        <f>Z108*('Wet ref'!$B$40+M108)</f>
        <v>#VALUE!</v>
      </c>
      <c r="AB108" t="s">
        <v>469</v>
      </c>
      <c r="AC108" t="s">
        <v>469</v>
      </c>
      <c r="AD108" t="s">
        <v>469</v>
      </c>
      <c r="AE108" s="175">
        <f>BP21</f>
        <v>317.07151654400002</v>
      </c>
      <c r="AF108" s="175">
        <f>BP5</f>
        <v>3.5273836736583313</v>
      </c>
      <c r="AG108" s="175">
        <f>AF108*'Soil samples'!AR108/100</f>
        <v>0.10853609523804916</v>
      </c>
      <c r="AH108" s="174">
        <f t="shared" si="65"/>
        <v>0.10853609523804916</v>
      </c>
      <c r="AI108" t="str">
        <f t="shared" si="78"/>
        <v>none</v>
      </c>
      <c r="AK108">
        <f>AJ108*('Wet ref'!$B$40+M108)</f>
        <v>0</v>
      </c>
      <c r="AL108" s="175">
        <f t="shared" si="79"/>
        <v>0</v>
      </c>
      <c r="AM108" s="175">
        <f>AL108*'Soil samples'!AK108/100</f>
        <v>0</v>
      </c>
      <c r="AN108" s="174">
        <f t="shared" si="66"/>
        <v>0</v>
      </c>
      <c r="AO108" s="175">
        <f>BQ5</f>
        <v>0.51371168683443247</v>
      </c>
      <c r="AP108" s="175">
        <f>AO108*'Soil samples'!AR108/100</f>
        <v>1.5806690092584893E-2</v>
      </c>
      <c r="AQ108" s="174">
        <f t="shared" si="68"/>
        <v>15.806690092584894</v>
      </c>
      <c r="AR108" t="str">
        <f t="shared" si="80"/>
        <v>none</v>
      </c>
      <c r="AT108">
        <f>AS108*('Wet ref'!$B$40+M108)</f>
        <v>0</v>
      </c>
      <c r="AU108" s="175">
        <f t="shared" si="81"/>
        <v>0</v>
      </c>
      <c r="AV108" s="175">
        <f>AU108*'Soil samples'!AK108/100</f>
        <v>0</v>
      </c>
      <c r="AW108" s="174">
        <f t="shared" si="69"/>
        <v>0</v>
      </c>
      <c r="AX108" s="175">
        <f>BR5</f>
        <v>0.16022956684965331</v>
      </c>
      <c r="AY108" s="175">
        <f>AX108*'Soil samples'!AR108/100</f>
        <v>4.93019561705604E-3</v>
      </c>
      <c r="AZ108" s="174">
        <f t="shared" si="71"/>
        <v>4.9301956170560404</v>
      </c>
      <c r="BA108" t="e">
        <f t="shared" si="82"/>
        <v>#VALUE!</v>
      </c>
      <c r="BC108">
        <f>BB108*('Wet ref'!$B$40+M108)</f>
        <v>0</v>
      </c>
      <c r="BD108" s="175">
        <f t="shared" si="83"/>
        <v>0</v>
      </c>
      <c r="BE108" s="175">
        <f>BD108*'Soil samples'!AK108/100</f>
        <v>0</v>
      </c>
      <c r="BF108" s="174">
        <f t="shared" si="74"/>
        <v>0</v>
      </c>
      <c r="BG108" s="175">
        <f>BS5</f>
        <v>155.69965321914452</v>
      </c>
      <c r="BH108" s="175">
        <f>BG108*'Soil samples'!AR108/100</f>
        <v>4.7908121014797125</v>
      </c>
      <c r="BI108" s="174">
        <f t="shared" si="75"/>
        <v>4.7908121014797125</v>
      </c>
      <c r="BL108" s="31"/>
    </row>
    <row r="109" spans="1:64">
      <c r="A109" s="6" t="s">
        <v>113</v>
      </c>
      <c r="B109" s="6" t="s">
        <v>197</v>
      </c>
      <c r="C109" t="s">
        <v>13</v>
      </c>
      <c r="D109" s="8">
        <v>4</v>
      </c>
      <c r="E109" s="3">
        <v>10</v>
      </c>
      <c r="F109" s="26">
        <v>42767</v>
      </c>
      <c r="G109" s="3"/>
      <c r="H109">
        <f>'Wet ref'!B154</f>
        <v>50.54256565</v>
      </c>
      <c r="I109">
        <f>'Wet ref'!C154</f>
        <v>-0.30286728200000002</v>
      </c>
      <c r="J109">
        <f>'Wet ref'!D154</f>
        <v>104.5515767</v>
      </c>
      <c r="K109">
        <f>'Wet ref'!E154</f>
        <v>3.564936275</v>
      </c>
      <c r="L109" s="3">
        <f t="shared" si="56"/>
        <v>3514.696576632</v>
      </c>
      <c r="M109" s="31">
        <f>'Wet ref'!$B$41*'Soil samples'!AI109%</f>
        <v>2.7278987745855217</v>
      </c>
      <c r="N109" s="105">
        <f>'Wet ref'!$B$41*'Soil samples'!AH109%</f>
        <v>2.2721012254144783</v>
      </c>
      <c r="O109">
        <f t="shared" si="76"/>
        <v>50.54256565</v>
      </c>
      <c r="P109">
        <f t="shared" ref="P109:P122" si="84">O109/1000</f>
        <v>5.0542565650000003E-2</v>
      </c>
      <c r="Q109">
        <f>P109*('Wet ref'!$B$40+M109)</f>
        <v>1.4014391441510434</v>
      </c>
      <c r="R109" s="141">
        <f t="shared" si="73"/>
        <v>0.61680312852055785</v>
      </c>
      <c r="S109" s="141">
        <f>R109*'Soil samples'!AK109/100</f>
        <v>8.78702343382705E-2</v>
      </c>
      <c r="T109" s="149">
        <f t="shared" si="57"/>
        <v>8.78702343382705E-2</v>
      </c>
      <c r="U109" s="141">
        <f t="shared" si="58"/>
        <v>50.54256565</v>
      </c>
      <c r="V109" s="141">
        <f t="shared" si="59"/>
        <v>0.61680312852055785</v>
      </c>
      <c r="W109" s="141">
        <f>V109*'Soil samples'!AR109/100</f>
        <v>8.78702343382705E-2</v>
      </c>
      <c r="X109" s="149">
        <f t="shared" si="60"/>
        <v>8.78702343382705E-2</v>
      </c>
      <c r="Y109">
        <f t="shared" si="77"/>
        <v>0</v>
      </c>
      <c r="Z109">
        <f t="shared" si="61"/>
        <v>0</v>
      </c>
      <c r="AA109">
        <f>Z109*('Wet ref'!$B$40+M109)</f>
        <v>0</v>
      </c>
      <c r="AB109" s="175">
        <f t="shared" si="49"/>
        <v>0</v>
      </c>
      <c r="AC109" s="175">
        <f>AB109*'Soil samples'!AK109/100</f>
        <v>0</v>
      </c>
      <c r="AD109" s="174">
        <f t="shared" si="62"/>
        <v>0</v>
      </c>
      <c r="AE109" s="175">
        <f t="shared" si="63"/>
        <v>0</v>
      </c>
      <c r="AF109" s="175">
        <f t="shared" si="64"/>
        <v>0</v>
      </c>
      <c r="AG109" s="175">
        <f>AF109*'Soil samples'!AR109/100</f>
        <v>0</v>
      </c>
      <c r="AH109" s="174">
        <f t="shared" si="65"/>
        <v>0</v>
      </c>
      <c r="AI109">
        <f t="shared" si="78"/>
        <v>104.5515767</v>
      </c>
      <c r="AJ109">
        <f t="shared" ref="AJ109:AJ122" si="85">AI109/1000</f>
        <v>0.1045515767</v>
      </c>
      <c r="AK109">
        <f>AJ109*('Wet ref'!$B$40+M109)</f>
        <v>2.898995535460914</v>
      </c>
      <c r="AL109" s="175">
        <f t="shared" si="79"/>
        <v>1.2759094986765289</v>
      </c>
      <c r="AM109" s="175">
        <f>AL109*'Soil samples'!AK109/100</f>
        <v>0.18176702007339948</v>
      </c>
      <c r="AN109" s="174">
        <f t="shared" si="66"/>
        <v>181.76702007339949</v>
      </c>
      <c r="AO109" s="175">
        <f t="shared" si="67"/>
        <v>1.2759094986765289</v>
      </c>
      <c r="AP109" s="175">
        <f>AO109*'Soil samples'!AR109/100</f>
        <v>0.18176702007339948</v>
      </c>
      <c r="AQ109" s="174">
        <f t="shared" si="68"/>
        <v>181.76702007339949</v>
      </c>
      <c r="AR109">
        <f t="shared" si="80"/>
        <v>3.564936275</v>
      </c>
      <c r="AS109">
        <f t="shared" ref="AS109:AS122" si="86">AR109/1000</f>
        <v>3.5649362750000001E-3</v>
      </c>
      <c r="AT109">
        <f>AS109*('Wet ref'!$B$40+M109)</f>
        <v>9.8848192171047983E-2</v>
      </c>
      <c r="AU109" s="175">
        <f t="shared" si="81"/>
        <v>4.3505188530064728E-2</v>
      </c>
      <c r="AV109" s="175">
        <f>AU109*'Soil samples'!AK109/100</f>
        <v>6.1977816491247126E-3</v>
      </c>
      <c r="AW109" s="174">
        <f t="shared" si="69"/>
        <v>6.1977816491247131</v>
      </c>
      <c r="AX109" s="175">
        <f t="shared" si="70"/>
        <v>4.3505188530064728E-2</v>
      </c>
      <c r="AY109" s="175">
        <f>AX109*'Soil samples'!AR109/100</f>
        <v>6.1977816491247126E-3</v>
      </c>
      <c r="AZ109" s="174">
        <f t="shared" si="71"/>
        <v>6.1977816491247131</v>
      </c>
      <c r="BA109">
        <f t="shared" si="82"/>
        <v>3514.3937093499999</v>
      </c>
      <c r="BB109">
        <f t="shared" ref="BB109:BB122" si="87">BA109/1000</f>
        <v>3.5143937093499997</v>
      </c>
      <c r="BC109">
        <f>BB109*('Wet ref'!$B$40+M109)</f>
        <v>97.446753026896928</v>
      </c>
      <c r="BD109" s="175">
        <f t="shared" si="83"/>
        <v>42.88838540154417</v>
      </c>
      <c r="BE109" s="175">
        <f>BD109*'Soil samples'!AK109/100</f>
        <v>6.1099114147864428</v>
      </c>
      <c r="BF109" s="174">
        <f t="shared" si="74"/>
        <v>6.1099114147864428</v>
      </c>
      <c r="BG109" s="175">
        <f t="shared" si="72"/>
        <v>42.88838540154417</v>
      </c>
      <c r="BH109" s="175">
        <f>BG109*'Soil samples'!AR109/100</f>
        <v>6.1099114147864428</v>
      </c>
      <c r="BI109" s="174">
        <f t="shared" si="75"/>
        <v>6.1099114147864428</v>
      </c>
      <c r="BK109" s="6"/>
      <c r="BL109" s="31"/>
    </row>
    <row r="110" spans="1:64">
      <c r="A110" s="6" t="s">
        <v>114</v>
      </c>
      <c r="B110" s="6" t="s">
        <v>197</v>
      </c>
      <c r="C110" t="s">
        <v>13</v>
      </c>
      <c r="D110" s="8">
        <v>4</v>
      </c>
      <c r="E110" s="3">
        <v>20</v>
      </c>
      <c r="F110" s="26">
        <v>42767</v>
      </c>
      <c r="G110" s="3"/>
      <c r="H110">
        <f>'Wet ref'!B155</f>
        <v>16.042798000000001</v>
      </c>
      <c r="I110">
        <f>'Wet ref'!C155</f>
        <v>40.006740950000001</v>
      </c>
      <c r="J110">
        <f>'Wet ref'!D155</f>
        <v>17.606559399999998</v>
      </c>
      <c r="K110">
        <f>'Wet ref'!E155</f>
        <v>1.2950954100000001</v>
      </c>
      <c r="L110" s="3">
        <f t="shared" si="56"/>
        <v>1239.0458710500002</v>
      </c>
      <c r="M110" s="31">
        <f>'Wet ref'!$B$41*'Soil samples'!AI110%</f>
        <v>1.575211553768171</v>
      </c>
      <c r="N110" s="105">
        <f>'Wet ref'!$B$41*'Soil samples'!AH110%</f>
        <v>3.4247884462318288</v>
      </c>
      <c r="O110">
        <f t="shared" si="76"/>
        <v>16.042798000000001</v>
      </c>
      <c r="P110">
        <f t="shared" si="84"/>
        <v>1.6042798E-2</v>
      </c>
      <c r="Q110">
        <f>P110*('Wet ref'!$B$40+M110)</f>
        <v>0.42634075076436889</v>
      </c>
      <c r="R110" s="141">
        <f t="shared" si="73"/>
        <v>0.1244867405557433</v>
      </c>
      <c r="S110" s="141">
        <f>R110*'Soil samples'!AK110/100</f>
        <v>6.164887256052775E-2</v>
      </c>
      <c r="T110" s="149">
        <f t="shared" si="57"/>
        <v>6.1648872560527757E-2</v>
      </c>
      <c r="U110" s="141">
        <f t="shared" si="58"/>
        <v>16.042798000000001</v>
      </c>
      <c r="V110" s="141">
        <f t="shared" si="59"/>
        <v>0.1244867405557433</v>
      </c>
      <c r="W110" s="141">
        <f>V110*'Soil samples'!AR110/100</f>
        <v>6.164887256052775E-2</v>
      </c>
      <c r="X110" s="149">
        <f t="shared" si="60"/>
        <v>6.164887256052775E-2</v>
      </c>
      <c r="Y110">
        <f t="shared" si="77"/>
        <v>40.006740950000001</v>
      </c>
      <c r="Z110">
        <f t="shared" si="61"/>
        <v>4.0006740950000001E-2</v>
      </c>
      <c r="AA110">
        <f>Z110*('Wet ref'!$B$40+M110)</f>
        <v>1.0631876043230502</v>
      </c>
      <c r="AB110" s="175">
        <f t="shared" si="49"/>
        <v>0.31043891353138531</v>
      </c>
      <c r="AC110" s="175">
        <f>AB110*'Soil samples'!AK110/100</f>
        <v>0.15373692758511306</v>
      </c>
      <c r="AD110" s="174">
        <f t="shared" si="62"/>
        <v>0.15373692758511306</v>
      </c>
      <c r="AE110" s="175">
        <f t="shared" si="63"/>
        <v>40.006740950000001</v>
      </c>
      <c r="AF110" s="175">
        <f t="shared" si="64"/>
        <v>0.31043891353138531</v>
      </c>
      <c r="AG110" s="175">
        <f>AF110*'Soil samples'!AR110/100</f>
        <v>0.15373692758511306</v>
      </c>
      <c r="AH110" s="174">
        <f t="shared" si="65"/>
        <v>0.15373692758511306</v>
      </c>
      <c r="AI110">
        <f t="shared" si="78"/>
        <v>17.606559399999998</v>
      </c>
      <c r="AJ110">
        <f t="shared" si="85"/>
        <v>1.7606559399999999E-2</v>
      </c>
      <c r="AK110">
        <f>AJ110*('Wet ref'!$B$40+M110)</f>
        <v>0.46789804078898556</v>
      </c>
      <c r="AL110" s="175">
        <f t="shared" si="79"/>
        <v>0.13662100539488706</v>
      </c>
      <c r="AM110" s="175">
        <f>AL110*'Soil samples'!AK110/100</f>
        <v>6.7658056698087318E-2</v>
      </c>
      <c r="AN110" s="174">
        <f t="shared" si="66"/>
        <v>67.658056698087307</v>
      </c>
      <c r="AO110" s="175">
        <f t="shared" si="67"/>
        <v>0.13662100539488706</v>
      </c>
      <c r="AP110" s="175">
        <f>AO110*'Soil samples'!AR110/100</f>
        <v>6.7658056698087318E-2</v>
      </c>
      <c r="AQ110" s="174">
        <f t="shared" si="68"/>
        <v>67.658056698087307</v>
      </c>
      <c r="AR110">
        <f t="shared" si="80"/>
        <v>1.2950954100000001</v>
      </c>
      <c r="AS110">
        <f t="shared" si="86"/>
        <v>1.2950954100000001E-3</v>
      </c>
      <c r="AT110">
        <f>AS110*('Wet ref'!$B$40+M110)</f>
        <v>3.4417434503064129E-2</v>
      </c>
      <c r="AU110" s="175">
        <f t="shared" si="81"/>
        <v>1.0049506719439091E-2</v>
      </c>
      <c r="AV110" s="175">
        <f>AU110*'Soil samples'!AK110/100</f>
        <v>4.9767610291430739E-3</v>
      </c>
      <c r="AW110" s="174">
        <f t="shared" si="69"/>
        <v>4.9767610291430735</v>
      </c>
      <c r="AX110" s="175">
        <f t="shared" si="70"/>
        <v>1.0049506719439091E-2</v>
      </c>
      <c r="AY110" s="175">
        <f>AX110*'Soil samples'!AR110/100</f>
        <v>4.9767610291430739E-3</v>
      </c>
      <c r="AZ110" s="174">
        <f t="shared" si="71"/>
        <v>4.9767610291430735</v>
      </c>
      <c r="BA110">
        <f t="shared" si="82"/>
        <v>1239.0458710500002</v>
      </c>
      <c r="BB110">
        <f t="shared" si="87"/>
        <v>1.2390458710500001</v>
      </c>
      <c r="BC110">
        <f>BB110*('Wet ref'!$B$40+M110)</f>
        <v>32.927906147976707</v>
      </c>
      <c r="BD110" s="175">
        <f t="shared" si="83"/>
        <v>9.6145810653519614</v>
      </c>
      <c r="BE110" s="175">
        <f>BD110*'Soil samples'!AK110/100</f>
        <v>4.7613752289974327</v>
      </c>
      <c r="BF110" s="174">
        <f t="shared" si="74"/>
        <v>4.7613752289974327</v>
      </c>
      <c r="BG110" s="175">
        <f t="shared" si="72"/>
        <v>9.6145810653519614</v>
      </c>
      <c r="BH110" s="175">
        <f>BG110*'Soil samples'!AR110/100</f>
        <v>4.7613752289974327</v>
      </c>
      <c r="BI110" s="174">
        <f t="shared" si="75"/>
        <v>4.7613752289974327</v>
      </c>
      <c r="BK110" s="6"/>
      <c r="BL110" s="31"/>
    </row>
    <row r="111" spans="1:64">
      <c r="A111" s="6" t="s">
        <v>115</v>
      </c>
      <c r="B111" s="6" t="s">
        <v>197</v>
      </c>
      <c r="C111" t="s">
        <v>13</v>
      </c>
      <c r="D111" s="8">
        <v>4</v>
      </c>
      <c r="E111" s="3">
        <v>30</v>
      </c>
      <c r="F111" s="26">
        <v>42767</v>
      </c>
      <c r="G111" s="3"/>
      <c r="H111">
        <f>'Wet ref'!B156</f>
        <v>6.8151891610000002</v>
      </c>
      <c r="I111">
        <f>'Wet ref'!C156</f>
        <v>14.820082360000001</v>
      </c>
      <c r="J111">
        <f>'Wet ref'!D156</f>
        <v>22.852948789999999</v>
      </c>
      <c r="K111">
        <f>'Wet ref'!E156</f>
        <v>-0.335678052</v>
      </c>
      <c r="L111" s="3">
        <f t="shared" si="56"/>
        <v>-357.31332352099997</v>
      </c>
      <c r="M111" s="31">
        <f>'Wet ref'!$B$41*'Soil samples'!AI111%</f>
        <v>1.396514389494272</v>
      </c>
      <c r="N111" s="105">
        <f>'Wet ref'!$B$41*'Soil samples'!AH111%</f>
        <v>3.6034856105057278</v>
      </c>
      <c r="O111">
        <f t="shared" si="76"/>
        <v>6.8151891610000002</v>
      </c>
      <c r="P111">
        <f t="shared" si="84"/>
        <v>6.8151891609999999E-3</v>
      </c>
      <c r="Q111">
        <f>P111*('Wet ref'!$B$40+M111)</f>
        <v>0.17989723875546187</v>
      </c>
      <c r="R111" s="141">
        <f t="shared" si="73"/>
        <v>4.9923118391532684E-2</v>
      </c>
      <c r="S111" s="141">
        <f>R111*'Soil samples'!AK111/100</f>
        <v>2.3123991069627065E-2</v>
      </c>
      <c r="T111" s="149">
        <f t="shared" si="57"/>
        <v>2.3123991069627065E-2</v>
      </c>
      <c r="U111" s="141">
        <f t="shared" si="58"/>
        <v>6.8151891610000002</v>
      </c>
      <c r="V111" s="141">
        <f t="shared" si="59"/>
        <v>4.9923118391532684E-2</v>
      </c>
      <c r="W111" s="141">
        <f>V111*'Soil samples'!AR111/100</f>
        <v>2.3123991069627065E-2</v>
      </c>
      <c r="X111" s="149">
        <f t="shared" si="60"/>
        <v>2.3123991069627065E-2</v>
      </c>
      <c r="Y111">
        <f t="shared" si="77"/>
        <v>14.820082360000001</v>
      </c>
      <c r="Z111">
        <f t="shared" si="61"/>
        <v>1.482008236E-2</v>
      </c>
      <c r="AA111">
        <f>Z111*('Wet ref'!$B$40+M111)</f>
        <v>0.39119851726923022</v>
      </c>
      <c r="AB111" s="175">
        <f t="shared" si="49"/>
        <v>0.10856114316891301</v>
      </c>
      <c r="AC111" s="175">
        <f>AB111*'Soil samples'!AK111/100</f>
        <v>5.0284657409786833E-2</v>
      </c>
      <c r="AD111" s="174">
        <f t="shared" si="62"/>
        <v>5.0284657409786833E-2</v>
      </c>
      <c r="AE111" s="175">
        <f t="shared" si="63"/>
        <v>14.820082360000001</v>
      </c>
      <c r="AF111" s="175">
        <f t="shared" si="64"/>
        <v>0.10856114316891301</v>
      </c>
      <c r="AG111" s="175">
        <f>AF111*'Soil samples'!AR111/100</f>
        <v>5.0284657409786833E-2</v>
      </c>
      <c r="AH111" s="174">
        <f t="shared" si="65"/>
        <v>5.0284657409786833E-2</v>
      </c>
      <c r="AI111">
        <f t="shared" si="78"/>
        <v>22.852948789999999</v>
      </c>
      <c r="AJ111">
        <f t="shared" si="85"/>
        <v>2.2852948790000001E-2</v>
      </c>
      <c r="AK111">
        <f>AJ111*('Wet ref'!$B$40+M111)</f>
        <v>0.60323819157761072</v>
      </c>
      <c r="AL111" s="175">
        <f t="shared" si="79"/>
        <v>0.1674040794887342</v>
      </c>
      <c r="AM111" s="175">
        <f>AL111*'Soil samples'!AK111/100</f>
        <v>7.7540237145386076E-2</v>
      </c>
      <c r="AN111" s="174">
        <f t="shared" si="66"/>
        <v>77.540237145386072</v>
      </c>
      <c r="AO111" s="175">
        <f t="shared" si="67"/>
        <v>0.1674040794887342</v>
      </c>
      <c r="AP111" s="175">
        <f>AO111*'Soil samples'!AR111/100</f>
        <v>7.7540237145386076E-2</v>
      </c>
      <c r="AQ111" s="174">
        <f t="shared" si="68"/>
        <v>77.540237145386072</v>
      </c>
      <c r="AR111">
        <f t="shared" si="80"/>
        <v>0</v>
      </c>
      <c r="AS111">
        <f t="shared" si="86"/>
        <v>0</v>
      </c>
      <c r="AT111">
        <f>AS111*('Wet ref'!$B$40+M111)</f>
        <v>0</v>
      </c>
      <c r="AU111" s="175">
        <f t="shared" si="81"/>
        <v>0</v>
      </c>
      <c r="AV111" s="175">
        <f>AU111*'Soil samples'!AK111/100</f>
        <v>0</v>
      </c>
      <c r="AW111" s="174">
        <f t="shared" si="69"/>
        <v>0</v>
      </c>
      <c r="AX111" s="175">
        <f t="shared" si="70"/>
        <v>0</v>
      </c>
      <c r="AY111" s="175">
        <f>AX111*'Soil samples'!AR111/100</f>
        <v>0</v>
      </c>
      <c r="AZ111" s="174">
        <f t="shared" si="71"/>
        <v>0</v>
      </c>
      <c r="BA111">
        <f t="shared" si="82"/>
        <v>0</v>
      </c>
      <c r="BB111">
        <f t="shared" si="87"/>
        <v>0</v>
      </c>
      <c r="BC111">
        <f>BB111*('Wet ref'!$B$40+M111)</f>
        <v>0</v>
      </c>
      <c r="BD111" s="175">
        <f t="shared" si="83"/>
        <v>0</v>
      </c>
      <c r="BE111" s="175">
        <f>BD111*'Soil samples'!AK111/100</f>
        <v>0</v>
      </c>
      <c r="BF111" s="174">
        <f t="shared" si="74"/>
        <v>0</v>
      </c>
      <c r="BG111" s="175">
        <f t="shared" si="72"/>
        <v>0</v>
      </c>
      <c r="BH111" s="175">
        <f>BG111*'Soil samples'!AR111/100</f>
        <v>0</v>
      </c>
      <c r="BI111" s="174">
        <f t="shared" si="75"/>
        <v>0</v>
      </c>
      <c r="BK111" s="6"/>
      <c r="BL111" s="31"/>
    </row>
    <row r="112" spans="1:64">
      <c r="A112" s="6" t="s">
        <v>116</v>
      </c>
      <c r="B112" s="6" t="s">
        <v>197</v>
      </c>
      <c r="C112" t="s">
        <v>13</v>
      </c>
      <c r="D112" s="8">
        <v>5</v>
      </c>
      <c r="E112" s="3">
        <v>5</v>
      </c>
      <c r="F112" s="26">
        <v>42746</v>
      </c>
      <c r="G112" s="3"/>
      <c r="H112">
        <f>'Wet ref'!B157</f>
        <v>26.980281550000001</v>
      </c>
      <c r="I112">
        <f>'Wet ref'!C157</f>
        <v>66.407040760000001</v>
      </c>
      <c r="J112">
        <f>'Wet ref'!D157</f>
        <v>23.05606032</v>
      </c>
      <c r="K112">
        <f>'Wet ref'!E157</f>
        <v>5.8623853300000004</v>
      </c>
      <c r="L112" s="3">
        <f t="shared" si="56"/>
        <v>5768.9980076900001</v>
      </c>
      <c r="M112" s="31">
        <f>'Wet ref'!$B$41*'Soil samples'!AI112%</f>
        <v>2.8558744480706473</v>
      </c>
      <c r="N112" s="105">
        <f>'Wet ref'!$B$41*'Soil samples'!AH112%</f>
        <v>2.1441255519293527</v>
      </c>
      <c r="O112">
        <f t="shared" si="76"/>
        <v>26.980281550000001</v>
      </c>
      <c r="P112">
        <f t="shared" si="84"/>
        <v>2.6980281550000002E-2</v>
      </c>
      <c r="Q112">
        <f>P112*('Wet ref'!$B$40+M112)</f>
        <v>0.75155933543039699</v>
      </c>
      <c r="R112" s="141">
        <f t="shared" si="73"/>
        <v>0.35052020846172927</v>
      </c>
      <c r="S112" s="141">
        <f>R112*'Soil samples'!AK112/100</f>
        <v>4.5724869967585298E-2</v>
      </c>
      <c r="T112" s="149">
        <f t="shared" si="57"/>
        <v>4.5724869967585298E-2</v>
      </c>
      <c r="U112" s="141">
        <f t="shared" si="58"/>
        <v>26.980281550000001</v>
      </c>
      <c r="V112" s="141">
        <f t="shared" si="59"/>
        <v>0.35052020846172927</v>
      </c>
      <c r="W112" s="141">
        <f>V112*'Soil samples'!AR112/100</f>
        <v>4.5724869967585298E-2</v>
      </c>
      <c r="X112" s="149">
        <f t="shared" si="60"/>
        <v>4.5724869967585298E-2</v>
      </c>
      <c r="Y112">
        <f t="shared" si="77"/>
        <v>66.407040760000001</v>
      </c>
      <c r="Z112">
        <f t="shared" si="61"/>
        <v>6.6407040760000008E-2</v>
      </c>
      <c r="AA112">
        <f>Z112*('Wet ref'!$B$40+M112)</f>
        <v>1.8498261898784703</v>
      </c>
      <c r="AB112" s="175">
        <f t="shared" si="49"/>
        <v>0.86274154431578765</v>
      </c>
      <c r="AC112" s="175">
        <f>AB112*'Soil samples'!AK112/100</f>
        <v>0.11254342539220601</v>
      </c>
      <c r="AD112" s="174">
        <f t="shared" si="62"/>
        <v>0.11254342539220601</v>
      </c>
      <c r="AE112" s="175">
        <f t="shared" si="63"/>
        <v>66.407040760000001</v>
      </c>
      <c r="AF112" s="175">
        <f t="shared" si="64"/>
        <v>0.86274154431578765</v>
      </c>
      <c r="AG112" s="175">
        <f>AF112*'Soil samples'!AR112/100</f>
        <v>0.11254342539220601</v>
      </c>
      <c r="AH112" s="174">
        <f t="shared" si="65"/>
        <v>0.11254342539220601</v>
      </c>
      <c r="AI112">
        <f t="shared" si="78"/>
        <v>23.05606032</v>
      </c>
      <c r="AJ112">
        <f t="shared" si="85"/>
        <v>2.3056060320000002E-2</v>
      </c>
      <c r="AK112">
        <f>AJ112*('Wet ref'!$B$40+M112)</f>
        <v>0.64224672154106366</v>
      </c>
      <c r="AL112" s="175">
        <f t="shared" si="79"/>
        <v>0.29953783301689096</v>
      </c>
      <c r="AM112" s="175">
        <f>AL112*'Soil samples'!AK112/100</f>
        <v>3.9074290538558258E-2</v>
      </c>
      <c r="AN112" s="174">
        <f t="shared" si="66"/>
        <v>39.074290538558259</v>
      </c>
      <c r="AO112" s="175">
        <f t="shared" si="67"/>
        <v>0.29953783301689096</v>
      </c>
      <c r="AP112" s="175">
        <f>AO112*'Soil samples'!AR112/100</f>
        <v>3.9074290538558258E-2</v>
      </c>
      <c r="AQ112" s="174">
        <f t="shared" si="68"/>
        <v>39.074290538558259</v>
      </c>
      <c r="AR112">
        <f t="shared" si="80"/>
        <v>5.8623853300000004</v>
      </c>
      <c r="AS112">
        <f t="shared" si="86"/>
        <v>5.8623853300000008E-3</v>
      </c>
      <c r="AT112">
        <f>AS112*('Wet ref'!$B$40+M112)</f>
        <v>0.16330186971869123</v>
      </c>
      <c r="AU112" s="175">
        <f t="shared" si="81"/>
        <v>7.6162456798179096E-2</v>
      </c>
      <c r="AV112" s="175">
        <f>AU112*'Soil samples'!AK112/100</f>
        <v>9.9352857536851632E-3</v>
      </c>
      <c r="AW112" s="174">
        <f t="shared" si="69"/>
        <v>9.9352857536851626</v>
      </c>
      <c r="AX112" s="175">
        <f t="shared" si="70"/>
        <v>7.6162456798179096E-2</v>
      </c>
      <c r="AY112" s="175">
        <f>AX112*'Soil samples'!AR112/100</f>
        <v>9.9352857536851632E-3</v>
      </c>
      <c r="AZ112" s="174">
        <f t="shared" si="71"/>
        <v>9.9352857536851626</v>
      </c>
      <c r="BA112">
        <f t="shared" si="82"/>
        <v>5768.9980076900001</v>
      </c>
      <c r="BB112">
        <f t="shared" si="87"/>
        <v>5.7689980076900005</v>
      </c>
      <c r="BC112">
        <f>BB112*('Wet ref'!$B$40+M112)</f>
        <v>160.70048419338235</v>
      </c>
      <c r="BD112" s="175">
        <f t="shared" si="83"/>
        <v>74.949195045401567</v>
      </c>
      <c r="BE112" s="175">
        <f>BD112*'Soil samples'!AK112/100</f>
        <v>9.7770174583253695</v>
      </c>
      <c r="BF112" s="174">
        <f t="shared" si="74"/>
        <v>9.7770174583253695</v>
      </c>
      <c r="BG112" s="175">
        <f t="shared" si="72"/>
        <v>74.949195045401567</v>
      </c>
      <c r="BH112" s="175">
        <f>BG112*'Soil samples'!AR112/100</f>
        <v>9.7770174583253695</v>
      </c>
      <c r="BI112" s="174">
        <f t="shared" si="75"/>
        <v>9.7770174583253695</v>
      </c>
      <c r="BK112" s="6"/>
      <c r="BL112" s="31"/>
    </row>
    <row r="113" spans="1:64">
      <c r="A113" s="6" t="s">
        <v>117</v>
      </c>
      <c r="B113" s="6" t="s">
        <v>197</v>
      </c>
      <c r="C113" t="s">
        <v>13</v>
      </c>
      <c r="D113" s="8">
        <v>5</v>
      </c>
      <c r="E113" s="3">
        <v>10</v>
      </c>
      <c r="F113" s="26">
        <v>42746</v>
      </c>
      <c r="G113" s="3"/>
      <c r="H113">
        <f>'Wet ref'!B158</f>
        <v>24.30644053</v>
      </c>
      <c r="I113">
        <f>'Wet ref'!C158</f>
        <v>79.944473369999997</v>
      </c>
      <c r="J113">
        <f>'Wet ref'!D158</f>
        <v>84.957287469999997</v>
      </c>
      <c r="K113">
        <f>'Wet ref'!E158</f>
        <v>1.5080018070000001</v>
      </c>
      <c r="L113" s="3">
        <f t="shared" si="56"/>
        <v>1403.7508931000002</v>
      </c>
      <c r="M113" s="31">
        <f>'Wet ref'!$B$41*'Soil samples'!AI113%</f>
        <v>2.9626325576720114</v>
      </c>
      <c r="N113" s="105">
        <f>'Wet ref'!$B$41*'Soil samples'!AH113%</f>
        <v>2.0373674423279886</v>
      </c>
      <c r="O113">
        <f t="shared" si="76"/>
        <v>24.30644053</v>
      </c>
      <c r="P113">
        <f t="shared" si="84"/>
        <v>2.4306440530000001E-2</v>
      </c>
      <c r="Q113">
        <f>P113*('Wet ref'!$B$40+M113)</f>
        <v>0.67967206532529656</v>
      </c>
      <c r="R113" s="141">
        <f t="shared" si="73"/>
        <v>0.33360308563126562</v>
      </c>
      <c r="S113" s="141">
        <f>R113*'Soil samples'!AK113/100</f>
        <v>7.0019816169812038E-2</v>
      </c>
      <c r="T113" s="149">
        <f t="shared" si="57"/>
        <v>7.0019816169812038E-2</v>
      </c>
      <c r="U113" s="141">
        <f t="shared" si="58"/>
        <v>24.30644053</v>
      </c>
      <c r="V113" s="141">
        <f t="shared" si="59"/>
        <v>0.33360308563126562</v>
      </c>
      <c r="W113" s="141">
        <f>V113*'Soil samples'!AR113/100</f>
        <v>7.0019816169812038E-2</v>
      </c>
      <c r="X113" s="149">
        <f t="shared" si="60"/>
        <v>7.0019816169812038E-2</v>
      </c>
      <c r="Y113">
        <f t="shared" si="77"/>
        <v>79.944473369999997</v>
      </c>
      <c r="Z113">
        <f t="shared" si="61"/>
        <v>7.9944473369999991E-2</v>
      </c>
      <c r="AA113">
        <f>Z113*('Wet ref'!$B$40+M113)</f>
        <v>2.2354579338619049</v>
      </c>
      <c r="AB113" s="175">
        <f t="shared" si="49"/>
        <v>1.0972286527301964</v>
      </c>
      <c r="AC113" s="175">
        <f>AB113*'Soil samples'!AK113/100</f>
        <v>0.23029687634645341</v>
      </c>
      <c r="AD113" s="174">
        <f t="shared" si="62"/>
        <v>0.23029687634645341</v>
      </c>
      <c r="AE113" s="175">
        <f t="shared" si="63"/>
        <v>79.944473369999997</v>
      </c>
      <c r="AF113" s="175">
        <f t="shared" si="64"/>
        <v>1.0972286527301964</v>
      </c>
      <c r="AG113" s="175">
        <f>AF113*'Soil samples'!AR113/100</f>
        <v>0.23029687634645341</v>
      </c>
      <c r="AH113" s="174">
        <f t="shared" si="65"/>
        <v>0.23029687634645341</v>
      </c>
      <c r="AI113">
        <f t="shared" si="78"/>
        <v>84.957287469999997</v>
      </c>
      <c r="AJ113">
        <f t="shared" si="85"/>
        <v>8.4957287470000004E-2</v>
      </c>
      <c r="AK113">
        <f>AJ113*('Wet ref'!$B$40+M113)</f>
        <v>2.3756294126201225</v>
      </c>
      <c r="AL113" s="175">
        <f t="shared" si="79"/>
        <v>1.1660289466025924</v>
      </c>
      <c r="AM113" s="175">
        <f>AL113*'Soil samples'!AK113/100</f>
        <v>0.24473734208812495</v>
      </c>
      <c r="AN113" s="174">
        <f t="shared" si="66"/>
        <v>244.73734208812493</v>
      </c>
      <c r="AO113" s="175">
        <f t="shared" si="67"/>
        <v>1.1660289466025924</v>
      </c>
      <c r="AP113" s="175">
        <f>AO113*'Soil samples'!AR113/100</f>
        <v>0.24473734208812495</v>
      </c>
      <c r="AQ113" s="174">
        <f t="shared" si="68"/>
        <v>244.73734208812493</v>
      </c>
      <c r="AR113">
        <f t="shared" si="80"/>
        <v>1.5080018070000001</v>
      </c>
      <c r="AS113">
        <f t="shared" si="86"/>
        <v>1.5080018070000002E-3</v>
      </c>
      <c r="AT113">
        <f>AS113*('Wet ref'!$B$40+M113)</f>
        <v>4.216770042544643E-2</v>
      </c>
      <c r="AU113" s="175">
        <f t="shared" si="81"/>
        <v>2.0697150425287889E-2</v>
      </c>
      <c r="AV113" s="175">
        <f>AU113*'Soil samples'!AK113/100</f>
        <v>4.3441164978294897E-3</v>
      </c>
      <c r="AW113" s="174">
        <f t="shared" si="69"/>
        <v>4.3441164978294893</v>
      </c>
      <c r="AX113" s="175">
        <f t="shared" si="70"/>
        <v>2.0697150425287889E-2</v>
      </c>
      <c r="AY113" s="175">
        <f>AX113*'Soil samples'!AR113/100</f>
        <v>4.3441164978294897E-3</v>
      </c>
      <c r="AZ113" s="174">
        <f t="shared" si="71"/>
        <v>4.3441164978294893</v>
      </c>
      <c r="BA113">
        <f t="shared" si="82"/>
        <v>1403.7508931000002</v>
      </c>
      <c r="BB113">
        <f t="shared" si="87"/>
        <v>1.4037508931000002</v>
      </c>
      <c r="BC113">
        <f>BB113*('Wet ref'!$B$40+M113)</f>
        <v>39.252570426259233</v>
      </c>
      <c r="BD113" s="175">
        <f t="shared" si="83"/>
        <v>19.266318686926429</v>
      </c>
      <c r="BE113" s="175">
        <f>BD113*'Soil samples'!AK113/100</f>
        <v>4.0437998053132249</v>
      </c>
      <c r="BF113" s="174">
        <f t="shared" si="74"/>
        <v>4.0437998053132249</v>
      </c>
      <c r="BG113" s="175">
        <f t="shared" si="72"/>
        <v>19.266318686926429</v>
      </c>
      <c r="BH113" s="175">
        <f>BG113*'Soil samples'!AR113/100</f>
        <v>4.0437998053132249</v>
      </c>
      <c r="BI113" s="174">
        <f t="shared" si="75"/>
        <v>4.0437998053132249</v>
      </c>
      <c r="BK113" s="6"/>
      <c r="BL113" s="31"/>
    </row>
    <row r="114" spans="1:64">
      <c r="A114" s="6" t="s">
        <v>118</v>
      </c>
      <c r="B114" s="6" t="s">
        <v>197</v>
      </c>
      <c r="C114" t="s">
        <v>13</v>
      </c>
      <c r="D114" s="8">
        <v>5</v>
      </c>
      <c r="E114" s="3">
        <v>20</v>
      </c>
      <c r="F114" s="26">
        <v>42746</v>
      </c>
      <c r="G114" s="3"/>
      <c r="H114">
        <f>'Wet ref'!B159</f>
        <v>39.233631750000001</v>
      </c>
      <c r="I114">
        <f>'Wet ref'!C159</f>
        <v>117.86427500000001</v>
      </c>
      <c r="J114">
        <f>'Wet ref'!D159</f>
        <v>80.715840709999995</v>
      </c>
      <c r="K114">
        <f>'Wet ref'!E159</f>
        <v>0.101526229</v>
      </c>
      <c r="L114" s="3">
        <f t="shared" si="56"/>
        <v>-55.571677750000006</v>
      </c>
      <c r="M114" s="31">
        <f>'Wet ref'!$B$41*'Soil samples'!AI114%</f>
        <v>2.3119180060850066</v>
      </c>
      <c r="N114" s="105">
        <f>'Wet ref'!$B$41*'Soil samples'!AH114%</f>
        <v>2.6880819939149934</v>
      </c>
      <c r="O114">
        <f t="shared" si="76"/>
        <v>39.233631750000001</v>
      </c>
      <c r="P114">
        <f t="shared" si="84"/>
        <v>3.9233631749999998E-2</v>
      </c>
      <c r="Q114">
        <f>P114*('Wet ref'!$B$40+M114)</f>
        <v>1.0715457334369334</v>
      </c>
      <c r="R114" s="141">
        <f t="shared" si="73"/>
        <v>0.39862836619663744</v>
      </c>
      <c r="S114" s="141">
        <f>R114*'Soil samples'!AK114/100</f>
        <v>0.15162372128132609</v>
      </c>
      <c r="T114" s="149">
        <f t="shared" si="57"/>
        <v>0.15162372128132609</v>
      </c>
      <c r="U114" s="141">
        <f t="shared" si="58"/>
        <v>39.233631750000001</v>
      </c>
      <c r="V114" s="141">
        <f t="shared" si="59"/>
        <v>0.39862836619663744</v>
      </c>
      <c r="W114" s="141">
        <f>V114*'Soil samples'!AR114/100</f>
        <v>0.15162372128132609</v>
      </c>
      <c r="X114" s="149">
        <f t="shared" si="60"/>
        <v>0.15162372128132609</v>
      </c>
      <c r="Y114">
        <f t="shared" si="77"/>
        <v>117.86427500000001</v>
      </c>
      <c r="Z114">
        <f t="shared" si="61"/>
        <v>0.117864275</v>
      </c>
      <c r="AA114">
        <f>Z114*('Wet ref'!$B$40+M114)</f>
        <v>3.2190994146466552</v>
      </c>
      <c r="AB114" s="175">
        <f t="shared" si="49"/>
        <v>1.197545097929946</v>
      </c>
      <c r="AC114" s="175">
        <f>AB114*'Soil samples'!AK114/100</f>
        <v>0.45550256717250176</v>
      </c>
      <c r="AD114" s="174">
        <f t="shared" si="62"/>
        <v>0.45550256717250176</v>
      </c>
      <c r="AE114" s="175">
        <f t="shared" si="63"/>
        <v>117.86427500000001</v>
      </c>
      <c r="AF114" s="175">
        <f t="shared" si="64"/>
        <v>1.197545097929946</v>
      </c>
      <c r="AG114" s="175">
        <f>AF114*'Soil samples'!AR114/100</f>
        <v>0.45550256717250176</v>
      </c>
      <c r="AH114" s="174">
        <f t="shared" si="65"/>
        <v>0.45550256717250176</v>
      </c>
      <c r="AI114">
        <f t="shared" si="78"/>
        <v>80.715840709999995</v>
      </c>
      <c r="AJ114">
        <f t="shared" si="85"/>
        <v>8.071584071E-2</v>
      </c>
      <c r="AK114">
        <f>AJ114*('Wet ref'!$B$40+M114)</f>
        <v>2.2045044232637383</v>
      </c>
      <c r="AL114" s="175">
        <f t="shared" si="79"/>
        <v>0.82010311748453779</v>
      </c>
      <c r="AM114" s="175">
        <f>AL114*'Soil samples'!AK114/100</f>
        <v>0.31193737589181902</v>
      </c>
      <c r="AN114" s="174">
        <f t="shared" si="66"/>
        <v>311.93737589181899</v>
      </c>
      <c r="AO114" s="175">
        <f t="shared" si="67"/>
        <v>0.82010311748453779</v>
      </c>
      <c r="AP114" s="175">
        <f>AO114*'Soil samples'!AR114/100</f>
        <v>0.31193737589181902</v>
      </c>
      <c r="AQ114" s="174">
        <f t="shared" si="68"/>
        <v>311.93737589181899</v>
      </c>
      <c r="AR114">
        <f t="shared" si="80"/>
        <v>0.101526229</v>
      </c>
      <c r="AS114">
        <f t="shared" si="86"/>
        <v>1.01526229E-4</v>
      </c>
      <c r="AT114">
        <f>AS114*('Wet ref'!$B$40+M114)</f>
        <v>2.7728760419150097E-3</v>
      </c>
      <c r="AU114" s="175">
        <f t="shared" si="81"/>
        <v>1.0315444425400581E-3</v>
      </c>
      <c r="AV114" s="175">
        <f>AU114*'Soil samples'!AK114/100</f>
        <v>3.9236195993097388E-4</v>
      </c>
      <c r="AW114" s="174">
        <f t="shared" si="69"/>
        <v>0.39236195993097389</v>
      </c>
      <c r="AX114" s="175">
        <f t="shared" si="70"/>
        <v>1.0315444425400581E-3</v>
      </c>
      <c r="AY114" s="175">
        <f>AX114*'Soil samples'!AR114/100</f>
        <v>3.9236195993097388E-4</v>
      </c>
      <c r="AZ114" s="174">
        <f t="shared" si="71"/>
        <v>0.39236195993097389</v>
      </c>
      <c r="BA114">
        <f t="shared" si="82"/>
        <v>0</v>
      </c>
      <c r="BB114">
        <f t="shared" si="87"/>
        <v>0</v>
      </c>
      <c r="BC114">
        <f>BB114*('Wet ref'!$B$40+M114)</f>
        <v>0</v>
      </c>
      <c r="BD114" s="175">
        <f t="shared" si="83"/>
        <v>0</v>
      </c>
      <c r="BE114" s="175">
        <f>BD114*'Soil samples'!AK114/100</f>
        <v>0</v>
      </c>
      <c r="BF114" s="174">
        <f t="shared" si="74"/>
        <v>0</v>
      </c>
      <c r="BG114" s="175">
        <f t="shared" si="72"/>
        <v>0</v>
      </c>
      <c r="BH114" s="175">
        <f>BG114*'Soil samples'!AR114/100</f>
        <v>0</v>
      </c>
      <c r="BI114" s="174">
        <f t="shared" si="75"/>
        <v>0</v>
      </c>
      <c r="BK114" s="6"/>
      <c r="BL114" s="31"/>
    </row>
    <row r="115" spans="1:64">
      <c r="A115" s="6" t="s">
        <v>119</v>
      </c>
      <c r="B115" s="6" t="s">
        <v>197</v>
      </c>
      <c r="C115" t="s">
        <v>13</v>
      </c>
      <c r="D115" s="8">
        <v>5</v>
      </c>
      <c r="E115" s="3">
        <v>30</v>
      </c>
      <c r="F115" s="26">
        <v>42746</v>
      </c>
      <c r="G115" s="3"/>
      <c r="H115">
        <f>'Wet ref'!B160</f>
        <v>16.28040592</v>
      </c>
      <c r="I115">
        <f>'Wet ref'!C160</f>
        <v>-0.11260524</v>
      </c>
      <c r="J115">
        <f>'Wet ref'!D160</f>
        <v>36.329996510000001</v>
      </c>
      <c r="K115">
        <f>'Wet ref'!E160</f>
        <v>-1.6610701189999999</v>
      </c>
      <c r="L115" s="3">
        <f t="shared" si="56"/>
        <v>-1677.23791968</v>
      </c>
      <c r="M115" s="31">
        <f>'Wet ref'!$B$41*'Soil samples'!AI115%</f>
        <v>1.0330238130897116</v>
      </c>
      <c r="N115" s="105">
        <f>'Wet ref'!$B$41*'Soil samples'!AH115%</f>
        <v>3.9669761869102889</v>
      </c>
      <c r="O115">
        <f t="shared" si="76"/>
        <v>16.28040592</v>
      </c>
      <c r="P115">
        <f t="shared" si="84"/>
        <v>1.6280405920000001E-2</v>
      </c>
      <c r="Q115">
        <f>P115*('Wet ref'!$B$40+M115)</f>
        <v>0.42382819500212676</v>
      </c>
      <c r="R115" s="141">
        <f t="shared" si="73"/>
        <v>0.10683910742913452</v>
      </c>
      <c r="S115" s="141">
        <f>R115*'Soil samples'!AK115/100</f>
        <v>6.1488994530908524E-2</v>
      </c>
      <c r="T115" s="149">
        <f t="shared" si="57"/>
        <v>6.1488994530908517E-2</v>
      </c>
      <c r="U115" s="141">
        <f t="shared" si="58"/>
        <v>16.28040592</v>
      </c>
      <c r="V115" s="141">
        <f t="shared" si="59"/>
        <v>0.10683910742913452</v>
      </c>
      <c r="W115" s="141">
        <f>V115*'Soil samples'!AR115/100</f>
        <v>6.1488994530908524E-2</v>
      </c>
      <c r="X115" s="149">
        <f t="shared" si="60"/>
        <v>6.1488994530908524E-2</v>
      </c>
      <c r="Y115">
        <f t="shared" si="77"/>
        <v>0</v>
      </c>
      <c r="Z115">
        <f t="shared" si="61"/>
        <v>0</v>
      </c>
      <c r="AA115">
        <f>Z115*('Wet ref'!$B$40+M115)</f>
        <v>0</v>
      </c>
      <c r="AB115" s="175">
        <f t="shared" si="49"/>
        <v>0</v>
      </c>
      <c r="AC115" s="175">
        <f>AB115*'Soil samples'!AK115/100</f>
        <v>0</v>
      </c>
      <c r="AD115" s="174">
        <f t="shared" si="62"/>
        <v>0</v>
      </c>
      <c r="AE115" s="175">
        <f t="shared" si="63"/>
        <v>0</v>
      </c>
      <c r="AF115" s="175">
        <f t="shared" si="64"/>
        <v>0</v>
      </c>
      <c r="AG115" s="175">
        <f>AF115*'Soil samples'!AR115/100</f>
        <v>0</v>
      </c>
      <c r="AH115" s="174">
        <f t="shared" si="65"/>
        <v>0</v>
      </c>
      <c r="AI115">
        <f t="shared" si="78"/>
        <v>36.329996510000001</v>
      </c>
      <c r="AJ115">
        <f t="shared" si="85"/>
        <v>3.6329996510000004E-2</v>
      </c>
      <c r="AK115">
        <f>AJ115*('Wet ref'!$B$40+M115)</f>
        <v>0.94577966427429627</v>
      </c>
      <c r="AL115" s="175">
        <f t="shared" si="79"/>
        <v>0.23841324467614824</v>
      </c>
      <c r="AM115" s="175">
        <f>AL115*'Soil samples'!AK115/100</f>
        <v>0.13721371369291485</v>
      </c>
      <c r="AN115" s="174">
        <f t="shared" si="66"/>
        <v>137.21371369291484</v>
      </c>
      <c r="AO115" s="175">
        <f t="shared" si="67"/>
        <v>0.23841324467614824</v>
      </c>
      <c r="AP115" s="175">
        <f>AO115*'Soil samples'!AR115/100</f>
        <v>0.13721371369291485</v>
      </c>
      <c r="AQ115" s="174">
        <f t="shared" si="68"/>
        <v>137.21371369291484</v>
      </c>
      <c r="AR115">
        <f t="shared" si="80"/>
        <v>0</v>
      </c>
      <c r="AS115">
        <f t="shared" si="86"/>
        <v>0</v>
      </c>
      <c r="AT115">
        <f>AS115*('Wet ref'!$B$40+M115)</f>
        <v>0</v>
      </c>
      <c r="AU115" s="175">
        <f t="shared" si="81"/>
        <v>0</v>
      </c>
      <c r="AV115" s="175">
        <f>AU115*'Soil samples'!AK115/100</f>
        <v>0</v>
      </c>
      <c r="AW115" s="174">
        <f t="shared" si="69"/>
        <v>0</v>
      </c>
      <c r="AX115" s="175">
        <f t="shared" si="70"/>
        <v>0</v>
      </c>
      <c r="AY115" s="175">
        <f>AX115*'Soil samples'!AR115/100</f>
        <v>0</v>
      </c>
      <c r="AZ115" s="174">
        <f t="shared" si="71"/>
        <v>0</v>
      </c>
      <c r="BA115">
        <f t="shared" si="82"/>
        <v>0</v>
      </c>
      <c r="BB115">
        <f t="shared" si="87"/>
        <v>0</v>
      </c>
      <c r="BC115">
        <f>BB115*('Wet ref'!$B$40+M115)</f>
        <v>0</v>
      </c>
      <c r="BD115" s="175">
        <f t="shared" si="83"/>
        <v>0</v>
      </c>
      <c r="BE115" s="175">
        <f>BD115*'Soil samples'!AK115/100</f>
        <v>0</v>
      </c>
      <c r="BF115" s="174">
        <f t="shared" si="74"/>
        <v>0</v>
      </c>
      <c r="BG115" s="175">
        <f t="shared" si="72"/>
        <v>0</v>
      </c>
      <c r="BH115" s="175">
        <f>BG115*'Soil samples'!AR115/100</f>
        <v>0</v>
      </c>
      <c r="BI115" s="174">
        <f t="shared" si="75"/>
        <v>0</v>
      </c>
      <c r="BK115" s="6"/>
      <c r="BL115" s="31"/>
    </row>
    <row r="116" spans="1:64">
      <c r="A116" s="6" t="s">
        <v>120</v>
      </c>
      <c r="B116" s="6" t="s">
        <v>197</v>
      </c>
      <c r="C116" t="s">
        <v>13</v>
      </c>
      <c r="D116" s="8">
        <v>6</v>
      </c>
      <c r="E116" s="3">
        <v>5</v>
      </c>
      <c r="F116" s="26">
        <v>42765</v>
      </c>
      <c r="G116" s="3"/>
      <c r="H116">
        <f>'Wet ref'!B161</f>
        <v>25.715545720000001</v>
      </c>
      <c r="I116">
        <f>'Wet ref'!C161</f>
        <v>15.944358060000001</v>
      </c>
      <c r="J116">
        <f>'Wet ref'!D161</f>
        <v>22.75736689</v>
      </c>
      <c r="K116">
        <f>'Wet ref'!E161</f>
        <v>27.727087019999999</v>
      </c>
      <c r="L116" s="3">
        <f t="shared" si="56"/>
        <v>27685.427116220002</v>
      </c>
      <c r="M116" s="31">
        <f>'Wet ref'!$B$41*'Soil samples'!AI116%</f>
        <v>2.9218106995884767</v>
      </c>
      <c r="N116" s="105">
        <f>'Wet ref'!$B$41*'Soil samples'!AH116%</f>
        <v>2.0781893004115228</v>
      </c>
      <c r="O116">
        <f t="shared" si="76"/>
        <v>25.715545720000001</v>
      </c>
      <c r="P116">
        <f t="shared" si="84"/>
        <v>2.571554572E-2</v>
      </c>
      <c r="Q116">
        <f>P116*('Wet ref'!$B$40+M116)</f>
        <v>0.71802459963045262</v>
      </c>
      <c r="R116" s="141">
        <f t="shared" si="73"/>
        <v>0.34550490635683162</v>
      </c>
      <c r="S116" s="141">
        <f>R116*'Soil samples'!AK116/100</f>
        <v>2.6466386742378493E-2</v>
      </c>
      <c r="T116" s="149">
        <f t="shared" si="57"/>
        <v>2.6466386742378493E-2</v>
      </c>
      <c r="U116" s="141">
        <f t="shared" si="58"/>
        <v>25.715545720000001</v>
      </c>
      <c r="V116" s="141">
        <f t="shared" si="59"/>
        <v>0.34550490635683162</v>
      </c>
      <c r="W116" s="141">
        <f>V116*'Soil samples'!AR116/100</f>
        <v>2.6466386742378493E-2</v>
      </c>
      <c r="X116" s="149">
        <f t="shared" si="60"/>
        <v>2.6466386742378493E-2</v>
      </c>
      <c r="Y116">
        <f t="shared" si="77"/>
        <v>15.944358060000001</v>
      </c>
      <c r="Z116">
        <f t="shared" si="61"/>
        <v>1.594435806E-2</v>
      </c>
      <c r="AA116">
        <f>Z116*('Wet ref'!$B$40+M116)</f>
        <v>0.44519534747777778</v>
      </c>
      <c r="AB116" s="175">
        <f t="shared" si="49"/>
        <v>0.21422271175663365</v>
      </c>
      <c r="AC116" s="175">
        <f>AB116*'Soil samples'!AK116/100</f>
        <v>1.6409900508030897E-2</v>
      </c>
      <c r="AD116" s="174">
        <f t="shared" si="62"/>
        <v>1.6409900508030897E-2</v>
      </c>
      <c r="AE116" s="175">
        <f t="shared" si="63"/>
        <v>15.944358060000001</v>
      </c>
      <c r="AF116" s="175">
        <f t="shared" si="64"/>
        <v>0.21422271175663365</v>
      </c>
      <c r="AG116" s="175">
        <f>AF116*'Soil samples'!AR116/100</f>
        <v>1.6409900508030897E-2</v>
      </c>
      <c r="AH116" s="174">
        <f t="shared" si="65"/>
        <v>1.6409900508030897E-2</v>
      </c>
      <c r="AI116">
        <f t="shared" si="78"/>
        <v>22.75736689</v>
      </c>
      <c r="AJ116">
        <f t="shared" si="85"/>
        <v>2.2757366889999998E-2</v>
      </c>
      <c r="AK116">
        <f>AJ116*('Wet ref'!$B$40+M116)</f>
        <v>0.63542689032366251</v>
      </c>
      <c r="AL116" s="175">
        <f t="shared" si="79"/>
        <v>0.30575986999732668</v>
      </c>
      <c r="AM116" s="175">
        <f>AL116*'Soil samples'!AK116/100</f>
        <v>2.3421835177330212E-2</v>
      </c>
      <c r="AN116" s="174">
        <f t="shared" si="66"/>
        <v>23.421835177330212</v>
      </c>
      <c r="AO116" s="175">
        <f t="shared" si="67"/>
        <v>0.30575986999732668</v>
      </c>
      <c r="AP116" s="175">
        <f>AO116*'Soil samples'!AR116/100</f>
        <v>2.3421835177330212E-2</v>
      </c>
      <c r="AQ116" s="174">
        <f t="shared" si="68"/>
        <v>23.421835177330212</v>
      </c>
      <c r="AR116">
        <f t="shared" si="80"/>
        <v>27.727087019999999</v>
      </c>
      <c r="AS116">
        <f t="shared" si="86"/>
        <v>2.7727087019999999E-2</v>
      </c>
      <c r="AT116">
        <f>AS116*('Wet ref'!$B$40+M116)</f>
        <v>0.77419047502345673</v>
      </c>
      <c r="AU116" s="175">
        <f t="shared" si="81"/>
        <v>0.37253125827861377</v>
      </c>
      <c r="AV116" s="175">
        <f>AU116*'Soil samples'!AK116/100</f>
        <v>2.8536660909364624E-2</v>
      </c>
      <c r="AW116" s="174">
        <f t="shared" si="69"/>
        <v>28.536660909364624</v>
      </c>
      <c r="AX116" s="175">
        <f t="shared" si="70"/>
        <v>0.37253125827861377</v>
      </c>
      <c r="AY116" s="175">
        <f>AX116*'Soil samples'!AR116/100</f>
        <v>2.8536660909364624E-2</v>
      </c>
      <c r="AZ116" s="174">
        <f t="shared" si="71"/>
        <v>28.536660909364624</v>
      </c>
      <c r="BA116">
        <f t="shared" si="82"/>
        <v>27685.427116220002</v>
      </c>
      <c r="BB116">
        <f t="shared" si="87"/>
        <v>27.685427116220001</v>
      </c>
      <c r="BC116">
        <f>BB116*('Wet ref'!$B$40+M116)</f>
        <v>773.02725507634864</v>
      </c>
      <c r="BD116" s="175">
        <f t="shared" si="83"/>
        <v>371.97153066050038</v>
      </c>
      <c r="BE116" s="175">
        <f>BD116*'Soil samples'!AK116/100</f>
        <v>28.493784622114223</v>
      </c>
      <c r="BF116" s="174">
        <f t="shared" si="74"/>
        <v>28.493784622114223</v>
      </c>
      <c r="BG116" s="175">
        <f t="shared" si="72"/>
        <v>371.97153066050038</v>
      </c>
      <c r="BH116" s="175">
        <f>BG116*'Soil samples'!AR116/100</f>
        <v>28.493784622114223</v>
      </c>
      <c r="BI116" s="174">
        <f t="shared" si="75"/>
        <v>28.493784622114223</v>
      </c>
      <c r="BK116" s="6"/>
      <c r="BL116" s="31"/>
    </row>
    <row r="117" spans="1:64">
      <c r="A117" s="6" t="s">
        <v>121</v>
      </c>
      <c r="B117" s="6" t="s">
        <v>197</v>
      </c>
      <c r="C117" t="s">
        <v>13</v>
      </c>
      <c r="D117" s="8">
        <v>6</v>
      </c>
      <c r="E117" s="3">
        <v>10</v>
      </c>
      <c r="F117" s="26">
        <v>42765</v>
      </c>
      <c r="G117" s="3"/>
      <c r="H117">
        <f>'Wet ref'!B162</f>
        <v>32.818217910000001</v>
      </c>
      <c r="I117">
        <f>'Wet ref'!C162</f>
        <v>59.649855479999999</v>
      </c>
      <c r="J117">
        <f>'Wet ref'!D162</f>
        <v>78.386031930000001</v>
      </c>
      <c r="K117">
        <f>'Wet ref'!E162</f>
        <v>2.1371700580000002</v>
      </c>
      <c r="L117" s="3">
        <f t="shared" si="56"/>
        <v>2044.7019846100002</v>
      </c>
      <c r="M117" s="31">
        <f>'Wet ref'!$B$41*'Soil samples'!AI117%</f>
        <v>2.6615062274473282</v>
      </c>
      <c r="N117" s="105">
        <f>'Wet ref'!$B$41*'Soil samples'!AH117%</f>
        <v>2.3384937725526713</v>
      </c>
      <c r="O117">
        <f t="shared" si="76"/>
        <v>32.818217910000001</v>
      </c>
      <c r="P117">
        <f t="shared" si="84"/>
        <v>3.2818217910000003E-2</v>
      </c>
      <c r="Q117">
        <f>P117*('Wet ref'!$B$40+M117)</f>
        <v>0.90780133909118854</v>
      </c>
      <c r="R117" s="141">
        <f t="shared" si="73"/>
        <v>0.38819916894636142</v>
      </c>
      <c r="S117" s="141">
        <f>R117*'Soil samples'!AK117/100</f>
        <v>8.636821940113576E-2</v>
      </c>
      <c r="T117" s="149">
        <f t="shared" si="57"/>
        <v>8.636821940113576E-2</v>
      </c>
      <c r="U117" s="141">
        <f t="shared" si="58"/>
        <v>32.818217910000001</v>
      </c>
      <c r="V117" s="141">
        <f t="shared" si="59"/>
        <v>0.38819916894636142</v>
      </c>
      <c r="W117" s="141">
        <f>V117*'Soil samples'!AR117/100</f>
        <v>8.636821940113576E-2</v>
      </c>
      <c r="X117" s="149">
        <f t="shared" si="60"/>
        <v>8.636821940113576E-2</v>
      </c>
      <c r="Y117">
        <f t="shared" si="77"/>
        <v>59.649855479999999</v>
      </c>
      <c r="Z117">
        <f t="shared" si="61"/>
        <v>5.964985548E-2</v>
      </c>
      <c r="AA117">
        <f>Z117*('Wet ref'!$B$40+M117)</f>
        <v>1.6500048488263532</v>
      </c>
      <c r="AB117" s="175">
        <f t="shared" si="49"/>
        <v>0.70558445277586868</v>
      </c>
      <c r="AC117" s="175">
        <f>AB117*'Soil samples'!AK117/100</f>
        <v>0.15698146131733939</v>
      </c>
      <c r="AD117" s="174">
        <f t="shared" si="62"/>
        <v>0.15698146131733939</v>
      </c>
      <c r="AE117" s="175">
        <f t="shared" si="63"/>
        <v>59.649855479999999</v>
      </c>
      <c r="AF117" s="175">
        <f t="shared" si="64"/>
        <v>0.70558445277586868</v>
      </c>
      <c r="AG117" s="175">
        <f>AF117*'Soil samples'!AR117/100</f>
        <v>0.15698146131733939</v>
      </c>
      <c r="AH117" s="174">
        <f t="shared" si="65"/>
        <v>0.15698146131733939</v>
      </c>
      <c r="AI117">
        <f t="shared" si="78"/>
        <v>78.386031930000001</v>
      </c>
      <c r="AJ117">
        <f t="shared" si="85"/>
        <v>7.8386031930000002E-2</v>
      </c>
      <c r="AK117">
        <f>AJ117*('Wet ref'!$B$40+M117)</f>
        <v>2.1682757103765802</v>
      </c>
      <c r="AL117" s="175">
        <f t="shared" si="79"/>
        <v>0.92721038466128425</v>
      </c>
      <c r="AM117" s="175">
        <f>AL117*'Soil samples'!AK117/100</f>
        <v>0.20628975108522807</v>
      </c>
      <c r="AN117" s="174">
        <f t="shared" si="66"/>
        <v>206.28975108522806</v>
      </c>
      <c r="AO117" s="175">
        <f t="shared" si="67"/>
        <v>0.92721038466128425</v>
      </c>
      <c r="AP117" s="175">
        <f>AO117*'Soil samples'!AR117/100</f>
        <v>0.20628975108522807</v>
      </c>
      <c r="AQ117" s="174">
        <f t="shared" si="68"/>
        <v>206.28975108522806</v>
      </c>
      <c r="AR117">
        <f t="shared" si="80"/>
        <v>2.1371700580000002</v>
      </c>
      <c r="AS117">
        <f t="shared" si="86"/>
        <v>2.1371700580000001E-3</v>
      </c>
      <c r="AT117">
        <f>AS117*('Wet ref'!$B$40+M117)</f>
        <v>5.9117342868480971E-2</v>
      </c>
      <c r="AU117" s="175">
        <f t="shared" si="81"/>
        <v>2.5280094205232456E-2</v>
      </c>
      <c r="AV117" s="175">
        <f>AU117*'Soil samples'!AK117/100</f>
        <v>5.6244240005072854E-3</v>
      </c>
      <c r="AW117" s="174">
        <f t="shared" si="69"/>
        <v>5.6244240005072852</v>
      </c>
      <c r="AX117" s="175">
        <f t="shared" si="70"/>
        <v>2.5280094205232456E-2</v>
      </c>
      <c r="AY117" s="175">
        <f>AX117*'Soil samples'!AR117/100</f>
        <v>5.6244240005072854E-3</v>
      </c>
      <c r="AZ117" s="174">
        <f t="shared" si="71"/>
        <v>5.6244240005072852</v>
      </c>
      <c r="BA117">
        <f t="shared" si="82"/>
        <v>2044.7019846100002</v>
      </c>
      <c r="BB117">
        <f t="shared" si="87"/>
        <v>2.0447019846100001</v>
      </c>
      <c r="BC117">
        <f>BB117*('Wet ref'!$B$40+M117)</f>
        <v>56.559536680563433</v>
      </c>
      <c r="BD117" s="175">
        <f t="shared" si="83"/>
        <v>24.186310583510227</v>
      </c>
      <c r="BE117" s="175">
        <f>BD117*'Soil samples'!AK117/100</f>
        <v>5.3810743197888113</v>
      </c>
      <c r="BF117" s="174">
        <f t="shared" si="74"/>
        <v>5.3810743197888113</v>
      </c>
      <c r="BG117" s="175">
        <f t="shared" si="72"/>
        <v>24.186310583510227</v>
      </c>
      <c r="BH117" s="175">
        <f>BG117*'Soil samples'!AR117/100</f>
        <v>5.3810743197888113</v>
      </c>
      <c r="BI117" s="174">
        <f t="shared" si="75"/>
        <v>5.3810743197888113</v>
      </c>
      <c r="BK117" s="6"/>
      <c r="BL117" s="31"/>
    </row>
    <row r="118" spans="1:64">
      <c r="A118" s="7" t="s">
        <v>122</v>
      </c>
      <c r="B118" s="7" t="s">
        <v>197</v>
      </c>
      <c r="C118" s="4" t="s">
        <v>13</v>
      </c>
      <c r="D118" s="4">
        <v>6</v>
      </c>
      <c r="E118" s="5">
        <v>20</v>
      </c>
      <c r="F118" s="26">
        <v>42765</v>
      </c>
      <c r="G118" s="5"/>
      <c r="H118">
        <f>'Wet ref'!B163</f>
        <v>-3.2846512799999998</v>
      </c>
      <c r="I118">
        <f>'Wet ref'!C163</f>
        <v>-15.846699620000001</v>
      </c>
      <c r="J118">
        <f>'Wet ref'!D163</f>
        <v>71.121807630000006</v>
      </c>
      <c r="K118">
        <f>'Wet ref'!E163</f>
        <v>-0.558877756</v>
      </c>
      <c r="L118" s="3">
        <f t="shared" si="56"/>
        <v>-539.74640509999995</v>
      </c>
      <c r="M118" s="31">
        <f>'Wet ref'!$B$41*'Soil samples'!AI118%</f>
        <v>0.25308951934610918</v>
      </c>
      <c r="N118" s="105">
        <f>'Wet ref'!$B$41*'Soil samples'!AH118%</f>
        <v>4.7469104806538907</v>
      </c>
      <c r="O118">
        <f t="shared" si="76"/>
        <v>0</v>
      </c>
      <c r="P118">
        <f t="shared" si="84"/>
        <v>0</v>
      </c>
      <c r="Q118">
        <f>P118*('Wet ref'!$B$40+M118)</f>
        <v>0</v>
      </c>
      <c r="R118" s="141">
        <f t="shared" si="73"/>
        <v>0</v>
      </c>
      <c r="S118" s="141">
        <f>R118*'Soil samples'!AK118/100</f>
        <v>0</v>
      </c>
      <c r="T118" s="149">
        <f t="shared" si="57"/>
        <v>0</v>
      </c>
      <c r="U118" s="141">
        <f t="shared" si="58"/>
        <v>0</v>
      </c>
      <c r="V118" s="141">
        <f t="shared" si="59"/>
        <v>0</v>
      </c>
      <c r="W118" s="141">
        <f>V118*'Soil samples'!AR118/100</f>
        <v>0</v>
      </c>
      <c r="X118" s="149">
        <f t="shared" si="60"/>
        <v>0</v>
      </c>
      <c r="Y118">
        <f t="shared" si="77"/>
        <v>0</v>
      </c>
      <c r="Z118">
        <f t="shared" si="61"/>
        <v>0</v>
      </c>
      <c r="AA118">
        <f>Z118*('Wet ref'!$B$40+M118)</f>
        <v>0</v>
      </c>
      <c r="AB118" s="175">
        <f t="shared" si="49"/>
        <v>0</v>
      </c>
      <c r="AC118" s="175">
        <f>AB118*'Soil samples'!AK118/100</f>
        <v>0</v>
      </c>
      <c r="AD118" s="174">
        <f t="shared" si="62"/>
        <v>0</v>
      </c>
      <c r="AE118" s="175">
        <f t="shared" si="63"/>
        <v>0</v>
      </c>
      <c r="AF118" s="175">
        <f t="shared" si="64"/>
        <v>0</v>
      </c>
      <c r="AG118" s="175">
        <f>AF118*'Soil samples'!AR118/100</f>
        <v>0</v>
      </c>
      <c r="AH118" s="174">
        <f t="shared" si="65"/>
        <v>0</v>
      </c>
      <c r="AI118">
        <f t="shared" si="78"/>
        <v>71.121807630000006</v>
      </c>
      <c r="AJ118">
        <f t="shared" si="85"/>
        <v>7.1121807630000006E-2</v>
      </c>
      <c r="AK118">
        <f>AJ118*('Wet ref'!$B$40+M118)</f>
        <v>1.7960453748581033</v>
      </c>
      <c r="AL118" s="175">
        <f t="shared" si="79"/>
        <v>0.37836091120275278</v>
      </c>
      <c r="AM118" s="175">
        <f>AL118*'Soil samples'!AK118/100</f>
        <v>0.44620951292974731</v>
      </c>
      <c r="AN118" s="174">
        <f t="shared" si="66"/>
        <v>446.20951292974735</v>
      </c>
      <c r="AO118" s="175">
        <f t="shared" si="67"/>
        <v>0.37836091120275278</v>
      </c>
      <c r="AP118" s="175">
        <f>AO118*'Soil samples'!AR118/100</f>
        <v>0.44620951292974731</v>
      </c>
      <c r="AQ118" s="174">
        <f t="shared" si="68"/>
        <v>446.20951292974735</v>
      </c>
      <c r="AR118">
        <f t="shared" si="80"/>
        <v>0</v>
      </c>
      <c r="AS118">
        <f t="shared" si="86"/>
        <v>0</v>
      </c>
      <c r="AT118">
        <f>AS118*('Wet ref'!$B$40+M118)</f>
        <v>0</v>
      </c>
      <c r="AU118" s="175">
        <f t="shared" si="81"/>
        <v>0</v>
      </c>
      <c r="AV118" s="175">
        <f>AU118*'Soil samples'!AK118/100</f>
        <v>0</v>
      </c>
      <c r="AW118" s="174">
        <f t="shared" si="69"/>
        <v>0</v>
      </c>
      <c r="AX118" s="175">
        <f t="shared" si="70"/>
        <v>0</v>
      </c>
      <c r="AY118" s="175">
        <f>AX118*'Soil samples'!AR118/100</f>
        <v>0</v>
      </c>
      <c r="AZ118" s="174">
        <f t="shared" si="71"/>
        <v>0</v>
      </c>
      <c r="BA118">
        <f t="shared" si="82"/>
        <v>0</v>
      </c>
      <c r="BB118">
        <f t="shared" si="87"/>
        <v>0</v>
      </c>
      <c r="BC118">
        <f>BB118*('Wet ref'!$B$40+M118)</f>
        <v>0</v>
      </c>
      <c r="BD118" s="175">
        <f t="shared" si="83"/>
        <v>0</v>
      </c>
      <c r="BE118" s="175">
        <f>BD118*'Soil samples'!AK118/100</f>
        <v>0</v>
      </c>
      <c r="BF118" s="174">
        <f t="shared" si="74"/>
        <v>0</v>
      </c>
      <c r="BG118" s="175">
        <f t="shared" si="72"/>
        <v>0</v>
      </c>
      <c r="BH118" s="175">
        <f>BG118*'Soil samples'!AR118/100</f>
        <v>0</v>
      </c>
      <c r="BI118" s="174">
        <f t="shared" si="75"/>
        <v>0</v>
      </c>
      <c r="BK118" s="7"/>
      <c r="BL118" s="31"/>
    </row>
    <row r="119" spans="1:64">
      <c r="A119" s="6" t="s">
        <v>123</v>
      </c>
      <c r="B119" s="6" t="s">
        <v>198</v>
      </c>
      <c r="C119" t="s">
        <v>12</v>
      </c>
      <c r="D119" s="8">
        <v>1</v>
      </c>
      <c r="E119" s="3">
        <v>5</v>
      </c>
      <c r="F119" s="26">
        <v>42791</v>
      </c>
      <c r="G119" s="3"/>
      <c r="H119">
        <f>'Wet ref'!B164</f>
        <v>81.877290549999998</v>
      </c>
      <c r="I119">
        <f>'Wet ref'!C164</f>
        <v>563.02263070000004</v>
      </c>
      <c r="J119">
        <f>'Wet ref'!D164</f>
        <v>102.46072270000001</v>
      </c>
      <c r="K119">
        <f>'Wet ref'!E164</f>
        <v>4.9014213629999999</v>
      </c>
      <c r="L119" s="3">
        <f t="shared" si="56"/>
        <v>4256.5214417499992</v>
      </c>
      <c r="M119" s="31">
        <f>'Wet ref'!$B$41*'Soil samples'!AI119%</f>
        <v>3.1173172632967567</v>
      </c>
      <c r="N119" s="105">
        <f>'Wet ref'!$B$41*'Soil samples'!AH119%</f>
        <v>1.8826827367032437</v>
      </c>
      <c r="O119">
        <f t="shared" si="76"/>
        <v>81.877290549999998</v>
      </c>
      <c r="P119">
        <f t="shared" si="84"/>
        <v>8.1877290549999995E-2</v>
      </c>
      <c r="Q119">
        <f>P119*('Wet ref'!$B$40+M119)</f>
        <v>2.302169755053479</v>
      </c>
      <c r="R119" s="141">
        <f t="shared" si="73"/>
        <v>1.2228134407206586</v>
      </c>
      <c r="S119" s="141">
        <f>R119*'Soil samples'!AK119/100</f>
        <v>0.22796084914539544</v>
      </c>
      <c r="T119" s="149">
        <f t="shared" si="57"/>
        <v>0.22796084914539544</v>
      </c>
      <c r="U119" s="141">
        <f t="shared" si="58"/>
        <v>81.877290549999998</v>
      </c>
      <c r="V119" s="141">
        <f t="shared" si="59"/>
        <v>1.2228134407206586</v>
      </c>
      <c r="W119" s="141">
        <f>V119*'Soil samples'!AR119/100</f>
        <v>0.22796084914539544</v>
      </c>
      <c r="X119" s="149">
        <f t="shared" si="60"/>
        <v>0.22796084914539544</v>
      </c>
      <c r="Y119">
        <f t="shared" si="77"/>
        <v>563.02263070000004</v>
      </c>
      <c r="Z119">
        <f t="shared" si="61"/>
        <v>0.56302263070000003</v>
      </c>
      <c r="AA119">
        <f>Z119*('Wet ref'!$B$40+M119)</f>
        <v>15.830685933807864</v>
      </c>
      <c r="AB119" s="175">
        <f t="shared" si="49"/>
        <v>8.4085786867780481</v>
      </c>
      <c r="AC119" s="175">
        <f>AB119*'Soil samples'!AK119/100</f>
        <v>1.5675545211656541</v>
      </c>
      <c r="AD119" s="174">
        <f t="shared" si="62"/>
        <v>1.5675545211656541</v>
      </c>
      <c r="AE119" s="175">
        <f t="shared" si="63"/>
        <v>563.02263070000004</v>
      </c>
      <c r="AF119" s="175">
        <f t="shared" si="64"/>
        <v>8.4085786867780481</v>
      </c>
      <c r="AG119" s="175">
        <f>AF119*'Soil samples'!AR119/100</f>
        <v>1.5675545211656541</v>
      </c>
      <c r="AH119" s="174">
        <f t="shared" si="65"/>
        <v>1.5675545211656541</v>
      </c>
      <c r="AI119">
        <f t="shared" si="78"/>
        <v>102.46072270000001</v>
      </c>
      <c r="AJ119">
        <f t="shared" si="85"/>
        <v>0.10246072270000001</v>
      </c>
      <c r="AK119">
        <f>AJ119*('Wet ref'!$B$40+M119)</f>
        <v>2.8809206471825717</v>
      </c>
      <c r="AL119" s="175">
        <f t="shared" si="79"/>
        <v>1.5302209931702764</v>
      </c>
      <c r="AM119" s="175">
        <f>AL119*'Soil samples'!AK119/100</f>
        <v>0.28526876248401817</v>
      </c>
      <c r="AN119" s="174">
        <f t="shared" si="66"/>
        <v>285.26876248401817</v>
      </c>
      <c r="AO119" s="175">
        <f t="shared" si="67"/>
        <v>1.5302209931702764</v>
      </c>
      <c r="AP119" s="175">
        <f>AO119*'Soil samples'!AR119/100</f>
        <v>0.28526876248401817</v>
      </c>
      <c r="AQ119" s="174">
        <f t="shared" si="68"/>
        <v>285.26876248401817</v>
      </c>
      <c r="AR119">
        <f t="shared" si="80"/>
        <v>4.9014213629999999</v>
      </c>
      <c r="AS119">
        <f t="shared" si="86"/>
        <v>4.9014213630000003E-3</v>
      </c>
      <c r="AT119">
        <f>AS119*('Wet ref'!$B$40+M119)</f>
        <v>0.13781481950457142</v>
      </c>
      <c r="AU119" s="175">
        <f t="shared" si="81"/>
        <v>7.3201297710892205E-2</v>
      </c>
      <c r="AV119" s="175">
        <f>AU119*'Soil samples'!AK119/100</f>
        <v>1.3646423427342657E-2</v>
      </c>
      <c r="AW119" s="174">
        <f t="shared" si="69"/>
        <v>13.646423427342658</v>
      </c>
      <c r="AX119" s="175">
        <f t="shared" si="70"/>
        <v>7.3201297710892205E-2</v>
      </c>
      <c r="AY119" s="175">
        <f>AX119*'Soil samples'!AR119/100</f>
        <v>1.3646423427342657E-2</v>
      </c>
      <c r="AZ119" s="174">
        <f t="shared" si="71"/>
        <v>13.646423427342658</v>
      </c>
      <c r="BA119">
        <f t="shared" si="82"/>
        <v>4256.5214417499992</v>
      </c>
      <c r="BB119">
        <f t="shared" si="87"/>
        <v>4.2565214417499995</v>
      </c>
      <c r="BC119">
        <f>BB119*('Wet ref'!$B$40+M119)</f>
        <v>119.68196381571005</v>
      </c>
      <c r="BD119" s="175">
        <f t="shared" si="83"/>
        <v>63.569905583393478</v>
      </c>
      <c r="BE119" s="175">
        <f>BD119*'Soil samples'!AK119/100</f>
        <v>11.850908057031607</v>
      </c>
      <c r="BF119" s="174">
        <f t="shared" si="74"/>
        <v>11.850908057031607</v>
      </c>
      <c r="BG119" s="175">
        <f t="shared" si="72"/>
        <v>63.569905583393478</v>
      </c>
      <c r="BH119" s="175">
        <f>BG119*'Soil samples'!AR119/100</f>
        <v>11.850908057031607</v>
      </c>
      <c r="BI119" s="174">
        <f t="shared" si="75"/>
        <v>11.850908057031607</v>
      </c>
      <c r="BK119" s="6"/>
      <c r="BL119" s="31"/>
    </row>
    <row r="120" spans="1:64">
      <c r="A120" s="6" t="s">
        <v>124</v>
      </c>
      <c r="B120" s="6" t="s">
        <v>198</v>
      </c>
      <c r="C120" t="s">
        <v>12</v>
      </c>
      <c r="D120" s="8">
        <v>1</v>
      </c>
      <c r="E120" s="3">
        <v>10</v>
      </c>
      <c r="F120" s="26">
        <v>42791</v>
      </c>
      <c r="G120" s="3"/>
      <c r="H120">
        <f>'Wet ref'!B165</f>
        <v>127.1867147</v>
      </c>
      <c r="I120">
        <f>'Wet ref'!C165</f>
        <v>395.8341848</v>
      </c>
      <c r="J120">
        <f>'Wet ref'!D165</f>
        <v>108.9722395</v>
      </c>
      <c r="K120">
        <f>'Wet ref'!E165</f>
        <v>4.9404210390000003</v>
      </c>
      <c r="L120" s="3">
        <f t="shared" si="56"/>
        <v>4417.4001395000005</v>
      </c>
      <c r="M120" s="31">
        <f>'Wet ref'!$B$41*'Soil samples'!AI120%</f>
        <v>2.2680864532465188</v>
      </c>
      <c r="N120" s="105">
        <f>'Wet ref'!$B$41*'Soil samples'!AH120%</f>
        <v>2.7319135467534812</v>
      </c>
      <c r="O120">
        <f t="shared" si="76"/>
        <v>127.1867147</v>
      </c>
      <c r="P120">
        <f t="shared" si="84"/>
        <v>0.12718671470000001</v>
      </c>
      <c r="Q120">
        <f>P120*('Wet ref'!$B$40+M120)</f>
        <v>3.468138332144</v>
      </c>
      <c r="R120" s="141">
        <f t="shared" si="73"/>
        <v>1.2694905138068606</v>
      </c>
      <c r="S120" s="141">
        <f>R120*'Soil samples'!AK120/100</f>
        <v>0.5483126703119664</v>
      </c>
      <c r="T120" s="149">
        <f t="shared" si="57"/>
        <v>0.5483126703119664</v>
      </c>
      <c r="U120" s="141">
        <f t="shared" si="58"/>
        <v>127.1867147</v>
      </c>
      <c r="V120" s="141">
        <f t="shared" si="59"/>
        <v>1.2694905138068606</v>
      </c>
      <c r="W120" s="141">
        <f>V120*'Soil samples'!AR120/100</f>
        <v>0.5483126703119664</v>
      </c>
      <c r="X120" s="149">
        <f t="shared" si="60"/>
        <v>0.5483126703119664</v>
      </c>
      <c r="Y120">
        <f t="shared" si="77"/>
        <v>395.8341848</v>
      </c>
      <c r="Z120">
        <f t="shared" si="61"/>
        <v>0.39583418479999999</v>
      </c>
      <c r="AA120">
        <f>Z120*('Wet ref'!$B$40+M120)</f>
        <v>10.793640772276758</v>
      </c>
      <c r="AB120" s="175">
        <f t="shared" si="49"/>
        <v>3.9509452211998348</v>
      </c>
      <c r="AC120" s="175">
        <f>AB120*'Soil samples'!AK120/100</f>
        <v>1.7064746060969553</v>
      </c>
      <c r="AD120" s="174">
        <f t="shared" si="62"/>
        <v>1.7064746060969553</v>
      </c>
      <c r="AE120" s="175">
        <f t="shared" si="63"/>
        <v>395.8341848</v>
      </c>
      <c r="AF120" s="175">
        <f t="shared" si="64"/>
        <v>3.9509452211998348</v>
      </c>
      <c r="AG120" s="175">
        <f>AF120*'Soil samples'!AR120/100</f>
        <v>1.7064746060969553</v>
      </c>
      <c r="AH120" s="174">
        <f t="shared" si="65"/>
        <v>1.7064746060969553</v>
      </c>
      <c r="AI120">
        <f t="shared" si="78"/>
        <v>108.9722395</v>
      </c>
      <c r="AJ120">
        <f t="shared" si="85"/>
        <v>0.1089722395</v>
      </c>
      <c r="AK120">
        <f>AJ120*('Wet ref'!$B$40+M120)</f>
        <v>2.9714644476898853</v>
      </c>
      <c r="AL120" s="175">
        <f t="shared" si="79"/>
        <v>1.0876861206757726</v>
      </c>
      <c r="AM120" s="175">
        <f>AL120*'Soil samples'!AK120/100</f>
        <v>0.46978852917977088</v>
      </c>
      <c r="AN120" s="174">
        <f t="shared" si="66"/>
        <v>469.78852917977088</v>
      </c>
      <c r="AO120" s="175">
        <f t="shared" si="67"/>
        <v>1.0876861206757726</v>
      </c>
      <c r="AP120" s="175">
        <f>AO120*'Soil samples'!AR120/100</f>
        <v>0.46978852917977088</v>
      </c>
      <c r="AQ120" s="174">
        <f t="shared" si="68"/>
        <v>469.78852917977088</v>
      </c>
      <c r="AR120">
        <f t="shared" si="80"/>
        <v>4.9404210390000003</v>
      </c>
      <c r="AS120">
        <f t="shared" si="86"/>
        <v>4.9404210390000007E-3</v>
      </c>
      <c r="AT120">
        <f>AS120*('Wet ref'!$B$40+M120)</f>
        <v>0.13471582800689</v>
      </c>
      <c r="AU120" s="175">
        <f t="shared" si="81"/>
        <v>4.9311892818490535E-2</v>
      </c>
      <c r="AV120" s="175">
        <f>AU120*'Soil samples'!AK120/100</f>
        <v>2.1298572407889307E-2</v>
      </c>
      <c r="AW120" s="174">
        <f t="shared" si="69"/>
        <v>21.29857240788931</v>
      </c>
      <c r="AX120" s="175">
        <f t="shared" si="70"/>
        <v>4.9311892818490535E-2</v>
      </c>
      <c r="AY120" s="175">
        <f>AX120*'Soil samples'!AR120/100</f>
        <v>2.1298572407889307E-2</v>
      </c>
      <c r="AZ120" s="174">
        <f t="shared" si="71"/>
        <v>21.29857240788931</v>
      </c>
      <c r="BA120">
        <f t="shared" si="82"/>
        <v>4417.4001395000005</v>
      </c>
      <c r="BB120">
        <f t="shared" si="87"/>
        <v>4.4174001395000007</v>
      </c>
      <c r="BC120">
        <f>BB120*('Wet ref'!$B$40+M120)</f>
        <v>120.45404890246925</v>
      </c>
      <c r="BD120" s="175">
        <f t="shared" si="83"/>
        <v>44.091457083483846</v>
      </c>
      <c r="BE120" s="175">
        <f>BD120*'Soil samples'!AK120/100</f>
        <v>19.043785131480391</v>
      </c>
      <c r="BF120" s="174">
        <f t="shared" si="74"/>
        <v>19.043785131480391</v>
      </c>
      <c r="BG120" s="175">
        <f t="shared" si="72"/>
        <v>44.091457083483846</v>
      </c>
      <c r="BH120" s="175">
        <f>BG120*'Soil samples'!AR120/100</f>
        <v>19.043785131480391</v>
      </c>
      <c r="BI120" s="174">
        <f t="shared" si="75"/>
        <v>19.043785131480391</v>
      </c>
      <c r="BK120" s="6"/>
      <c r="BL120" s="31"/>
    </row>
    <row r="121" spans="1:64">
      <c r="A121" s="6" t="s">
        <v>125</v>
      </c>
      <c r="B121" s="6" t="s">
        <v>198</v>
      </c>
      <c r="C121" t="s">
        <v>12</v>
      </c>
      <c r="D121" s="8">
        <v>1</v>
      </c>
      <c r="E121" s="3">
        <v>20</v>
      </c>
      <c r="F121" s="26">
        <v>42791</v>
      </c>
      <c r="G121" s="3"/>
      <c r="H121">
        <f>'Wet ref'!B166</f>
        <v>115.3574495</v>
      </c>
      <c r="I121">
        <f>'Wet ref'!C166</f>
        <v>344.73152979999998</v>
      </c>
      <c r="J121">
        <f>'Wet ref'!D166</f>
        <v>84.252370959999993</v>
      </c>
      <c r="K121">
        <f>'Wet ref'!E166</f>
        <v>4.3845264159999999</v>
      </c>
      <c r="L121" s="3">
        <f t="shared" si="56"/>
        <v>3924.4374366999996</v>
      </c>
      <c r="M121" s="31">
        <f>'Wet ref'!$B$41*'Soil samples'!AI121%</f>
        <v>2.2682737023702377</v>
      </c>
      <c r="N121" s="105">
        <f>'Wet ref'!$B$41*'Soil samples'!AH121%</f>
        <v>2.7317262976297623</v>
      </c>
      <c r="O121">
        <f t="shared" si="76"/>
        <v>115.3574495</v>
      </c>
      <c r="P121">
        <f t="shared" si="84"/>
        <v>0.1153574495</v>
      </c>
      <c r="Q121">
        <f>P121*('Wet ref'!$B$40+M121)</f>
        <v>3.1455985065733527</v>
      </c>
      <c r="R121" s="141">
        <f t="shared" si="73"/>
        <v>1.1515057380758442</v>
      </c>
      <c r="S121" s="141">
        <f>R121*'Soil samples'!AK121/100</f>
        <v>0.46133347697404786</v>
      </c>
      <c r="T121" s="149">
        <f t="shared" si="57"/>
        <v>0.46133347697404786</v>
      </c>
      <c r="U121" s="141">
        <f t="shared" si="58"/>
        <v>115.3574495</v>
      </c>
      <c r="V121" s="141">
        <f t="shared" si="59"/>
        <v>1.1515057380758442</v>
      </c>
      <c r="W121" s="141">
        <f>V121*'Soil samples'!AR121/100</f>
        <v>0.46133347697404786</v>
      </c>
      <c r="X121" s="149">
        <f t="shared" si="60"/>
        <v>0.46133347697404786</v>
      </c>
      <c r="Y121">
        <f t="shared" si="77"/>
        <v>344.73152979999998</v>
      </c>
      <c r="Z121">
        <f t="shared" si="61"/>
        <v>0.34473152979999999</v>
      </c>
      <c r="AA121">
        <f>Z121*('Wet ref'!$B$40+M121)</f>
        <v>9.4002337084232011</v>
      </c>
      <c r="AB121" s="175">
        <f t="shared" si="49"/>
        <v>3.4411330727311533</v>
      </c>
      <c r="AC121" s="175">
        <f>AB121*'Soil samples'!AK121/100</f>
        <v>1.3786382756773465</v>
      </c>
      <c r="AD121" s="174">
        <f t="shared" si="62"/>
        <v>1.3786382756773465</v>
      </c>
      <c r="AE121" s="175">
        <f t="shared" si="63"/>
        <v>344.73152979999998</v>
      </c>
      <c r="AF121" s="175">
        <f t="shared" si="64"/>
        <v>3.4411330727311533</v>
      </c>
      <c r="AG121" s="175">
        <f>AF121*'Soil samples'!AR121/100</f>
        <v>1.3786382756773465</v>
      </c>
      <c r="AH121" s="174">
        <f t="shared" si="65"/>
        <v>1.3786382756773465</v>
      </c>
      <c r="AI121">
        <f t="shared" si="78"/>
        <v>84.252370959999993</v>
      </c>
      <c r="AJ121">
        <f t="shared" si="85"/>
        <v>8.4252370959999989E-2</v>
      </c>
      <c r="AK121">
        <f>AJ121*('Wet ref'!$B$40+M121)</f>
        <v>2.2974167114109094</v>
      </c>
      <c r="AL121" s="175">
        <f t="shared" si="79"/>
        <v>0.84101277401191676</v>
      </c>
      <c r="AM121" s="175">
        <f>AL121*'Soil samples'!AK121/100</f>
        <v>0.33693913489552396</v>
      </c>
      <c r="AN121" s="174">
        <f t="shared" si="66"/>
        <v>336.93913489552398</v>
      </c>
      <c r="AO121" s="175">
        <f t="shared" si="67"/>
        <v>0.84101277401191676</v>
      </c>
      <c r="AP121" s="175">
        <f>AO121*'Soil samples'!AR121/100</f>
        <v>0.33693913489552396</v>
      </c>
      <c r="AQ121" s="174">
        <f t="shared" si="68"/>
        <v>336.93913489552398</v>
      </c>
      <c r="AR121">
        <f t="shared" si="80"/>
        <v>4.3845264159999999</v>
      </c>
      <c r="AS121">
        <f t="shared" si="86"/>
        <v>4.3845264159999998E-3</v>
      </c>
      <c r="AT121">
        <f>AS121*('Wet ref'!$B$40+M121)</f>
        <v>0.11955846636676042</v>
      </c>
      <c r="AU121" s="175">
        <f t="shared" si="81"/>
        <v>4.3766634479632069E-2</v>
      </c>
      <c r="AV121" s="175">
        <f>AU121*'Soil samples'!AK121/100</f>
        <v>1.7534444677349079E-2</v>
      </c>
      <c r="AW121" s="174">
        <f t="shared" si="69"/>
        <v>17.534444677349079</v>
      </c>
      <c r="AX121" s="175">
        <f t="shared" si="70"/>
        <v>4.3766634479632069E-2</v>
      </c>
      <c r="AY121" s="175">
        <f>AX121*'Soil samples'!AR121/100</f>
        <v>1.7534444677349079E-2</v>
      </c>
      <c r="AZ121" s="174">
        <f t="shared" si="71"/>
        <v>17.534444677349079</v>
      </c>
      <c r="BA121">
        <f t="shared" si="82"/>
        <v>3924.4374366999996</v>
      </c>
      <c r="BB121">
        <f t="shared" si="87"/>
        <v>3.9244374366999994</v>
      </c>
      <c r="BC121">
        <f>BB121*('Wet ref'!$B$40+M121)</f>
        <v>107.01263415176386</v>
      </c>
      <c r="BD121" s="175">
        <f t="shared" si="83"/>
        <v>39.173995668825071</v>
      </c>
      <c r="BE121" s="175">
        <f>BD121*'Soil samples'!AK121/100</f>
        <v>15.694472924697685</v>
      </c>
      <c r="BF121" s="174">
        <f t="shared" si="74"/>
        <v>15.694472924697687</v>
      </c>
      <c r="BG121" s="175">
        <f t="shared" si="72"/>
        <v>39.173995668825071</v>
      </c>
      <c r="BH121" s="175">
        <f>BG121*'Soil samples'!AR121/100</f>
        <v>15.694472924697685</v>
      </c>
      <c r="BI121" s="174">
        <f t="shared" si="75"/>
        <v>15.694472924697687</v>
      </c>
      <c r="BK121" s="6"/>
      <c r="BL121" s="31"/>
    </row>
    <row r="122" spans="1:64">
      <c r="A122" s="6" t="s">
        <v>126</v>
      </c>
      <c r="B122" s="6" t="s">
        <v>198</v>
      </c>
      <c r="C122" t="s">
        <v>12</v>
      </c>
      <c r="D122" s="8">
        <v>1</v>
      </c>
      <c r="E122" s="3">
        <v>30</v>
      </c>
      <c r="F122" s="26">
        <v>42791</v>
      </c>
      <c r="G122" s="3"/>
      <c r="H122">
        <f>'Wet ref'!B167</f>
        <v>134.14802520000001</v>
      </c>
      <c r="I122">
        <f>'Wet ref'!C167</f>
        <v>335.71137929999998</v>
      </c>
      <c r="J122">
        <f>'Wet ref'!D167</f>
        <v>79.927290049999996</v>
      </c>
      <c r="K122">
        <f>'Wet ref'!E167</f>
        <v>3.5749846619999999</v>
      </c>
      <c r="L122" s="3">
        <f t="shared" si="56"/>
        <v>3105.1252574999999</v>
      </c>
      <c r="M122" s="31">
        <f>'Wet ref'!$B$41*'Soil samples'!AI122%</f>
        <v>2.1516681740528592</v>
      </c>
      <c r="N122" s="105">
        <f>'Wet ref'!$B$41*'Soil samples'!AH122%</f>
        <v>2.8483318259471408</v>
      </c>
      <c r="O122">
        <f t="shared" si="76"/>
        <v>134.14802520000001</v>
      </c>
      <c r="P122">
        <f t="shared" si="84"/>
        <v>0.13414802519999999</v>
      </c>
      <c r="Q122">
        <f>P122*('Wet ref'!$B$40+M122)</f>
        <v>3.6423426664348808</v>
      </c>
      <c r="R122" s="141">
        <f t="shared" si="73"/>
        <v>1.278763461916419</v>
      </c>
      <c r="S122" s="141">
        <f>R122*'Soil samples'!AK122/100</f>
        <v>0.47518002426309475</v>
      </c>
      <c r="T122" s="149">
        <f t="shared" si="57"/>
        <v>0.47518002426309475</v>
      </c>
      <c r="U122" s="141">
        <f t="shared" si="58"/>
        <v>134.14802520000001</v>
      </c>
      <c r="V122" s="141">
        <f t="shared" si="59"/>
        <v>1.278763461916419</v>
      </c>
      <c r="W122" s="141">
        <f>V122*'Soil samples'!AR122/100</f>
        <v>0.47518002426309475</v>
      </c>
      <c r="X122" s="149">
        <f t="shared" si="60"/>
        <v>0.47518002426309475</v>
      </c>
      <c r="Y122">
        <f t="shared" si="77"/>
        <v>335.71137929999998</v>
      </c>
      <c r="Z122">
        <f t="shared" si="61"/>
        <v>0.3357113793</v>
      </c>
      <c r="AA122">
        <f>Z122*('Wet ref'!$B$40+M122)</f>
        <v>9.1151239730071971</v>
      </c>
      <c r="AB122" s="175">
        <f t="shared" si="49"/>
        <v>3.2001622458353118</v>
      </c>
      <c r="AC122" s="175">
        <f>AB122*'Soil samples'!AK122/100</f>
        <v>1.1891590735185193</v>
      </c>
      <c r="AD122" s="174">
        <f t="shared" si="62"/>
        <v>1.1891590735185193</v>
      </c>
      <c r="AE122" s="175">
        <f t="shared" si="63"/>
        <v>335.71137929999998</v>
      </c>
      <c r="AF122" s="175">
        <f t="shared" si="64"/>
        <v>3.2001622458353118</v>
      </c>
      <c r="AG122" s="175">
        <f>AF122*'Soil samples'!AR122/100</f>
        <v>1.1891590735185193</v>
      </c>
      <c r="AH122" s="174">
        <f t="shared" si="65"/>
        <v>1.1891590735185193</v>
      </c>
      <c r="AI122">
        <f t="shared" si="78"/>
        <v>79.927290049999996</v>
      </c>
      <c r="AJ122">
        <f t="shared" si="85"/>
        <v>7.9927290050000002E-2</v>
      </c>
      <c r="AK122">
        <f>AJ122*('Wet ref'!$B$40+M122)</f>
        <v>2.1701592574888768</v>
      </c>
      <c r="AL122" s="175">
        <f t="shared" si="79"/>
        <v>0.76190535025435291</v>
      </c>
      <c r="AM122" s="175">
        <f>AL122*'Soil samples'!AK122/100</f>
        <v>0.28311897673199898</v>
      </c>
      <c r="AN122" s="174">
        <f t="shared" si="66"/>
        <v>283.118976731999</v>
      </c>
      <c r="AO122" s="175">
        <f t="shared" si="67"/>
        <v>0.76190535025435291</v>
      </c>
      <c r="AP122" s="175">
        <f>AO122*'Soil samples'!AR122/100</f>
        <v>0.28311897673199898</v>
      </c>
      <c r="AQ122" s="174">
        <f t="shared" si="68"/>
        <v>283.118976731999</v>
      </c>
      <c r="AR122">
        <f t="shared" si="80"/>
        <v>3.5749846619999999</v>
      </c>
      <c r="AS122">
        <f t="shared" si="86"/>
        <v>3.5749846619999998E-3</v>
      </c>
      <c r="AT122">
        <f>AS122*('Wet ref'!$B$40+M122)</f>
        <v>9.7066797269952515E-2</v>
      </c>
      <c r="AU122" s="175">
        <f t="shared" si="81"/>
        <v>3.4078472313412919E-2</v>
      </c>
      <c r="AV122" s="175">
        <f>AU122*'Soil samples'!AK122/100</f>
        <v>1.2663334371838008E-2</v>
      </c>
      <c r="AW122" s="174">
        <f t="shared" si="69"/>
        <v>12.663334371838008</v>
      </c>
      <c r="AX122" s="175">
        <f t="shared" si="70"/>
        <v>3.4078472313412919E-2</v>
      </c>
      <c r="AY122" s="175">
        <f>AX122*'Soil samples'!AR122/100</f>
        <v>1.2663334371838008E-2</v>
      </c>
      <c r="AZ122" s="174">
        <f t="shared" si="71"/>
        <v>12.663334371838008</v>
      </c>
      <c r="BA122">
        <f t="shared" si="82"/>
        <v>3105.1252574999999</v>
      </c>
      <c r="BB122">
        <f t="shared" si="87"/>
        <v>3.1051252574999997</v>
      </c>
      <c r="BC122">
        <f>BB122*('Wet ref'!$B$40+M122)</f>
        <v>84.309330630510431</v>
      </c>
      <c r="BD122" s="175">
        <f t="shared" si="83"/>
        <v>29.599546605661189</v>
      </c>
      <c r="BE122" s="175">
        <f>BD122*'Soil samples'!AK122/100</f>
        <v>10.998995274056394</v>
      </c>
      <c r="BF122" s="174">
        <f t="shared" si="74"/>
        <v>10.998995274056394</v>
      </c>
      <c r="BG122" s="175">
        <f t="shared" si="72"/>
        <v>29.599546605661189</v>
      </c>
      <c r="BH122" s="175">
        <f>BG122*'Soil samples'!AR122/100</f>
        <v>10.998995274056394</v>
      </c>
      <c r="BI122" s="174">
        <f t="shared" si="75"/>
        <v>10.998995274056394</v>
      </c>
      <c r="BK122" s="6"/>
      <c r="BL122" s="31"/>
    </row>
    <row r="123" spans="1:64">
      <c r="A123" s="206" t="s">
        <v>127</v>
      </c>
      <c r="B123" s="6" t="s">
        <v>198</v>
      </c>
      <c r="C123" t="s">
        <v>12</v>
      </c>
      <c r="D123" s="8">
        <v>2</v>
      </c>
      <c r="E123" s="3">
        <v>5</v>
      </c>
      <c r="F123" s="8" t="s">
        <v>469</v>
      </c>
      <c r="G123" s="8" t="s">
        <v>469</v>
      </c>
      <c r="H123" s="6" t="s">
        <v>469</v>
      </c>
      <c r="I123" s="6" t="s">
        <v>469</v>
      </c>
      <c r="J123" s="6" t="s">
        <v>469</v>
      </c>
      <c r="K123" s="6" t="s">
        <v>469</v>
      </c>
      <c r="L123" s="3" t="s">
        <v>469</v>
      </c>
      <c r="M123" s="31">
        <f>'Wet ref'!$B$41*'Soil samples'!AI123%</f>
        <v>2.1886238160360634</v>
      </c>
      <c r="N123" s="105">
        <f>'Wet ref'!$B$41*'Soil samples'!AH123%</f>
        <v>2.8113761839639366</v>
      </c>
      <c r="O123" t="s">
        <v>469</v>
      </c>
      <c r="P123" t="s">
        <v>469</v>
      </c>
      <c r="Q123" t="s">
        <v>469</v>
      </c>
      <c r="R123" t="s">
        <v>469</v>
      </c>
      <c r="S123" t="s">
        <v>469</v>
      </c>
      <c r="T123" t="s">
        <v>469</v>
      </c>
      <c r="U123" s="151">
        <f>BO22</f>
        <v>81.877290549999998</v>
      </c>
      <c r="V123" s="151">
        <f>BO6</f>
        <v>1.2228134407206586</v>
      </c>
      <c r="W123" s="141">
        <f>V123*'Soil samples'!AR123/100</f>
        <v>4.6616413208166459E-2</v>
      </c>
      <c r="X123" s="149">
        <f t="shared" si="60"/>
        <v>4.6616413208166459E-2</v>
      </c>
      <c r="Y123" t="s">
        <v>469</v>
      </c>
      <c r="Z123" t="s">
        <v>469</v>
      </c>
      <c r="AA123" t="e">
        <f>Z123*('Wet ref'!$B$40+M123)</f>
        <v>#VALUE!</v>
      </c>
      <c r="AB123" t="s">
        <v>469</v>
      </c>
      <c r="AC123" t="s">
        <v>469</v>
      </c>
      <c r="AD123" t="s">
        <v>469</v>
      </c>
      <c r="AE123" s="175">
        <f>BP22</f>
        <v>563.02263070000004</v>
      </c>
      <c r="AF123" s="175">
        <f>BP6</f>
        <v>8.4085786867780481</v>
      </c>
      <c r="AG123" s="175">
        <f>AF123*'Soil samples'!AR123/100</f>
        <v>0.32055403179508496</v>
      </c>
      <c r="AH123" s="174">
        <f t="shared" si="65"/>
        <v>0.32055403179508496</v>
      </c>
      <c r="AI123" t="str">
        <f t="shared" si="78"/>
        <v>none</v>
      </c>
      <c r="AK123">
        <f>AJ123*('Wet ref'!$B$40+M123)</f>
        <v>0</v>
      </c>
      <c r="AL123" s="175">
        <f t="shared" si="79"/>
        <v>0</v>
      </c>
      <c r="AM123" s="175">
        <f>AL123*'Soil samples'!AK123/100</f>
        <v>0</v>
      </c>
      <c r="AN123" s="174">
        <f t="shared" si="66"/>
        <v>0</v>
      </c>
      <c r="AO123" s="175">
        <f>BQ6</f>
        <v>1.5302209931702764</v>
      </c>
      <c r="AP123" s="175">
        <f>AO123*'Soil samples'!AR123/100</f>
        <v>5.8335484172791316E-2</v>
      </c>
      <c r="AQ123" s="174">
        <f t="shared" si="68"/>
        <v>58.335484172791311</v>
      </c>
      <c r="AR123" t="str">
        <f t="shared" si="80"/>
        <v>none</v>
      </c>
      <c r="AT123">
        <f>AS123*('Wet ref'!$B$40+M123)</f>
        <v>0</v>
      </c>
      <c r="AU123" s="175">
        <f t="shared" si="81"/>
        <v>0</v>
      </c>
      <c r="AV123" s="175">
        <f>AU123*'Soil samples'!AK123/100</f>
        <v>0</v>
      </c>
      <c r="AW123" s="174">
        <f t="shared" si="69"/>
        <v>0</v>
      </c>
      <c r="AX123" s="175">
        <f>BR6</f>
        <v>7.3201297710892205E-2</v>
      </c>
      <c r="AY123" s="175">
        <f>AX123*'Soil samples'!AR123/100</f>
        <v>2.7905989808665265E-3</v>
      </c>
      <c r="AZ123" s="174">
        <f t="shared" si="71"/>
        <v>2.7905989808665268</v>
      </c>
      <c r="BA123" t="e">
        <f t="shared" si="82"/>
        <v>#VALUE!</v>
      </c>
      <c r="BC123">
        <f>BB123*('Wet ref'!$B$40+M123)</f>
        <v>0</v>
      </c>
      <c r="BD123" s="175">
        <f t="shared" si="83"/>
        <v>0</v>
      </c>
      <c r="BE123" s="175">
        <f>BD123*'Soil samples'!AK123/100</f>
        <v>0</v>
      </c>
      <c r="BF123" s="174">
        <f t="shared" si="74"/>
        <v>0</v>
      </c>
      <c r="BG123" s="175">
        <f>BS6</f>
        <v>63.569905583393478</v>
      </c>
      <c r="BH123" s="175">
        <f>BG123*'Soil samples'!AR123/100</f>
        <v>2.4234285358632746</v>
      </c>
      <c r="BI123" s="174">
        <f t="shared" si="75"/>
        <v>2.4234285358632746</v>
      </c>
      <c r="BL123" s="31"/>
    </row>
    <row r="124" spans="1:64">
      <c r="A124" s="6" t="s">
        <v>578</v>
      </c>
      <c r="B124" s="6" t="s">
        <v>198</v>
      </c>
      <c r="C124" t="s">
        <v>12</v>
      </c>
      <c r="D124" s="6">
        <v>3</v>
      </c>
      <c r="E124" s="3">
        <v>5</v>
      </c>
      <c r="F124" s="8" t="s">
        <v>469</v>
      </c>
      <c r="G124" s="8" t="s">
        <v>469</v>
      </c>
      <c r="H124" s="6" t="s">
        <v>469</v>
      </c>
      <c r="I124" s="6" t="s">
        <v>469</v>
      </c>
      <c r="J124" s="6" t="s">
        <v>469</v>
      </c>
      <c r="K124" s="6" t="s">
        <v>469</v>
      </c>
      <c r="L124" s="3" t="s">
        <v>469</v>
      </c>
      <c r="M124" s="31" t="e">
        <f>'Wet ref'!$B$41*'Soil samples'!AI124%</f>
        <v>#VALUE!</v>
      </c>
      <c r="N124" s="105" t="e">
        <f>'Wet ref'!$B$41*'Soil samples'!AH124%</f>
        <v>#VALUE!</v>
      </c>
      <c r="O124" t="s">
        <v>469</v>
      </c>
      <c r="P124" t="s">
        <v>469</v>
      </c>
      <c r="Q124" t="s">
        <v>469</v>
      </c>
      <c r="R124" t="s">
        <v>469</v>
      </c>
      <c r="S124" t="s">
        <v>469</v>
      </c>
      <c r="T124" t="s">
        <v>469</v>
      </c>
      <c r="U124" s="151" t="s">
        <v>469</v>
      </c>
      <c r="V124" s="141" t="s">
        <v>469</v>
      </c>
      <c r="W124" s="141" t="e">
        <f>V124*'Soil samples'!AR124/100</f>
        <v>#VALUE!</v>
      </c>
      <c r="X124" s="141" t="s">
        <v>469</v>
      </c>
      <c r="Y124" t="s">
        <v>469</v>
      </c>
      <c r="Z124" t="s">
        <v>469</v>
      </c>
      <c r="AA124" t="e">
        <f>Z124*('Wet ref'!$B$40+M124)</f>
        <v>#VALUE!</v>
      </c>
      <c r="AB124" t="s">
        <v>469</v>
      </c>
      <c r="AC124" t="s">
        <v>469</v>
      </c>
      <c r="AD124" t="s">
        <v>469</v>
      </c>
      <c r="AE124" s="175" t="str">
        <f t="shared" si="63"/>
        <v>none</v>
      </c>
      <c r="AF124" s="175" t="s">
        <v>469</v>
      </c>
      <c r="AG124" s="175" t="e">
        <f>AF124*'Soil samples'!AR124/100</f>
        <v>#VALUE!</v>
      </c>
      <c r="AH124" s="174" t="e">
        <f t="shared" si="65"/>
        <v>#VALUE!</v>
      </c>
      <c r="AI124" t="str">
        <f t="shared" si="78"/>
        <v>none</v>
      </c>
      <c r="AK124" t="e">
        <f>AJ124*('Wet ref'!$B$40+M124)</f>
        <v>#VALUE!</v>
      </c>
      <c r="AL124" s="175" t="e">
        <f t="shared" si="79"/>
        <v>#VALUE!</v>
      </c>
      <c r="AM124" s="175" t="e">
        <f>AL124*'Soil samples'!AK124/100</f>
        <v>#VALUE!</v>
      </c>
      <c r="AN124" s="174" t="e">
        <f t="shared" si="66"/>
        <v>#VALUE!</v>
      </c>
      <c r="AO124" s="175" t="s">
        <v>469</v>
      </c>
      <c r="AP124" s="175" t="e">
        <f>AO124*'Soil samples'!AR124/100</f>
        <v>#VALUE!</v>
      </c>
      <c r="AQ124" s="174" t="e">
        <f t="shared" si="68"/>
        <v>#VALUE!</v>
      </c>
      <c r="AR124" t="str">
        <f t="shared" si="80"/>
        <v>none</v>
      </c>
      <c r="AT124" t="e">
        <f>AS124*('Wet ref'!$B$40+M124)</f>
        <v>#VALUE!</v>
      </c>
      <c r="AU124" s="175" t="e">
        <f t="shared" si="81"/>
        <v>#VALUE!</v>
      </c>
      <c r="AV124" s="175" t="e">
        <f>AU124*'Soil samples'!AK124/100</f>
        <v>#VALUE!</v>
      </c>
      <c r="AW124" s="174" t="e">
        <f t="shared" si="69"/>
        <v>#VALUE!</v>
      </c>
      <c r="AX124" s="175" t="s">
        <v>469</v>
      </c>
      <c r="AY124" s="175" t="e">
        <f>AX124*'Soil samples'!AR124/100</f>
        <v>#VALUE!</v>
      </c>
      <c r="AZ124" s="175" t="s">
        <v>469</v>
      </c>
      <c r="BA124" t="e">
        <f t="shared" si="82"/>
        <v>#VALUE!</v>
      </c>
      <c r="BC124" t="e">
        <f>BB124*('Wet ref'!$B$40+M124)</f>
        <v>#VALUE!</v>
      </c>
      <c r="BD124" s="175" t="e">
        <f t="shared" si="83"/>
        <v>#VALUE!</v>
      </c>
      <c r="BE124" s="175" t="e">
        <f>BD124*'Soil samples'!AK124/100</f>
        <v>#VALUE!</v>
      </c>
      <c r="BF124" s="174" t="e">
        <f t="shared" si="74"/>
        <v>#VALUE!</v>
      </c>
      <c r="BG124" s="175" t="s">
        <v>469</v>
      </c>
      <c r="BH124" s="175" t="e">
        <f>BG124*'Soil samples'!AR124/100</f>
        <v>#VALUE!</v>
      </c>
      <c r="BI124" s="175" t="s">
        <v>469</v>
      </c>
      <c r="BL124" s="31"/>
    </row>
    <row r="125" spans="1:64">
      <c r="A125" s="206" t="s">
        <v>128</v>
      </c>
      <c r="B125" s="6" t="s">
        <v>198</v>
      </c>
      <c r="C125" t="s">
        <v>12</v>
      </c>
      <c r="D125" s="8">
        <v>4</v>
      </c>
      <c r="E125" s="3">
        <v>5</v>
      </c>
      <c r="F125" s="8" t="s">
        <v>469</v>
      </c>
      <c r="G125" s="8" t="s">
        <v>469</v>
      </c>
      <c r="H125" s="6" t="s">
        <v>469</v>
      </c>
      <c r="I125" s="6" t="s">
        <v>469</v>
      </c>
      <c r="J125" s="6" t="s">
        <v>469</v>
      </c>
      <c r="K125" s="6" t="s">
        <v>469</v>
      </c>
      <c r="L125" s="3" t="s">
        <v>469</v>
      </c>
      <c r="M125" s="31">
        <f>'Wet ref'!$B$41*'Soil samples'!AI125%</f>
        <v>3.0865848884248988</v>
      </c>
      <c r="N125" s="105">
        <f>'Wet ref'!$B$41*'Soil samples'!AH125%</f>
        <v>1.9134151115751012</v>
      </c>
      <c r="O125" t="s">
        <v>469</v>
      </c>
      <c r="P125" t="s">
        <v>469</v>
      </c>
      <c r="Q125" t="s">
        <v>469</v>
      </c>
      <c r="R125" t="s">
        <v>469</v>
      </c>
      <c r="S125" t="s">
        <v>469</v>
      </c>
      <c r="T125" t="s">
        <v>469</v>
      </c>
      <c r="U125" s="151">
        <f>BO23</f>
        <v>81.877290549999998</v>
      </c>
      <c r="V125" s="151">
        <f>BO7</f>
        <v>1.2228134407206586</v>
      </c>
      <c r="W125" s="141">
        <f>V125*'Soil samples'!AR125/100</f>
        <v>7.2625831188118023E-2</v>
      </c>
      <c r="X125" s="149">
        <f t="shared" si="60"/>
        <v>7.2625831188118023E-2</v>
      </c>
      <c r="Y125" t="s">
        <v>469</v>
      </c>
      <c r="Z125" t="s">
        <v>469</v>
      </c>
      <c r="AA125" t="e">
        <f>Z125*('Wet ref'!$B$40+M125)</f>
        <v>#VALUE!</v>
      </c>
      <c r="AB125" t="s">
        <v>469</v>
      </c>
      <c r="AC125" t="s">
        <v>469</v>
      </c>
      <c r="AD125" t="s">
        <v>469</v>
      </c>
      <c r="AE125" s="175">
        <f>BP23</f>
        <v>563.02263070000004</v>
      </c>
      <c r="AF125" s="175">
        <f>BP7</f>
        <v>8.4085786867780481</v>
      </c>
      <c r="AG125" s="175">
        <f>AF125*'Soil samples'!AR125/100</f>
        <v>0.49940571137167794</v>
      </c>
      <c r="AH125" s="174">
        <f t="shared" si="65"/>
        <v>0.49940571137167794</v>
      </c>
      <c r="AI125" t="str">
        <f t="shared" si="78"/>
        <v>none</v>
      </c>
      <c r="AK125">
        <f>AJ125*('Wet ref'!$B$40+M125)</f>
        <v>0</v>
      </c>
      <c r="AL125" s="175">
        <f t="shared" si="79"/>
        <v>0</v>
      </c>
      <c r="AM125" s="175">
        <f>AL125*'Soil samples'!AK125/100</f>
        <v>0</v>
      </c>
      <c r="AN125" s="174">
        <f t="shared" si="66"/>
        <v>0</v>
      </c>
      <c r="AO125" s="175">
        <f>BQ7</f>
        <v>1.5302209931702764</v>
      </c>
      <c r="AP125" s="175">
        <f>AO125*'Soil samples'!AR125/100</f>
        <v>9.0883505062720624E-2</v>
      </c>
      <c r="AQ125" s="174">
        <f t="shared" si="68"/>
        <v>90.88350506272063</v>
      </c>
      <c r="AR125" t="str">
        <f t="shared" si="80"/>
        <v>none</v>
      </c>
      <c r="AT125">
        <f>AS125*('Wet ref'!$B$40+M125)</f>
        <v>0</v>
      </c>
      <c r="AU125" s="175">
        <f t="shared" si="81"/>
        <v>0</v>
      </c>
      <c r="AV125" s="175">
        <f>AU125*'Soil samples'!AK125/100</f>
        <v>0</v>
      </c>
      <c r="AW125" s="174">
        <f t="shared" si="69"/>
        <v>0</v>
      </c>
      <c r="AX125" s="175">
        <f>BR7</f>
        <v>7.3201297710892205E-2</v>
      </c>
      <c r="AY125" s="175">
        <f>AX125*'Soil samples'!AR125/100</f>
        <v>4.3476011248038716E-3</v>
      </c>
      <c r="AZ125" s="174">
        <f t="shared" si="71"/>
        <v>4.3476011248038713</v>
      </c>
      <c r="BA125" t="e">
        <f t="shared" si="82"/>
        <v>#VALUE!</v>
      </c>
      <c r="BC125">
        <f>BB125*('Wet ref'!$B$40+M125)</f>
        <v>0</v>
      </c>
      <c r="BD125" s="175">
        <f t="shared" si="83"/>
        <v>0</v>
      </c>
      <c r="BE125" s="175">
        <f>BD125*'Soil samples'!AK125/100</f>
        <v>0</v>
      </c>
      <c r="BF125" s="174">
        <f t="shared" si="74"/>
        <v>0</v>
      </c>
      <c r="BG125" s="175">
        <f>BS7</f>
        <v>63.569905583393478</v>
      </c>
      <c r="BH125" s="175">
        <f>BG125*'Soil samples'!AR125/100</f>
        <v>3.7755695822440742</v>
      </c>
      <c r="BI125" s="174">
        <f t="shared" si="75"/>
        <v>3.7755695822440742</v>
      </c>
      <c r="BL125" s="31"/>
    </row>
    <row r="126" spans="1:64">
      <c r="A126" s="6" t="s">
        <v>129</v>
      </c>
      <c r="B126" s="6" t="s">
        <v>198</v>
      </c>
      <c r="C126" t="s">
        <v>12</v>
      </c>
      <c r="D126" s="8">
        <v>4</v>
      </c>
      <c r="E126" s="3">
        <v>10</v>
      </c>
      <c r="F126" s="26">
        <v>42821</v>
      </c>
      <c r="G126" s="3"/>
      <c r="H126">
        <f>'Wet ref'!B168</f>
        <v>116.1920849</v>
      </c>
      <c r="I126">
        <f>'Wet ref'!C168</f>
        <v>486.99564809999998</v>
      </c>
      <c r="J126">
        <f>'Wet ref'!D168</f>
        <v>102.3412453</v>
      </c>
      <c r="K126">
        <f>'Wet ref'!E168</f>
        <v>6.8389690659999998</v>
      </c>
      <c r="L126" s="3">
        <f t="shared" si="56"/>
        <v>6235.7813329999999</v>
      </c>
      <c r="M126" s="31">
        <f>'Wet ref'!$B$41*'Soil samples'!AI126%</f>
        <v>2.4951076320939327</v>
      </c>
      <c r="N126" s="105">
        <f>'Wet ref'!$B$41*'Soil samples'!AH126%</f>
        <v>2.5048923679060668</v>
      </c>
      <c r="O126">
        <f t="shared" si="76"/>
        <v>116.1920849</v>
      </c>
      <c r="P126">
        <f>O126/1000</f>
        <v>0.11619208489999999</v>
      </c>
      <c r="Q126">
        <f>P126*('Wet ref'!$B$40+M126)</f>
        <v>3.194713880322896</v>
      </c>
      <c r="R126" s="141">
        <f t="shared" si="73"/>
        <v>1.275389681910156</v>
      </c>
      <c r="S126" s="141">
        <f>R126*'Soil samples'!AK126/100</f>
        <v>0.33672284298603317</v>
      </c>
      <c r="T126" s="149">
        <f t="shared" si="57"/>
        <v>0.33672284298603317</v>
      </c>
      <c r="U126" s="141">
        <f t="shared" si="58"/>
        <v>116.1920849</v>
      </c>
      <c r="V126" s="141">
        <f t="shared" si="59"/>
        <v>1.275389681910156</v>
      </c>
      <c r="W126" s="141">
        <f>V126*'Soil samples'!AR126/100</f>
        <v>0.33672284298603317</v>
      </c>
      <c r="X126" s="149">
        <f t="shared" si="60"/>
        <v>0.33672284298603317</v>
      </c>
      <c r="Y126">
        <f t="shared" si="77"/>
        <v>486.99564809999998</v>
      </c>
      <c r="Z126">
        <f t="shared" si="61"/>
        <v>0.48699564809999996</v>
      </c>
      <c r="AA126">
        <f>Z126*('Wet ref'!$B$40+M126)</f>
        <v>13.389997760870841</v>
      </c>
      <c r="AB126" s="175">
        <f t="shared" si="49"/>
        <v>5.3455381685976553</v>
      </c>
      <c r="AC126" s="175">
        <f>AB126*'Soil samples'!AK126/100</f>
        <v>1.4113057639957862</v>
      </c>
      <c r="AD126" s="174">
        <f t="shared" si="62"/>
        <v>1.4113057639957862</v>
      </c>
      <c r="AE126" s="175">
        <f t="shared" si="63"/>
        <v>486.99564809999998</v>
      </c>
      <c r="AF126" s="175">
        <f t="shared" si="64"/>
        <v>5.3455381685976553</v>
      </c>
      <c r="AG126" s="175">
        <f>AF126*'Soil samples'!AR126/100</f>
        <v>1.4113057639957862</v>
      </c>
      <c r="AH126" s="174">
        <f t="shared" si="65"/>
        <v>1.4113057639957862</v>
      </c>
      <c r="AI126">
        <f t="shared" si="78"/>
        <v>102.3412453</v>
      </c>
      <c r="AJ126">
        <f>AI126/1000</f>
        <v>0.10234124529999999</v>
      </c>
      <c r="AK126">
        <f>AJ126*('Wet ref'!$B$40+M126)</f>
        <v>2.8138835547260275</v>
      </c>
      <c r="AL126" s="175">
        <f t="shared" si="79"/>
        <v>1.1233550753632811</v>
      </c>
      <c r="AM126" s="175">
        <f>AL126*'Soil samples'!AK126/100</f>
        <v>0.2965833266681232</v>
      </c>
      <c r="AN126" s="174">
        <f t="shared" si="66"/>
        <v>296.58332666812322</v>
      </c>
      <c r="AO126" s="175">
        <f t="shared" si="67"/>
        <v>1.1233550753632811</v>
      </c>
      <c r="AP126" s="175">
        <f>AO126*'Soil samples'!AR126/100</f>
        <v>0.2965833266681232</v>
      </c>
      <c r="AQ126" s="174">
        <f t="shared" si="68"/>
        <v>296.58332666812322</v>
      </c>
      <c r="AR126">
        <f t="shared" si="80"/>
        <v>6.8389690659999998</v>
      </c>
      <c r="AS126">
        <f>AR126/1000</f>
        <v>6.838969066E-3</v>
      </c>
      <c r="AT126">
        <f>AS126*('Wet ref'!$B$40+M126)</f>
        <v>0.18803819056223092</v>
      </c>
      <c r="AU126" s="175">
        <f t="shared" si="81"/>
        <v>7.5068371388515617E-2</v>
      </c>
      <c r="AV126" s="175">
        <f>AU126*'Soil samples'!AK126/100</f>
        <v>1.9819225285259135E-2</v>
      </c>
      <c r="AW126" s="174">
        <f t="shared" si="69"/>
        <v>19.819225285259133</v>
      </c>
      <c r="AX126" s="175">
        <f t="shared" si="70"/>
        <v>7.5068371388515617E-2</v>
      </c>
      <c r="AY126" s="175">
        <f>AX126*'Soil samples'!AR126/100</f>
        <v>1.9819225285259135E-2</v>
      </c>
      <c r="AZ126" s="174">
        <f t="shared" si="71"/>
        <v>19.819225285259133</v>
      </c>
      <c r="BA126">
        <f t="shared" si="82"/>
        <v>6235.7813329999999</v>
      </c>
      <c r="BB126">
        <f>BA126/1000</f>
        <v>6.2357813330000003</v>
      </c>
      <c r="BC126">
        <f>BB126*('Wet ref'!$B$40+M126)</f>
        <v>171.4534789210372</v>
      </c>
      <c r="BD126" s="175">
        <f t="shared" si="83"/>
        <v>68.447443538007818</v>
      </c>
      <c r="BE126" s="175">
        <f>BD126*'Soil samples'!AK126/100</f>
        <v>18.071196678277317</v>
      </c>
      <c r="BF126" s="174">
        <f t="shared" si="74"/>
        <v>18.071196678277317</v>
      </c>
      <c r="BG126" s="175">
        <f t="shared" si="72"/>
        <v>68.447443538007818</v>
      </c>
      <c r="BH126" s="175">
        <f>BG126*'Soil samples'!AR126/100</f>
        <v>18.071196678277317</v>
      </c>
      <c r="BI126" s="174">
        <f t="shared" si="75"/>
        <v>18.071196678277317</v>
      </c>
      <c r="BK126" s="6"/>
      <c r="BL126" s="31"/>
    </row>
    <row r="127" spans="1:64">
      <c r="A127" s="6" t="s">
        <v>130</v>
      </c>
      <c r="B127" s="6" t="s">
        <v>198</v>
      </c>
      <c r="C127" t="s">
        <v>12</v>
      </c>
      <c r="D127" s="8">
        <v>4</v>
      </c>
      <c r="E127" s="3">
        <v>20</v>
      </c>
      <c r="F127" s="26">
        <v>42821</v>
      </c>
      <c r="G127" s="3"/>
      <c r="H127">
        <f>'Wet ref'!B169</f>
        <v>135.84436529999999</v>
      </c>
      <c r="I127">
        <f>'Wet ref'!C169</f>
        <v>402.53659770000002</v>
      </c>
      <c r="J127">
        <f>'Wet ref'!D169</f>
        <v>76.078785920000001</v>
      </c>
      <c r="K127">
        <f>'Wet ref'!E169</f>
        <v>5.3720041939999996</v>
      </c>
      <c r="L127" s="3">
        <f t="shared" si="56"/>
        <v>4833.6232309999987</v>
      </c>
      <c r="M127" s="31">
        <f>'Wet ref'!$B$41*'Soil samples'!AI127%</f>
        <v>2.405007927395987</v>
      </c>
      <c r="N127" s="105">
        <f>'Wet ref'!$B$41*'Soil samples'!AH127%</f>
        <v>2.594992072604013</v>
      </c>
      <c r="O127">
        <f t="shared" si="76"/>
        <v>135.84436529999999</v>
      </c>
      <c r="P127">
        <f>O127/1000</f>
        <v>0.13584436529999999</v>
      </c>
      <c r="Q127">
        <f>P127*('Wet ref'!$B$40+M127)</f>
        <v>3.7228159079385761</v>
      </c>
      <c r="R127" s="141">
        <f t="shared" si="73"/>
        <v>1.4346155224292529</v>
      </c>
      <c r="S127" s="141">
        <f>R127*'Soil samples'!AK127/100</f>
        <v>0.57286691191358807</v>
      </c>
      <c r="T127" s="149">
        <f t="shared" si="57"/>
        <v>0.57286691191358807</v>
      </c>
      <c r="U127" s="141">
        <f t="shared" si="58"/>
        <v>135.84436529999999</v>
      </c>
      <c r="V127" s="141">
        <f t="shared" si="59"/>
        <v>1.4346155224292529</v>
      </c>
      <c r="W127" s="141">
        <f>V127*'Soil samples'!AR127/100</f>
        <v>0.57286691191358807</v>
      </c>
      <c r="X127" s="149">
        <f t="shared" si="60"/>
        <v>0.57286691191358807</v>
      </c>
      <c r="Y127">
        <f t="shared" si="77"/>
        <v>402.53659770000002</v>
      </c>
      <c r="Z127">
        <f t="shared" si="61"/>
        <v>0.4025365977</v>
      </c>
      <c r="AA127">
        <f>Z127*('Wet ref'!$B$40+M127)</f>
        <v>11.031518651035508</v>
      </c>
      <c r="AB127" s="175">
        <f t="shared" si="49"/>
        <v>4.2510799040575264</v>
      </c>
      <c r="AC127" s="175">
        <f>AB127*'Soil samples'!AK127/100</f>
        <v>1.6975300900213444</v>
      </c>
      <c r="AD127" s="174">
        <f t="shared" si="62"/>
        <v>1.6975300900213444</v>
      </c>
      <c r="AE127" s="175">
        <f t="shared" si="63"/>
        <v>402.53659770000002</v>
      </c>
      <c r="AF127" s="175">
        <f t="shared" si="64"/>
        <v>4.2510799040575264</v>
      </c>
      <c r="AG127" s="175">
        <f>AF127*'Soil samples'!AR127/100</f>
        <v>1.6975300900213444</v>
      </c>
      <c r="AH127" s="174">
        <f t="shared" si="65"/>
        <v>1.6975300900213444</v>
      </c>
      <c r="AI127">
        <f t="shared" si="78"/>
        <v>76.078785920000001</v>
      </c>
      <c r="AJ127">
        <f>AI127/1000</f>
        <v>7.6078785920000003E-2</v>
      </c>
      <c r="AK127">
        <f>AJ127*('Wet ref'!$B$40+M127)</f>
        <v>2.0849397312442624</v>
      </c>
      <c r="AL127" s="175">
        <f t="shared" si="79"/>
        <v>0.8034474375684989</v>
      </c>
      <c r="AM127" s="175">
        <f>AL127*'Soil samples'!AK127/100</f>
        <v>0.32083052584386712</v>
      </c>
      <c r="AN127" s="174">
        <f t="shared" si="66"/>
        <v>320.83052584386712</v>
      </c>
      <c r="AO127" s="175">
        <f t="shared" si="67"/>
        <v>0.8034474375684989</v>
      </c>
      <c r="AP127" s="175">
        <f>AO127*'Soil samples'!AR127/100</f>
        <v>0.32083052584386712</v>
      </c>
      <c r="AQ127" s="174">
        <f t="shared" si="68"/>
        <v>320.83052584386712</v>
      </c>
      <c r="AR127">
        <f t="shared" si="80"/>
        <v>5.3720041939999996</v>
      </c>
      <c r="AS127">
        <f>AR127/1000</f>
        <v>5.3720041939999998E-3</v>
      </c>
      <c r="AT127">
        <f>AS127*('Wet ref'!$B$40+M127)</f>
        <v>0.14721981752257449</v>
      </c>
      <c r="AU127" s="175">
        <f t="shared" si="81"/>
        <v>5.673228025503866E-2</v>
      </c>
      <c r="AV127" s="175">
        <f>AU127*'Soil samples'!AK127/100</f>
        <v>2.2654185520373765E-2</v>
      </c>
      <c r="AW127" s="174">
        <f t="shared" si="69"/>
        <v>22.654185520373765</v>
      </c>
      <c r="AX127" s="175">
        <f t="shared" si="70"/>
        <v>5.673228025503866E-2</v>
      </c>
      <c r="AY127" s="175">
        <f>AX127*'Soil samples'!AR127/100</f>
        <v>2.2654185520373765E-2</v>
      </c>
      <c r="AZ127" s="174">
        <f t="shared" si="71"/>
        <v>22.654185520373765</v>
      </c>
      <c r="BA127">
        <f t="shared" si="82"/>
        <v>4833.6232309999987</v>
      </c>
      <c r="BB127">
        <f>BA127/1000</f>
        <v>4.8336232309999989</v>
      </c>
      <c r="BC127">
        <f>BB127*('Wet ref'!$B$40+M127)</f>
        <v>132.46548296360038</v>
      </c>
      <c r="BD127" s="175">
        <f t="shared" si="83"/>
        <v>51.046584828551872</v>
      </c>
      <c r="BE127" s="175">
        <f>BD127*'Soil samples'!AK127/100</f>
        <v>20.383788518438831</v>
      </c>
      <c r="BF127" s="174">
        <f t="shared" si="74"/>
        <v>20.383788518438831</v>
      </c>
      <c r="BG127" s="175">
        <f t="shared" si="72"/>
        <v>51.046584828551872</v>
      </c>
      <c r="BH127" s="175">
        <f>BG127*'Soil samples'!AR127/100</f>
        <v>20.383788518438831</v>
      </c>
      <c r="BI127" s="174">
        <f t="shared" si="75"/>
        <v>20.383788518438831</v>
      </c>
      <c r="BK127" s="6"/>
      <c r="BL127" s="31"/>
    </row>
    <row r="128" spans="1:64">
      <c r="A128" s="6" t="s">
        <v>131</v>
      </c>
      <c r="B128" s="6" t="s">
        <v>198</v>
      </c>
      <c r="C128" t="s">
        <v>12</v>
      </c>
      <c r="D128" s="8">
        <v>4</v>
      </c>
      <c r="E128" s="3">
        <v>30</v>
      </c>
      <c r="F128" s="26">
        <v>42821</v>
      </c>
      <c r="G128" s="3"/>
      <c r="H128">
        <f>'Wet ref'!B170</f>
        <v>100.79870099999999</v>
      </c>
      <c r="I128">
        <f>'Wet ref'!C170</f>
        <v>194.6666677</v>
      </c>
      <c r="J128">
        <f>'Wet ref'!D170</f>
        <v>98.458230659999998</v>
      </c>
      <c r="K128">
        <f>'Wet ref'!E170</f>
        <v>5.5936656200000003</v>
      </c>
      <c r="L128" s="3">
        <f t="shared" si="56"/>
        <v>5298.2002513000007</v>
      </c>
      <c r="M128" s="31">
        <f>'Wet ref'!$B$41*'Soil samples'!AI128%</f>
        <v>2.153156206815634</v>
      </c>
      <c r="N128" s="105">
        <f>'Wet ref'!$B$41*'Soil samples'!AH128%</f>
        <v>2.846843793184366</v>
      </c>
      <c r="O128">
        <f t="shared" si="76"/>
        <v>100.79870099999999</v>
      </c>
      <c r="P128">
        <f>O128/1000</f>
        <v>0.10079870099999999</v>
      </c>
      <c r="Q128">
        <f>P128*('Wet ref'!$B$40+M128)</f>
        <v>2.737002873697103</v>
      </c>
      <c r="R128" s="141">
        <f t="shared" si="73"/>
        <v>0.96141659765448551</v>
      </c>
      <c r="S128" s="141">
        <f>R128*'Soil samples'!AK128/100</f>
        <v>0.45653207933267659</v>
      </c>
      <c r="T128" s="149">
        <f t="shared" si="57"/>
        <v>0.45653207933267659</v>
      </c>
      <c r="U128" s="141">
        <f t="shared" si="58"/>
        <v>100.79870099999999</v>
      </c>
      <c r="V128" s="141">
        <f t="shared" si="59"/>
        <v>0.96141659765448551</v>
      </c>
      <c r="W128" s="141">
        <f>V128*'Soil samples'!AR128/100</f>
        <v>0.45653207933267659</v>
      </c>
      <c r="X128" s="149">
        <f t="shared" si="60"/>
        <v>0.45653207933267659</v>
      </c>
      <c r="Y128">
        <f t="shared" si="77"/>
        <v>194.6666677</v>
      </c>
      <c r="Z128">
        <f t="shared" si="61"/>
        <v>0.19466666770000002</v>
      </c>
      <c r="AA128">
        <f>Z128*('Wet ref'!$B$40+M128)</f>
        <v>5.2858144363183719</v>
      </c>
      <c r="AB128" s="175">
        <f t="shared" si="49"/>
        <v>1.8567279486753541</v>
      </c>
      <c r="AC128" s="175">
        <f>AB128*'Soil samples'!AK128/100</f>
        <v>0.88167384797790405</v>
      </c>
      <c r="AD128" s="174">
        <f t="shared" si="62"/>
        <v>0.88167384797790405</v>
      </c>
      <c r="AE128" s="175">
        <f t="shared" si="63"/>
        <v>194.6666677</v>
      </c>
      <c r="AF128" s="175">
        <f t="shared" si="64"/>
        <v>1.8567279486753541</v>
      </c>
      <c r="AG128" s="175">
        <f>AF128*'Soil samples'!AR128/100</f>
        <v>0.88167384797790405</v>
      </c>
      <c r="AH128" s="174">
        <f t="shared" si="65"/>
        <v>0.88167384797790405</v>
      </c>
      <c r="AI128">
        <f t="shared" si="78"/>
        <v>98.458230659999998</v>
      </c>
      <c r="AJ128">
        <f>AI128/1000</f>
        <v>9.8458230659999993E-2</v>
      </c>
      <c r="AK128">
        <f>AJ128*('Wet ref'!$B$40+M128)</f>
        <v>2.6734517169576644</v>
      </c>
      <c r="AL128" s="175">
        <f t="shared" si="79"/>
        <v>0.93909322434837494</v>
      </c>
      <c r="AM128" s="175">
        <f>AL128*'Soil samples'!AK128/100</f>
        <v>0.44593174638853833</v>
      </c>
      <c r="AN128" s="174">
        <f t="shared" si="66"/>
        <v>445.93174638853833</v>
      </c>
      <c r="AO128" s="175">
        <f t="shared" si="67"/>
        <v>0.93909322434837494</v>
      </c>
      <c r="AP128" s="175">
        <f>AO128*'Soil samples'!AR128/100</f>
        <v>0.44593174638853833</v>
      </c>
      <c r="AQ128" s="174">
        <f t="shared" si="68"/>
        <v>445.93174638853833</v>
      </c>
      <c r="AR128">
        <f t="shared" si="80"/>
        <v>5.5936656200000003</v>
      </c>
      <c r="AS128">
        <f>AR128/1000</f>
        <v>5.5936656200000004E-3</v>
      </c>
      <c r="AT128">
        <f>AS128*('Wet ref'!$B$40+M128)</f>
        <v>0.15188567634855424</v>
      </c>
      <c r="AU128" s="175">
        <f t="shared" si="81"/>
        <v>5.335230430000551E-2</v>
      </c>
      <c r="AV128" s="175">
        <f>AU128*'Soil samples'!AK128/100</f>
        <v>2.533453081493884E-2</v>
      </c>
      <c r="AW128" s="174">
        <f t="shared" si="69"/>
        <v>25.334530814938841</v>
      </c>
      <c r="AX128" s="175">
        <f t="shared" si="70"/>
        <v>5.335230430000551E-2</v>
      </c>
      <c r="AY128" s="175">
        <f>AX128*'Soil samples'!AR128/100</f>
        <v>2.533453081493884E-2</v>
      </c>
      <c r="AZ128" s="174">
        <f t="shared" si="71"/>
        <v>25.334530814938841</v>
      </c>
      <c r="BA128">
        <f t="shared" si="82"/>
        <v>5298.2002513000007</v>
      </c>
      <c r="BB128">
        <f>BA128/1000</f>
        <v>5.2982002513000008</v>
      </c>
      <c r="BC128">
        <f>BB128*('Wet ref'!$B$40+M128)</f>
        <v>143.86285903853877</v>
      </c>
      <c r="BD128" s="175">
        <f t="shared" si="83"/>
        <v>50.534159753675674</v>
      </c>
      <c r="BE128" s="175">
        <f>BD128*'Soil samples'!AK128/100</f>
        <v>23.996324887628262</v>
      </c>
      <c r="BF128" s="174">
        <f t="shared" si="74"/>
        <v>23.996324887628262</v>
      </c>
      <c r="BG128" s="175">
        <f t="shared" si="72"/>
        <v>50.534159753675674</v>
      </c>
      <c r="BH128" s="175">
        <f>BG128*'Soil samples'!AR128/100</f>
        <v>23.996324887628262</v>
      </c>
      <c r="BI128" s="174">
        <f t="shared" si="75"/>
        <v>23.996324887628262</v>
      </c>
      <c r="BK128" s="6"/>
      <c r="BL128" s="31"/>
    </row>
    <row r="129" spans="1:64">
      <c r="A129" s="206" t="s">
        <v>132</v>
      </c>
      <c r="B129" s="6" t="s">
        <v>198</v>
      </c>
      <c r="C129" t="s">
        <v>12</v>
      </c>
      <c r="D129" s="8">
        <v>5</v>
      </c>
      <c r="E129" s="3">
        <v>5</v>
      </c>
      <c r="F129" s="8" t="s">
        <v>469</v>
      </c>
      <c r="G129" s="8" t="s">
        <v>469</v>
      </c>
      <c r="H129" s="6" t="s">
        <v>469</v>
      </c>
      <c r="I129" s="6" t="s">
        <v>469</v>
      </c>
      <c r="J129" s="6" t="s">
        <v>469</v>
      </c>
      <c r="K129" s="6" t="s">
        <v>469</v>
      </c>
      <c r="L129" s="3" t="s">
        <v>469</v>
      </c>
      <c r="M129" s="31">
        <f>'Wet ref'!$B$41*'Soil samples'!AI129%</f>
        <v>1.9552738287165954</v>
      </c>
      <c r="N129" s="105">
        <f>'Wet ref'!$B$41*'Soil samples'!AH129%</f>
        <v>3.0447261712834046</v>
      </c>
      <c r="O129" t="s">
        <v>469</v>
      </c>
      <c r="P129" t="s">
        <v>469</v>
      </c>
      <c r="Q129" t="s">
        <v>469</v>
      </c>
      <c r="R129" t="s">
        <v>469</v>
      </c>
      <c r="S129" t="s">
        <v>469</v>
      </c>
      <c r="T129" t="s">
        <v>469</v>
      </c>
      <c r="U129" s="151">
        <f>BO24</f>
        <v>81.877290549999998</v>
      </c>
      <c r="V129" s="151">
        <f>BO8</f>
        <v>1.2228134407206586</v>
      </c>
      <c r="W129" s="141">
        <f>V129*'Soil samples'!AR129/100</f>
        <v>5.2272774481252816E-2</v>
      </c>
      <c r="X129" s="149">
        <f t="shared" si="60"/>
        <v>5.2272774481252816E-2</v>
      </c>
      <c r="Y129" t="s">
        <v>469</v>
      </c>
      <c r="Z129" t="s">
        <v>469</v>
      </c>
      <c r="AA129" t="e">
        <f>Z129*('Wet ref'!$B$40+M129)</f>
        <v>#VALUE!</v>
      </c>
      <c r="AB129" t="s">
        <v>469</v>
      </c>
      <c r="AC129" t="s">
        <v>469</v>
      </c>
      <c r="AD129" t="s">
        <v>469</v>
      </c>
      <c r="AE129" s="175">
        <f>BP24</f>
        <v>563.02263070000004</v>
      </c>
      <c r="AF129" s="175">
        <f>BP8</f>
        <v>8.4085786867780481</v>
      </c>
      <c r="AG129" s="175">
        <f>AF129*'Soil samples'!AR129/100</f>
        <v>0.35944954705664467</v>
      </c>
      <c r="AH129" s="174">
        <f t="shared" si="65"/>
        <v>0.35944954705664467</v>
      </c>
      <c r="AI129" t="str">
        <f t="shared" si="78"/>
        <v>none</v>
      </c>
      <c r="AK129">
        <f>AJ129*('Wet ref'!$B$40+M129)</f>
        <v>0</v>
      </c>
      <c r="AL129" s="175">
        <f t="shared" si="79"/>
        <v>0</v>
      </c>
      <c r="AM129" s="175">
        <f>AL129*'Soil samples'!AK129/100</f>
        <v>0</v>
      </c>
      <c r="AN129" s="174">
        <f t="shared" si="66"/>
        <v>0</v>
      </c>
      <c r="AO129" s="175">
        <f>BQ8</f>
        <v>1.5302209931702764</v>
      </c>
      <c r="AP129" s="175">
        <f>AO129*'Soil samples'!AR129/100</f>
        <v>6.5413818836770013E-2</v>
      </c>
      <c r="AQ129" s="174">
        <f t="shared" si="68"/>
        <v>65.41381883677002</v>
      </c>
      <c r="AR129" t="str">
        <f t="shared" si="80"/>
        <v>none</v>
      </c>
      <c r="AT129">
        <f>AS129*('Wet ref'!$B$40+M129)</f>
        <v>0</v>
      </c>
      <c r="AU129" s="175">
        <f t="shared" si="81"/>
        <v>0</v>
      </c>
      <c r="AV129" s="175">
        <f>AU129*'Soil samples'!AK129/100</f>
        <v>0</v>
      </c>
      <c r="AW129" s="174">
        <f t="shared" si="69"/>
        <v>0</v>
      </c>
      <c r="AX129" s="175">
        <f>BR8</f>
        <v>7.3201297710892205E-2</v>
      </c>
      <c r="AY129" s="175">
        <f>AX129*'Soil samples'!AR129/100</f>
        <v>3.1292058130481682E-3</v>
      </c>
      <c r="AZ129" s="174">
        <f t="shared" si="71"/>
        <v>3.1292058130481681</v>
      </c>
      <c r="BA129" t="e">
        <f t="shared" si="82"/>
        <v>#VALUE!</v>
      </c>
      <c r="BC129">
        <f>BB129*('Wet ref'!$B$40+M129)</f>
        <v>0</v>
      </c>
      <c r="BD129" s="175">
        <f t="shared" si="83"/>
        <v>0</v>
      </c>
      <c r="BE129" s="175">
        <f>BD129*'Soil samples'!AK129/100</f>
        <v>0</v>
      </c>
      <c r="BF129" s="174">
        <f t="shared" si="74"/>
        <v>0</v>
      </c>
      <c r="BG129" s="175">
        <f>BS8</f>
        <v>63.569905583393478</v>
      </c>
      <c r="BH129" s="175">
        <f>BG129*'Soil samples'!AR129/100</f>
        <v>2.7174834915102704</v>
      </c>
      <c r="BI129" s="174">
        <f t="shared" si="75"/>
        <v>2.7174834915102704</v>
      </c>
      <c r="BL129" s="31"/>
    </row>
    <row r="130" spans="1:64">
      <c r="A130" s="6" t="s">
        <v>133</v>
      </c>
      <c r="B130" s="6" t="s">
        <v>198</v>
      </c>
      <c r="C130" t="s">
        <v>12</v>
      </c>
      <c r="D130" s="8">
        <v>5</v>
      </c>
      <c r="E130" s="3">
        <v>10</v>
      </c>
      <c r="F130" s="26">
        <v>42767</v>
      </c>
      <c r="G130" s="3"/>
      <c r="H130">
        <f>'Wet ref'!B171</f>
        <v>112.6640585</v>
      </c>
      <c r="I130">
        <f>'Wet ref'!C171</f>
        <v>164.83876839999999</v>
      </c>
      <c r="J130">
        <f>'Wet ref'!D171</f>
        <v>141.74355030000001</v>
      </c>
      <c r="K130">
        <f>'Wet ref'!E171</f>
        <v>9.107516575</v>
      </c>
      <c r="L130" s="3">
        <f t="shared" si="56"/>
        <v>8830.0137480999983</v>
      </c>
      <c r="M130" s="31">
        <f>'Wet ref'!$B$41*'Soil samples'!AI130%</f>
        <v>1.1638546454938017</v>
      </c>
      <c r="N130" s="105">
        <f>'Wet ref'!$B$41*'Soil samples'!AH130%</f>
        <v>3.8361453545061988</v>
      </c>
      <c r="O130">
        <f t="shared" si="76"/>
        <v>112.6640585</v>
      </c>
      <c r="P130">
        <f>O130/1000</f>
        <v>0.1126640585</v>
      </c>
      <c r="Q130">
        <f>P130*('Wet ref'!$B$40+M130)</f>
        <v>2.9477260503654104</v>
      </c>
      <c r="R130" s="141">
        <f t="shared" si="73"/>
        <v>0.76840833127003638</v>
      </c>
      <c r="S130" s="141">
        <f>R130*'Soil samples'!AK130/100</f>
        <v>0.28392497317119647</v>
      </c>
      <c r="T130" s="149">
        <f t="shared" si="57"/>
        <v>0.28392497317119647</v>
      </c>
      <c r="U130" s="141">
        <f t="shared" si="58"/>
        <v>112.6640585</v>
      </c>
      <c r="V130" s="141">
        <f t="shared" si="59"/>
        <v>0.76840833127003638</v>
      </c>
      <c r="W130" s="141">
        <f>V130*'Soil samples'!AR130/100</f>
        <v>0.28392497317119647</v>
      </c>
      <c r="X130" s="149">
        <f t="shared" si="60"/>
        <v>0.28392497317119647</v>
      </c>
      <c r="Y130">
        <f t="shared" si="77"/>
        <v>164.83876839999999</v>
      </c>
      <c r="Z130">
        <f t="shared" si="61"/>
        <v>0.1648387684</v>
      </c>
      <c r="AA130">
        <f>Z130*('Wet ref'!$B$40+M130)</f>
        <v>4.3128175763598176</v>
      </c>
      <c r="AB130" s="175">
        <f t="shared" si="49"/>
        <v>1.1242581231427238</v>
      </c>
      <c r="AC130" s="175">
        <f>AB130*'Soil samples'!AK130/100</f>
        <v>0.41541058895497784</v>
      </c>
      <c r="AD130" s="174">
        <f t="shared" si="62"/>
        <v>0.41541058895497784</v>
      </c>
      <c r="AE130" s="175">
        <f t="shared" si="63"/>
        <v>164.83876839999999</v>
      </c>
      <c r="AF130" s="175">
        <f t="shared" si="64"/>
        <v>1.1242581231427238</v>
      </c>
      <c r="AG130" s="175">
        <f>AF130*'Soil samples'!AR130/100</f>
        <v>0.41541058895497784</v>
      </c>
      <c r="AH130" s="174">
        <f t="shared" si="65"/>
        <v>0.41541058895497784</v>
      </c>
      <c r="AI130">
        <f t="shared" si="78"/>
        <v>141.74355030000001</v>
      </c>
      <c r="AJ130">
        <f>AI130/1000</f>
        <v>0.14174355030000002</v>
      </c>
      <c r="AK130">
        <f>AJ130*('Wet ref'!$B$40+M130)</f>
        <v>3.7085576469854402</v>
      </c>
      <c r="AL130" s="175">
        <f t="shared" si="79"/>
        <v>0.96674064829923989</v>
      </c>
      <c r="AM130" s="175">
        <f>AL130*'Soil samples'!AK130/100</f>
        <v>0.35720827255763771</v>
      </c>
      <c r="AN130" s="174">
        <f t="shared" si="66"/>
        <v>357.20827255763771</v>
      </c>
      <c r="AO130" s="175">
        <f t="shared" si="67"/>
        <v>0.96674064829923989</v>
      </c>
      <c r="AP130" s="175">
        <f>AO130*'Soil samples'!AR130/100</f>
        <v>0.35720827255763771</v>
      </c>
      <c r="AQ130" s="174">
        <f t="shared" si="68"/>
        <v>357.20827255763771</v>
      </c>
      <c r="AR130">
        <f t="shared" si="80"/>
        <v>9.107516575</v>
      </c>
      <c r="AS130">
        <f>AR130/1000</f>
        <v>9.1075165750000003E-3</v>
      </c>
      <c r="AT130">
        <f>AS130*('Wet ref'!$B$40+M130)</f>
        <v>0.23828773984972557</v>
      </c>
      <c r="AU130" s="175">
        <f t="shared" si="81"/>
        <v>6.211645227932161E-2</v>
      </c>
      <c r="AV130" s="175">
        <f>AU130*'Soil samples'!AK130/100</f>
        <v>2.2951875102325579E-2</v>
      </c>
      <c r="AW130" s="174">
        <f t="shared" si="69"/>
        <v>22.95187510232558</v>
      </c>
      <c r="AX130" s="175">
        <f t="shared" si="70"/>
        <v>6.211645227932161E-2</v>
      </c>
      <c r="AY130" s="175">
        <f>AX130*'Soil samples'!AR130/100</f>
        <v>2.2951875102325579E-2</v>
      </c>
      <c r="AZ130" s="174">
        <f t="shared" si="71"/>
        <v>22.95187510232558</v>
      </c>
      <c r="BA130">
        <f t="shared" si="82"/>
        <v>8830.0137480999983</v>
      </c>
      <c r="BB130">
        <f>BA130/1000</f>
        <v>8.8300137480999989</v>
      </c>
      <c r="BC130">
        <f>BB130*('Wet ref'!$B$40+M130)</f>
        <v>231.02719622300032</v>
      </c>
      <c r="BD130" s="175">
        <f t="shared" si="83"/>
        <v>60.223785824908845</v>
      </c>
      <c r="BE130" s="175">
        <f>BD130*'Soil samples'!AK130/100</f>
        <v>22.2525395401994</v>
      </c>
      <c r="BF130" s="174">
        <f t="shared" si="74"/>
        <v>22.2525395401994</v>
      </c>
      <c r="BG130" s="175">
        <f t="shared" si="72"/>
        <v>60.223785824908845</v>
      </c>
      <c r="BH130" s="175">
        <f>BG130*'Soil samples'!AR130/100</f>
        <v>22.2525395401994</v>
      </c>
      <c r="BI130" s="174">
        <f t="shared" si="75"/>
        <v>22.2525395401994</v>
      </c>
      <c r="BK130" s="6"/>
      <c r="BL130" s="31"/>
    </row>
    <row r="131" spans="1:64">
      <c r="A131" s="6" t="s">
        <v>134</v>
      </c>
      <c r="B131" s="6" t="s">
        <v>198</v>
      </c>
      <c r="C131" t="s">
        <v>12</v>
      </c>
      <c r="D131" s="8">
        <v>5</v>
      </c>
      <c r="E131" s="3">
        <v>20</v>
      </c>
      <c r="F131" s="26">
        <v>42767</v>
      </c>
      <c r="G131" s="3"/>
      <c r="H131">
        <f>'Wet ref'!B172</f>
        <v>143.4418034</v>
      </c>
      <c r="I131">
        <f>'Wet ref'!C172</f>
        <v>174.9226567</v>
      </c>
      <c r="J131">
        <f>'Wet ref'!D172</f>
        <v>237.37324000000001</v>
      </c>
      <c r="K131">
        <f>'Wet ref'!E172</f>
        <v>14.11887552</v>
      </c>
      <c r="L131" s="3">
        <f t="shared" si="56"/>
        <v>13800.5110599</v>
      </c>
      <c r="M131" s="31">
        <f>'Wet ref'!$B$41*'Soil samples'!AI131%</f>
        <v>1.0691500246770915</v>
      </c>
      <c r="N131" s="105">
        <f>'Wet ref'!$B$41*'Soil samples'!AH131%</f>
        <v>3.9308499753229089</v>
      </c>
      <c r="O131">
        <f t="shared" si="76"/>
        <v>143.4418034</v>
      </c>
      <c r="P131">
        <f>O131/1000</f>
        <v>0.14344180339999998</v>
      </c>
      <c r="Q131">
        <f>P131*('Wet ref'!$B$40+M131)</f>
        <v>3.7394058926448364</v>
      </c>
      <c r="R131" s="141">
        <f t="shared" si="73"/>
        <v>0.95129702637345093</v>
      </c>
      <c r="S131" s="141">
        <f>R131*'Soil samples'!AK131/100</f>
        <v>0.44633548734608763</v>
      </c>
      <c r="T131" s="149">
        <f t="shared" si="57"/>
        <v>0.44633548734608763</v>
      </c>
      <c r="U131" s="141">
        <f t="shared" si="58"/>
        <v>143.4418034</v>
      </c>
      <c r="V131" s="141">
        <f t="shared" si="59"/>
        <v>0.95129702637345093</v>
      </c>
      <c r="W131" s="141">
        <f>V131*'Soil samples'!AR131/100</f>
        <v>0.44633548734608763</v>
      </c>
      <c r="X131" s="149">
        <f t="shared" si="60"/>
        <v>0.44633548734608763</v>
      </c>
      <c r="Y131">
        <f t="shared" si="77"/>
        <v>174.9226567</v>
      </c>
      <c r="Z131">
        <f t="shared" si="61"/>
        <v>0.17492265670000001</v>
      </c>
      <c r="AA131">
        <f>Z131*('Wet ref'!$B$40+M131)</f>
        <v>4.560084980227388</v>
      </c>
      <c r="AB131" s="175">
        <f t="shared" si="49"/>
        <v>1.1600760672258394</v>
      </c>
      <c r="AC131" s="175">
        <f>AB131*'Soil samples'!AK131/100</f>
        <v>0.54429174323994101</v>
      </c>
      <c r="AD131" s="174">
        <f t="shared" si="62"/>
        <v>0.54429174323994101</v>
      </c>
      <c r="AE131" s="175">
        <f t="shared" si="63"/>
        <v>174.9226567</v>
      </c>
      <c r="AF131" s="175">
        <f t="shared" si="64"/>
        <v>1.1600760672258394</v>
      </c>
      <c r="AG131" s="175">
        <f>AF131*'Soil samples'!AR131/100</f>
        <v>0.54429174323994101</v>
      </c>
      <c r="AH131" s="174">
        <f t="shared" si="65"/>
        <v>0.54429174323994101</v>
      </c>
      <c r="AI131">
        <f t="shared" si="78"/>
        <v>237.37324000000001</v>
      </c>
      <c r="AJ131">
        <f>AI131/1000</f>
        <v>0.23737324000000001</v>
      </c>
      <c r="AK131">
        <f>AJ131*('Wet ref'!$B$40+M131)</f>
        <v>6.1881186054036821</v>
      </c>
      <c r="AL131" s="175">
        <f t="shared" si="79"/>
        <v>1.5742444113236207</v>
      </c>
      <c r="AM131" s="175">
        <f>AL131*'Soil samples'!AK131/100</f>
        <v>0.73861383674098346</v>
      </c>
      <c r="AN131" s="174">
        <f t="shared" si="66"/>
        <v>738.61383674098352</v>
      </c>
      <c r="AO131" s="175">
        <f t="shared" si="67"/>
        <v>1.5742444113236207</v>
      </c>
      <c r="AP131" s="175">
        <f>AO131*'Soil samples'!AR131/100</f>
        <v>0.73861383674098346</v>
      </c>
      <c r="AQ131" s="174">
        <f t="shared" si="68"/>
        <v>738.61383674098352</v>
      </c>
      <c r="AR131">
        <f t="shared" si="80"/>
        <v>14.11887552</v>
      </c>
      <c r="AS131">
        <f>AR131/1000</f>
        <v>1.4118875519999999E-2</v>
      </c>
      <c r="AT131">
        <f>AS131*('Wet ref'!$B$40+M131)</f>
        <v>0.36806708411062078</v>
      </c>
      <c r="AU131" s="175">
        <f t="shared" si="81"/>
        <v>9.3635495229091023E-2</v>
      </c>
      <c r="AV131" s="175">
        <f>AU131*'Soil samples'!AK131/100</f>
        <v>4.3932487159443701E-2</v>
      </c>
      <c r="AW131" s="174">
        <f t="shared" si="69"/>
        <v>43.932487159443696</v>
      </c>
      <c r="AX131" s="175">
        <f t="shared" si="70"/>
        <v>9.3635495229091023E-2</v>
      </c>
      <c r="AY131" s="175">
        <f>AX131*'Soil samples'!AR131/100</f>
        <v>4.3932487159443701E-2</v>
      </c>
      <c r="AZ131" s="174">
        <f t="shared" si="71"/>
        <v>43.932487159443696</v>
      </c>
      <c r="BA131">
        <f t="shared" si="82"/>
        <v>13800.5110599</v>
      </c>
      <c r="BB131">
        <f>BA131/1000</f>
        <v>13.8005110599</v>
      </c>
      <c r="BC131">
        <f>BB131*('Wet ref'!$B$40+M131)</f>
        <v>359.7675932377486</v>
      </c>
      <c r="BD131" s="175">
        <f t="shared" si="83"/>
        <v>91.524122135491737</v>
      </c>
      <c r="BE131" s="175">
        <f>BD131*'Soil samples'!AK131/100</f>
        <v>42.941859928857674</v>
      </c>
      <c r="BF131" s="174">
        <f t="shared" si="74"/>
        <v>42.941859928857674</v>
      </c>
      <c r="BG131" s="175">
        <f t="shared" si="72"/>
        <v>91.524122135491737</v>
      </c>
      <c r="BH131" s="175">
        <f>BG131*'Soil samples'!AR131/100</f>
        <v>42.941859928857674</v>
      </c>
      <c r="BI131" s="174">
        <f t="shared" si="75"/>
        <v>42.941859928857674</v>
      </c>
      <c r="BK131" s="6"/>
      <c r="BL131" s="31"/>
    </row>
    <row r="132" spans="1:64">
      <c r="A132" s="206" t="s">
        <v>135</v>
      </c>
      <c r="B132" s="6" t="s">
        <v>198</v>
      </c>
      <c r="C132" t="s">
        <v>12</v>
      </c>
      <c r="D132" s="8">
        <v>6</v>
      </c>
      <c r="E132" s="3">
        <v>5</v>
      </c>
      <c r="F132" s="8" t="s">
        <v>469</v>
      </c>
      <c r="G132" s="8" t="s">
        <v>469</v>
      </c>
      <c r="H132" s="6" t="s">
        <v>469</v>
      </c>
      <c r="I132" s="6" t="s">
        <v>469</v>
      </c>
      <c r="J132" s="6" t="s">
        <v>469</v>
      </c>
      <c r="K132" s="6" t="s">
        <v>469</v>
      </c>
      <c r="L132" s="3" t="s">
        <v>469</v>
      </c>
      <c r="M132" s="31" t="e">
        <f>'Wet ref'!$B$41*'Soil samples'!AI132%</f>
        <v>#VALUE!</v>
      </c>
      <c r="N132" s="105" t="e">
        <f>'Wet ref'!$B$41*'Soil samples'!AH132%</f>
        <v>#VALUE!</v>
      </c>
      <c r="O132" t="s">
        <v>469</v>
      </c>
      <c r="P132" t="s">
        <v>469</v>
      </c>
      <c r="Q132" t="s">
        <v>469</v>
      </c>
      <c r="R132" t="s">
        <v>469</v>
      </c>
      <c r="S132" t="s">
        <v>469</v>
      </c>
      <c r="T132" t="s">
        <v>469</v>
      </c>
      <c r="U132" s="151">
        <f>BO25</f>
        <v>81.877290549999998</v>
      </c>
      <c r="V132" s="151">
        <f>BO9</f>
        <v>1.2228134407206586</v>
      </c>
      <c r="W132" s="141">
        <f>V132*'Soil samples'!AR132/100</f>
        <v>6.0135470520422209E-2</v>
      </c>
      <c r="X132" s="149">
        <f t="shared" si="60"/>
        <v>6.0135470520422209E-2</v>
      </c>
      <c r="Y132" t="s">
        <v>469</v>
      </c>
      <c r="Z132" t="s">
        <v>469</v>
      </c>
      <c r="AA132" t="e">
        <f>Z132*('Wet ref'!$B$40+M132)</f>
        <v>#VALUE!</v>
      </c>
      <c r="AB132" t="s">
        <v>469</v>
      </c>
      <c r="AC132" t="s">
        <v>469</v>
      </c>
      <c r="AD132" t="s">
        <v>469</v>
      </c>
      <c r="AE132" s="175">
        <f>BP25</f>
        <v>563.02263070000004</v>
      </c>
      <c r="AF132" s="175">
        <f>BP9</f>
        <v>8.4085786867780481</v>
      </c>
      <c r="AG132" s="175">
        <f>AF132*'Soil samples'!AR132/100</f>
        <v>0.41351674662603266</v>
      </c>
      <c r="AH132" s="174">
        <f t="shared" si="65"/>
        <v>0.41351674662603266</v>
      </c>
      <c r="AI132" t="str">
        <f t="shared" ref="AI132:AI163" si="88">IF(J132&gt;0,J132,0)</f>
        <v>none</v>
      </c>
      <c r="AK132" t="e">
        <f>AJ132*('Wet ref'!$B$40+M132)</f>
        <v>#VALUE!</v>
      </c>
      <c r="AL132" s="175" t="e">
        <f t="shared" ref="AL132:AL163" si="89">AK132/N132</f>
        <v>#VALUE!</v>
      </c>
      <c r="AM132" s="175" t="e">
        <f>AL132*'Soil samples'!AK132/100</f>
        <v>#VALUE!</v>
      </c>
      <c r="AN132" s="174" t="e">
        <f t="shared" si="66"/>
        <v>#VALUE!</v>
      </c>
      <c r="AO132" s="175">
        <f>BQ9</f>
        <v>1.5302209931702764</v>
      </c>
      <c r="AP132" s="175">
        <f>AO132*'Soil samples'!AR132/100</f>
        <v>7.5253146849850239E-2</v>
      </c>
      <c r="AQ132" s="174">
        <f t="shared" si="68"/>
        <v>75.253146849850239</v>
      </c>
      <c r="AR132" t="str">
        <f t="shared" ref="AR132:AR163" si="90">IF(K132&gt;0,K132,0)</f>
        <v>none</v>
      </c>
      <c r="AT132" t="e">
        <f>AS132*('Wet ref'!$B$40+M132)</f>
        <v>#VALUE!</v>
      </c>
      <c r="AU132" s="175" t="e">
        <f t="shared" ref="AU132:AU163" si="91">AT132/N132</f>
        <v>#VALUE!</v>
      </c>
      <c r="AV132" s="175" t="e">
        <f>AU132*'Soil samples'!AK132/100</f>
        <v>#VALUE!</v>
      </c>
      <c r="AW132" s="174" t="e">
        <f t="shared" si="69"/>
        <v>#VALUE!</v>
      </c>
      <c r="AX132" s="175">
        <f>BR9</f>
        <v>7.3201297710892205E-2</v>
      </c>
      <c r="AY132" s="175">
        <f>AX132*'Soil samples'!AR132/100</f>
        <v>3.5998904934801141E-3</v>
      </c>
      <c r="AZ132" s="174">
        <f t="shared" si="71"/>
        <v>3.5998904934801139</v>
      </c>
      <c r="BA132" t="e">
        <f t="shared" ref="BA132:BA163" si="92">IF(AR132*1000-O132-Y132&gt;0,AR132*1000-O132-Y132,0)</f>
        <v>#VALUE!</v>
      </c>
      <c r="BC132" t="e">
        <f>BB132*('Wet ref'!$B$40+M132)</f>
        <v>#VALUE!</v>
      </c>
      <c r="BD132" s="175" t="e">
        <f t="shared" ref="BD132:BD163" si="93">BC132/N132</f>
        <v>#VALUE!</v>
      </c>
      <c r="BE132" s="175" t="e">
        <f>BD132*'Soil samples'!AK132/100</f>
        <v>#VALUE!</v>
      </c>
      <c r="BF132" s="174" t="e">
        <f t="shared" si="74"/>
        <v>#VALUE!</v>
      </c>
      <c r="BG132" s="175">
        <f>BS9</f>
        <v>63.569905583393478</v>
      </c>
      <c r="BH132" s="175">
        <f>BG132*'Soil samples'!AR132/100</f>
        <v>3.126238276333658</v>
      </c>
      <c r="BI132" s="174">
        <f t="shared" si="75"/>
        <v>3.126238276333658</v>
      </c>
      <c r="BL132" s="31"/>
    </row>
    <row r="133" spans="1:64">
      <c r="A133" s="6" t="s">
        <v>136</v>
      </c>
      <c r="B133" s="6" t="s">
        <v>198</v>
      </c>
      <c r="C133" t="s">
        <v>12</v>
      </c>
      <c r="D133" s="8">
        <v>6</v>
      </c>
      <c r="E133" s="3">
        <v>10</v>
      </c>
      <c r="F133" s="26">
        <v>42753</v>
      </c>
      <c r="G133" s="3"/>
      <c r="H133">
        <f>'Wet ref'!B173</f>
        <v>98.263213930000006</v>
      </c>
      <c r="I133">
        <f>'Wet ref'!C173</f>
        <v>328.68898030000003</v>
      </c>
      <c r="J133">
        <f>'Wet ref'!D173</f>
        <v>38.12321395</v>
      </c>
      <c r="K133">
        <f>'Wet ref'!E173</f>
        <v>2.0941908219999998</v>
      </c>
      <c r="L133" s="3">
        <f t="shared" ref="L133:L192" si="94">K133*1000-H133-I133</f>
        <v>1667.2386277700002</v>
      </c>
      <c r="M133" s="31">
        <f>'Wet ref'!$B$41*'Soil samples'!AI133%</f>
        <v>1.8481796517594669</v>
      </c>
      <c r="N133" s="105">
        <f>'Wet ref'!$B$41*'Soil samples'!AH133%</f>
        <v>3.1518203482405331</v>
      </c>
      <c r="O133">
        <f t="shared" ref="O133:O163" si="95">IF(H133&gt;0,H133,0)</f>
        <v>98.263213930000006</v>
      </c>
      <c r="P133">
        <f t="shared" ref="P133:P141" si="96">O133/1000</f>
        <v>9.826321393000001E-2</v>
      </c>
      <c r="Q133">
        <f>P133*('Wet ref'!$B$40+M133)</f>
        <v>2.6381884207519137</v>
      </c>
      <c r="R133" s="141">
        <f t="shared" si="73"/>
        <v>0.83703641999286271</v>
      </c>
      <c r="S133" s="141">
        <f>R133*'Soil samples'!AK133/100</f>
        <v>0.25242186809754297</v>
      </c>
      <c r="T133" s="149">
        <f t="shared" ref="T133:T192" si="97">S133/1000000*1000000</f>
        <v>0.25242186809754297</v>
      </c>
      <c r="U133" s="141">
        <f t="shared" ref="U133:U192" si="98">O133</f>
        <v>98.263213930000006</v>
      </c>
      <c r="V133" s="141">
        <f t="shared" ref="V133:V192" si="99">R133</f>
        <v>0.83703641999286271</v>
      </c>
      <c r="W133" s="141">
        <f>V133*'Soil samples'!AR133/100</f>
        <v>0.25242186809754297</v>
      </c>
      <c r="X133" s="149">
        <f t="shared" ref="X133:X192" si="100">W133*1000000/1000000</f>
        <v>0.25242186809754297</v>
      </c>
      <c r="Y133">
        <f t="shared" ref="Y133:Y163" si="101">IF(I133&gt;0,I133,0)</f>
        <v>328.68898030000003</v>
      </c>
      <c r="Z133">
        <f t="shared" ref="Z133:Z192" si="102">Y133/1000</f>
        <v>0.32868898030000004</v>
      </c>
      <c r="AA133">
        <f>Z133*('Wet ref'!$B$40+M133)</f>
        <v>8.824700792648029</v>
      </c>
      <c r="AB133" s="175">
        <f t="shared" ref="AB133:AB192" si="103">AA133/N133</f>
        <v>2.7998743004417479</v>
      </c>
      <c r="AC133" s="175">
        <f>AB133*'Soil samples'!AK133/100</f>
        <v>0.84434737184056308</v>
      </c>
      <c r="AD133" s="174">
        <f t="shared" ref="AD133:AD192" si="104">AC133/1000000*1000000</f>
        <v>0.84434737184056308</v>
      </c>
      <c r="AE133" s="175">
        <f t="shared" ref="AE133:AE192" si="105">Y133</f>
        <v>328.68898030000003</v>
      </c>
      <c r="AF133" s="175">
        <f t="shared" ref="AF133:AF192" si="106">AB133</f>
        <v>2.7998743004417479</v>
      </c>
      <c r="AG133" s="175">
        <f>AF133*'Soil samples'!AR133/100</f>
        <v>0.84434737184056308</v>
      </c>
      <c r="AH133" s="174">
        <f t="shared" ref="AH133:AH192" si="107">AG133/1000000*1000000</f>
        <v>0.84434737184056308</v>
      </c>
      <c r="AI133">
        <f t="shared" si="88"/>
        <v>38.12321395</v>
      </c>
      <c r="AJ133">
        <f t="shared" ref="AJ133:AJ141" si="108">AI133/1000</f>
        <v>3.8123213949999998E-2</v>
      </c>
      <c r="AK133">
        <f>AJ133*('Wet ref'!$B$40+M133)</f>
        <v>1.0235388970320625</v>
      </c>
      <c r="AL133" s="175">
        <f t="shared" si="89"/>
        <v>0.32474531665595757</v>
      </c>
      <c r="AM133" s="175">
        <f>AL133*'Soil samples'!AK133/100</f>
        <v>9.7932201668027671E-2</v>
      </c>
      <c r="AN133" s="174">
        <f t="shared" ref="AN133:AN192" si="109">AM133/1000*1000000</f>
        <v>97.932201668027659</v>
      </c>
      <c r="AO133" s="175">
        <f t="shared" ref="AO133:AO192" si="110">AL133</f>
        <v>0.32474531665595757</v>
      </c>
      <c r="AP133" s="175">
        <f>AO133*'Soil samples'!AR133/100</f>
        <v>9.7932201668027671E-2</v>
      </c>
      <c r="AQ133" s="174">
        <f t="shared" ref="AQ133:AQ192" si="111">AP133/1000*1000000</f>
        <v>97.932201668027659</v>
      </c>
      <c r="AR133">
        <f t="shared" si="90"/>
        <v>2.0941908219999998</v>
      </c>
      <c r="AS133">
        <f t="shared" ref="AS133:AS141" si="112">AR133/1000</f>
        <v>2.0941908219999999E-3</v>
      </c>
      <c r="AT133">
        <f>AS133*('Wet ref'!$B$40+M133)</f>
        <v>5.6225211414121824E-2</v>
      </c>
      <c r="AU133" s="175">
        <f t="shared" si="91"/>
        <v>1.7838964535370455E-2</v>
      </c>
      <c r="AV133" s="175">
        <f>AU133*'Soil samples'!AK133/100</f>
        <v>5.3796282281031735E-3</v>
      </c>
      <c r="AW133" s="174">
        <f t="shared" ref="AW133:AW192" si="113">AV133/1000*1000000</f>
        <v>5.3796282281031731</v>
      </c>
      <c r="AX133" s="175">
        <f t="shared" ref="AX133:AX192" si="114">AU133</f>
        <v>1.7838964535370455E-2</v>
      </c>
      <c r="AY133" s="175">
        <f>AX133*'Soil samples'!AR133/100</f>
        <v>5.3796282281031735E-3</v>
      </c>
      <c r="AZ133" s="174">
        <f t="shared" ref="AZ133:AZ192" si="115">AY133/1000*1000000</f>
        <v>5.3796282281031731</v>
      </c>
      <c r="BA133">
        <f t="shared" si="92"/>
        <v>1667.2386277700002</v>
      </c>
      <c r="BB133">
        <f t="shared" ref="BB133:BB141" si="116">BA133/1000</f>
        <v>1.6672386277700002</v>
      </c>
      <c r="BC133">
        <f>BB133*('Wet ref'!$B$40+M133)</f>
        <v>44.762322200721897</v>
      </c>
      <c r="BD133" s="175">
        <f t="shared" si="93"/>
        <v>14.202053814935848</v>
      </c>
      <c r="BE133" s="175">
        <f>BD133*'Soil samples'!AK133/100</f>
        <v>4.2828589881650689</v>
      </c>
      <c r="BF133" s="174">
        <f t="shared" si="74"/>
        <v>4.2828589881650689</v>
      </c>
      <c r="BG133" s="175">
        <f t="shared" ref="BG133:BG192" si="117">BD133</f>
        <v>14.202053814935848</v>
      </c>
      <c r="BH133" s="175">
        <f>BG133*'Soil samples'!AR133/100</f>
        <v>4.2828589881650689</v>
      </c>
      <c r="BI133" s="174">
        <f t="shared" si="75"/>
        <v>4.2828589881650689</v>
      </c>
      <c r="BK133" s="6"/>
      <c r="BL133" s="31"/>
    </row>
    <row r="134" spans="1:64">
      <c r="A134" s="6" t="s">
        <v>137</v>
      </c>
      <c r="B134" s="6" t="s">
        <v>198</v>
      </c>
      <c r="C134" t="s">
        <v>12</v>
      </c>
      <c r="D134" s="8">
        <v>6</v>
      </c>
      <c r="E134" s="3">
        <v>20</v>
      </c>
      <c r="F134" s="26">
        <v>42753</v>
      </c>
      <c r="G134" s="3"/>
      <c r="H134">
        <f>'Wet ref'!B174</f>
        <v>94.351706340000007</v>
      </c>
      <c r="I134">
        <f>'Wet ref'!C174</f>
        <v>284.72980009999998</v>
      </c>
      <c r="J134">
        <f>'Wet ref'!D174</f>
        <v>83.356290659999999</v>
      </c>
      <c r="K134">
        <f>'Wet ref'!E174</f>
        <v>2.1630371899999998</v>
      </c>
      <c r="L134" s="3">
        <f t="shared" si="94"/>
        <v>1783.9556835600001</v>
      </c>
      <c r="M134" s="31">
        <f>'Wet ref'!$B$41*'Soil samples'!AI134%</f>
        <v>2.1266414283393931</v>
      </c>
      <c r="N134" s="105">
        <f>'Wet ref'!$B$41*'Soil samples'!AH134%</f>
        <v>2.8733585716606069</v>
      </c>
      <c r="O134">
        <f t="shared" si="95"/>
        <v>94.351706340000007</v>
      </c>
      <c r="P134">
        <f t="shared" si="96"/>
        <v>9.4351706340000008E-2</v>
      </c>
      <c r="Q134">
        <f>P134*('Wet ref'!$B$40+M134)</f>
        <v>2.5594449060371569</v>
      </c>
      <c r="R134" s="141">
        <f t="shared" si="73"/>
        <v>0.89075026391779943</v>
      </c>
      <c r="S134" s="141">
        <f>R134*'Soil samples'!AK134/100</f>
        <v>0.31153563396284278</v>
      </c>
      <c r="T134" s="149">
        <f t="shared" si="97"/>
        <v>0.31153563396284278</v>
      </c>
      <c r="U134" s="141">
        <f t="shared" si="98"/>
        <v>94.351706340000007</v>
      </c>
      <c r="V134" s="141">
        <f t="shared" si="99"/>
        <v>0.89075026391779943</v>
      </c>
      <c r="W134" s="141">
        <f>V134*'Soil samples'!AR134/100</f>
        <v>0.31153563396284278</v>
      </c>
      <c r="X134" s="149">
        <f t="shared" si="100"/>
        <v>0.31153563396284278</v>
      </c>
      <c r="Y134">
        <f t="shared" si="101"/>
        <v>284.72980009999998</v>
      </c>
      <c r="Z134">
        <f t="shared" si="102"/>
        <v>0.28472980009999999</v>
      </c>
      <c r="AA134">
        <f>Z134*('Wet ref'!$B$40+M134)</f>
        <v>7.7237631912754532</v>
      </c>
      <c r="AB134" s="175">
        <f t="shared" si="103"/>
        <v>2.688061026372925</v>
      </c>
      <c r="AC134" s="175">
        <f>AB134*'Soil samples'!AK134/100</f>
        <v>0.9401364556420484</v>
      </c>
      <c r="AD134" s="174">
        <f t="shared" si="104"/>
        <v>0.9401364556420484</v>
      </c>
      <c r="AE134" s="175">
        <f t="shared" si="105"/>
        <v>284.72980009999998</v>
      </c>
      <c r="AF134" s="175">
        <f t="shared" si="106"/>
        <v>2.688061026372925</v>
      </c>
      <c r="AG134" s="175">
        <f>AF134*'Soil samples'!AR134/100</f>
        <v>0.9401364556420484</v>
      </c>
      <c r="AH134" s="174">
        <f t="shared" si="107"/>
        <v>0.9401364556420484</v>
      </c>
      <c r="AI134">
        <f t="shared" si="88"/>
        <v>83.356290659999999</v>
      </c>
      <c r="AJ134">
        <f t="shared" si="108"/>
        <v>8.3356290659999999E-2</v>
      </c>
      <c r="AK134">
        <f>AJ134*('Wet ref'!$B$40+M134)</f>
        <v>2.2611762075302559</v>
      </c>
      <c r="AL134" s="175">
        <f t="shared" si="89"/>
        <v>0.78694536415740446</v>
      </c>
      <c r="AM134" s="175">
        <f>AL134*'Soil samples'!AK134/100</f>
        <v>0.27523036798058281</v>
      </c>
      <c r="AN134" s="174">
        <f t="shared" si="109"/>
        <v>275.2303679805828</v>
      </c>
      <c r="AO134" s="175">
        <f t="shared" si="110"/>
        <v>0.78694536415740446</v>
      </c>
      <c r="AP134" s="175">
        <f>AO134*'Soil samples'!AR134/100</f>
        <v>0.27523036798058281</v>
      </c>
      <c r="AQ134" s="174">
        <f t="shared" si="111"/>
        <v>275.2303679805828</v>
      </c>
      <c r="AR134">
        <f t="shared" si="90"/>
        <v>2.1630371899999998</v>
      </c>
      <c r="AS134">
        <f t="shared" si="112"/>
        <v>2.1630371899999997E-3</v>
      </c>
      <c r="AT134">
        <f>AS134*('Wet ref'!$B$40+M134)</f>
        <v>5.8675934249292822E-2</v>
      </c>
      <c r="AU134" s="175">
        <f t="shared" si="91"/>
        <v>2.0420679419548428E-2</v>
      </c>
      <c r="AV134" s="175">
        <f>AU134*'Soil samples'!AK134/100</f>
        <v>7.1420347168239242E-3</v>
      </c>
      <c r="AW134" s="174">
        <f t="shared" si="113"/>
        <v>7.1420347168239235</v>
      </c>
      <c r="AX134" s="175">
        <f t="shared" si="114"/>
        <v>2.0420679419548428E-2</v>
      </c>
      <c r="AY134" s="175">
        <f>AX134*'Soil samples'!AR134/100</f>
        <v>7.1420347168239242E-3</v>
      </c>
      <c r="AZ134" s="174">
        <f t="shared" si="115"/>
        <v>7.1420347168239235</v>
      </c>
      <c r="BA134">
        <f t="shared" si="92"/>
        <v>1783.9556835600001</v>
      </c>
      <c r="BB134">
        <f t="shared" si="116"/>
        <v>1.7839556835600001</v>
      </c>
      <c r="BC134">
        <f>BB134*('Wet ref'!$B$40+M134)</f>
        <v>48.39272615198022</v>
      </c>
      <c r="BD134" s="175">
        <f t="shared" si="93"/>
        <v>16.841868129257705</v>
      </c>
      <c r="BE134" s="175">
        <f>BD134*'Soil samples'!AK134/100</f>
        <v>5.8903626272190328</v>
      </c>
      <c r="BF134" s="174">
        <f t="shared" si="74"/>
        <v>5.8903626272190328</v>
      </c>
      <c r="BG134" s="175">
        <f t="shared" si="117"/>
        <v>16.841868129257705</v>
      </c>
      <c r="BH134" s="175">
        <f>BG134*'Soil samples'!AR134/100</f>
        <v>5.8903626272190328</v>
      </c>
      <c r="BI134" s="174">
        <f t="shared" si="75"/>
        <v>5.8903626272190328</v>
      </c>
      <c r="BK134" s="6"/>
      <c r="BL134" s="31"/>
    </row>
    <row r="135" spans="1:64">
      <c r="A135" s="6" t="s">
        <v>138</v>
      </c>
      <c r="B135" s="6" t="s">
        <v>198</v>
      </c>
      <c r="C135" t="s">
        <v>12</v>
      </c>
      <c r="D135" s="8">
        <v>6</v>
      </c>
      <c r="E135" s="3">
        <v>30</v>
      </c>
      <c r="F135" s="26">
        <v>42753</v>
      </c>
      <c r="G135" s="3"/>
      <c r="H135">
        <f>'Wet ref'!B175</f>
        <v>39.211630460000002</v>
      </c>
      <c r="I135">
        <f>'Wet ref'!C175</f>
        <v>164.32852020000001</v>
      </c>
      <c r="J135">
        <f>'Wet ref'!D175</f>
        <v>78.409927409999995</v>
      </c>
      <c r="K135">
        <f>'Wet ref'!E175</f>
        <v>1.908345425</v>
      </c>
      <c r="L135" s="3">
        <f t="shared" si="94"/>
        <v>1704.8052743400001</v>
      </c>
      <c r="M135" s="31">
        <f>'Wet ref'!$B$41*'Soil samples'!AI135%</f>
        <v>1.7378472985046209</v>
      </c>
      <c r="N135" s="105">
        <f>'Wet ref'!$B$41*'Soil samples'!AH135%</f>
        <v>3.2621527014953795</v>
      </c>
      <c r="O135">
        <f t="shared" si="95"/>
        <v>39.211630460000002</v>
      </c>
      <c r="P135">
        <f t="shared" si="96"/>
        <v>3.9211630460000001E-2</v>
      </c>
      <c r="Q135">
        <f>P135*('Wet ref'!$B$40+M135)</f>
        <v>1.0484345875648726</v>
      </c>
      <c r="R135" s="141">
        <f t="shared" ref="R135:R192" si="118">Q135/N135</f>
        <v>0.3213934734214825</v>
      </c>
      <c r="S135" s="141">
        <f>R135*'Soil samples'!AK135/100</f>
        <v>0.12658799210258273</v>
      </c>
      <c r="T135" s="149">
        <f t="shared" si="97"/>
        <v>0.12658799210258273</v>
      </c>
      <c r="U135" s="141">
        <f t="shared" si="98"/>
        <v>39.211630460000002</v>
      </c>
      <c r="V135" s="141">
        <f t="shared" si="99"/>
        <v>0.3213934734214825</v>
      </c>
      <c r="W135" s="141">
        <f>V135*'Soil samples'!AR135/100</f>
        <v>0.12658799210258273</v>
      </c>
      <c r="X135" s="149">
        <f t="shared" si="100"/>
        <v>0.12658799210258273</v>
      </c>
      <c r="Y135">
        <f t="shared" si="101"/>
        <v>164.32852020000001</v>
      </c>
      <c r="Z135">
        <f t="shared" si="102"/>
        <v>0.16432852020000002</v>
      </c>
      <c r="AA135">
        <f>Z135*('Wet ref'!$B$40+M135)</f>
        <v>4.3937908798968328</v>
      </c>
      <c r="AB135" s="175">
        <f t="shared" si="103"/>
        <v>1.3468992048970323</v>
      </c>
      <c r="AC135" s="175">
        <f>AB135*'Soil samples'!AK135/100</f>
        <v>0.53050631083874356</v>
      </c>
      <c r="AD135" s="174">
        <f t="shared" si="104"/>
        <v>0.53050631083874356</v>
      </c>
      <c r="AE135" s="175">
        <f t="shared" si="105"/>
        <v>164.32852020000001</v>
      </c>
      <c r="AF135" s="175">
        <f t="shared" si="106"/>
        <v>1.3468992048970323</v>
      </c>
      <c r="AG135" s="175">
        <f>AF135*'Soil samples'!AR135/100</f>
        <v>0.53050631083874356</v>
      </c>
      <c r="AH135" s="174">
        <f t="shared" si="107"/>
        <v>0.53050631083874356</v>
      </c>
      <c r="AI135">
        <f t="shared" si="88"/>
        <v>78.409927409999995</v>
      </c>
      <c r="AJ135">
        <f t="shared" si="108"/>
        <v>7.8409927409999997E-2</v>
      </c>
      <c r="AK135">
        <f>AJ135*('Wet ref'!$B$40+M135)</f>
        <v>2.0965126657754118</v>
      </c>
      <c r="AL135" s="175">
        <f t="shared" si="89"/>
        <v>0.64267766031135354</v>
      </c>
      <c r="AM135" s="175">
        <f>AL135*'Soil samples'!AK135/100</f>
        <v>0.25313293926572322</v>
      </c>
      <c r="AN135" s="174">
        <f t="shared" si="109"/>
        <v>253.13293926572325</v>
      </c>
      <c r="AO135" s="175">
        <f t="shared" si="110"/>
        <v>0.64267766031135354</v>
      </c>
      <c r="AP135" s="175">
        <f>AO135*'Soil samples'!AR135/100</f>
        <v>0.25313293926572322</v>
      </c>
      <c r="AQ135" s="174">
        <f t="shared" si="111"/>
        <v>253.13293926572325</v>
      </c>
      <c r="AR135">
        <f t="shared" si="90"/>
        <v>1.908345425</v>
      </c>
      <c r="AS135">
        <f t="shared" si="112"/>
        <v>1.9083454250000001E-3</v>
      </c>
      <c r="AT135">
        <f>AS135*('Wet ref'!$B$40+M135)</f>
        <v>5.1025048566449911E-2</v>
      </c>
      <c r="AU135" s="175">
        <f t="shared" si="91"/>
        <v>1.5641526695871683E-2</v>
      </c>
      <c r="AV135" s="175">
        <f>AU135*'Soil samples'!AK135/100</f>
        <v>6.1607643639131626E-3</v>
      </c>
      <c r="AW135" s="174">
        <f t="shared" si="113"/>
        <v>6.1607643639131622</v>
      </c>
      <c r="AX135" s="175">
        <f t="shared" si="114"/>
        <v>1.5641526695871683E-2</v>
      </c>
      <c r="AY135" s="175">
        <f>AX135*'Soil samples'!AR135/100</f>
        <v>6.1607643639131626E-3</v>
      </c>
      <c r="AZ135" s="174">
        <f t="shared" si="115"/>
        <v>6.1607643639131622</v>
      </c>
      <c r="BA135">
        <f t="shared" si="92"/>
        <v>1704.8052743400001</v>
      </c>
      <c r="BB135">
        <f t="shared" si="116"/>
        <v>1.7048052743400002</v>
      </c>
      <c r="BC135">
        <f>BB135*('Wet ref'!$B$40+M135)</f>
        <v>45.582823098988207</v>
      </c>
      <c r="BD135" s="175">
        <f t="shared" si="93"/>
        <v>13.973234017553169</v>
      </c>
      <c r="BE135" s="175">
        <f>BD135*'Soil samples'!AK135/100</f>
        <v>5.503670060971837</v>
      </c>
      <c r="BF135" s="174">
        <f t="shared" si="74"/>
        <v>5.503670060971837</v>
      </c>
      <c r="BG135" s="175">
        <f t="shared" si="117"/>
        <v>13.973234017553169</v>
      </c>
      <c r="BH135" s="175">
        <f>BG135*'Soil samples'!AR135/100</f>
        <v>5.503670060971837</v>
      </c>
      <c r="BI135" s="174">
        <f t="shared" si="75"/>
        <v>5.503670060971837</v>
      </c>
      <c r="BK135" s="6"/>
      <c r="BL135" s="31"/>
    </row>
    <row r="136" spans="1:64">
      <c r="A136" s="6" t="s">
        <v>139</v>
      </c>
      <c r="B136" s="6" t="s">
        <v>198</v>
      </c>
      <c r="C136" t="s">
        <v>13</v>
      </c>
      <c r="D136" s="8">
        <v>1</v>
      </c>
      <c r="E136" s="3">
        <v>5</v>
      </c>
      <c r="F136" s="26">
        <v>42821</v>
      </c>
      <c r="G136" s="3"/>
      <c r="H136">
        <f>'Wet ref'!B176</f>
        <v>121.7828339</v>
      </c>
      <c r="I136">
        <f>'Wet ref'!C176</f>
        <v>-1.392549891</v>
      </c>
      <c r="J136">
        <f>'Wet ref'!D176</f>
        <v>-3.3998144610000001</v>
      </c>
      <c r="K136">
        <f>'Wet ref'!E176</f>
        <v>3.9060839559999998</v>
      </c>
      <c r="L136" s="3">
        <f t="shared" si="94"/>
        <v>3785.693671991</v>
      </c>
      <c r="M136" s="31">
        <f>'Wet ref'!$B$41*'Soil samples'!AI136%</f>
        <v>3.2963350785340313</v>
      </c>
      <c r="N136" s="105">
        <f>'Wet ref'!$B$41*'Soil samples'!AH136%</f>
        <v>1.7036649214659685</v>
      </c>
      <c r="O136">
        <f t="shared" si="95"/>
        <v>121.7828339</v>
      </c>
      <c r="P136">
        <f t="shared" si="96"/>
        <v>0.1217828339</v>
      </c>
      <c r="Q136">
        <f>P136*('Wet ref'!$B$40+M136)</f>
        <v>3.4460078748478535</v>
      </c>
      <c r="R136" s="141">
        <f t="shared" si="118"/>
        <v>2.02270283987689</v>
      </c>
      <c r="S136" s="141">
        <f>R136*'Soil samples'!AK136/100</f>
        <v>0.13742679404893238</v>
      </c>
      <c r="T136" s="149">
        <f t="shared" si="97"/>
        <v>0.13742679404893238</v>
      </c>
      <c r="U136" s="141">
        <f t="shared" si="98"/>
        <v>121.7828339</v>
      </c>
      <c r="V136" s="141">
        <f t="shared" si="99"/>
        <v>2.02270283987689</v>
      </c>
      <c r="W136" s="141">
        <f>V136*'Soil samples'!AR136/100</f>
        <v>0.13742679404893238</v>
      </c>
      <c r="X136" s="149">
        <f t="shared" si="100"/>
        <v>0.13742679404893238</v>
      </c>
      <c r="Y136">
        <f t="shared" si="101"/>
        <v>0</v>
      </c>
      <c r="Z136">
        <f t="shared" si="102"/>
        <v>0</v>
      </c>
      <c r="AA136">
        <f>Z136*('Wet ref'!$B$40+M136)</f>
        <v>0</v>
      </c>
      <c r="AB136" s="175">
        <f t="shared" si="103"/>
        <v>0</v>
      </c>
      <c r="AC136" s="175">
        <f>AB136*'Soil samples'!AK136/100</f>
        <v>0</v>
      </c>
      <c r="AD136" s="174">
        <f t="shared" si="104"/>
        <v>0</v>
      </c>
      <c r="AE136" s="175">
        <f t="shared" si="105"/>
        <v>0</v>
      </c>
      <c r="AF136" s="175">
        <f t="shared" si="106"/>
        <v>0</v>
      </c>
      <c r="AG136" s="175">
        <f>AF136*'Soil samples'!AR136/100</f>
        <v>0</v>
      </c>
      <c r="AH136" s="174">
        <f t="shared" si="107"/>
        <v>0</v>
      </c>
      <c r="AI136">
        <f t="shared" si="88"/>
        <v>0</v>
      </c>
      <c r="AJ136">
        <f t="shared" si="108"/>
        <v>0</v>
      </c>
      <c r="AK136">
        <f>AJ136*('Wet ref'!$B$40+M136)</f>
        <v>0</v>
      </c>
      <c r="AL136" s="175">
        <f t="shared" si="89"/>
        <v>0</v>
      </c>
      <c r="AM136" s="175">
        <f>AL136*'Soil samples'!AK136/100</f>
        <v>0</v>
      </c>
      <c r="AN136" s="174">
        <f t="shared" si="109"/>
        <v>0</v>
      </c>
      <c r="AO136" s="175">
        <f t="shared" si="110"/>
        <v>0</v>
      </c>
      <c r="AP136" s="175">
        <f>AO136*'Soil samples'!AR136/100</f>
        <v>0</v>
      </c>
      <c r="AQ136" s="174">
        <f t="shared" si="111"/>
        <v>0</v>
      </c>
      <c r="AR136">
        <f t="shared" si="90"/>
        <v>3.9060839559999998</v>
      </c>
      <c r="AS136">
        <f t="shared" si="112"/>
        <v>3.9060839559999999E-3</v>
      </c>
      <c r="AT136">
        <f>AS136*('Wet ref'!$B$40+M136)</f>
        <v>0.11052786046386177</v>
      </c>
      <c r="AU136" s="175">
        <f t="shared" si="91"/>
        <v>6.4876525349101419E-2</v>
      </c>
      <c r="AV136" s="175">
        <f>AU136*'Soil samples'!AK136/100</f>
        <v>4.4078510752988071E-3</v>
      </c>
      <c r="AW136" s="174">
        <f t="shared" si="113"/>
        <v>4.4078510752988072</v>
      </c>
      <c r="AX136" s="175">
        <f t="shared" si="114"/>
        <v>6.4876525349101419E-2</v>
      </c>
      <c r="AY136" s="175">
        <f>AX136*'Soil samples'!AR136/100</f>
        <v>4.4078510752988071E-3</v>
      </c>
      <c r="AZ136" s="174">
        <f t="shared" si="115"/>
        <v>4.4078510752988072</v>
      </c>
      <c r="BA136">
        <f t="shared" si="92"/>
        <v>3784.3011221000002</v>
      </c>
      <c r="BB136">
        <f t="shared" si="116"/>
        <v>3.7843011221</v>
      </c>
      <c r="BC136">
        <f>BB136*('Wet ref'!$B$40+M136)</f>
        <v>107.08185258901393</v>
      </c>
      <c r="BD136" s="175">
        <f t="shared" si="93"/>
        <v>62.853822509224528</v>
      </c>
      <c r="BE136" s="175">
        <f>BD136*'Soil samples'!AK136/100</f>
        <v>4.2704242812498752</v>
      </c>
      <c r="BF136" s="174">
        <f t="shared" si="74"/>
        <v>4.2704242812498752</v>
      </c>
      <c r="BG136" s="175">
        <f t="shared" si="117"/>
        <v>62.853822509224528</v>
      </c>
      <c r="BH136" s="175">
        <f>BG136*'Soil samples'!AR136/100</f>
        <v>4.2704242812498752</v>
      </c>
      <c r="BI136" s="174">
        <f t="shared" si="75"/>
        <v>4.2704242812498752</v>
      </c>
      <c r="BK136" s="6"/>
      <c r="BL136" s="31"/>
    </row>
    <row r="137" spans="1:64">
      <c r="A137" s="6" t="s">
        <v>140</v>
      </c>
      <c r="B137" s="6" t="s">
        <v>198</v>
      </c>
      <c r="C137" t="s">
        <v>13</v>
      </c>
      <c r="D137" s="8">
        <v>1</v>
      </c>
      <c r="E137" s="3">
        <v>10</v>
      </c>
      <c r="F137" s="26">
        <v>42821</v>
      </c>
      <c r="G137" s="3"/>
      <c r="H137">
        <f>'Wet ref'!B177</f>
        <v>84.873902380000004</v>
      </c>
      <c r="I137">
        <f>'Wet ref'!C177</f>
        <v>1.2740014660000001</v>
      </c>
      <c r="J137">
        <f>'Wet ref'!D177</f>
        <v>103.6077054</v>
      </c>
      <c r="K137">
        <f>'Wet ref'!E177</f>
        <v>2.1725881309999999</v>
      </c>
      <c r="L137" s="3">
        <f t="shared" si="94"/>
        <v>2086.4402271540002</v>
      </c>
      <c r="M137" s="31">
        <f>'Wet ref'!$B$41*'Soil samples'!AI137%</f>
        <v>3.1120165512582334</v>
      </c>
      <c r="N137" s="105">
        <f>'Wet ref'!$B$41*'Soil samples'!AH137%</f>
        <v>1.8879834487417668</v>
      </c>
      <c r="O137">
        <f t="shared" si="95"/>
        <v>84.873902380000004</v>
      </c>
      <c r="P137">
        <f t="shared" si="96"/>
        <v>8.4873902380000005E-2</v>
      </c>
      <c r="Q137">
        <f>P137*('Wet ref'!$B$40+M137)</f>
        <v>2.3859765484764357</v>
      </c>
      <c r="R137" s="141">
        <f t="shared" si="118"/>
        <v>1.2637698439923044</v>
      </c>
      <c r="S137" s="141">
        <f>R137*'Soil samples'!AK137/100</f>
        <v>0.25210228211202013</v>
      </c>
      <c r="T137" s="149">
        <f t="shared" si="97"/>
        <v>0.25210228211202013</v>
      </c>
      <c r="U137" s="141">
        <f t="shared" si="98"/>
        <v>84.873902380000004</v>
      </c>
      <c r="V137" s="141">
        <f t="shared" si="99"/>
        <v>1.2637698439923044</v>
      </c>
      <c r="W137" s="141">
        <f>V137*'Soil samples'!AR137/100</f>
        <v>0.25210228211202013</v>
      </c>
      <c r="X137" s="149">
        <f t="shared" si="100"/>
        <v>0.25210228211202013</v>
      </c>
      <c r="Y137">
        <f t="shared" si="101"/>
        <v>1.2740014660000001</v>
      </c>
      <c r="Z137">
        <f t="shared" si="102"/>
        <v>1.2740014660000002E-3</v>
      </c>
      <c r="AA137">
        <f>Z137*('Wet ref'!$B$40+M137)</f>
        <v>3.5814750298519257E-2</v>
      </c>
      <c r="AB137" s="175">
        <f t="shared" si="103"/>
        <v>1.8969843365092921E-2</v>
      </c>
      <c r="AC137" s="175">
        <f>AB137*'Soil samples'!AK137/100</f>
        <v>3.7841865165415441E-3</v>
      </c>
      <c r="AD137" s="174">
        <f t="shared" si="104"/>
        <v>3.7841865165415445E-3</v>
      </c>
      <c r="AE137" s="175">
        <f t="shared" si="105"/>
        <v>1.2740014660000001</v>
      </c>
      <c r="AF137" s="175">
        <f t="shared" si="106"/>
        <v>1.8969843365092921E-2</v>
      </c>
      <c r="AG137" s="175">
        <f>AF137*'Soil samples'!AR137/100</f>
        <v>3.7841865165415441E-3</v>
      </c>
      <c r="AH137" s="174">
        <f t="shared" si="107"/>
        <v>3.7841865165415445E-3</v>
      </c>
      <c r="AI137">
        <f t="shared" si="88"/>
        <v>103.6077054</v>
      </c>
      <c r="AJ137">
        <f t="shared" si="108"/>
        <v>0.1036077054</v>
      </c>
      <c r="AK137">
        <f>AJ137*('Wet ref'!$B$40+M137)</f>
        <v>2.9126215290426871</v>
      </c>
      <c r="AL137" s="175">
        <f t="shared" si="89"/>
        <v>1.5427156053639046</v>
      </c>
      <c r="AM137" s="175">
        <f>AL137*'Soil samples'!AK137/100</f>
        <v>0.30774759075865027</v>
      </c>
      <c r="AN137" s="174">
        <f t="shared" si="109"/>
        <v>307.74759075865023</v>
      </c>
      <c r="AO137" s="175">
        <f t="shared" si="110"/>
        <v>1.5427156053639046</v>
      </c>
      <c r="AP137" s="175">
        <f>AO137*'Soil samples'!AR137/100</f>
        <v>0.30774759075865027</v>
      </c>
      <c r="AQ137" s="174">
        <f t="shared" si="111"/>
        <v>307.74759075865023</v>
      </c>
      <c r="AR137">
        <f t="shared" si="90"/>
        <v>2.1725881309999999</v>
      </c>
      <c r="AS137">
        <f t="shared" si="112"/>
        <v>2.1725881309999999E-3</v>
      </c>
      <c r="AT137">
        <f>AS137*('Wet ref'!$B$40+M137)</f>
        <v>6.1075833497739186E-2</v>
      </c>
      <c r="AU137" s="175">
        <f t="shared" si="91"/>
        <v>3.2349771677523308E-2</v>
      </c>
      <c r="AV137" s="175">
        <f>AU137*'Soil samples'!AK137/100</f>
        <v>6.4532725673711209E-3</v>
      </c>
      <c r="AW137" s="174">
        <f t="shared" si="113"/>
        <v>6.4532725673711209</v>
      </c>
      <c r="AX137" s="175">
        <f t="shared" si="114"/>
        <v>3.2349771677523308E-2</v>
      </c>
      <c r="AY137" s="175">
        <f>AX137*'Soil samples'!AR137/100</f>
        <v>6.4532725673711209E-3</v>
      </c>
      <c r="AZ137" s="174">
        <f t="shared" si="115"/>
        <v>6.4532725673711209</v>
      </c>
      <c r="BA137">
        <f t="shared" si="92"/>
        <v>2086.4402271540002</v>
      </c>
      <c r="BB137">
        <f t="shared" si="116"/>
        <v>2.0864402271540001</v>
      </c>
      <c r="BC137">
        <f>BB137*('Wet ref'!$B$40+M137)</f>
        <v>58.654042198964241</v>
      </c>
      <c r="BD137" s="175">
        <f t="shared" si="93"/>
        <v>31.067031990165916</v>
      </c>
      <c r="BE137" s="175">
        <f>BD137*'Soil samples'!AK137/100</f>
        <v>6.1973860987425597</v>
      </c>
      <c r="BF137" s="174">
        <f t="shared" si="74"/>
        <v>6.1973860987425597</v>
      </c>
      <c r="BG137" s="175">
        <f t="shared" si="117"/>
        <v>31.067031990165916</v>
      </c>
      <c r="BH137" s="175">
        <f>BG137*'Soil samples'!AR137/100</f>
        <v>6.1973860987425597</v>
      </c>
      <c r="BI137" s="174">
        <f t="shared" si="75"/>
        <v>6.1973860987425597</v>
      </c>
      <c r="BK137" s="6"/>
      <c r="BL137" s="31"/>
    </row>
    <row r="138" spans="1:64">
      <c r="A138" s="6" t="s">
        <v>141</v>
      </c>
      <c r="B138" s="6" t="s">
        <v>198</v>
      </c>
      <c r="C138" t="s">
        <v>13</v>
      </c>
      <c r="D138" s="8">
        <v>2</v>
      </c>
      <c r="E138" s="3">
        <v>5</v>
      </c>
      <c r="F138" s="26">
        <v>42791</v>
      </c>
      <c r="G138" s="3"/>
      <c r="H138">
        <f>'Wet ref'!B178</f>
        <v>47.274704829999997</v>
      </c>
      <c r="I138">
        <f>'Wet ref'!C178</f>
        <v>-11.4043692</v>
      </c>
      <c r="J138">
        <f>'Wet ref'!D178</f>
        <v>62.818130179999997</v>
      </c>
      <c r="K138">
        <f>'Wet ref'!E178</f>
        <v>1.3728957850000001</v>
      </c>
      <c r="L138" s="3">
        <f t="shared" si="94"/>
        <v>1337.0254493700002</v>
      </c>
      <c r="M138" s="31">
        <f>'Wet ref'!$B$41*'Soil samples'!AI138%</f>
        <v>3.5328557454398988</v>
      </c>
      <c r="N138" s="105">
        <f>'Wet ref'!$B$41*'Soil samples'!AH138%</f>
        <v>1.4671442545601012</v>
      </c>
      <c r="O138">
        <f t="shared" si="95"/>
        <v>47.274704829999997</v>
      </c>
      <c r="P138">
        <f t="shared" si="96"/>
        <v>4.727470483E-2</v>
      </c>
      <c r="Q138">
        <f>P138*('Wet ref'!$B$40+M138)</f>
        <v>1.348882333322641</v>
      </c>
      <c r="R138" s="141">
        <f t="shared" si="118"/>
        <v>0.91939311974955107</v>
      </c>
      <c r="S138" s="141">
        <f>R138*'Soil samples'!AK138/100</f>
        <v>8.2929285852675991E-2</v>
      </c>
      <c r="T138" s="149">
        <f t="shared" si="97"/>
        <v>8.2929285852675991E-2</v>
      </c>
      <c r="U138" s="141">
        <f t="shared" si="98"/>
        <v>47.274704829999997</v>
      </c>
      <c r="V138" s="141">
        <f t="shared" si="99"/>
        <v>0.91939311974955107</v>
      </c>
      <c r="W138" s="141">
        <f>V138*'Soil samples'!AR138/100</f>
        <v>8.2929285852675991E-2</v>
      </c>
      <c r="X138" s="149">
        <f t="shared" si="100"/>
        <v>8.2929285852675991E-2</v>
      </c>
      <c r="Y138">
        <f t="shared" si="101"/>
        <v>0</v>
      </c>
      <c r="Z138">
        <f t="shared" si="102"/>
        <v>0</v>
      </c>
      <c r="AA138">
        <f>Z138*('Wet ref'!$B$40+M138)</f>
        <v>0</v>
      </c>
      <c r="AB138" s="175">
        <f t="shared" si="103"/>
        <v>0</v>
      </c>
      <c r="AC138" s="175">
        <f>AB138*'Soil samples'!AK138/100</f>
        <v>0</v>
      </c>
      <c r="AD138" s="174">
        <f t="shared" si="104"/>
        <v>0</v>
      </c>
      <c r="AE138" s="175">
        <f t="shared" si="105"/>
        <v>0</v>
      </c>
      <c r="AF138" s="175">
        <f t="shared" si="106"/>
        <v>0</v>
      </c>
      <c r="AG138" s="175">
        <f>AF138*'Soil samples'!AR138/100</f>
        <v>0</v>
      </c>
      <c r="AH138" s="174">
        <f t="shared" si="107"/>
        <v>0</v>
      </c>
      <c r="AI138">
        <f t="shared" si="88"/>
        <v>62.818130179999997</v>
      </c>
      <c r="AJ138">
        <f t="shared" si="108"/>
        <v>6.2818130180000001E-2</v>
      </c>
      <c r="AK138">
        <f>AJ138*('Wet ref'!$B$40+M138)</f>
        <v>1.7923806466242045</v>
      </c>
      <c r="AL138" s="175">
        <f t="shared" si="89"/>
        <v>1.2216799002914815</v>
      </c>
      <c r="AM138" s="175">
        <f>AL138*'Soil samples'!AK138/100</f>
        <v>0.11019556215445613</v>
      </c>
      <c r="AN138" s="174">
        <f t="shared" si="109"/>
        <v>110.19556215445613</v>
      </c>
      <c r="AO138" s="175">
        <f t="shared" si="110"/>
        <v>1.2216799002914815</v>
      </c>
      <c r="AP138" s="175">
        <f>AO138*'Soil samples'!AR138/100</f>
        <v>0.11019556215445613</v>
      </c>
      <c r="AQ138" s="174">
        <f t="shared" si="111"/>
        <v>110.19556215445613</v>
      </c>
      <c r="AR138">
        <f t="shared" si="90"/>
        <v>1.3728957850000001</v>
      </c>
      <c r="AS138">
        <f t="shared" si="112"/>
        <v>1.3728957850000002E-3</v>
      </c>
      <c r="AT138">
        <f>AS138*('Wet ref'!$B$40+M138)</f>
        <v>3.9172637386927479E-2</v>
      </c>
      <c r="AU138" s="175">
        <f t="shared" si="91"/>
        <v>2.6699922155011772E-2</v>
      </c>
      <c r="AV138" s="175">
        <f>AU138*'Soil samples'!AK138/100</f>
        <v>2.4083337465483023E-3</v>
      </c>
      <c r="AW138" s="174">
        <f t="shared" si="113"/>
        <v>2.4083337465483021</v>
      </c>
      <c r="AX138" s="175">
        <f t="shared" si="114"/>
        <v>2.6699922155011772E-2</v>
      </c>
      <c r="AY138" s="175">
        <f>AX138*'Soil samples'!AR138/100</f>
        <v>2.4083337465483023E-3</v>
      </c>
      <c r="AZ138" s="174">
        <f t="shared" si="115"/>
        <v>2.4083337465483021</v>
      </c>
      <c r="BA138">
        <f t="shared" si="92"/>
        <v>1325.6210801700001</v>
      </c>
      <c r="BB138">
        <f t="shared" si="116"/>
        <v>1.3256210801700001</v>
      </c>
      <c r="BC138">
        <f>BB138*('Wet ref'!$B$40+M138)</f>
        <v>37.823755053604835</v>
      </c>
      <c r="BD138" s="175">
        <f t="shared" si="93"/>
        <v>25.780529035262219</v>
      </c>
      <c r="BE138" s="175">
        <f>BD138*'Soil samples'!AK138/100</f>
        <v>2.3254044606956259</v>
      </c>
      <c r="BF138" s="174">
        <f t="shared" si="74"/>
        <v>2.3254044606956259</v>
      </c>
      <c r="BG138" s="175">
        <f t="shared" si="117"/>
        <v>25.780529035262219</v>
      </c>
      <c r="BH138" s="175">
        <f>BG138*'Soil samples'!AR138/100</f>
        <v>2.3254044606956259</v>
      </c>
      <c r="BI138" s="174">
        <f t="shared" si="75"/>
        <v>2.3254044606956259</v>
      </c>
      <c r="BK138" s="6"/>
      <c r="BL138" s="31"/>
    </row>
    <row r="139" spans="1:64">
      <c r="A139" s="6" t="s">
        <v>142</v>
      </c>
      <c r="B139" s="6" t="s">
        <v>198</v>
      </c>
      <c r="C139" t="s">
        <v>13</v>
      </c>
      <c r="D139" s="8">
        <v>2</v>
      </c>
      <c r="E139" s="3">
        <v>10</v>
      </c>
      <c r="F139" s="26">
        <v>42791</v>
      </c>
      <c r="G139" s="3"/>
      <c r="H139">
        <f>'Wet ref'!B179</f>
        <v>46.289684659999999</v>
      </c>
      <c r="I139">
        <f>'Wet ref'!C179</f>
        <v>-13.854713690000001</v>
      </c>
      <c r="J139">
        <f>'Wet ref'!D179</f>
        <v>61.910102139999999</v>
      </c>
      <c r="K139">
        <f>'Wet ref'!E179</f>
        <v>2.2563081</v>
      </c>
      <c r="L139" s="3">
        <f t="shared" si="94"/>
        <v>2223.8731290300002</v>
      </c>
      <c r="M139" s="31">
        <f>'Wet ref'!$B$41*'Soil samples'!AI139%</f>
        <v>3.4643012831447475</v>
      </c>
      <c r="N139" s="105">
        <f>'Wet ref'!$B$41*'Soil samples'!AH139%</f>
        <v>1.5356987168552527</v>
      </c>
      <c r="O139">
        <f t="shared" si="95"/>
        <v>46.289684659999999</v>
      </c>
      <c r="P139">
        <f t="shared" si="96"/>
        <v>4.6289684659999997E-2</v>
      </c>
      <c r="Q139">
        <f>P139*('Wet ref'!$B$40+M139)</f>
        <v>1.3176035304640037</v>
      </c>
      <c r="R139" s="141">
        <f t="shared" si="118"/>
        <v>0.85798309004395323</v>
      </c>
      <c r="S139" s="141">
        <f>R139*'Soil samples'!AK139/100</f>
        <v>0.10274672330558303</v>
      </c>
      <c r="T139" s="149">
        <f t="shared" si="97"/>
        <v>0.10274672330558303</v>
      </c>
      <c r="U139" s="141">
        <f t="shared" si="98"/>
        <v>46.289684659999999</v>
      </c>
      <c r="V139" s="141">
        <f t="shared" si="99"/>
        <v>0.85798309004395323</v>
      </c>
      <c r="W139" s="141">
        <f>V139*'Soil samples'!AR139/100</f>
        <v>0.10274672330558303</v>
      </c>
      <c r="X139" s="149">
        <f t="shared" si="100"/>
        <v>0.10274672330558303</v>
      </c>
      <c r="Y139">
        <f t="shared" si="101"/>
        <v>0</v>
      </c>
      <c r="Z139">
        <f t="shared" si="102"/>
        <v>0</v>
      </c>
      <c r="AA139">
        <f>Z139*('Wet ref'!$B$40+M139)</f>
        <v>0</v>
      </c>
      <c r="AB139" s="175">
        <f t="shared" si="103"/>
        <v>0</v>
      </c>
      <c r="AC139" s="175">
        <f>AB139*'Soil samples'!AK139/100</f>
        <v>0</v>
      </c>
      <c r="AD139" s="174">
        <f t="shared" si="104"/>
        <v>0</v>
      </c>
      <c r="AE139" s="175">
        <f t="shared" si="105"/>
        <v>0</v>
      </c>
      <c r="AF139" s="175">
        <f t="shared" si="106"/>
        <v>0</v>
      </c>
      <c r="AG139" s="175">
        <f>AF139*'Soil samples'!AR139/100</f>
        <v>0</v>
      </c>
      <c r="AH139" s="174">
        <f t="shared" si="107"/>
        <v>0</v>
      </c>
      <c r="AI139">
        <f t="shared" si="88"/>
        <v>61.910102139999999</v>
      </c>
      <c r="AJ139">
        <f t="shared" si="108"/>
        <v>6.1910102139999999E-2</v>
      </c>
      <c r="AK139">
        <f>AJ139*('Wet ref'!$B$40+M139)</f>
        <v>1.7622277997832245</v>
      </c>
      <c r="AL139" s="175">
        <f t="shared" si="89"/>
        <v>1.1475088052374294</v>
      </c>
      <c r="AM139" s="175">
        <f>AL139*'Soil samples'!AK139/100</f>
        <v>0.13741852382709585</v>
      </c>
      <c r="AN139" s="174">
        <f t="shared" si="109"/>
        <v>137.41852382709584</v>
      </c>
      <c r="AO139" s="175">
        <f t="shared" si="110"/>
        <v>1.1475088052374294</v>
      </c>
      <c r="AP139" s="175">
        <f>AO139*'Soil samples'!AR139/100</f>
        <v>0.13741852382709585</v>
      </c>
      <c r="AQ139" s="174">
        <f t="shared" si="111"/>
        <v>137.41852382709584</v>
      </c>
      <c r="AR139">
        <f t="shared" si="90"/>
        <v>2.2563081</v>
      </c>
      <c r="AS139">
        <f t="shared" si="112"/>
        <v>2.2563080999999999E-3</v>
      </c>
      <c r="AT139">
        <f>AS139*('Wet ref'!$B$40+M139)</f>
        <v>6.422423354599989E-2</v>
      </c>
      <c r="AU139" s="175">
        <f t="shared" si="91"/>
        <v>4.1820855120277702E-2</v>
      </c>
      <c r="AV139" s="175">
        <f>AU139*'Soil samples'!AK139/100</f>
        <v>5.0082057319170729E-3</v>
      </c>
      <c r="AW139" s="174">
        <f t="shared" si="113"/>
        <v>5.008205731917073</v>
      </c>
      <c r="AX139" s="175">
        <f t="shared" si="114"/>
        <v>4.1820855120277702E-2</v>
      </c>
      <c r="AY139" s="175">
        <f>AX139*'Soil samples'!AR139/100</f>
        <v>5.0082057319170729E-3</v>
      </c>
      <c r="AZ139" s="174">
        <f t="shared" si="115"/>
        <v>5.008205731917073</v>
      </c>
      <c r="BA139">
        <f t="shared" si="92"/>
        <v>2210.01841534</v>
      </c>
      <c r="BB139">
        <f t="shared" si="116"/>
        <v>2.21001841534</v>
      </c>
      <c r="BC139">
        <f>BB139*('Wet ref'!$B$40+M139)</f>
        <v>62.906630015535889</v>
      </c>
      <c r="BD139" s="175">
        <f t="shared" si="93"/>
        <v>40.962872030233747</v>
      </c>
      <c r="BE139" s="175">
        <f>BD139*'Soil samples'!AK139/100</f>
        <v>4.9054590086114898</v>
      </c>
      <c r="BF139" s="174">
        <f t="shared" si="74"/>
        <v>4.9054590086114898</v>
      </c>
      <c r="BG139" s="175">
        <f t="shared" si="117"/>
        <v>40.962872030233747</v>
      </c>
      <c r="BH139" s="175">
        <f>BG139*'Soil samples'!AR139/100</f>
        <v>4.9054590086114898</v>
      </c>
      <c r="BI139" s="174">
        <f t="shared" si="75"/>
        <v>4.9054590086114898</v>
      </c>
      <c r="BK139" s="6"/>
      <c r="BL139" s="31"/>
    </row>
    <row r="140" spans="1:64">
      <c r="A140" s="6" t="s">
        <v>143</v>
      </c>
      <c r="B140" s="6" t="s">
        <v>198</v>
      </c>
      <c r="C140" t="s">
        <v>13</v>
      </c>
      <c r="D140" s="8">
        <v>2</v>
      </c>
      <c r="E140" s="3">
        <v>20</v>
      </c>
      <c r="F140" s="26">
        <v>42791</v>
      </c>
      <c r="G140" s="3"/>
      <c r="H140">
        <f>'Wet ref'!B180</f>
        <v>63.762889850000001</v>
      </c>
      <c r="I140">
        <f>'Wet ref'!C180</f>
        <v>60.183165750000001</v>
      </c>
      <c r="J140">
        <f>'Wet ref'!D180</f>
        <v>84.30016191</v>
      </c>
      <c r="K140">
        <f>'Wet ref'!E180</f>
        <v>2.2989888679999999</v>
      </c>
      <c r="L140" s="3">
        <f t="shared" si="94"/>
        <v>2175.0428123999995</v>
      </c>
      <c r="M140" s="31">
        <f>'Wet ref'!$B$41*'Soil samples'!AI140%</f>
        <v>2.8967386353284148</v>
      </c>
      <c r="N140" s="105">
        <f>'Wet ref'!$B$41*'Soil samples'!AH140%</f>
        <v>2.1032613646715856</v>
      </c>
      <c r="O140">
        <f t="shared" si="95"/>
        <v>63.762889850000001</v>
      </c>
      <c r="P140">
        <f t="shared" si="96"/>
        <v>6.3762889850000004E-2</v>
      </c>
      <c r="Q140">
        <f>P140*('Wet ref'!$B$40+M140)</f>
        <v>1.7787766727786851</v>
      </c>
      <c r="R140" s="141">
        <f t="shared" si="118"/>
        <v>0.84572307686374149</v>
      </c>
      <c r="S140" s="141">
        <f>R140*'Soil samples'!AK140/100</f>
        <v>0.28784164118904693</v>
      </c>
      <c r="T140" s="149">
        <f t="shared" si="97"/>
        <v>0.28784164118904693</v>
      </c>
      <c r="U140" s="141">
        <f t="shared" si="98"/>
        <v>63.762889850000001</v>
      </c>
      <c r="V140" s="141">
        <f t="shared" si="99"/>
        <v>0.84572307686374149</v>
      </c>
      <c r="W140" s="141">
        <f>V140*'Soil samples'!AR140/100</f>
        <v>0.28784164118904693</v>
      </c>
      <c r="X140" s="149">
        <f t="shared" si="100"/>
        <v>0.28784164118904693</v>
      </c>
      <c r="Y140">
        <f t="shared" si="101"/>
        <v>60.183165750000001</v>
      </c>
      <c r="Z140">
        <f t="shared" si="102"/>
        <v>6.0183165750000003E-2</v>
      </c>
      <c r="AA140">
        <f>Z140*('Wet ref'!$B$40+M140)</f>
        <v>1.6789140451743989</v>
      </c>
      <c r="AB140" s="175">
        <f t="shared" si="103"/>
        <v>0.79824318240950209</v>
      </c>
      <c r="AC140" s="175">
        <f>AB140*'Soil samples'!AK140/100</f>
        <v>0.27168187079012129</v>
      </c>
      <c r="AD140" s="174">
        <f t="shared" si="104"/>
        <v>0.27168187079012129</v>
      </c>
      <c r="AE140" s="175">
        <f t="shared" si="105"/>
        <v>60.183165750000001</v>
      </c>
      <c r="AF140" s="175">
        <f t="shared" si="106"/>
        <v>0.79824318240950209</v>
      </c>
      <c r="AG140" s="175">
        <f>AF140*'Soil samples'!AR140/100</f>
        <v>0.27168187079012129</v>
      </c>
      <c r="AH140" s="174">
        <f t="shared" si="107"/>
        <v>0.27168187079012129</v>
      </c>
      <c r="AI140">
        <f t="shared" si="88"/>
        <v>84.30016191</v>
      </c>
      <c r="AJ140">
        <f t="shared" si="108"/>
        <v>8.4300161910000004E-2</v>
      </c>
      <c r="AK140">
        <f>AJ140*('Wet ref'!$B$40+M140)</f>
        <v>2.3516995837191379</v>
      </c>
      <c r="AL140" s="175">
        <f t="shared" si="89"/>
        <v>1.1181204691060089</v>
      </c>
      <c r="AM140" s="175">
        <f>AL140*'Soil samples'!AK140/100</f>
        <v>0.38055202663743104</v>
      </c>
      <c r="AN140" s="174">
        <f t="shared" si="109"/>
        <v>380.55202663743103</v>
      </c>
      <c r="AO140" s="175">
        <f t="shared" si="110"/>
        <v>1.1181204691060089</v>
      </c>
      <c r="AP140" s="175">
        <f>AO140*'Soil samples'!AR140/100</f>
        <v>0.38055202663743104</v>
      </c>
      <c r="AQ140" s="174">
        <f t="shared" si="111"/>
        <v>380.55202663743103</v>
      </c>
      <c r="AR140">
        <f t="shared" si="90"/>
        <v>2.2989888679999999</v>
      </c>
      <c r="AS140">
        <f t="shared" si="112"/>
        <v>2.2989888680000001E-3</v>
      </c>
      <c r="AT140">
        <f>AS140*('Wet ref'!$B$40+M140)</f>
        <v>6.4134291576125546E-2</v>
      </c>
      <c r="AU140" s="175">
        <f t="shared" si="91"/>
        <v>3.0492782615316957E-2</v>
      </c>
      <c r="AV140" s="175">
        <f>AU140*'Soil samples'!AK140/100</f>
        <v>1.037821106284864E-2</v>
      </c>
      <c r="AW140" s="174">
        <f t="shared" si="113"/>
        <v>10.37821106284864</v>
      </c>
      <c r="AX140" s="175">
        <f t="shared" si="114"/>
        <v>3.0492782615316957E-2</v>
      </c>
      <c r="AY140" s="175">
        <f>AX140*'Soil samples'!AR140/100</f>
        <v>1.037821106284864E-2</v>
      </c>
      <c r="AZ140" s="174">
        <f t="shared" si="115"/>
        <v>10.37821106284864</v>
      </c>
      <c r="BA140">
        <f t="shared" si="92"/>
        <v>2175.0428123999995</v>
      </c>
      <c r="BB140">
        <f t="shared" si="116"/>
        <v>2.1750428123999996</v>
      </c>
      <c r="BC140">
        <f>BB140*('Wet ref'!$B$40+M140)</f>
        <v>60.676600858172442</v>
      </c>
      <c r="BD140" s="175">
        <f t="shared" si="93"/>
        <v>28.848816356043706</v>
      </c>
      <c r="BE140" s="175">
        <f>BD140*'Soil samples'!AK140/100</f>
        <v>9.818687550869468</v>
      </c>
      <c r="BF140" s="174">
        <f t="shared" si="74"/>
        <v>9.818687550869468</v>
      </c>
      <c r="BG140" s="175">
        <f t="shared" si="117"/>
        <v>28.848816356043706</v>
      </c>
      <c r="BH140" s="175">
        <f>BG140*'Soil samples'!AR140/100</f>
        <v>9.818687550869468</v>
      </c>
      <c r="BI140" s="174">
        <f t="shared" si="75"/>
        <v>9.818687550869468</v>
      </c>
      <c r="BK140" s="6"/>
      <c r="BL140" s="31"/>
    </row>
    <row r="141" spans="1:64">
      <c r="A141" s="6" t="s">
        <v>144</v>
      </c>
      <c r="B141" s="6" t="s">
        <v>198</v>
      </c>
      <c r="C141" t="s">
        <v>13</v>
      </c>
      <c r="D141" s="8">
        <v>3</v>
      </c>
      <c r="E141" s="3">
        <v>5</v>
      </c>
      <c r="F141" s="26">
        <v>42776</v>
      </c>
      <c r="G141" s="3"/>
      <c r="H141">
        <f>'Wet ref'!B181</f>
        <v>85.007744819999999</v>
      </c>
      <c r="I141">
        <f>'Wet ref'!C181</f>
        <v>36.403293169999998</v>
      </c>
      <c r="J141">
        <f>'Wet ref'!D181</f>
        <v>62.745111059999999</v>
      </c>
      <c r="K141">
        <f>'Wet ref'!E181</f>
        <v>3.4046595439999998</v>
      </c>
      <c r="L141" s="3">
        <f t="shared" si="94"/>
        <v>3283.2485060099998</v>
      </c>
      <c r="M141" s="31">
        <f>'Wet ref'!$B$41*'Soil samples'!AI141%</f>
        <v>3.7823787269499687</v>
      </c>
      <c r="N141" s="105">
        <f>'Wet ref'!$B$41*'Soil samples'!AH141%</f>
        <v>1.2176212730500311</v>
      </c>
      <c r="O141">
        <f t="shared" si="95"/>
        <v>85.007744819999999</v>
      </c>
      <c r="P141">
        <f t="shared" si="96"/>
        <v>8.5007744819999995E-2</v>
      </c>
      <c r="Q141">
        <f>P141*('Wet ref'!$B$40+M141)</f>
        <v>2.4467251061331594</v>
      </c>
      <c r="R141" s="141">
        <f t="shared" si="118"/>
        <v>2.0094303214696096</v>
      </c>
      <c r="S141" s="141">
        <f>R141*'Soil samples'!AK141/100</f>
        <v>0.20753122350221442</v>
      </c>
      <c r="T141" s="149">
        <f t="shared" si="97"/>
        <v>0.20753122350221442</v>
      </c>
      <c r="U141" s="141">
        <f t="shared" si="98"/>
        <v>85.007744819999999</v>
      </c>
      <c r="V141" s="141">
        <f t="shared" si="99"/>
        <v>2.0094303214696096</v>
      </c>
      <c r="W141" s="141">
        <f>V141*'Soil samples'!AR141/100</f>
        <v>0.20753122350221442</v>
      </c>
      <c r="X141" s="149">
        <f t="shared" si="100"/>
        <v>0.20753122350221442</v>
      </c>
      <c r="Y141">
        <f t="shared" si="101"/>
        <v>36.403293169999998</v>
      </c>
      <c r="Z141">
        <f t="shared" si="102"/>
        <v>3.6403293169999996E-2</v>
      </c>
      <c r="AA141">
        <f>Z141*('Wet ref'!$B$40+M141)</f>
        <v>1.0477733709271311</v>
      </c>
      <c r="AB141" s="175">
        <f t="shared" si="103"/>
        <v>0.86050843075577488</v>
      </c>
      <c r="AC141" s="175">
        <f>AB141*'Soil samples'!AK141/100</f>
        <v>8.8872137322039191E-2</v>
      </c>
      <c r="AD141" s="174">
        <f t="shared" si="104"/>
        <v>8.8872137322039191E-2</v>
      </c>
      <c r="AE141" s="175">
        <f t="shared" si="105"/>
        <v>36.403293169999998</v>
      </c>
      <c r="AF141" s="175">
        <f t="shared" si="106"/>
        <v>0.86050843075577488</v>
      </c>
      <c r="AG141" s="175">
        <f>AF141*'Soil samples'!AR141/100</f>
        <v>8.8872137322039191E-2</v>
      </c>
      <c r="AH141" s="174">
        <f t="shared" si="107"/>
        <v>8.8872137322039191E-2</v>
      </c>
      <c r="AI141">
        <f t="shared" si="88"/>
        <v>62.745111059999999</v>
      </c>
      <c r="AJ141">
        <f t="shared" si="108"/>
        <v>6.2745111059999997E-2</v>
      </c>
      <c r="AK141">
        <f>AJ141*('Wet ref'!$B$40+M141)</f>
        <v>1.8059535497934571</v>
      </c>
      <c r="AL141" s="175">
        <f t="shared" si="89"/>
        <v>1.4831816672106155</v>
      </c>
      <c r="AM141" s="175">
        <f>AL141*'Soil samples'!AK141/100</f>
        <v>0.15318098009348094</v>
      </c>
      <c r="AN141" s="174">
        <f t="shared" si="109"/>
        <v>153.18098009348094</v>
      </c>
      <c r="AO141" s="175">
        <f t="shared" si="110"/>
        <v>1.4831816672106155</v>
      </c>
      <c r="AP141" s="175">
        <f>AO141*'Soil samples'!AR141/100</f>
        <v>0.15318098009348094</v>
      </c>
      <c r="AQ141" s="174">
        <f t="shared" si="111"/>
        <v>153.18098009348094</v>
      </c>
      <c r="AR141">
        <f t="shared" si="90"/>
        <v>3.4046595439999998</v>
      </c>
      <c r="AS141">
        <f t="shared" si="112"/>
        <v>3.404659544E-3</v>
      </c>
      <c r="AT141">
        <f>AS141*('Wet ref'!$B$40+M141)</f>
        <v>9.7994200431732778E-2</v>
      </c>
      <c r="AU141" s="175">
        <f t="shared" si="91"/>
        <v>8.0480033160283224E-2</v>
      </c>
      <c r="AV141" s="175">
        <f>AU141*'Soil samples'!AK141/100</f>
        <v>8.3118680806195683E-3</v>
      </c>
      <c r="AW141" s="174">
        <f t="shared" si="113"/>
        <v>8.3118680806195684</v>
      </c>
      <c r="AX141" s="175">
        <f t="shared" si="114"/>
        <v>8.0480033160283224E-2</v>
      </c>
      <c r="AY141" s="175">
        <f>AX141*'Soil samples'!AR141/100</f>
        <v>8.3118680806195683E-3</v>
      </c>
      <c r="AZ141" s="174">
        <f t="shared" si="115"/>
        <v>8.3118680806195684</v>
      </c>
      <c r="BA141">
        <f t="shared" si="92"/>
        <v>3283.2485060099998</v>
      </c>
      <c r="BB141">
        <f t="shared" si="116"/>
        <v>3.2832485060099996</v>
      </c>
      <c r="BC141">
        <f>BB141*('Wet ref'!$B$40+M141)</f>
        <v>94.499701954672474</v>
      </c>
      <c r="BD141" s="175">
        <f t="shared" si="93"/>
        <v>77.610094408057833</v>
      </c>
      <c r="BE141" s="175">
        <f>BD141*'Soil samples'!AK141/100</f>
        <v>8.0154647197953128</v>
      </c>
      <c r="BF141" s="174">
        <f t="shared" si="74"/>
        <v>8.0154647197953128</v>
      </c>
      <c r="BG141" s="175">
        <f t="shared" si="117"/>
        <v>77.610094408057833</v>
      </c>
      <c r="BH141" s="175">
        <f>BG141*'Soil samples'!AR141/100</f>
        <v>8.0154647197953128</v>
      </c>
      <c r="BI141" s="174">
        <f t="shared" si="75"/>
        <v>8.0154647197953128</v>
      </c>
      <c r="BK141" s="6"/>
      <c r="BL141" s="31"/>
    </row>
    <row r="142" spans="1:64">
      <c r="A142" s="136" t="s">
        <v>145</v>
      </c>
      <c r="B142" s="6" t="s">
        <v>198</v>
      </c>
      <c r="C142" t="s">
        <v>13</v>
      </c>
      <c r="D142" s="8">
        <v>4</v>
      </c>
      <c r="E142" s="3">
        <v>5</v>
      </c>
      <c r="F142" s="8" t="s">
        <v>469</v>
      </c>
      <c r="G142" s="8" t="s">
        <v>469</v>
      </c>
      <c r="H142" s="6" t="s">
        <v>469</v>
      </c>
      <c r="I142" s="6" t="s">
        <v>469</v>
      </c>
      <c r="J142" s="6" t="s">
        <v>469</v>
      </c>
      <c r="K142" s="6" t="s">
        <v>469</v>
      </c>
      <c r="L142" s="3" t="s">
        <v>469</v>
      </c>
      <c r="M142" s="31">
        <f>'Wet ref'!$B$41*'Soil samples'!AI142%</f>
        <v>3.0920085904826493</v>
      </c>
      <c r="N142" s="105">
        <f>'Wet ref'!$B$41*'Soil samples'!AH142%</f>
        <v>1.9079914095173507</v>
      </c>
      <c r="O142" t="s">
        <v>469</v>
      </c>
      <c r="P142" t="s">
        <v>469</v>
      </c>
      <c r="Q142" t="s">
        <v>469</v>
      </c>
      <c r="R142" t="s">
        <v>469</v>
      </c>
      <c r="S142" t="s">
        <v>469</v>
      </c>
      <c r="T142" t="s">
        <v>469</v>
      </c>
      <c r="U142" s="151">
        <f>BO26</f>
        <v>63.617317411999998</v>
      </c>
      <c r="V142" s="151">
        <f>BO10</f>
        <v>1.1888254888187151</v>
      </c>
      <c r="W142" s="141">
        <f>V142*'Soil samples'!AR142/100</f>
        <v>2.7355321970181236E-2</v>
      </c>
      <c r="X142" s="149">
        <f t="shared" si="100"/>
        <v>2.7355321970181232E-2</v>
      </c>
      <c r="Y142" t="s">
        <v>469</v>
      </c>
      <c r="Z142" t="s">
        <v>469</v>
      </c>
      <c r="AA142" t="e">
        <f>Z142*('Wet ref'!$B$40+M142)</f>
        <v>#VALUE!</v>
      </c>
      <c r="AB142" t="s">
        <v>469</v>
      </c>
      <c r="AC142" t="s">
        <v>469</v>
      </c>
      <c r="AD142" t="s">
        <v>469</v>
      </c>
      <c r="AE142" s="175">
        <f>BP26</f>
        <v>110.33919405399999</v>
      </c>
      <c r="AF142" s="175">
        <f>BP10</f>
        <v>1.706268499564277</v>
      </c>
      <c r="AG142" s="175">
        <f>AF142*'Soil samples'!AR142/100</f>
        <v>3.9261880412354136E-2</v>
      </c>
      <c r="AH142" s="174">
        <f t="shared" si="107"/>
        <v>3.9261880412354136E-2</v>
      </c>
      <c r="AI142" t="str">
        <f t="shared" si="88"/>
        <v>none</v>
      </c>
      <c r="AK142">
        <f>AJ142*('Wet ref'!$B$40+M142)</f>
        <v>0</v>
      </c>
      <c r="AL142" s="175">
        <f t="shared" si="89"/>
        <v>0</v>
      </c>
      <c r="AM142" s="175">
        <f>AL142*'Soil samples'!AK142/100</f>
        <v>0</v>
      </c>
      <c r="AN142" s="174">
        <f t="shared" si="109"/>
        <v>0</v>
      </c>
      <c r="AO142" s="175">
        <f>BQ10</f>
        <v>1.5302209931702764</v>
      </c>
      <c r="AP142" s="175">
        <f>AO142*'Soil samples'!AR142/100</f>
        <v>3.5210961026161704E-2</v>
      </c>
      <c r="AQ142" s="174">
        <f t="shared" si="111"/>
        <v>35.210961026161705</v>
      </c>
      <c r="AR142" t="str">
        <f t="shared" si="90"/>
        <v>none</v>
      </c>
      <c r="AT142">
        <f>AS142*('Wet ref'!$B$40+M142)</f>
        <v>0</v>
      </c>
      <c r="AU142" s="175">
        <f t="shared" si="91"/>
        <v>0</v>
      </c>
      <c r="AV142" s="175">
        <f>AU142*'Soil samples'!AK142/100</f>
        <v>0</v>
      </c>
      <c r="AW142" s="174">
        <f t="shared" si="113"/>
        <v>0</v>
      </c>
      <c r="AX142" s="175">
        <f>BR10</f>
        <v>7.3201297710892205E-2</v>
      </c>
      <c r="AY142" s="175">
        <f>AX142*'Soil samples'!AR142/100</f>
        <v>1.6843894132067196E-3</v>
      </c>
      <c r="AZ142" s="174">
        <f t="shared" si="115"/>
        <v>1.6843894132067196</v>
      </c>
      <c r="BA142" t="e">
        <f t="shared" si="92"/>
        <v>#VALUE!</v>
      </c>
      <c r="BC142">
        <f>BB142*('Wet ref'!$B$40+M142)</f>
        <v>0</v>
      </c>
      <c r="BD142" s="175">
        <f t="shared" si="93"/>
        <v>0</v>
      </c>
      <c r="BE142" s="175">
        <f>BD142*'Soil samples'!AK142/100</f>
        <v>0</v>
      </c>
      <c r="BF142" s="174">
        <f t="shared" si="74"/>
        <v>0</v>
      </c>
      <c r="BG142" s="175">
        <f>BS10</f>
        <v>63.569905583393478</v>
      </c>
      <c r="BH142" s="175">
        <f>BG142*'Soil samples'!AR142/100</f>
        <v>1.4627674551087357</v>
      </c>
      <c r="BI142" s="174">
        <f t="shared" si="75"/>
        <v>1.4627674551087357</v>
      </c>
      <c r="BL142" s="31"/>
    </row>
    <row r="143" spans="1:64">
      <c r="A143" s="6" t="s">
        <v>146</v>
      </c>
      <c r="B143" s="6" t="s">
        <v>198</v>
      </c>
      <c r="C143" t="s">
        <v>13</v>
      </c>
      <c r="D143" s="8">
        <v>4</v>
      </c>
      <c r="E143" s="3">
        <v>10</v>
      </c>
      <c r="F143" s="26">
        <v>42792</v>
      </c>
      <c r="G143" s="3"/>
      <c r="H143">
        <f>'Wet ref'!B182</f>
        <v>43.829389990000003</v>
      </c>
      <c r="I143">
        <f>'Wet ref'!C182</f>
        <v>16.23551664</v>
      </c>
      <c r="J143">
        <f>'Wet ref'!D182</f>
        <v>33.462539540000002</v>
      </c>
      <c r="K143">
        <f>'Wet ref'!E182</f>
        <v>1.248634061</v>
      </c>
      <c r="L143" s="3">
        <f t="shared" si="94"/>
        <v>1188.56915437</v>
      </c>
      <c r="M143" s="31">
        <f>'Wet ref'!$B$41*'Soil samples'!AI143%</f>
        <v>2.6817580665615885</v>
      </c>
      <c r="N143" s="105">
        <f>'Wet ref'!$B$41*'Soil samples'!AH143%</f>
        <v>2.318241933438411</v>
      </c>
      <c r="O143">
        <f t="shared" si="95"/>
        <v>43.829389990000003</v>
      </c>
      <c r="P143">
        <f t="shared" ref="P143:P150" si="119">O143/1000</f>
        <v>4.3829389990000002E-2</v>
      </c>
      <c r="Q143">
        <f>P143*('Wet ref'!$B$40+M143)</f>
        <v>1.2132745699081562</v>
      </c>
      <c r="R143" s="141">
        <f t="shared" si="118"/>
        <v>0.52335977207893492</v>
      </c>
      <c r="S143" s="141">
        <f>R143*'Soil samples'!AK143/100</f>
        <v>0.11353823425200531</v>
      </c>
      <c r="T143" s="149">
        <f t="shared" si="97"/>
        <v>0.11353823425200531</v>
      </c>
      <c r="U143" s="141">
        <f t="shared" si="98"/>
        <v>43.829389990000003</v>
      </c>
      <c r="V143" s="141">
        <f t="shared" si="99"/>
        <v>0.52335977207893492</v>
      </c>
      <c r="W143" s="141">
        <f>V143*'Soil samples'!AR143/100</f>
        <v>0.11353823425200531</v>
      </c>
      <c r="X143" s="149">
        <f t="shared" si="100"/>
        <v>0.11353823425200531</v>
      </c>
      <c r="Y143">
        <f t="shared" si="101"/>
        <v>16.23551664</v>
      </c>
      <c r="Z143">
        <f t="shared" si="102"/>
        <v>1.6235516639999999E-2</v>
      </c>
      <c r="AA143">
        <f>Z143*('Wet ref'!$B$40+M143)</f>
        <v>0.44942764371411487</v>
      </c>
      <c r="AB143" s="175">
        <f t="shared" si="103"/>
        <v>0.19386572092910287</v>
      </c>
      <c r="AC143" s="175">
        <f>AB143*'Soil samples'!AK143/100</f>
        <v>4.205743889876689E-2</v>
      </c>
      <c r="AD143" s="174">
        <f t="shared" si="104"/>
        <v>4.205743889876689E-2</v>
      </c>
      <c r="AE143" s="175">
        <f t="shared" si="105"/>
        <v>16.23551664</v>
      </c>
      <c r="AF143" s="175">
        <f t="shared" si="106"/>
        <v>0.19386572092910287</v>
      </c>
      <c r="AG143" s="175">
        <f>AF143*'Soil samples'!AR143/100</f>
        <v>4.205743889876689E-2</v>
      </c>
      <c r="AH143" s="174">
        <f t="shared" si="107"/>
        <v>4.205743889876689E-2</v>
      </c>
      <c r="AI143">
        <f t="shared" si="88"/>
        <v>33.462539540000002</v>
      </c>
      <c r="AJ143">
        <f t="shared" ref="AJ143:AJ150" si="120">AI143/1000</f>
        <v>3.3462539540000003E-2</v>
      </c>
      <c r="AK143">
        <f>AJ143*('Wet ref'!$B$40+M143)</f>
        <v>0.9263019238390312</v>
      </c>
      <c r="AL143" s="175">
        <f t="shared" si="89"/>
        <v>0.39957086034810108</v>
      </c>
      <c r="AM143" s="175">
        <f>AL143*'Soil samples'!AK143/100</f>
        <v>8.6683334032856579E-2</v>
      </c>
      <c r="AN143" s="174">
        <f t="shared" si="109"/>
        <v>86.683334032856578</v>
      </c>
      <c r="AO143" s="175">
        <f t="shared" si="110"/>
        <v>0.39957086034810108</v>
      </c>
      <c r="AP143" s="175">
        <f>AO143*'Soil samples'!AR143/100</f>
        <v>8.6683334032856579E-2</v>
      </c>
      <c r="AQ143" s="174">
        <f t="shared" si="111"/>
        <v>86.683334032856578</v>
      </c>
      <c r="AR143">
        <f t="shared" si="90"/>
        <v>1.248634061</v>
      </c>
      <c r="AS143">
        <f t="shared" ref="AS143:AS150" si="121">AR143/1000</f>
        <v>1.248634061E-3</v>
      </c>
      <c r="AT143">
        <f>AS143*('Wet ref'!$B$40+M143)</f>
        <v>3.4564385990270306E-2</v>
      </c>
      <c r="AU143" s="175">
        <f t="shared" si="91"/>
        <v>1.4909740649460382E-2</v>
      </c>
      <c r="AV143" s="175">
        <f>AU143*'Soil samples'!AK143/100</f>
        <v>3.2345352409694971E-3</v>
      </c>
      <c r="AW143" s="174">
        <f t="shared" si="113"/>
        <v>3.234535240969497</v>
      </c>
      <c r="AX143" s="175">
        <f t="shared" si="114"/>
        <v>1.4909740649460382E-2</v>
      </c>
      <c r="AY143" s="175">
        <f>AX143*'Soil samples'!AR143/100</f>
        <v>3.2345352409694971E-3</v>
      </c>
      <c r="AZ143" s="174">
        <f t="shared" si="115"/>
        <v>3.234535240969497</v>
      </c>
      <c r="BA143">
        <f t="shared" si="92"/>
        <v>1188.56915437</v>
      </c>
      <c r="BB143">
        <f t="shared" ref="BB143:BB150" si="122">BA143/1000</f>
        <v>1.1885691543699999</v>
      </c>
      <c r="BC143">
        <f>BB143*('Wet ref'!$B$40+M143)</f>
        <v>32.901683776648028</v>
      </c>
      <c r="BD143" s="175">
        <f t="shared" si="93"/>
        <v>14.192515156452341</v>
      </c>
      <c r="BE143" s="175">
        <f>BD143*'Soil samples'!AK143/100</f>
        <v>3.0789395678187241</v>
      </c>
      <c r="BF143" s="174">
        <f t="shared" si="74"/>
        <v>3.0789395678187241</v>
      </c>
      <c r="BG143" s="175">
        <f t="shared" si="117"/>
        <v>14.192515156452341</v>
      </c>
      <c r="BH143" s="175">
        <f>BG143*'Soil samples'!AR143/100</f>
        <v>3.0789395678187241</v>
      </c>
      <c r="BI143" s="174">
        <f t="shared" si="75"/>
        <v>3.0789395678187241</v>
      </c>
      <c r="BK143" s="6"/>
      <c r="BL143" s="31"/>
    </row>
    <row r="144" spans="1:64">
      <c r="A144" s="6" t="s">
        <v>147</v>
      </c>
      <c r="B144" s="6" t="s">
        <v>198</v>
      </c>
      <c r="C144" t="s">
        <v>13</v>
      </c>
      <c r="D144" s="8">
        <v>5</v>
      </c>
      <c r="E144" s="3">
        <v>5</v>
      </c>
      <c r="F144" s="26">
        <v>42767</v>
      </c>
      <c r="G144" s="3"/>
      <c r="H144">
        <f>'Wet ref'!B183</f>
        <v>38.395988639999999</v>
      </c>
      <c r="I144">
        <f>'Wet ref'!C183</f>
        <v>163.72319289999999</v>
      </c>
      <c r="J144">
        <f>'Wet ref'!D183</f>
        <v>83.750565989999998</v>
      </c>
      <c r="K144">
        <f>'Wet ref'!E183</f>
        <v>2.29257183</v>
      </c>
      <c r="L144" s="3">
        <f t="shared" si="94"/>
        <v>2090.4526484600001</v>
      </c>
      <c r="M144" s="31">
        <f>'Wet ref'!$B$41*'Soil samples'!AI144%</f>
        <v>3.2739960381775619</v>
      </c>
      <c r="N144" s="105">
        <f>'Wet ref'!$B$41*'Soil samples'!AH144%</f>
        <v>1.7260039618224388</v>
      </c>
      <c r="O144">
        <f t="shared" si="95"/>
        <v>38.395988639999999</v>
      </c>
      <c r="P144">
        <f t="shared" si="119"/>
        <v>3.8395988639999996E-2</v>
      </c>
      <c r="Q144">
        <f>P144*('Wet ref'!$B$40+M144)</f>
        <v>1.0856080306892706</v>
      </c>
      <c r="R144" s="141">
        <f t="shared" si="118"/>
        <v>0.62897192283556969</v>
      </c>
      <c r="S144" s="141">
        <f>R144*'Soil samples'!AK144/100</f>
        <v>4.1318241648033702E-2</v>
      </c>
      <c r="T144" s="149">
        <f t="shared" si="97"/>
        <v>4.1318241648033702E-2</v>
      </c>
      <c r="U144" s="141">
        <f t="shared" si="98"/>
        <v>38.395988639999999</v>
      </c>
      <c r="V144" s="141">
        <f t="shared" si="99"/>
        <v>0.62897192283556969</v>
      </c>
      <c r="W144" s="141">
        <f>V144*'Soil samples'!AR144/100</f>
        <v>4.1318241648033702E-2</v>
      </c>
      <c r="X144" s="149">
        <f t="shared" si="100"/>
        <v>4.1318241648033702E-2</v>
      </c>
      <c r="Y144">
        <f t="shared" si="101"/>
        <v>163.72319289999999</v>
      </c>
      <c r="Z144">
        <f t="shared" si="102"/>
        <v>0.16372319289999998</v>
      </c>
      <c r="AA144">
        <f>Z144*('Wet ref'!$B$40+M144)</f>
        <v>4.6291089074123803</v>
      </c>
      <c r="AB144" s="175">
        <f t="shared" si="103"/>
        <v>2.6819804645898002</v>
      </c>
      <c r="AC144" s="175">
        <f>AB144*'Soil samples'!AK144/100</f>
        <v>0.17618388501611545</v>
      </c>
      <c r="AD144" s="174">
        <f t="shared" si="104"/>
        <v>0.17618388501611545</v>
      </c>
      <c r="AE144" s="175">
        <f t="shared" si="105"/>
        <v>163.72319289999999</v>
      </c>
      <c r="AF144" s="175">
        <f t="shared" si="106"/>
        <v>2.6819804645898002</v>
      </c>
      <c r="AG144" s="175">
        <f>AF144*'Soil samples'!AR144/100</f>
        <v>0.17618388501611545</v>
      </c>
      <c r="AH144" s="174">
        <f t="shared" si="107"/>
        <v>0.17618388501611545</v>
      </c>
      <c r="AI144">
        <f t="shared" si="88"/>
        <v>83.750565989999998</v>
      </c>
      <c r="AJ144">
        <f t="shared" si="120"/>
        <v>8.3750565989999998E-2</v>
      </c>
      <c r="AK144">
        <f>AJ144*('Wet ref'!$B$40+M144)</f>
        <v>2.3679631709963882</v>
      </c>
      <c r="AL144" s="175">
        <f t="shared" si="89"/>
        <v>1.3719337981681821</v>
      </c>
      <c r="AM144" s="175">
        <f>AL144*'Soil samples'!AK144/100</f>
        <v>9.0124678288122678E-2</v>
      </c>
      <c r="AN144" s="174">
        <f t="shared" si="109"/>
        <v>90.124678288122681</v>
      </c>
      <c r="AO144" s="175">
        <f t="shared" si="110"/>
        <v>1.3719337981681821</v>
      </c>
      <c r="AP144" s="175">
        <f>AO144*'Soil samples'!AR144/100</f>
        <v>9.0124678288122678E-2</v>
      </c>
      <c r="AQ144" s="174">
        <f t="shared" si="111"/>
        <v>90.124678288122681</v>
      </c>
      <c r="AR144">
        <f t="shared" si="90"/>
        <v>2.29257183</v>
      </c>
      <c r="AS144">
        <f t="shared" si="121"/>
        <v>2.2925718299999999E-3</v>
      </c>
      <c r="AT144">
        <f>AS144*('Wet ref'!$B$40+M144)</f>
        <v>6.4820166838657475E-2</v>
      </c>
      <c r="AU144" s="175">
        <f t="shared" si="91"/>
        <v>3.7555051015187531E-2</v>
      </c>
      <c r="AV144" s="175">
        <f>AU144*'Soil samples'!AK144/100</f>
        <v>2.4670555498793076E-3</v>
      </c>
      <c r="AW144" s="174">
        <f t="shared" si="113"/>
        <v>2.4670555498793076</v>
      </c>
      <c r="AX144" s="175">
        <f t="shared" si="114"/>
        <v>3.7555051015187531E-2</v>
      </c>
      <c r="AY144" s="175">
        <f>AX144*'Soil samples'!AR144/100</f>
        <v>2.4670555498793076E-3</v>
      </c>
      <c r="AZ144" s="174">
        <f t="shared" si="115"/>
        <v>2.4670555498793076</v>
      </c>
      <c r="BA144">
        <f t="shared" si="92"/>
        <v>2090.4526484600001</v>
      </c>
      <c r="BB144">
        <f t="shared" si="122"/>
        <v>2.0904526484599999</v>
      </c>
      <c r="BC144">
        <f>BB144*('Wet ref'!$B$40+M144)</f>
        <v>59.105449900555826</v>
      </c>
      <c r="BD144" s="175">
        <f t="shared" si="93"/>
        <v>34.244098627762156</v>
      </c>
      <c r="BE144" s="175">
        <f>BD144*'Soil samples'!AK144/100</f>
        <v>2.2495534232151577</v>
      </c>
      <c r="BF144" s="174">
        <f t="shared" si="74"/>
        <v>2.2495534232151577</v>
      </c>
      <c r="BG144" s="175">
        <f t="shared" si="117"/>
        <v>34.244098627762156</v>
      </c>
      <c r="BH144" s="175">
        <f>BG144*'Soil samples'!AR144/100</f>
        <v>2.2495534232151577</v>
      </c>
      <c r="BI144" s="174">
        <f t="shared" si="75"/>
        <v>2.2495534232151577</v>
      </c>
      <c r="BK144" s="6"/>
      <c r="BL144" s="31"/>
    </row>
    <row r="145" spans="1:64">
      <c r="A145" s="6" t="s">
        <v>148</v>
      </c>
      <c r="B145" s="6" t="s">
        <v>198</v>
      </c>
      <c r="C145" t="s">
        <v>13</v>
      </c>
      <c r="D145" s="8">
        <v>5</v>
      </c>
      <c r="E145" s="3">
        <v>10</v>
      </c>
      <c r="F145" s="26">
        <v>42767</v>
      </c>
      <c r="G145" s="3"/>
      <c r="H145">
        <f>'Wet ref'!B184</f>
        <v>138.7507463</v>
      </c>
      <c r="I145">
        <f>'Wet ref'!C184</f>
        <v>289.38550659999999</v>
      </c>
      <c r="J145">
        <f>'Wet ref'!D184</f>
        <v>90.309873789999997</v>
      </c>
      <c r="K145">
        <f>'Wet ref'!E184</f>
        <v>4.0757126509999999</v>
      </c>
      <c r="L145" s="3">
        <f t="shared" si="94"/>
        <v>3647.5763980999996</v>
      </c>
      <c r="M145" s="31">
        <f>'Wet ref'!$B$41*'Soil samples'!AI145%</f>
        <v>3.1498723366789925</v>
      </c>
      <c r="N145" s="105">
        <f>'Wet ref'!$B$41*'Soil samples'!AH145%</f>
        <v>1.8501276633210075</v>
      </c>
      <c r="O145">
        <f t="shared" si="95"/>
        <v>138.7507463</v>
      </c>
      <c r="P145">
        <f t="shared" si="119"/>
        <v>0.13875074630000001</v>
      </c>
      <c r="Q145">
        <f>P145*('Wet ref'!$B$40+M145)</f>
        <v>3.9058157949639352</v>
      </c>
      <c r="R145" s="141">
        <f t="shared" si="118"/>
        <v>2.1111060995396045</v>
      </c>
      <c r="S145" s="141">
        <f>R145*'Soil samples'!AK145/100</f>
        <v>0.16529412444287392</v>
      </c>
      <c r="T145" s="149">
        <f t="shared" si="97"/>
        <v>0.16529412444287392</v>
      </c>
      <c r="U145" s="141">
        <f t="shared" si="98"/>
        <v>138.7507463</v>
      </c>
      <c r="V145" s="141">
        <f t="shared" si="99"/>
        <v>2.1111060995396045</v>
      </c>
      <c r="W145" s="141">
        <f>V145*'Soil samples'!AR145/100</f>
        <v>0.16529412444287392</v>
      </c>
      <c r="X145" s="149">
        <f t="shared" si="100"/>
        <v>0.16529412444287392</v>
      </c>
      <c r="Y145">
        <f t="shared" si="101"/>
        <v>289.38550659999999</v>
      </c>
      <c r="Z145">
        <f t="shared" si="102"/>
        <v>0.28938550660000001</v>
      </c>
      <c r="AA145">
        <f>Z145*('Wet ref'!$B$40+M145)</f>
        <v>8.1461650668751755</v>
      </c>
      <c r="AB145" s="175">
        <f t="shared" si="103"/>
        <v>4.4030286279016471</v>
      </c>
      <c r="AC145" s="175">
        <f>AB145*'Soil samples'!AK145/100</f>
        <v>0.34474570563015788</v>
      </c>
      <c r="AD145" s="174">
        <f t="shared" si="104"/>
        <v>0.34474570563015788</v>
      </c>
      <c r="AE145" s="175">
        <f t="shared" si="105"/>
        <v>289.38550659999999</v>
      </c>
      <c r="AF145" s="175">
        <f t="shared" si="106"/>
        <v>4.4030286279016471</v>
      </c>
      <c r="AG145" s="175">
        <f>AF145*'Soil samples'!AR145/100</f>
        <v>0.34474570563015788</v>
      </c>
      <c r="AH145" s="174">
        <f t="shared" si="107"/>
        <v>0.34474570563015788</v>
      </c>
      <c r="AI145">
        <f t="shared" si="88"/>
        <v>90.309873789999997</v>
      </c>
      <c r="AJ145">
        <f t="shared" si="120"/>
        <v>9.0309873789999995E-2</v>
      </c>
      <c r="AK145">
        <f>AJ145*('Wet ref'!$B$40+M145)</f>
        <v>2.5422114179300919</v>
      </c>
      <c r="AL145" s="175">
        <f t="shared" si="89"/>
        <v>1.3740735130497879</v>
      </c>
      <c r="AM145" s="175">
        <f>AL145*'Soil samples'!AK145/100</f>
        <v>0.10758638720680162</v>
      </c>
      <c r="AN145" s="174">
        <f t="shared" si="109"/>
        <v>107.58638720680163</v>
      </c>
      <c r="AO145" s="175">
        <f t="shared" si="110"/>
        <v>1.3740735130497879</v>
      </c>
      <c r="AP145" s="175">
        <f>AO145*'Soil samples'!AR145/100</f>
        <v>0.10758638720680162</v>
      </c>
      <c r="AQ145" s="174">
        <f t="shared" si="111"/>
        <v>107.58638720680163</v>
      </c>
      <c r="AR145">
        <f t="shared" si="90"/>
        <v>4.0757126509999999</v>
      </c>
      <c r="AS145">
        <f t="shared" si="121"/>
        <v>4.075712651E-3</v>
      </c>
      <c r="AT145">
        <f>AS145*('Wet ref'!$B$40+M145)</f>
        <v>0.11473079080663751</v>
      </c>
      <c r="AU145" s="175">
        <f t="shared" si="91"/>
        <v>6.2012364379598527E-2</v>
      </c>
      <c r="AV145" s="175">
        <f>AU145*'Soil samples'!AK145/100</f>
        <v>4.8554070669369048E-3</v>
      </c>
      <c r="AW145" s="174">
        <f t="shared" si="113"/>
        <v>4.8554070669369054</v>
      </c>
      <c r="AX145" s="175">
        <f t="shared" si="114"/>
        <v>6.2012364379598527E-2</v>
      </c>
      <c r="AY145" s="175">
        <f>AX145*'Soil samples'!AR145/100</f>
        <v>4.8554070669369048E-3</v>
      </c>
      <c r="AZ145" s="174">
        <f t="shared" si="115"/>
        <v>4.8554070669369054</v>
      </c>
      <c r="BA145">
        <f t="shared" si="92"/>
        <v>3647.5763980999996</v>
      </c>
      <c r="BB145">
        <f t="shared" si="122"/>
        <v>3.6475763980999996</v>
      </c>
      <c r="BC145">
        <f>BB145*('Wet ref'!$B$40+M145)</f>
        <v>102.67880994479837</v>
      </c>
      <c r="BD145" s="175">
        <f t="shared" si="93"/>
        <v>55.498229652157264</v>
      </c>
      <c r="BE145" s="175">
        <f>BD145*'Soil samples'!AK145/100</f>
        <v>4.3453672368638721</v>
      </c>
      <c r="BF145" s="174">
        <f t="shared" ref="BF145:BF192" si="123">BE145/1000000*1000000</f>
        <v>4.3453672368638721</v>
      </c>
      <c r="BG145" s="175">
        <f t="shared" si="117"/>
        <v>55.498229652157264</v>
      </c>
      <c r="BH145" s="175">
        <f>BG145*'Soil samples'!AR145/100</f>
        <v>4.3453672368638721</v>
      </c>
      <c r="BI145" s="174">
        <f t="shared" ref="BI145:BI192" si="124">BH145/1000000*1000000</f>
        <v>4.3453672368638721</v>
      </c>
      <c r="BK145" s="6"/>
      <c r="BL145" s="31"/>
    </row>
    <row r="146" spans="1:64">
      <c r="A146" s="6" t="s">
        <v>149</v>
      </c>
      <c r="B146" s="6" t="s">
        <v>198</v>
      </c>
      <c r="C146" t="s">
        <v>13</v>
      </c>
      <c r="D146" s="8">
        <v>5</v>
      </c>
      <c r="E146" s="3">
        <v>20</v>
      </c>
      <c r="F146" s="26">
        <v>42767</v>
      </c>
      <c r="G146" s="3"/>
      <c r="H146">
        <f>'Wet ref'!B185</f>
        <v>42.287946210000001</v>
      </c>
      <c r="I146">
        <f>'Wet ref'!C185</f>
        <v>164.52459959999999</v>
      </c>
      <c r="J146">
        <f>'Wet ref'!D185</f>
        <v>72.495797420000002</v>
      </c>
      <c r="K146">
        <f>'Wet ref'!E185</f>
        <v>2.5303504700000001</v>
      </c>
      <c r="L146" s="3">
        <f t="shared" si="94"/>
        <v>2323.5379241900005</v>
      </c>
      <c r="M146" s="31">
        <f>'Wet ref'!$B$41*'Soil samples'!AI146%</f>
        <v>3.4461159942904356</v>
      </c>
      <c r="N146" s="105">
        <f>'Wet ref'!$B$41*'Soil samples'!AH146%</f>
        <v>1.5538840057095638</v>
      </c>
      <c r="O146">
        <f t="shared" si="95"/>
        <v>42.287946210000001</v>
      </c>
      <c r="P146">
        <f t="shared" si="119"/>
        <v>4.2287946210000003E-2</v>
      </c>
      <c r="Q146">
        <f>P146*('Wet ref'!$B$40+M146)</f>
        <v>1.2029278230499747</v>
      </c>
      <c r="R146" s="141">
        <f t="shared" si="118"/>
        <v>0.77414261208041146</v>
      </c>
      <c r="S146" s="141">
        <f>R146*'Soil samples'!AK146/100</f>
        <v>6.8663120139692613E-2</v>
      </c>
      <c r="T146" s="149">
        <f t="shared" si="97"/>
        <v>6.8663120139692613E-2</v>
      </c>
      <c r="U146" s="141">
        <f t="shared" si="98"/>
        <v>42.287946210000001</v>
      </c>
      <c r="V146" s="141">
        <f t="shared" si="99"/>
        <v>0.77414261208041146</v>
      </c>
      <c r="W146" s="141">
        <f>V146*'Soil samples'!AR146/100</f>
        <v>6.8663120139692613E-2</v>
      </c>
      <c r="X146" s="149">
        <f t="shared" si="100"/>
        <v>6.8663120139692613E-2</v>
      </c>
      <c r="Y146">
        <f t="shared" si="101"/>
        <v>164.52459959999999</v>
      </c>
      <c r="Z146">
        <f t="shared" si="102"/>
        <v>0.16452459959999999</v>
      </c>
      <c r="AA146">
        <f>Z146*('Wet ref'!$B$40+M146)</f>
        <v>4.6800858441357898</v>
      </c>
      <c r="AB146" s="175">
        <f t="shared" si="103"/>
        <v>3.0118630650288991</v>
      </c>
      <c r="AC146" s="175">
        <f>AB146*'Soil samples'!AK146/100</f>
        <v>0.26713929998327113</v>
      </c>
      <c r="AD146" s="174">
        <f t="shared" si="104"/>
        <v>0.26713929998327113</v>
      </c>
      <c r="AE146" s="175">
        <f t="shared" si="105"/>
        <v>164.52459959999999</v>
      </c>
      <c r="AF146" s="175">
        <f t="shared" si="106"/>
        <v>3.0118630650288991</v>
      </c>
      <c r="AG146" s="175">
        <f>AF146*'Soil samples'!AR146/100</f>
        <v>0.26713929998327113</v>
      </c>
      <c r="AH146" s="174">
        <f t="shared" si="107"/>
        <v>0.26713929998327113</v>
      </c>
      <c r="AI146">
        <f t="shared" si="88"/>
        <v>72.495797420000002</v>
      </c>
      <c r="AJ146">
        <f t="shared" si="120"/>
        <v>7.2495797420000008E-2</v>
      </c>
      <c r="AK146">
        <f>AJ146*('Wet ref'!$B$40+M146)</f>
        <v>2.0622238625079015</v>
      </c>
      <c r="AL146" s="175">
        <f t="shared" si="89"/>
        <v>1.3271414435894202</v>
      </c>
      <c r="AM146" s="175">
        <f>AL146*'Soil samples'!AK146/100</f>
        <v>0.11771173807195109</v>
      </c>
      <c r="AN146" s="174">
        <f t="shared" si="109"/>
        <v>117.71173807195109</v>
      </c>
      <c r="AO146" s="175">
        <f t="shared" si="110"/>
        <v>1.3271414435894202</v>
      </c>
      <c r="AP146" s="175">
        <f>AO146*'Soil samples'!AR146/100</f>
        <v>0.11771173807195109</v>
      </c>
      <c r="AQ146" s="174">
        <f t="shared" si="111"/>
        <v>117.71173807195109</v>
      </c>
      <c r="AR146">
        <f t="shared" si="90"/>
        <v>2.5303504700000001</v>
      </c>
      <c r="AS146">
        <f t="shared" si="121"/>
        <v>2.5303504700000001E-3</v>
      </c>
      <c r="AT146">
        <f>AS146*('Wet ref'!$B$40+M146)</f>
        <v>7.1978642975827331E-2</v>
      </c>
      <c r="AU146" s="175">
        <f t="shared" si="91"/>
        <v>4.6321760640659335E-2</v>
      </c>
      <c r="AV146" s="175">
        <f>AU146*'Soil samples'!AK146/100</f>
        <v>4.1085409410602271E-3</v>
      </c>
      <c r="AW146" s="174">
        <f t="shared" si="113"/>
        <v>4.1085409410602276</v>
      </c>
      <c r="AX146" s="175">
        <f t="shared" si="114"/>
        <v>4.6321760640659335E-2</v>
      </c>
      <c r="AY146" s="175">
        <f>AX146*'Soil samples'!AR146/100</f>
        <v>4.1085409410602271E-3</v>
      </c>
      <c r="AZ146" s="174">
        <f t="shared" si="115"/>
        <v>4.1085409410602276</v>
      </c>
      <c r="BA146">
        <f t="shared" si="92"/>
        <v>2323.5379241900005</v>
      </c>
      <c r="BB146">
        <f t="shared" si="122"/>
        <v>2.3235379241900005</v>
      </c>
      <c r="BC146">
        <f>BB146*('Wet ref'!$B$40+M146)</f>
        <v>66.095629308641577</v>
      </c>
      <c r="BD146" s="175">
        <f t="shared" si="93"/>
        <v>42.535754963550026</v>
      </c>
      <c r="BE146" s="175">
        <f>BD146*'Soil samples'!AK146/100</f>
        <v>3.7727385209372644</v>
      </c>
      <c r="BF146" s="174">
        <f t="shared" si="123"/>
        <v>3.7727385209372644</v>
      </c>
      <c r="BG146" s="175">
        <f t="shared" si="117"/>
        <v>42.535754963550026</v>
      </c>
      <c r="BH146" s="175">
        <f>BG146*'Soil samples'!AR146/100</f>
        <v>3.7727385209372644</v>
      </c>
      <c r="BI146" s="174">
        <f t="shared" si="124"/>
        <v>3.7727385209372644</v>
      </c>
      <c r="BK146" s="6"/>
      <c r="BL146" s="31"/>
    </row>
    <row r="147" spans="1:64">
      <c r="A147" s="6" t="s">
        <v>150</v>
      </c>
      <c r="B147" s="6" t="s">
        <v>198</v>
      </c>
      <c r="C147" t="s">
        <v>13</v>
      </c>
      <c r="D147" s="8">
        <v>5</v>
      </c>
      <c r="E147" s="3">
        <v>30</v>
      </c>
      <c r="F147" s="26">
        <v>42767</v>
      </c>
      <c r="G147" s="3"/>
      <c r="H147">
        <f>'Wet ref'!B186</f>
        <v>19.97535946</v>
      </c>
      <c r="I147">
        <f>'Wet ref'!C186</f>
        <v>226.4289497</v>
      </c>
      <c r="J147">
        <f>'Wet ref'!D186</f>
        <v>66.61751065</v>
      </c>
      <c r="K147">
        <f>'Wet ref'!E186</f>
        <v>0.87943049100000004</v>
      </c>
      <c r="L147" s="3">
        <f t="shared" si="94"/>
        <v>633.02618184000005</v>
      </c>
      <c r="M147" s="31">
        <f>'Wet ref'!$B$41*'Soil samples'!AI147%</f>
        <v>2.9591732107745568</v>
      </c>
      <c r="N147" s="105">
        <f>'Wet ref'!$B$41*'Soil samples'!AH147%</f>
        <v>2.0408267892254432</v>
      </c>
      <c r="O147">
        <f t="shared" si="95"/>
        <v>19.97535946</v>
      </c>
      <c r="P147">
        <f t="shared" si="119"/>
        <v>1.9975359460000001E-2</v>
      </c>
      <c r="Q147">
        <f>P147*('Wet ref'!$B$40+M147)</f>
        <v>0.55849453508962421</v>
      </c>
      <c r="R147" s="141">
        <f t="shared" si="118"/>
        <v>0.27366091921088026</v>
      </c>
      <c r="S147" s="141">
        <f>R147*'Soil samples'!AK147/100</f>
        <v>6.3333280279163365E-2</v>
      </c>
      <c r="T147" s="149">
        <f t="shared" si="97"/>
        <v>6.3333280279163365E-2</v>
      </c>
      <c r="U147" s="141">
        <f t="shared" si="98"/>
        <v>19.97535946</v>
      </c>
      <c r="V147" s="141">
        <f t="shared" si="99"/>
        <v>0.27366091921088026</v>
      </c>
      <c r="W147" s="141">
        <f>V147*'Soil samples'!AR147/100</f>
        <v>6.3333280279163365E-2</v>
      </c>
      <c r="X147" s="149">
        <f t="shared" si="100"/>
        <v>6.3333280279163365E-2</v>
      </c>
      <c r="Y147">
        <f t="shared" si="101"/>
        <v>226.4289497</v>
      </c>
      <c r="Z147">
        <f t="shared" si="102"/>
        <v>0.22642894969999999</v>
      </c>
      <c r="AA147">
        <f>Z147*('Wet ref'!$B$40+M147)</f>
        <v>6.3307662245960596</v>
      </c>
      <c r="AB147" s="175">
        <f t="shared" si="103"/>
        <v>3.102059546659901</v>
      </c>
      <c r="AC147" s="175">
        <f>AB147*'Soil samples'!AK147/100</f>
        <v>0.71790888986919299</v>
      </c>
      <c r="AD147" s="174">
        <f t="shared" si="104"/>
        <v>0.71790888986919299</v>
      </c>
      <c r="AE147" s="175">
        <f t="shared" si="105"/>
        <v>226.4289497</v>
      </c>
      <c r="AF147" s="175">
        <f t="shared" si="106"/>
        <v>3.102059546659901</v>
      </c>
      <c r="AG147" s="175">
        <f>AF147*'Soil samples'!AR147/100</f>
        <v>0.71790888986919299</v>
      </c>
      <c r="AH147" s="174">
        <f t="shared" si="107"/>
        <v>0.71790888986919299</v>
      </c>
      <c r="AI147">
        <f t="shared" si="88"/>
        <v>66.61751065</v>
      </c>
      <c r="AJ147">
        <f t="shared" si="120"/>
        <v>6.6617510650000003E-2</v>
      </c>
      <c r="AK147">
        <f>AJ147*('Wet ref'!$B$40+M147)</f>
        <v>1.862570519133969</v>
      </c>
      <c r="AL147" s="175">
        <f t="shared" si="89"/>
        <v>0.91265487544921531</v>
      </c>
      <c r="AM147" s="175">
        <f>AL147*'Soil samples'!AK147/100</f>
        <v>0.21121549686979205</v>
      </c>
      <c r="AN147" s="174">
        <f t="shared" si="109"/>
        <v>211.21549686979205</v>
      </c>
      <c r="AO147" s="175">
        <f t="shared" si="110"/>
        <v>0.91265487544921531</v>
      </c>
      <c r="AP147" s="175">
        <f>AO147*'Soil samples'!AR147/100</f>
        <v>0.21121549686979205</v>
      </c>
      <c r="AQ147" s="174">
        <f t="shared" si="111"/>
        <v>211.21549686979205</v>
      </c>
      <c r="AR147">
        <f t="shared" si="90"/>
        <v>0.87943049100000004</v>
      </c>
      <c r="AS147">
        <f t="shared" si="121"/>
        <v>8.7943049100000005E-4</v>
      </c>
      <c r="AT147">
        <f>AS147*('Wet ref'!$B$40+M147)</f>
        <v>2.4588149424705517E-2</v>
      </c>
      <c r="AU147" s="175">
        <f t="shared" si="91"/>
        <v>1.2048131450703603E-2</v>
      </c>
      <c r="AV147" s="175">
        <f>AU147*'Soil samples'!AK147/100</f>
        <v>2.7882961447616051E-3</v>
      </c>
      <c r="AW147" s="174">
        <f t="shared" si="113"/>
        <v>2.7882961447616053</v>
      </c>
      <c r="AX147" s="175">
        <f t="shared" si="114"/>
        <v>1.2048131450703603E-2</v>
      </c>
      <c r="AY147" s="175">
        <f>AX147*'Soil samples'!AR147/100</f>
        <v>2.7882961447616051E-3</v>
      </c>
      <c r="AZ147" s="174">
        <f t="shared" si="115"/>
        <v>2.7882961447616053</v>
      </c>
      <c r="BA147">
        <f t="shared" si="92"/>
        <v>633.02618184000005</v>
      </c>
      <c r="BB147">
        <f t="shared" si="122"/>
        <v>0.63302618184000004</v>
      </c>
      <c r="BC147">
        <f>BB147*('Wet ref'!$B$40+M147)</f>
        <v>17.698888665019833</v>
      </c>
      <c r="BD147" s="175">
        <f t="shared" si="93"/>
        <v>8.6724109848328226</v>
      </c>
      <c r="BE147" s="175">
        <f>BD147*'Soil samples'!AK147/100</f>
        <v>2.0070539746132487</v>
      </c>
      <c r="BF147" s="174">
        <f t="shared" si="123"/>
        <v>2.0070539746132487</v>
      </c>
      <c r="BG147" s="175">
        <f t="shared" si="117"/>
        <v>8.6724109848328226</v>
      </c>
      <c r="BH147" s="175">
        <f>BG147*'Soil samples'!AR147/100</f>
        <v>2.0070539746132487</v>
      </c>
      <c r="BI147" s="174">
        <f t="shared" si="124"/>
        <v>2.0070539746132487</v>
      </c>
      <c r="BK147" s="6"/>
      <c r="BL147" s="31"/>
    </row>
    <row r="148" spans="1:64">
      <c r="A148" s="6" t="s">
        <v>151</v>
      </c>
      <c r="B148" s="6" t="s">
        <v>198</v>
      </c>
      <c r="C148" t="s">
        <v>13</v>
      </c>
      <c r="D148" s="8">
        <v>6</v>
      </c>
      <c r="E148" s="3">
        <v>5</v>
      </c>
      <c r="F148" s="25">
        <v>42753</v>
      </c>
      <c r="G148" s="3"/>
      <c r="H148">
        <f>'Wet ref'!B187</f>
        <v>25.62531487</v>
      </c>
      <c r="I148">
        <f>'Wet ref'!C187</f>
        <v>351.56948419999998</v>
      </c>
      <c r="J148">
        <f>'Wet ref'!D187</f>
        <v>88.613295089999994</v>
      </c>
      <c r="K148">
        <f>'Wet ref'!E187</f>
        <v>11.1901192</v>
      </c>
      <c r="L148" s="3">
        <f t="shared" si="94"/>
        <v>10812.92440093</v>
      </c>
      <c r="M148" s="31">
        <f>'Wet ref'!$B$41*'Soil samples'!AI148%</f>
        <v>3.025047013163686</v>
      </c>
      <c r="N148" s="105">
        <f>'Wet ref'!$B$41*'Soil samples'!AH148%</f>
        <v>1.9749529868363145</v>
      </c>
      <c r="O148">
        <f t="shared" si="95"/>
        <v>25.62531487</v>
      </c>
      <c r="P148">
        <f t="shared" si="119"/>
        <v>2.5625314869999999E-2</v>
      </c>
      <c r="Q148">
        <f>P148*('Wet ref'!$B$40+M148)</f>
        <v>0.71815065395887245</v>
      </c>
      <c r="R148" s="141">
        <f t="shared" si="118"/>
        <v>0.36362924016195497</v>
      </c>
      <c r="S148" s="141">
        <f>R148*'Soil samples'!AK148/100</f>
        <v>3.3020567069028971E-2</v>
      </c>
      <c r="T148" s="149">
        <f t="shared" si="97"/>
        <v>3.3020567069028971E-2</v>
      </c>
      <c r="U148" s="141">
        <f t="shared" si="98"/>
        <v>25.62531487</v>
      </c>
      <c r="V148" s="141">
        <f t="shared" si="99"/>
        <v>0.36362924016195497</v>
      </c>
      <c r="W148" s="141">
        <f>V148*'Soil samples'!AR148/100</f>
        <v>3.3020567069028971E-2</v>
      </c>
      <c r="X148" s="149">
        <f t="shared" si="100"/>
        <v>3.3020567069028971E-2</v>
      </c>
      <c r="Y148">
        <f t="shared" si="101"/>
        <v>351.56948419999998</v>
      </c>
      <c r="Z148">
        <f t="shared" si="102"/>
        <v>0.3515694842</v>
      </c>
      <c r="AA148">
        <f>Z148*('Wet ref'!$B$40+M148)</f>
        <v>9.8527513230987083</v>
      </c>
      <c r="AB148" s="175">
        <f t="shared" si="103"/>
        <v>4.9888536024758103</v>
      </c>
      <c r="AC148" s="175">
        <f>AB148*'Soil samples'!AK148/100</f>
        <v>0.45302950583607882</v>
      </c>
      <c r="AD148" s="174">
        <f t="shared" si="104"/>
        <v>0.45302950583607882</v>
      </c>
      <c r="AE148" s="175">
        <f t="shared" si="105"/>
        <v>351.56948419999998</v>
      </c>
      <c r="AF148" s="175">
        <f t="shared" si="106"/>
        <v>4.9888536024758103</v>
      </c>
      <c r="AG148" s="175">
        <f>AF148*'Soil samples'!AR148/100</f>
        <v>0.45302950583607882</v>
      </c>
      <c r="AH148" s="174">
        <f t="shared" si="107"/>
        <v>0.45302950583607882</v>
      </c>
      <c r="AI148">
        <f t="shared" si="88"/>
        <v>88.613295089999994</v>
      </c>
      <c r="AJ148">
        <f t="shared" si="120"/>
        <v>8.8613295089999988E-2</v>
      </c>
      <c r="AK148">
        <f>AJ148*('Wet ref'!$B$40+M148)</f>
        <v>2.4833917608885967</v>
      </c>
      <c r="AL148" s="175">
        <f t="shared" si="89"/>
        <v>1.2574434821695439</v>
      </c>
      <c r="AM148" s="175">
        <f>AL148*'Soil samples'!AK148/100</f>
        <v>0.11418635316565773</v>
      </c>
      <c r="AN148" s="174">
        <f t="shared" si="109"/>
        <v>114.18635316565772</v>
      </c>
      <c r="AO148" s="175">
        <f t="shared" si="110"/>
        <v>1.2574434821695439</v>
      </c>
      <c r="AP148" s="175">
        <f>AO148*'Soil samples'!AR148/100</f>
        <v>0.11418635316565773</v>
      </c>
      <c r="AQ148" s="174">
        <f t="shared" si="111"/>
        <v>114.18635316565772</v>
      </c>
      <c r="AR148">
        <f t="shared" si="90"/>
        <v>11.1901192</v>
      </c>
      <c r="AS148">
        <f t="shared" si="121"/>
        <v>1.1190119199999999E-2</v>
      </c>
      <c r="AT148">
        <f>AS148*('Wet ref'!$B$40+M148)</f>
        <v>0.31360361666290559</v>
      </c>
      <c r="AU148" s="175">
        <f t="shared" si="91"/>
        <v>0.15879042121669365</v>
      </c>
      <c r="AV148" s="175">
        <f>AU148*'Soil samples'!AK148/100</f>
        <v>1.4419494294160406E-2</v>
      </c>
      <c r="AW148" s="174">
        <f t="shared" si="113"/>
        <v>14.419494294160405</v>
      </c>
      <c r="AX148" s="175">
        <f t="shared" si="114"/>
        <v>0.15879042121669365</v>
      </c>
      <c r="AY148" s="175">
        <f>AX148*'Soil samples'!AR148/100</f>
        <v>1.4419494294160406E-2</v>
      </c>
      <c r="AZ148" s="174">
        <f t="shared" si="115"/>
        <v>14.419494294160405</v>
      </c>
      <c r="BA148">
        <f t="shared" si="92"/>
        <v>10812.92440093</v>
      </c>
      <c r="BB148">
        <f t="shared" si="122"/>
        <v>10.812924400929999</v>
      </c>
      <c r="BC148">
        <f>BB148*('Wet ref'!$B$40+M148)</f>
        <v>303.03271468584802</v>
      </c>
      <c r="BD148" s="175">
        <f t="shared" si="93"/>
        <v>153.43793837405588</v>
      </c>
      <c r="BE148" s="175">
        <f>BD148*'Soil samples'!AK148/100</f>
        <v>13.933444221255296</v>
      </c>
      <c r="BF148" s="174">
        <f t="shared" si="123"/>
        <v>13.933444221255296</v>
      </c>
      <c r="BG148" s="175">
        <f t="shared" si="117"/>
        <v>153.43793837405588</v>
      </c>
      <c r="BH148" s="175">
        <f>BG148*'Soil samples'!AR148/100</f>
        <v>13.933444221255296</v>
      </c>
      <c r="BI148" s="174">
        <f t="shared" si="124"/>
        <v>13.933444221255296</v>
      </c>
      <c r="BK148" s="6"/>
      <c r="BL148" s="31"/>
    </row>
    <row r="149" spans="1:64">
      <c r="A149" s="6" t="s">
        <v>152</v>
      </c>
      <c r="B149" s="6" t="s">
        <v>198</v>
      </c>
      <c r="C149" t="s">
        <v>13</v>
      </c>
      <c r="D149" s="8">
        <v>6</v>
      </c>
      <c r="E149" s="3">
        <v>10</v>
      </c>
      <c r="F149" s="25">
        <v>42753</v>
      </c>
      <c r="G149" s="3"/>
      <c r="H149">
        <f>'Wet ref'!B188</f>
        <v>27.15773557</v>
      </c>
      <c r="I149">
        <f>'Wet ref'!C188</f>
        <v>14.65576514</v>
      </c>
      <c r="J149">
        <f>'Wet ref'!D188</f>
        <v>373.38628180000001</v>
      </c>
      <c r="K149">
        <f>'Wet ref'!E188</f>
        <v>2.3054059069999999</v>
      </c>
      <c r="L149" s="3">
        <f t="shared" si="94"/>
        <v>2263.5924062899999</v>
      </c>
      <c r="M149" s="31">
        <f>'Wet ref'!$B$41*'Soil samples'!AI149%</f>
        <v>3.2914868105515582</v>
      </c>
      <c r="N149" s="105">
        <f>'Wet ref'!$B$41*'Soil samples'!AH149%</f>
        <v>1.708513189448442</v>
      </c>
      <c r="O149">
        <f t="shared" si="95"/>
        <v>27.15773557</v>
      </c>
      <c r="P149">
        <f t="shared" si="119"/>
        <v>2.7157735570000001E-2</v>
      </c>
      <c r="Q149">
        <f>P149*('Wet ref'!$B$40+M149)</f>
        <v>0.76833271768310185</v>
      </c>
      <c r="R149" s="141">
        <f t="shared" si="118"/>
        <v>0.44970839114864669</v>
      </c>
      <c r="S149" s="141">
        <f>R149*'Soil samples'!AK149/100</f>
        <v>5.4705289499036885E-2</v>
      </c>
      <c r="T149" s="149">
        <f t="shared" si="97"/>
        <v>5.4705289499036885E-2</v>
      </c>
      <c r="U149" s="141">
        <f t="shared" si="98"/>
        <v>27.15773557</v>
      </c>
      <c r="V149" s="141">
        <f t="shared" si="99"/>
        <v>0.44970839114864669</v>
      </c>
      <c r="W149" s="141">
        <f>V149*'Soil samples'!AR149/100</f>
        <v>5.4705289499036885E-2</v>
      </c>
      <c r="X149" s="149">
        <f t="shared" si="100"/>
        <v>5.4705289499036885E-2</v>
      </c>
      <c r="Y149">
        <f t="shared" si="101"/>
        <v>14.65576514</v>
      </c>
      <c r="Z149">
        <f t="shared" si="102"/>
        <v>1.4655765140000001E-2</v>
      </c>
      <c r="AA149">
        <f>Z149*('Wet ref'!$B$40+M149)</f>
        <v>0.4146333861568513</v>
      </c>
      <c r="AB149" s="175">
        <f t="shared" si="103"/>
        <v>0.24268667559464793</v>
      </c>
      <c r="AC149" s="175">
        <f>AB149*'Soil samples'!AK149/100</f>
        <v>2.9521897094367831E-2</v>
      </c>
      <c r="AD149" s="174">
        <f t="shared" si="104"/>
        <v>2.9521897094367831E-2</v>
      </c>
      <c r="AE149" s="175">
        <f t="shared" si="105"/>
        <v>14.65576514</v>
      </c>
      <c r="AF149" s="175">
        <f t="shared" si="106"/>
        <v>0.24268667559464793</v>
      </c>
      <c r="AG149" s="175">
        <f>AF149*'Soil samples'!AR149/100</f>
        <v>2.9521897094367831E-2</v>
      </c>
      <c r="AH149" s="174">
        <f t="shared" si="107"/>
        <v>2.9521897094367831E-2</v>
      </c>
      <c r="AI149">
        <f t="shared" si="88"/>
        <v>373.38628180000001</v>
      </c>
      <c r="AJ149">
        <f t="shared" si="120"/>
        <v>0.3733862818</v>
      </c>
      <c r="AK149">
        <f>AJ149*('Wet ref'!$B$40+M149)</f>
        <v>10.563653066785587</v>
      </c>
      <c r="AL149" s="175">
        <f t="shared" si="89"/>
        <v>6.182950844058654</v>
      </c>
      <c r="AM149" s="175">
        <f>AL149*'Soil samples'!AK149/100</f>
        <v>0.75213209835513439</v>
      </c>
      <c r="AN149" s="174">
        <f t="shared" si="109"/>
        <v>752.1320983551343</v>
      </c>
      <c r="AO149" s="175">
        <f t="shared" si="110"/>
        <v>6.182950844058654</v>
      </c>
      <c r="AP149" s="175">
        <f>AO149*'Soil samples'!AR149/100</f>
        <v>0.75213209835513439</v>
      </c>
      <c r="AQ149" s="174">
        <f t="shared" si="111"/>
        <v>752.1320983551343</v>
      </c>
      <c r="AR149">
        <f t="shared" si="90"/>
        <v>2.3054059069999999</v>
      </c>
      <c r="AS149">
        <f t="shared" si="121"/>
        <v>2.3054059069999998E-3</v>
      </c>
      <c r="AT149">
        <f>AS149*('Wet ref'!$B$40+M149)</f>
        <v>6.5223360810858139E-2</v>
      </c>
      <c r="AU149" s="175">
        <f t="shared" si="91"/>
        <v>3.8175509099765359E-2</v>
      </c>
      <c r="AV149" s="175">
        <f>AU149*'Soil samples'!AK149/100</f>
        <v>4.6439032897331025E-3</v>
      </c>
      <c r="AW149" s="174">
        <f t="shared" si="113"/>
        <v>4.6439032897331032</v>
      </c>
      <c r="AX149" s="175">
        <f t="shared" si="114"/>
        <v>3.8175509099765359E-2</v>
      </c>
      <c r="AY149" s="175">
        <f>AX149*'Soil samples'!AR149/100</f>
        <v>4.6439032897331025E-3</v>
      </c>
      <c r="AZ149" s="174">
        <f t="shared" si="115"/>
        <v>4.6439032897331032</v>
      </c>
      <c r="BA149">
        <f t="shared" si="92"/>
        <v>2263.5924062899999</v>
      </c>
      <c r="BB149">
        <f t="shared" si="122"/>
        <v>2.2635924062899999</v>
      </c>
      <c r="BC149">
        <f>BB149*('Wet ref'!$B$40+M149)</f>
        <v>64.040394707018194</v>
      </c>
      <c r="BD149" s="175">
        <f t="shared" si="93"/>
        <v>37.483114033022069</v>
      </c>
      <c r="BE149" s="175">
        <f>BD149*'Soil samples'!AK149/100</f>
        <v>4.5596761031396982</v>
      </c>
      <c r="BF149" s="174">
        <f t="shared" si="123"/>
        <v>4.5596761031396982</v>
      </c>
      <c r="BG149" s="175">
        <f t="shared" si="117"/>
        <v>37.483114033022069</v>
      </c>
      <c r="BH149" s="175">
        <f>BG149*'Soil samples'!AR149/100</f>
        <v>4.5596761031396982</v>
      </c>
      <c r="BI149" s="174">
        <f t="shared" si="124"/>
        <v>4.5596761031396982</v>
      </c>
      <c r="BK149" s="6"/>
      <c r="BL149" s="31"/>
    </row>
    <row r="150" spans="1:64">
      <c r="A150" s="7" t="s">
        <v>153</v>
      </c>
      <c r="B150" s="7" t="s">
        <v>198</v>
      </c>
      <c r="C150" s="4" t="s">
        <v>13</v>
      </c>
      <c r="D150" s="4">
        <v>6</v>
      </c>
      <c r="E150" s="5">
        <v>20</v>
      </c>
      <c r="F150" s="27">
        <v>42753</v>
      </c>
      <c r="G150" s="5"/>
      <c r="H150">
        <f>'Wet ref'!B189</f>
        <v>34.183711529999997</v>
      </c>
      <c r="I150">
        <f>'Wet ref'!C189</f>
        <v>87.993134330000004</v>
      </c>
      <c r="J150">
        <f>'Wet ref'!D189</f>
        <v>343.37356560000001</v>
      </c>
      <c r="K150">
        <f>'Wet ref'!E189</f>
        <v>2.0790187539999998</v>
      </c>
      <c r="L150" s="3">
        <f t="shared" si="94"/>
        <v>1956.8419081399998</v>
      </c>
      <c r="M150" s="31">
        <f>'Wet ref'!$B$41*'Soil samples'!AI150%</f>
        <v>3.4571858182969297</v>
      </c>
      <c r="N150" s="105">
        <f>'Wet ref'!$B$41*'Soil samples'!AH150%</f>
        <v>1.5428141817030707</v>
      </c>
      <c r="O150">
        <f t="shared" si="95"/>
        <v>34.183711529999997</v>
      </c>
      <c r="P150">
        <f t="shared" si="119"/>
        <v>3.4183711529999994E-2</v>
      </c>
      <c r="Q150">
        <f>P150*('Wet ref'!$B$40+M150)</f>
        <v>0.97277223096826904</v>
      </c>
      <c r="R150" s="141">
        <f t="shared" si="118"/>
        <v>0.63051807696922524</v>
      </c>
      <c r="S150" s="141">
        <f>R150*'Soil samples'!AK150/100</f>
        <v>8.1965788181386334E-2</v>
      </c>
      <c r="T150" s="149">
        <f t="shared" si="97"/>
        <v>8.1965788181386334E-2</v>
      </c>
      <c r="U150" s="141">
        <f t="shared" si="98"/>
        <v>34.183711529999997</v>
      </c>
      <c r="V150" s="141">
        <f t="shared" si="99"/>
        <v>0.63051807696922524</v>
      </c>
      <c r="W150" s="141">
        <f>V150*'Soil samples'!AR150/100</f>
        <v>8.1965788181386334E-2</v>
      </c>
      <c r="X150" s="149">
        <f t="shared" si="100"/>
        <v>8.1965788181386334E-2</v>
      </c>
      <c r="Y150">
        <f t="shared" si="101"/>
        <v>87.993134330000004</v>
      </c>
      <c r="Z150">
        <f t="shared" si="102"/>
        <v>8.799313433E-2</v>
      </c>
      <c r="AA150">
        <f>Z150*('Wet ref'!$B$40+M150)</f>
        <v>2.5040369743631725</v>
      </c>
      <c r="AB150" s="175">
        <f t="shared" si="103"/>
        <v>1.6230321214697638</v>
      </c>
      <c r="AC150" s="175">
        <f>AB150*'Soil samples'!AK150/100</f>
        <v>0.21099015545984087</v>
      </c>
      <c r="AD150" s="174">
        <f t="shared" si="104"/>
        <v>0.21099015545984087</v>
      </c>
      <c r="AE150" s="175">
        <f t="shared" si="105"/>
        <v>87.993134330000004</v>
      </c>
      <c r="AF150" s="175">
        <f t="shared" si="106"/>
        <v>1.6230321214697638</v>
      </c>
      <c r="AG150" s="175">
        <f>AF150*'Soil samples'!AR150/100</f>
        <v>0.21099015545984087</v>
      </c>
      <c r="AH150" s="174">
        <f t="shared" si="107"/>
        <v>0.21099015545984087</v>
      </c>
      <c r="AI150">
        <f t="shared" si="88"/>
        <v>343.37356560000001</v>
      </c>
      <c r="AJ150">
        <f t="shared" si="120"/>
        <v>0.34337356559999999</v>
      </c>
      <c r="AK150">
        <f>AJ150*('Wet ref'!$B$40+M150)</f>
        <v>9.77144536137037</v>
      </c>
      <c r="AL150" s="175">
        <f t="shared" si="89"/>
        <v>6.3335205738023079</v>
      </c>
      <c r="AM150" s="175">
        <f>AL150*'Soil samples'!AK150/100</f>
        <v>0.8233419861490674</v>
      </c>
      <c r="AN150" s="174">
        <f t="shared" si="109"/>
        <v>823.34198614906734</v>
      </c>
      <c r="AO150" s="175">
        <f t="shared" si="110"/>
        <v>6.3335205738023079</v>
      </c>
      <c r="AP150" s="175">
        <f>AO150*'Soil samples'!AR150/100</f>
        <v>0.8233419861490674</v>
      </c>
      <c r="AQ150" s="174">
        <f t="shared" si="111"/>
        <v>823.34198614906734</v>
      </c>
      <c r="AR150">
        <f t="shared" si="90"/>
        <v>2.0790187539999998</v>
      </c>
      <c r="AS150">
        <f t="shared" si="121"/>
        <v>2.0790187539999998E-3</v>
      </c>
      <c r="AT150">
        <f>AS150*('Wet ref'!$B$40+M150)</f>
        <v>5.916302300230214E-2</v>
      </c>
      <c r="AU150" s="175">
        <f t="shared" si="91"/>
        <v>3.8347471590514992E-2</v>
      </c>
      <c r="AV150" s="175">
        <f>AU150*'Soil samples'!AK150/100</f>
        <v>4.9850763181739774E-3</v>
      </c>
      <c r="AW150" s="174">
        <f t="shared" si="113"/>
        <v>4.9850763181739772</v>
      </c>
      <c r="AX150" s="175">
        <f t="shared" si="114"/>
        <v>3.8347471590514992E-2</v>
      </c>
      <c r="AY150" s="175">
        <f>AX150*'Soil samples'!AR150/100</f>
        <v>4.9850763181739774E-3</v>
      </c>
      <c r="AZ150" s="174">
        <f t="shared" si="115"/>
        <v>4.9850763181739772</v>
      </c>
      <c r="BA150">
        <f t="shared" si="92"/>
        <v>1956.8419081399998</v>
      </c>
      <c r="BB150">
        <f t="shared" si="122"/>
        <v>1.9568419081399997</v>
      </c>
      <c r="BC150">
        <f>BB150*('Wet ref'!$B$40+M150)</f>
        <v>55.686213796970698</v>
      </c>
      <c r="BD150" s="175">
        <f t="shared" si="93"/>
        <v>36.093921392076005</v>
      </c>
      <c r="BE150" s="175">
        <f>BD150*'Soil samples'!AK150/100</f>
        <v>4.6921203745327507</v>
      </c>
      <c r="BF150" s="174">
        <f t="shared" si="123"/>
        <v>4.6921203745327507</v>
      </c>
      <c r="BG150" s="175">
        <f t="shared" si="117"/>
        <v>36.093921392076005</v>
      </c>
      <c r="BH150" s="175">
        <f>BG150*'Soil samples'!AR150/100</f>
        <v>4.6921203745327507</v>
      </c>
      <c r="BI150" s="174">
        <f t="shared" si="124"/>
        <v>4.6921203745327507</v>
      </c>
      <c r="BK150" s="7"/>
      <c r="BL150" s="31"/>
    </row>
    <row r="151" spans="1:64">
      <c r="A151" s="206" t="s">
        <v>154</v>
      </c>
      <c r="B151" s="6" t="s">
        <v>548</v>
      </c>
      <c r="C151" t="s">
        <v>12</v>
      </c>
      <c r="D151" s="8">
        <v>1</v>
      </c>
      <c r="E151" s="3">
        <v>5</v>
      </c>
      <c r="F151" s="8" t="s">
        <v>469</v>
      </c>
      <c r="G151" s="8" t="s">
        <v>469</v>
      </c>
      <c r="H151" s="6" t="s">
        <v>469</v>
      </c>
      <c r="I151" s="6" t="s">
        <v>469</v>
      </c>
      <c r="J151" s="6" t="s">
        <v>469</v>
      </c>
      <c r="K151" s="6" t="s">
        <v>469</v>
      </c>
      <c r="L151" s="3" t="s">
        <v>469</v>
      </c>
      <c r="M151" s="31">
        <f>'Wet ref'!$B$41*'Soil samples'!AI151%</f>
        <v>2.8640476190476187</v>
      </c>
      <c r="N151" s="105">
        <f>'Wet ref'!$B$41*'Soil samples'!AH151%</f>
        <v>2.1359523809523813</v>
      </c>
      <c r="O151" t="s">
        <v>469</v>
      </c>
      <c r="P151" t="s">
        <v>469</v>
      </c>
      <c r="Q151" t="s">
        <v>469</v>
      </c>
      <c r="R151" t="s">
        <v>469</v>
      </c>
      <c r="S151" t="s">
        <v>469</v>
      </c>
      <c r="T151" t="s">
        <v>469</v>
      </c>
      <c r="U151" s="151">
        <f>BO27</f>
        <v>192.97403159999999</v>
      </c>
      <c r="V151" s="151">
        <f>BO11</f>
        <v>1.8710172831887031</v>
      </c>
      <c r="W151" s="141">
        <f>V151*'Soil samples'!AR151/100</f>
        <v>0.11365772466440445</v>
      </c>
      <c r="X151" s="149">
        <f t="shared" si="100"/>
        <v>0.11365772466440445</v>
      </c>
      <c r="Y151" t="s">
        <v>469</v>
      </c>
      <c r="Z151" t="s">
        <v>469</v>
      </c>
      <c r="AA151" t="e">
        <f>Z151*('Wet ref'!$B$40+M151)</f>
        <v>#VALUE!</v>
      </c>
      <c r="AB151" t="s">
        <v>469</v>
      </c>
      <c r="AC151" t="s">
        <v>469</v>
      </c>
      <c r="AD151" t="s">
        <v>469</v>
      </c>
      <c r="AE151" s="175">
        <f>BP27</f>
        <v>1196.8114399999999</v>
      </c>
      <c r="AF151" s="175">
        <f>BP11</f>
        <v>11.603918259838851</v>
      </c>
      <c r="AG151" s="175">
        <f>AF151*'Soil samples'!AR151/100</f>
        <v>0.70489725480104126</v>
      </c>
      <c r="AH151" s="174">
        <f t="shared" si="107"/>
        <v>0.70489725480104126</v>
      </c>
      <c r="AI151" t="str">
        <f t="shared" si="88"/>
        <v>none</v>
      </c>
      <c r="AK151">
        <f>AJ151*('Wet ref'!$B$40+M151)</f>
        <v>0</v>
      </c>
      <c r="AL151" s="175">
        <f t="shared" si="89"/>
        <v>0</v>
      </c>
      <c r="AM151" s="175">
        <f>AL151*'Soil samples'!AK151/100</f>
        <v>0</v>
      </c>
      <c r="AN151" s="174">
        <f t="shared" si="109"/>
        <v>0</v>
      </c>
      <c r="AO151" s="175">
        <f>BQ11</f>
        <v>0.70427429214223725</v>
      </c>
      <c r="AP151" s="175">
        <f>AO151*'Soil samples'!AR151/100</f>
        <v>4.2782188226557188E-2</v>
      </c>
      <c r="AQ151" s="174">
        <f t="shared" si="111"/>
        <v>42.782188226557189</v>
      </c>
      <c r="AR151" t="str">
        <f t="shared" si="90"/>
        <v>none</v>
      </c>
      <c r="AT151">
        <f>AS151*('Wet ref'!$B$40+M151)</f>
        <v>0</v>
      </c>
      <c r="AU151" s="175">
        <f t="shared" si="91"/>
        <v>0</v>
      </c>
      <c r="AV151" s="175">
        <f>AU151*'Soil samples'!AK151/100</f>
        <v>0</v>
      </c>
      <c r="AW151" s="174">
        <f t="shared" si="113"/>
        <v>0</v>
      </c>
      <c r="AX151" s="175">
        <f>BR11</f>
        <v>0.10785643915433467</v>
      </c>
      <c r="AY151" s="175">
        <f>AX151*'Soil samples'!AR151/100</f>
        <v>6.55189964028253E-3</v>
      </c>
      <c r="AZ151" s="174">
        <f t="shared" si="115"/>
        <v>6.5518996402825298</v>
      </c>
      <c r="BA151" t="e">
        <f t="shared" si="92"/>
        <v>#VALUE!</v>
      </c>
      <c r="BC151">
        <f>BB151*('Wet ref'!$B$40+M151)</f>
        <v>0</v>
      </c>
      <c r="BD151" s="175">
        <f t="shared" si="93"/>
        <v>0</v>
      </c>
      <c r="BE151" s="175">
        <f>BD151*'Soil samples'!AK151/100</f>
        <v>0</v>
      </c>
      <c r="BF151" s="174">
        <f t="shared" si="123"/>
        <v>0</v>
      </c>
      <c r="BG151" s="175">
        <f>BS11</f>
        <v>94.38150361130711</v>
      </c>
      <c r="BH151" s="175">
        <f>BG151*'Soil samples'!AR151/100</f>
        <v>5.7333446608170844</v>
      </c>
      <c r="BI151" s="174">
        <f t="shared" si="124"/>
        <v>5.7333446608170844</v>
      </c>
      <c r="BL151" s="31"/>
    </row>
    <row r="152" spans="1:64">
      <c r="A152" s="6" t="s">
        <v>155</v>
      </c>
      <c r="B152" s="6" t="s">
        <v>548</v>
      </c>
      <c r="C152" t="s">
        <v>12</v>
      </c>
      <c r="D152" s="8">
        <v>1</v>
      </c>
      <c r="E152" s="3">
        <v>10</v>
      </c>
      <c r="F152" s="26">
        <v>42792</v>
      </c>
      <c r="G152" s="3"/>
      <c r="H152">
        <f>'Wet ref'!B190</f>
        <v>624.46249479999994</v>
      </c>
      <c r="I152">
        <f>'Wet ref'!C190</f>
        <v>684.03793819999999</v>
      </c>
      <c r="J152">
        <f>'Wet ref'!D190</f>
        <v>67.525538690000005</v>
      </c>
      <c r="K152">
        <f>'Wet ref'!E190</f>
        <v>9.5822779429999994</v>
      </c>
      <c r="L152" s="3">
        <f t="shared" si="94"/>
        <v>8273.7775099999999</v>
      </c>
      <c r="M152" s="31">
        <f>'Wet ref'!$B$41*'Soil samples'!AI152%</f>
        <v>2.4958017711089369</v>
      </c>
      <c r="N152" s="105">
        <f>'Wet ref'!$B$41*'Soil samples'!AH152%</f>
        <v>2.5041982288910631</v>
      </c>
      <c r="O152">
        <f t="shared" si="95"/>
        <v>624.46249479999994</v>
      </c>
      <c r="P152">
        <f>O152/1000</f>
        <v>0.62446249479999993</v>
      </c>
      <c r="Q152">
        <f>P152*('Wet ref'!$B$40+M152)</f>
        <v>17.170096970512944</v>
      </c>
      <c r="R152" s="141">
        <f t="shared" si="118"/>
        <v>6.856524684196585</v>
      </c>
      <c r="S152" s="141">
        <f>R152*'Soil samples'!AK152/100</f>
        <v>2.1538169639811446</v>
      </c>
      <c r="T152" s="149">
        <f t="shared" si="97"/>
        <v>2.1538169639811446</v>
      </c>
      <c r="U152" s="141">
        <f t="shared" si="98"/>
        <v>624.46249479999994</v>
      </c>
      <c r="V152" s="141">
        <f t="shared" si="99"/>
        <v>6.856524684196585</v>
      </c>
      <c r="W152" s="141">
        <f>V152*'Soil samples'!AR152/100</f>
        <v>2.1538169639811446</v>
      </c>
      <c r="X152" s="149">
        <f t="shared" si="100"/>
        <v>2.1538169639811446</v>
      </c>
      <c r="Y152">
        <f t="shared" si="101"/>
        <v>684.03793819999999</v>
      </c>
      <c r="Z152">
        <f t="shared" si="102"/>
        <v>0.68403793820000003</v>
      </c>
      <c r="AA152">
        <f>Z152*('Wet ref'!$B$40+M152)</f>
        <v>18.808171552665268</v>
      </c>
      <c r="AB152" s="175">
        <f t="shared" si="103"/>
        <v>7.5106560397952649</v>
      </c>
      <c r="AC152" s="175">
        <f>AB152*'Soil samples'!AK152/100</f>
        <v>2.3592970395663322</v>
      </c>
      <c r="AD152" s="174">
        <f t="shared" si="104"/>
        <v>2.3592970395663322</v>
      </c>
      <c r="AE152" s="175">
        <f t="shared" si="105"/>
        <v>684.03793819999999</v>
      </c>
      <c r="AF152" s="175">
        <f t="shared" si="106"/>
        <v>7.5106560397952649</v>
      </c>
      <c r="AG152" s="175">
        <f>AF152*'Soil samples'!AR152/100</f>
        <v>2.3592970395663322</v>
      </c>
      <c r="AH152" s="174">
        <f t="shared" si="107"/>
        <v>2.3592970395663322</v>
      </c>
      <c r="AI152">
        <f t="shared" si="88"/>
        <v>67.525538690000005</v>
      </c>
      <c r="AJ152">
        <f>AI152/1000</f>
        <v>6.7525538690000012E-2</v>
      </c>
      <c r="AK152">
        <f>AJ152*('Wet ref'!$B$40+M152)</f>
        <v>1.8566688263075874</v>
      </c>
      <c r="AL152" s="175">
        <f t="shared" si="89"/>
        <v>0.74142246603607664</v>
      </c>
      <c r="AM152" s="175">
        <f>AL152*'Soil samples'!AK152/100</f>
        <v>0.23290053757202386</v>
      </c>
      <c r="AN152" s="174">
        <f t="shared" si="109"/>
        <v>232.90053757202386</v>
      </c>
      <c r="AO152" s="175">
        <f t="shared" si="110"/>
        <v>0.74142246603607664</v>
      </c>
      <c r="AP152" s="175">
        <f>AO152*'Soil samples'!AR152/100</f>
        <v>0.23290053757202386</v>
      </c>
      <c r="AQ152" s="174">
        <f t="shared" si="111"/>
        <v>232.90053757202386</v>
      </c>
      <c r="AR152">
        <f t="shared" si="90"/>
        <v>9.5822779429999994</v>
      </c>
      <c r="AS152">
        <f>AR152/1000</f>
        <v>9.5822779429999994E-3</v>
      </c>
      <c r="AT152">
        <f>AS152*('Wet ref'!$B$40+M152)</f>
        <v>0.26347241483639749</v>
      </c>
      <c r="AU152" s="175">
        <f t="shared" si="91"/>
        <v>0.1052122838346832</v>
      </c>
      <c r="AV152" s="175">
        <f>AU152*'Soil samples'!AK152/100</f>
        <v>3.304997971707771E-2</v>
      </c>
      <c r="AW152" s="174">
        <f t="shared" si="113"/>
        <v>33.049979717077711</v>
      </c>
      <c r="AX152" s="175">
        <f t="shared" si="114"/>
        <v>0.1052122838346832</v>
      </c>
      <c r="AY152" s="175">
        <f>AX152*'Soil samples'!AR152/100</f>
        <v>3.304997971707771E-2</v>
      </c>
      <c r="AZ152" s="174">
        <f t="shared" si="115"/>
        <v>33.049979717077711</v>
      </c>
      <c r="BA152">
        <f t="shared" si="92"/>
        <v>8273.7775099999999</v>
      </c>
      <c r="BB152">
        <f>BA152/1000</f>
        <v>8.2737775100000004</v>
      </c>
      <c r="BC152">
        <f>BB152*('Wet ref'!$B$40+M152)</f>
        <v>227.49414631321929</v>
      </c>
      <c r="BD152" s="175">
        <f t="shared" si="93"/>
        <v>90.845103110691355</v>
      </c>
      <c r="BE152" s="175">
        <f>BD152*'Soil samples'!AK152/100</f>
        <v>28.536865713530236</v>
      </c>
      <c r="BF152" s="174">
        <f t="shared" si="123"/>
        <v>28.536865713530236</v>
      </c>
      <c r="BG152" s="175">
        <f t="shared" si="117"/>
        <v>90.845103110691355</v>
      </c>
      <c r="BH152" s="175">
        <f>BG152*'Soil samples'!AR152/100</f>
        <v>28.536865713530236</v>
      </c>
      <c r="BI152" s="174">
        <f t="shared" si="124"/>
        <v>28.536865713530236</v>
      </c>
      <c r="BK152" s="6"/>
      <c r="BL152" s="31"/>
    </row>
    <row r="153" spans="1:64">
      <c r="A153" s="6" t="s">
        <v>156</v>
      </c>
      <c r="B153" s="6" t="s">
        <v>548</v>
      </c>
      <c r="C153" t="s">
        <v>12</v>
      </c>
      <c r="D153" s="8">
        <v>1</v>
      </c>
      <c r="E153" s="3">
        <v>20</v>
      </c>
      <c r="F153" s="26">
        <v>42792</v>
      </c>
      <c r="G153" s="3"/>
      <c r="H153">
        <f>'Wet ref'!B191</f>
        <v>246.30949029999999</v>
      </c>
      <c r="I153">
        <f>'Wet ref'!C191</f>
        <v>202.23390810000001</v>
      </c>
      <c r="J153">
        <f>'Wet ref'!D191</f>
        <v>44.25001366</v>
      </c>
      <c r="K153">
        <f>'Wet ref'!E191</f>
        <v>6.9617882</v>
      </c>
      <c r="L153" s="3">
        <f t="shared" si="94"/>
        <v>6513.2448015999998</v>
      </c>
      <c r="M153" s="31">
        <f>'Wet ref'!$B$41*'Soil samples'!AI153%</f>
        <v>2.265978888750364</v>
      </c>
      <c r="N153" s="105">
        <f>'Wet ref'!$B$41*'Soil samples'!AH153%</f>
        <v>2.734021111249636</v>
      </c>
      <c r="O153">
        <f t="shared" si="95"/>
        <v>246.30949029999999</v>
      </c>
      <c r="P153">
        <f>O153/1000</f>
        <v>0.24630949029999999</v>
      </c>
      <c r="Q153">
        <f>P153*('Wet ref'!$B$40+M153)</f>
        <v>6.7158693626186627</v>
      </c>
      <c r="R153" s="141">
        <f t="shared" si="118"/>
        <v>2.4564072804650174</v>
      </c>
      <c r="S153" s="141">
        <f>R153*'Soil samples'!AK153/100</f>
        <v>0.95257891039383136</v>
      </c>
      <c r="T153" s="149">
        <f t="shared" si="97"/>
        <v>0.95257891039383136</v>
      </c>
      <c r="U153" s="141">
        <f t="shared" si="98"/>
        <v>246.30949029999999</v>
      </c>
      <c r="V153" s="141">
        <f t="shared" si="99"/>
        <v>2.4564072804650174</v>
      </c>
      <c r="W153" s="141">
        <f>V153*'Soil samples'!AR153/100</f>
        <v>0.95257891039383136</v>
      </c>
      <c r="X153" s="149">
        <f t="shared" si="100"/>
        <v>0.95257891039383136</v>
      </c>
      <c r="Y153">
        <f t="shared" si="101"/>
        <v>202.23390810000001</v>
      </c>
      <c r="Z153">
        <f t="shared" si="102"/>
        <v>0.2022339081</v>
      </c>
      <c r="AA153">
        <f>Z153*('Wet ref'!$B$40+M153)</f>
        <v>5.5141054688440816</v>
      </c>
      <c r="AB153" s="175">
        <f t="shared" si="103"/>
        <v>2.0168481677611316</v>
      </c>
      <c r="AC153" s="175">
        <f>AB153*'Soil samples'!AK153/100</f>
        <v>0.78212071970084462</v>
      </c>
      <c r="AD153" s="174">
        <f t="shared" si="104"/>
        <v>0.78212071970084462</v>
      </c>
      <c r="AE153" s="175">
        <f t="shared" si="105"/>
        <v>202.23390810000001</v>
      </c>
      <c r="AF153" s="175">
        <f t="shared" si="106"/>
        <v>2.0168481677611316</v>
      </c>
      <c r="AG153" s="175">
        <f>AF153*'Soil samples'!AR153/100</f>
        <v>0.78212071970084462</v>
      </c>
      <c r="AH153" s="174">
        <f t="shared" si="107"/>
        <v>0.78212071970084462</v>
      </c>
      <c r="AI153">
        <f t="shared" si="88"/>
        <v>44.25001366</v>
      </c>
      <c r="AJ153">
        <f>AI153/1000</f>
        <v>4.4250013660000004E-2</v>
      </c>
      <c r="AK153">
        <f>AJ153*('Wet ref'!$B$40+M153)</f>
        <v>1.2065199382804754</v>
      </c>
      <c r="AL153" s="175">
        <f t="shared" si="89"/>
        <v>0.4412986912632188</v>
      </c>
      <c r="AM153" s="175">
        <f>AL153*'Soil samples'!AK153/100</f>
        <v>0.17113278804570267</v>
      </c>
      <c r="AN153" s="174">
        <f t="shared" si="109"/>
        <v>171.13278804570268</v>
      </c>
      <c r="AO153" s="175">
        <f t="shared" si="110"/>
        <v>0.4412986912632188</v>
      </c>
      <c r="AP153" s="175">
        <f>AO153*'Soil samples'!AR153/100</f>
        <v>0.17113278804570267</v>
      </c>
      <c r="AQ153" s="174">
        <f t="shared" si="111"/>
        <v>171.13278804570268</v>
      </c>
      <c r="AR153">
        <f t="shared" si="90"/>
        <v>6.9617882</v>
      </c>
      <c r="AS153">
        <f>AR153/1000</f>
        <v>6.9617882000000001E-3</v>
      </c>
      <c r="AT153">
        <f>AS153*('Wet ref'!$B$40+M153)</f>
        <v>0.18981997008915141</v>
      </c>
      <c r="AU153" s="175">
        <f t="shared" si="91"/>
        <v>6.9428860409344317E-2</v>
      </c>
      <c r="AV153" s="175">
        <f>AU153*'Soil samples'!AK153/100</f>
        <v>2.692406455744524E-2</v>
      </c>
      <c r="AW153" s="174">
        <f t="shared" si="113"/>
        <v>26.924064557445242</v>
      </c>
      <c r="AX153" s="175">
        <f t="shared" si="114"/>
        <v>6.9428860409344317E-2</v>
      </c>
      <c r="AY153" s="175">
        <f>AX153*'Soil samples'!AR153/100</f>
        <v>2.692406455744524E-2</v>
      </c>
      <c r="AZ153" s="174">
        <f t="shared" si="115"/>
        <v>26.924064557445242</v>
      </c>
      <c r="BA153">
        <f t="shared" si="92"/>
        <v>6513.2448015999998</v>
      </c>
      <c r="BB153">
        <f>BA153/1000</f>
        <v>6.5132448016</v>
      </c>
      <c r="BC153">
        <f>BB153*('Wet ref'!$B$40+M153)</f>
        <v>177.58999525768866</v>
      </c>
      <c r="BD153" s="175">
        <f t="shared" si="93"/>
        <v>64.955604961118169</v>
      </c>
      <c r="BE153" s="175">
        <f>BD153*'Soil samples'!AK153/100</f>
        <v>25.189364927350567</v>
      </c>
      <c r="BF153" s="174">
        <f t="shared" si="123"/>
        <v>25.189364927350567</v>
      </c>
      <c r="BG153" s="175">
        <f t="shared" si="117"/>
        <v>64.955604961118169</v>
      </c>
      <c r="BH153" s="175">
        <f>BG153*'Soil samples'!AR153/100</f>
        <v>25.189364927350567</v>
      </c>
      <c r="BI153" s="174">
        <f t="shared" si="124"/>
        <v>25.189364927350567</v>
      </c>
      <c r="BK153" s="6"/>
      <c r="BL153" s="31"/>
    </row>
    <row r="154" spans="1:64">
      <c r="A154" s="6" t="s">
        <v>157</v>
      </c>
      <c r="B154" s="6" t="s">
        <v>548</v>
      </c>
      <c r="C154" t="s">
        <v>12</v>
      </c>
      <c r="D154" s="8">
        <v>1</v>
      </c>
      <c r="E154" s="3">
        <v>30</v>
      </c>
      <c r="F154" s="26">
        <v>42792</v>
      </c>
      <c r="G154" s="3"/>
      <c r="H154">
        <f>'Wet ref'!B192</f>
        <v>725.93920549999996</v>
      </c>
      <c r="I154">
        <f>'Wet ref'!C192</f>
        <v>107.9158245</v>
      </c>
      <c r="J154">
        <f>'Wet ref'!D192</f>
        <v>50.510628019999999</v>
      </c>
      <c r="K154">
        <f>'Wet ref'!E192</f>
        <v>6.4723024650000003</v>
      </c>
      <c r="L154" s="3">
        <f t="shared" si="94"/>
        <v>5638.447435000001</v>
      </c>
      <c r="M154" s="31">
        <f>'Wet ref'!$B$41*'Soil samples'!AI154%</f>
        <v>1.8489825568519063</v>
      </c>
      <c r="N154" s="105">
        <f>'Wet ref'!$B$41*'Soil samples'!AH154%</f>
        <v>3.1510174431480937</v>
      </c>
      <c r="O154">
        <f t="shared" si="95"/>
        <v>725.93920549999996</v>
      </c>
      <c r="P154">
        <f>O154/1000</f>
        <v>0.72593920549999991</v>
      </c>
      <c r="Q154">
        <f>P154*('Wet ref'!$B$40+M154)</f>
        <v>19.49072906580443</v>
      </c>
      <c r="R154" s="141">
        <f t="shared" si="118"/>
        <v>6.1855351223736124</v>
      </c>
      <c r="S154" s="141">
        <f>R154*'Soil samples'!AK154/100</f>
        <v>2.8206983104032179</v>
      </c>
      <c r="T154" s="149">
        <f t="shared" si="97"/>
        <v>2.8206983104032179</v>
      </c>
      <c r="U154" s="141">
        <f t="shared" si="98"/>
        <v>725.93920549999996</v>
      </c>
      <c r="V154" s="141">
        <f t="shared" si="99"/>
        <v>6.1855351223736124</v>
      </c>
      <c r="W154" s="141">
        <f>V154*'Soil samples'!AR154/100</f>
        <v>2.8206983104032179</v>
      </c>
      <c r="X154" s="149">
        <f t="shared" si="100"/>
        <v>2.8206983104032179</v>
      </c>
      <c r="Y154">
        <f t="shared" si="101"/>
        <v>107.9158245</v>
      </c>
      <c r="Z154">
        <f t="shared" si="102"/>
        <v>0.10791582449999999</v>
      </c>
      <c r="AA154">
        <f>Z154*('Wet ref'!$B$40+M154)</f>
        <v>2.8974300896087914</v>
      </c>
      <c r="AB154" s="175">
        <f t="shared" si="103"/>
        <v>0.91952207243703787</v>
      </c>
      <c r="AC154" s="175">
        <f>AB154*'Soil samples'!AK154/100</f>
        <v>0.41931608256818437</v>
      </c>
      <c r="AD154" s="174">
        <f t="shared" si="104"/>
        <v>0.41931608256818437</v>
      </c>
      <c r="AE154" s="175">
        <f t="shared" si="105"/>
        <v>107.9158245</v>
      </c>
      <c r="AF154" s="175">
        <f t="shared" si="106"/>
        <v>0.91952207243703787</v>
      </c>
      <c r="AG154" s="175">
        <f>AF154*'Soil samples'!AR154/100</f>
        <v>0.41931608256818437</v>
      </c>
      <c r="AH154" s="174">
        <f t="shared" si="107"/>
        <v>0.41931608256818437</v>
      </c>
      <c r="AI154">
        <f t="shared" si="88"/>
        <v>50.510628019999999</v>
      </c>
      <c r="AJ154">
        <f>AI154/1000</f>
        <v>5.0510628019999997E-2</v>
      </c>
      <c r="AK154">
        <f>AJ154*('Wet ref'!$B$40+M154)</f>
        <v>1.3561589706446151</v>
      </c>
      <c r="AL154" s="175">
        <f t="shared" si="89"/>
        <v>0.43038764307496641</v>
      </c>
      <c r="AM154" s="175">
        <f>AL154*'Soil samples'!AK154/100</f>
        <v>0.19626332623168871</v>
      </c>
      <c r="AN154" s="174">
        <f t="shared" si="109"/>
        <v>196.26332623168869</v>
      </c>
      <c r="AO154" s="175">
        <f t="shared" si="110"/>
        <v>0.43038764307496641</v>
      </c>
      <c r="AP154" s="175">
        <f>AO154*'Soil samples'!AR154/100</f>
        <v>0.19626332623168871</v>
      </c>
      <c r="AQ154" s="174">
        <f t="shared" si="111"/>
        <v>196.26332623168869</v>
      </c>
      <c r="AR154">
        <f t="shared" si="90"/>
        <v>6.4723024650000003</v>
      </c>
      <c r="AS154">
        <f>AR154/1000</f>
        <v>6.4723024650000004E-3</v>
      </c>
      <c r="AT154">
        <f>AS154*('Wet ref'!$B$40+M154)</f>
        <v>0.17377473598545462</v>
      </c>
      <c r="AU154" s="175">
        <f t="shared" si="91"/>
        <v>5.5148769919801242E-2</v>
      </c>
      <c r="AV154" s="175">
        <f>AU154*'Soil samples'!AK154/100</f>
        <v>2.5148679791814996E-2</v>
      </c>
      <c r="AW154" s="174">
        <f t="shared" si="113"/>
        <v>25.148679791814995</v>
      </c>
      <c r="AX154" s="175">
        <f t="shared" si="114"/>
        <v>5.5148769919801242E-2</v>
      </c>
      <c r="AY154" s="175">
        <f>AX154*'Soil samples'!AR154/100</f>
        <v>2.5148679791814996E-2</v>
      </c>
      <c r="AZ154" s="174">
        <f t="shared" si="115"/>
        <v>25.148679791814995</v>
      </c>
      <c r="BA154">
        <f t="shared" si="92"/>
        <v>5638.447435000001</v>
      </c>
      <c r="BB154">
        <f>BA154/1000</f>
        <v>5.6384474350000007</v>
      </c>
      <c r="BC154">
        <f>BB154*('Wet ref'!$B$40+M154)</f>
        <v>151.38657683004141</v>
      </c>
      <c r="BD154" s="175">
        <f t="shared" si="93"/>
        <v>48.043712724990598</v>
      </c>
      <c r="BE154" s="175">
        <f>BD154*'Soil samples'!AK154/100</f>
        <v>21.908665398843596</v>
      </c>
      <c r="BF154" s="174">
        <f t="shared" si="123"/>
        <v>21.908665398843596</v>
      </c>
      <c r="BG154" s="175">
        <f t="shared" si="117"/>
        <v>48.043712724990598</v>
      </c>
      <c r="BH154" s="175">
        <f>BG154*'Soil samples'!AR154/100</f>
        <v>21.908665398843596</v>
      </c>
      <c r="BI154" s="174">
        <f t="shared" si="124"/>
        <v>21.908665398843596</v>
      </c>
      <c r="BK154" s="6"/>
      <c r="BL154" s="31"/>
    </row>
    <row r="155" spans="1:64">
      <c r="A155" s="206" t="s">
        <v>158</v>
      </c>
      <c r="B155" s="6" t="s">
        <v>548</v>
      </c>
      <c r="C155" t="s">
        <v>12</v>
      </c>
      <c r="D155" s="8">
        <v>2</v>
      </c>
      <c r="E155" s="3">
        <v>5</v>
      </c>
      <c r="F155" s="8" t="s">
        <v>469</v>
      </c>
      <c r="G155" s="8" t="s">
        <v>469</v>
      </c>
      <c r="H155" s="6" t="s">
        <v>469</v>
      </c>
      <c r="I155" s="6" t="s">
        <v>469</v>
      </c>
      <c r="J155" s="6" t="s">
        <v>469</v>
      </c>
      <c r="K155" s="6" t="s">
        <v>469</v>
      </c>
      <c r="L155" s="3" t="s">
        <v>469</v>
      </c>
      <c r="M155" s="31" t="e">
        <f>'Wet ref'!$B$41*'Soil samples'!AI155%</f>
        <v>#VALUE!</v>
      </c>
      <c r="N155" s="105" t="e">
        <f>'Wet ref'!$B$41*'Soil samples'!AH155%</f>
        <v>#VALUE!</v>
      </c>
      <c r="O155" t="s">
        <v>469</v>
      </c>
      <c r="P155" t="s">
        <v>469</v>
      </c>
      <c r="Q155" t="s">
        <v>469</v>
      </c>
      <c r="R155" t="s">
        <v>469</v>
      </c>
      <c r="S155" t="s">
        <v>469</v>
      </c>
      <c r="T155" t="s">
        <v>469</v>
      </c>
      <c r="U155" s="151">
        <f>BO28</f>
        <v>192.97403159999999</v>
      </c>
      <c r="V155" s="151">
        <f>BO12</f>
        <v>1.8710172831887031</v>
      </c>
      <c r="W155" s="141">
        <f>V155*'Soil samples'!AR155/100</f>
        <v>0</v>
      </c>
      <c r="X155" s="149">
        <f t="shared" si="100"/>
        <v>0</v>
      </c>
      <c r="Y155" t="s">
        <v>469</v>
      </c>
      <c r="Z155" t="s">
        <v>469</v>
      </c>
      <c r="AA155" t="e">
        <f>Z155*('Wet ref'!$B$40+M155)</f>
        <v>#VALUE!</v>
      </c>
      <c r="AB155" t="s">
        <v>469</v>
      </c>
      <c r="AC155" t="s">
        <v>469</v>
      </c>
      <c r="AD155" t="s">
        <v>469</v>
      </c>
      <c r="AE155" s="175">
        <f>BP28</f>
        <v>1196.8114399999999</v>
      </c>
      <c r="AG155" s="175">
        <f>AF155*'Soil samples'!AR155/100</f>
        <v>0</v>
      </c>
      <c r="AH155" s="174">
        <f t="shared" si="107"/>
        <v>0</v>
      </c>
      <c r="AI155" t="str">
        <f t="shared" si="88"/>
        <v>none</v>
      </c>
      <c r="AK155" t="e">
        <f>AJ155*('Wet ref'!$B$40+M155)</f>
        <v>#VALUE!</v>
      </c>
      <c r="AL155" s="175" t="e">
        <f t="shared" si="89"/>
        <v>#VALUE!</v>
      </c>
      <c r="AM155" s="175" t="e">
        <f>AL155*'Soil samples'!AK155/100</f>
        <v>#VALUE!</v>
      </c>
      <c r="AN155" s="174" t="e">
        <f t="shared" si="109"/>
        <v>#VALUE!</v>
      </c>
      <c r="AO155" s="175">
        <f>BQ12</f>
        <v>0.70427429214223725</v>
      </c>
      <c r="AP155" s="175">
        <f>AO155*'Soil samples'!AR155/100</f>
        <v>0</v>
      </c>
      <c r="AQ155" s="174">
        <f t="shared" si="111"/>
        <v>0</v>
      </c>
      <c r="AR155" t="str">
        <f t="shared" si="90"/>
        <v>none</v>
      </c>
      <c r="AT155" t="e">
        <f>AS155*('Wet ref'!$B$40+M155)</f>
        <v>#VALUE!</v>
      </c>
      <c r="AU155" s="175" t="e">
        <f t="shared" si="91"/>
        <v>#VALUE!</v>
      </c>
      <c r="AV155" s="175" t="e">
        <f>AU155*'Soil samples'!AK155/100</f>
        <v>#VALUE!</v>
      </c>
      <c r="AW155" s="174" t="e">
        <f t="shared" si="113"/>
        <v>#VALUE!</v>
      </c>
      <c r="AX155" s="175">
        <f>BR12</f>
        <v>0.10785643915433467</v>
      </c>
      <c r="AY155" s="175">
        <f>AX155*'Soil samples'!AR155/100</f>
        <v>0</v>
      </c>
      <c r="AZ155" s="174">
        <f t="shared" si="115"/>
        <v>0</v>
      </c>
      <c r="BA155" t="e">
        <f t="shared" si="92"/>
        <v>#VALUE!</v>
      </c>
      <c r="BC155" t="e">
        <f>BB155*('Wet ref'!$B$40+M155)</f>
        <v>#VALUE!</v>
      </c>
      <c r="BD155" s="175" t="e">
        <f t="shared" si="93"/>
        <v>#VALUE!</v>
      </c>
      <c r="BE155" s="175" t="e">
        <f>BD155*'Soil samples'!AK155/100</f>
        <v>#VALUE!</v>
      </c>
      <c r="BF155" s="174" t="e">
        <f t="shared" si="123"/>
        <v>#VALUE!</v>
      </c>
      <c r="BG155" s="175">
        <f>BS12</f>
        <v>94.38150361130711</v>
      </c>
      <c r="BH155" s="175">
        <f>BG155*'Soil samples'!AR155/100</f>
        <v>0</v>
      </c>
      <c r="BI155" s="174">
        <f t="shared" si="124"/>
        <v>0</v>
      </c>
      <c r="BL155" s="31"/>
    </row>
    <row r="156" spans="1:64">
      <c r="A156" s="6" t="s">
        <v>159</v>
      </c>
      <c r="B156" s="6" t="s">
        <v>548</v>
      </c>
      <c r="C156" t="s">
        <v>12</v>
      </c>
      <c r="D156" s="8">
        <v>2</v>
      </c>
      <c r="E156" s="3">
        <v>10</v>
      </c>
      <c r="F156" s="26">
        <v>42818</v>
      </c>
      <c r="G156" s="3"/>
      <c r="H156">
        <f>'Wet ref'!B193</f>
        <v>224.9518468</v>
      </c>
      <c r="I156">
        <f>'Wet ref'!C193</f>
        <v>570.01908490000005</v>
      </c>
      <c r="J156">
        <f>'Wet ref'!D193</f>
        <v>80.405199539999998</v>
      </c>
      <c r="K156">
        <f>'Wet ref'!E193</f>
        <v>5.7635927819999999</v>
      </c>
      <c r="L156" s="3">
        <f t="shared" si="94"/>
        <v>4968.6218503</v>
      </c>
      <c r="M156" s="31">
        <f>'Wet ref'!$B$41*'Soil samples'!AI156%</f>
        <v>2.3579253051021909</v>
      </c>
      <c r="N156" s="105">
        <f>'Wet ref'!$B$41*'Soil samples'!AH156%</f>
        <v>2.6420746948978091</v>
      </c>
      <c r="O156">
        <f t="shared" si="95"/>
        <v>224.9518468</v>
      </c>
      <c r="P156">
        <f>O156/1000</f>
        <v>0.22495184679999999</v>
      </c>
      <c r="Q156">
        <f>P156*('Wet ref'!$B$40+M156)</f>
        <v>6.1542158219991911</v>
      </c>
      <c r="R156" s="141">
        <f t="shared" si="118"/>
        <v>2.3293118222144833</v>
      </c>
      <c r="S156" s="141">
        <f>R156*'Soil samples'!AK156/100</f>
        <v>0.85482057767568742</v>
      </c>
      <c r="T156" s="149">
        <f t="shared" si="97"/>
        <v>0.85482057767568742</v>
      </c>
      <c r="U156" s="141">
        <f t="shared" si="98"/>
        <v>224.9518468</v>
      </c>
      <c r="V156" s="141">
        <f t="shared" si="99"/>
        <v>2.3293118222144833</v>
      </c>
      <c r="W156" s="141">
        <f>V156*'Soil samples'!AR156/100</f>
        <v>0.85482057767568742</v>
      </c>
      <c r="X156" s="149">
        <f t="shared" si="100"/>
        <v>0.85482057767568742</v>
      </c>
      <c r="Y156">
        <f t="shared" si="101"/>
        <v>570.01908490000005</v>
      </c>
      <c r="Z156">
        <f t="shared" si="102"/>
        <v>0.57001908490000008</v>
      </c>
      <c r="AA156">
        <f>Z156*('Wet ref'!$B$40+M156)</f>
        <v>15.594539547176907</v>
      </c>
      <c r="AB156" s="175">
        <f t="shared" si="103"/>
        <v>5.9023840534455738</v>
      </c>
      <c r="AC156" s="175">
        <f>AB156*'Soil samples'!AK156/100</f>
        <v>2.1660815431028722</v>
      </c>
      <c r="AD156" s="174">
        <f t="shared" si="104"/>
        <v>2.1660815431028722</v>
      </c>
      <c r="AE156" s="175">
        <f t="shared" si="105"/>
        <v>570.01908490000005</v>
      </c>
      <c r="AF156" s="175">
        <f t="shared" si="106"/>
        <v>5.9023840534455738</v>
      </c>
      <c r="AG156" s="175">
        <f>AF156*'Soil samples'!AR156/100</f>
        <v>2.1660815431028722</v>
      </c>
      <c r="AH156" s="174">
        <f t="shared" si="107"/>
        <v>2.1660815431028722</v>
      </c>
      <c r="AI156">
        <f t="shared" si="88"/>
        <v>80.405199539999998</v>
      </c>
      <c r="AJ156">
        <f>AI156/1000</f>
        <v>8.040519954E-2</v>
      </c>
      <c r="AK156">
        <f>AJ156*('Wet ref'!$B$40+M156)</f>
        <v>2.1997194431571572</v>
      </c>
      <c r="AL156" s="175">
        <f t="shared" si="89"/>
        <v>0.83257276844031036</v>
      </c>
      <c r="AM156" s="175">
        <f>AL156*'Soil samples'!AK156/100</f>
        <v>0.30554103065452909</v>
      </c>
      <c r="AN156" s="174">
        <f t="shared" si="109"/>
        <v>305.5410306545291</v>
      </c>
      <c r="AO156" s="175">
        <f t="shared" si="110"/>
        <v>0.83257276844031036</v>
      </c>
      <c r="AP156" s="175">
        <f>AO156*'Soil samples'!AR156/100</f>
        <v>0.30554103065452909</v>
      </c>
      <c r="AQ156" s="174">
        <f t="shared" si="111"/>
        <v>305.5410306545291</v>
      </c>
      <c r="AR156">
        <f t="shared" si="90"/>
        <v>5.7635927819999999</v>
      </c>
      <c r="AS156">
        <f>AR156/1000</f>
        <v>5.763592782E-3</v>
      </c>
      <c r="AT156">
        <f>AS156*('Wet ref'!$B$40+M156)</f>
        <v>0.15767994081898215</v>
      </c>
      <c r="AU156" s="175">
        <f t="shared" si="91"/>
        <v>5.9680349357072567E-2</v>
      </c>
      <c r="AV156" s="175">
        <f>AU156*'Soil samples'!AK156/100</f>
        <v>2.1901743779756618E-2</v>
      </c>
      <c r="AW156" s="174">
        <f t="shared" si="113"/>
        <v>21.901743779756618</v>
      </c>
      <c r="AX156" s="175">
        <f t="shared" si="114"/>
        <v>5.9680349357072567E-2</v>
      </c>
      <c r="AY156" s="175">
        <f>AX156*'Soil samples'!AR156/100</f>
        <v>2.1901743779756618E-2</v>
      </c>
      <c r="AZ156" s="174">
        <f t="shared" si="115"/>
        <v>21.901743779756618</v>
      </c>
      <c r="BA156">
        <f t="shared" si="92"/>
        <v>4968.6218503</v>
      </c>
      <c r="BB156">
        <f>BA156/1000</f>
        <v>4.9686218502999999</v>
      </c>
      <c r="BC156">
        <f>BB156*('Wet ref'!$B$40+M156)</f>
        <v>135.93118544980604</v>
      </c>
      <c r="BD156" s="175">
        <f t="shared" si="93"/>
        <v>51.448653481412499</v>
      </c>
      <c r="BE156" s="175">
        <f>BD156*'Soil samples'!AK156/100</f>
        <v>18.880841658978053</v>
      </c>
      <c r="BF156" s="174">
        <f t="shared" si="123"/>
        <v>18.880841658978053</v>
      </c>
      <c r="BG156" s="175">
        <f t="shared" si="117"/>
        <v>51.448653481412499</v>
      </c>
      <c r="BH156" s="175">
        <f>BG156*'Soil samples'!AR156/100</f>
        <v>18.880841658978053</v>
      </c>
      <c r="BI156" s="174">
        <f t="shared" si="124"/>
        <v>18.880841658978053</v>
      </c>
      <c r="BK156" s="6"/>
      <c r="BL156" s="31"/>
    </row>
    <row r="157" spans="1:64">
      <c r="A157" s="6" t="s">
        <v>160</v>
      </c>
      <c r="B157" s="6" t="s">
        <v>548</v>
      </c>
      <c r="C157" t="s">
        <v>12</v>
      </c>
      <c r="D157" s="8">
        <v>2</v>
      </c>
      <c r="E157" s="3">
        <v>20</v>
      </c>
      <c r="F157" s="26">
        <v>42818</v>
      </c>
      <c r="G157" s="3"/>
      <c r="H157">
        <f>'Wet ref'!B194</f>
        <v>245.67336280000001</v>
      </c>
      <c r="I157">
        <f>'Wet ref'!C194</f>
        <v>210.6140862</v>
      </c>
      <c r="J157">
        <f>'Wet ref'!D194</f>
        <v>40.18778296</v>
      </c>
      <c r="K157">
        <f>'Wet ref'!E194</f>
        <v>5.0225491839999998</v>
      </c>
      <c r="L157" s="3">
        <f t="shared" si="94"/>
        <v>4566.2617349999991</v>
      </c>
      <c r="M157" s="31">
        <f>'Wet ref'!$B$41*'Soil samples'!AI157%</f>
        <v>2.5766368646882465</v>
      </c>
      <c r="N157" s="105">
        <f>'Wet ref'!$B$41*'Soil samples'!AH157%</f>
        <v>2.423363135311754</v>
      </c>
      <c r="O157">
        <f t="shared" si="95"/>
        <v>245.67336280000001</v>
      </c>
      <c r="P157">
        <f>O157/1000</f>
        <v>0.24567336280000002</v>
      </c>
      <c r="Q157">
        <f>P157*('Wet ref'!$B$40+M157)</f>
        <v>6.774845113262411</v>
      </c>
      <c r="R157" s="141">
        <f t="shared" si="118"/>
        <v>2.7956376056660859</v>
      </c>
      <c r="S157" s="141">
        <f>R157*'Soil samples'!AK157/100</f>
        <v>1.0620247199550155</v>
      </c>
      <c r="T157" s="149">
        <f t="shared" si="97"/>
        <v>1.0620247199550155</v>
      </c>
      <c r="U157" s="141">
        <f t="shared" si="98"/>
        <v>245.67336280000001</v>
      </c>
      <c r="V157" s="141">
        <f t="shared" si="99"/>
        <v>2.7956376056660859</v>
      </c>
      <c r="W157" s="141">
        <f>V157*'Soil samples'!AR157/100</f>
        <v>1.0620247199550155</v>
      </c>
      <c r="X157" s="149">
        <f t="shared" si="100"/>
        <v>1.0620247199550155</v>
      </c>
      <c r="Y157">
        <f t="shared" si="101"/>
        <v>210.6140862</v>
      </c>
      <c r="Z157">
        <f t="shared" si="102"/>
        <v>0.21061408619999999</v>
      </c>
      <c r="AA157">
        <f>Z157*('Wet ref'!$B$40+M157)</f>
        <v>5.8080281737255479</v>
      </c>
      <c r="AB157" s="175">
        <f t="shared" si="103"/>
        <v>2.3966809138484204</v>
      </c>
      <c r="AC157" s="175">
        <f>AB157*'Soil samples'!AK157/100</f>
        <v>0.91046649651321687</v>
      </c>
      <c r="AD157" s="174">
        <f t="shared" si="104"/>
        <v>0.91046649651321687</v>
      </c>
      <c r="AE157" s="175">
        <f t="shared" si="105"/>
        <v>210.6140862</v>
      </c>
      <c r="AF157" s="175">
        <f t="shared" si="106"/>
        <v>2.3966809138484204</v>
      </c>
      <c r="AG157" s="175">
        <f>AF157*'Soil samples'!AR157/100</f>
        <v>0.91046649651321687</v>
      </c>
      <c r="AH157" s="174">
        <f t="shared" si="107"/>
        <v>0.91046649651321687</v>
      </c>
      <c r="AI157">
        <f t="shared" si="88"/>
        <v>40.18778296</v>
      </c>
      <c r="AJ157">
        <f>AI157/1000</f>
        <v>4.0187782960000001E-2</v>
      </c>
      <c r="AK157">
        <f>AJ157*('Wet ref'!$B$40+M157)</f>
        <v>1.1082438970848263</v>
      </c>
      <c r="AL157" s="175">
        <f t="shared" si="89"/>
        <v>0.45731647929118807</v>
      </c>
      <c r="AM157" s="175">
        <f>AL157*'Soil samples'!AK157/100</f>
        <v>0.17372831330701735</v>
      </c>
      <c r="AN157" s="174">
        <f t="shared" si="109"/>
        <v>173.72831330701734</v>
      </c>
      <c r="AO157" s="175">
        <f t="shared" si="110"/>
        <v>0.45731647929118807</v>
      </c>
      <c r="AP157" s="175">
        <f>AO157*'Soil samples'!AR157/100</f>
        <v>0.17372831330701735</v>
      </c>
      <c r="AQ157" s="174">
        <f t="shared" si="111"/>
        <v>173.72831330701734</v>
      </c>
      <c r="AR157">
        <f t="shared" si="90"/>
        <v>5.0225491839999998</v>
      </c>
      <c r="AS157">
        <f>AR157/1000</f>
        <v>5.0225491839999995E-3</v>
      </c>
      <c r="AT157">
        <f>AS157*('Wet ref'!$B$40+M157)</f>
        <v>0.13850501498220427</v>
      </c>
      <c r="AU157" s="175">
        <f t="shared" si="91"/>
        <v>5.7154048835684E-2</v>
      </c>
      <c r="AV157" s="175">
        <f>AU157*'Soil samples'!AK157/100</f>
        <v>2.1712046148610342E-2</v>
      </c>
      <c r="AW157" s="174">
        <f t="shared" si="113"/>
        <v>21.712046148610341</v>
      </c>
      <c r="AX157" s="175">
        <f t="shared" si="114"/>
        <v>5.7154048835684E-2</v>
      </c>
      <c r="AY157" s="175">
        <f>AX157*'Soil samples'!AR157/100</f>
        <v>2.1712046148610342E-2</v>
      </c>
      <c r="AZ157" s="174">
        <f t="shared" si="115"/>
        <v>21.712046148610341</v>
      </c>
      <c r="BA157">
        <f t="shared" si="92"/>
        <v>4566.2617349999991</v>
      </c>
      <c r="BB157">
        <f>BA157/1000</f>
        <v>4.5662617349999994</v>
      </c>
      <c r="BC157">
        <f>BB157*('Wet ref'!$B$40+M157)</f>
        <v>125.9221416952163</v>
      </c>
      <c r="BD157" s="175">
        <f t="shared" si="93"/>
        <v>51.961730316169486</v>
      </c>
      <c r="BE157" s="175">
        <f>BD157*'Soil samples'!AK157/100</f>
        <v>19.739554932142106</v>
      </c>
      <c r="BF157" s="174">
        <f t="shared" si="123"/>
        <v>19.739554932142106</v>
      </c>
      <c r="BG157" s="175">
        <f t="shared" si="117"/>
        <v>51.961730316169486</v>
      </c>
      <c r="BH157" s="175">
        <f>BG157*'Soil samples'!AR157/100</f>
        <v>19.739554932142106</v>
      </c>
      <c r="BI157" s="174">
        <f t="shared" si="124"/>
        <v>19.739554932142106</v>
      </c>
      <c r="BK157" s="6"/>
      <c r="BL157" s="31"/>
    </row>
    <row r="158" spans="1:64">
      <c r="A158" s="6" t="s">
        <v>161</v>
      </c>
      <c r="B158" s="6" t="s">
        <v>548</v>
      </c>
      <c r="C158" t="s">
        <v>12</v>
      </c>
      <c r="D158" s="8">
        <v>2</v>
      </c>
      <c r="E158" s="3">
        <v>30</v>
      </c>
      <c r="F158" s="26">
        <v>42818</v>
      </c>
      <c r="G158" s="3"/>
      <c r="H158">
        <f>'Wet ref'!B195</f>
        <v>1427.232575</v>
      </c>
      <c r="I158">
        <f>'Wet ref'!C195</f>
        <v>264.94254769999998</v>
      </c>
      <c r="J158">
        <f>'Wet ref'!D195</f>
        <v>45.588160240000001</v>
      </c>
      <c r="K158">
        <f>'Wet ref'!E195</f>
        <v>6.3635112749999996</v>
      </c>
      <c r="L158" s="3">
        <f t="shared" si="94"/>
        <v>4671.3361523000003</v>
      </c>
      <c r="M158" s="31">
        <f>'Wet ref'!$B$41*'Soil samples'!AI158%</f>
        <v>2.5017105142389884</v>
      </c>
      <c r="N158" s="105">
        <f>'Wet ref'!$B$41*'Soil samples'!AH158%</f>
        <v>2.4982894857610116</v>
      </c>
      <c r="O158">
        <f t="shared" si="95"/>
        <v>1427.232575</v>
      </c>
      <c r="P158">
        <f>O158/1000</f>
        <v>1.4272325749999999</v>
      </c>
      <c r="Q158">
        <f>P158*('Wet ref'!$B$40+M158)</f>
        <v>39.251337114141883</v>
      </c>
      <c r="R158" s="141">
        <f t="shared" si="118"/>
        <v>15.711284596062498</v>
      </c>
      <c r="S158" s="141">
        <f>R158*'Soil samples'!AK158/100</f>
        <v>6.6790075233423805</v>
      </c>
      <c r="T158" s="149">
        <f t="shared" si="97"/>
        <v>6.6790075233423805</v>
      </c>
      <c r="U158" s="141">
        <f t="shared" si="98"/>
        <v>1427.232575</v>
      </c>
      <c r="V158" s="141">
        <f t="shared" si="99"/>
        <v>15.711284596062498</v>
      </c>
      <c r="W158" s="141">
        <f>V158*'Soil samples'!AR158/100</f>
        <v>6.6790075233423805</v>
      </c>
      <c r="X158" s="149">
        <f t="shared" si="100"/>
        <v>6.6790075233423805</v>
      </c>
      <c r="Y158">
        <f t="shared" si="101"/>
        <v>264.94254769999998</v>
      </c>
      <c r="Z158">
        <f t="shared" si="102"/>
        <v>0.26494254769999998</v>
      </c>
      <c r="AA158">
        <f>Z158*('Wet ref'!$B$40+M158)</f>
        <v>7.2863732497503539</v>
      </c>
      <c r="AB158" s="175">
        <f t="shared" si="103"/>
        <v>2.9165448164750329</v>
      </c>
      <c r="AC158" s="175">
        <f>AB158*'Soil samples'!AK158/100</f>
        <v>1.2398492721775201</v>
      </c>
      <c r="AD158" s="174">
        <f t="shared" si="104"/>
        <v>1.2398492721775201</v>
      </c>
      <c r="AE158" s="175">
        <f t="shared" si="105"/>
        <v>264.94254769999998</v>
      </c>
      <c r="AF158" s="175">
        <f t="shared" si="106"/>
        <v>2.9165448164750329</v>
      </c>
      <c r="AG158" s="175">
        <f>AF158*'Soil samples'!AR158/100</f>
        <v>1.2398492721775201</v>
      </c>
      <c r="AH158" s="174">
        <f t="shared" si="107"/>
        <v>1.2398492721775201</v>
      </c>
      <c r="AI158">
        <f t="shared" si="88"/>
        <v>45.588160240000001</v>
      </c>
      <c r="AJ158">
        <f>AI158/1000</f>
        <v>4.5588160240000002E-2</v>
      </c>
      <c r="AK158">
        <f>AJ158*('Wet ref'!$B$40+M158)</f>
        <v>1.2537523857972197</v>
      </c>
      <c r="AL158" s="175">
        <f t="shared" si="89"/>
        <v>0.50184431906029114</v>
      </c>
      <c r="AM158" s="175">
        <f>AL158*'Soil samples'!AK158/100</f>
        <v>0.21333850596725487</v>
      </c>
      <c r="AN158" s="174">
        <f t="shared" si="109"/>
        <v>213.33850596725486</v>
      </c>
      <c r="AO158" s="175">
        <f t="shared" si="110"/>
        <v>0.50184431906029114</v>
      </c>
      <c r="AP158" s="175">
        <f>AO158*'Soil samples'!AR158/100</f>
        <v>0.21333850596725487</v>
      </c>
      <c r="AQ158" s="174">
        <f t="shared" si="111"/>
        <v>213.33850596725486</v>
      </c>
      <c r="AR158">
        <f t="shared" si="90"/>
        <v>6.3635112749999996</v>
      </c>
      <c r="AS158">
        <f>AR158/1000</f>
        <v>6.3635112749999998E-3</v>
      </c>
      <c r="AT158">
        <f>AS158*('Wet ref'!$B$40+M158)</f>
        <v>0.17500744493914583</v>
      </c>
      <c r="AU158" s="175">
        <f t="shared" si="91"/>
        <v>7.0050907205349858E-2</v>
      </c>
      <c r="AV158" s="175">
        <f>AU158*'Soil samples'!AK158/100</f>
        <v>2.9779266830845051E-2</v>
      </c>
      <c r="AW158" s="174">
        <f t="shared" si="113"/>
        <v>29.779266830845053</v>
      </c>
      <c r="AX158" s="175">
        <f t="shared" si="114"/>
        <v>7.0050907205349858E-2</v>
      </c>
      <c r="AY158" s="175">
        <f>AX158*'Soil samples'!AR158/100</f>
        <v>2.9779266830845051E-2</v>
      </c>
      <c r="AZ158" s="174">
        <f t="shared" si="115"/>
        <v>29.779266830845053</v>
      </c>
      <c r="BA158">
        <f t="shared" si="92"/>
        <v>4671.3361523000003</v>
      </c>
      <c r="BB158">
        <f>BA158/1000</f>
        <v>4.6713361523000003</v>
      </c>
      <c r="BC158">
        <f>BB158*('Wet ref'!$B$40+M158)</f>
        <v>128.46973457525363</v>
      </c>
      <c r="BD158" s="175">
        <f t="shared" si="93"/>
        <v>51.423077792812336</v>
      </c>
      <c r="BE158" s="175">
        <f>BD158*'Soil samples'!AK158/100</f>
        <v>21.860410035325152</v>
      </c>
      <c r="BF158" s="174">
        <f t="shared" si="123"/>
        <v>21.860410035325152</v>
      </c>
      <c r="BG158" s="175">
        <f t="shared" si="117"/>
        <v>51.423077792812336</v>
      </c>
      <c r="BH158" s="175">
        <f>BG158*'Soil samples'!AR158/100</f>
        <v>21.860410035325152</v>
      </c>
      <c r="BI158" s="174">
        <f t="shared" si="124"/>
        <v>21.860410035325152</v>
      </c>
      <c r="BK158" s="6"/>
      <c r="BL158" s="31"/>
    </row>
    <row r="159" spans="1:64">
      <c r="A159" s="206" t="s">
        <v>162</v>
      </c>
      <c r="B159" s="6" t="s">
        <v>548</v>
      </c>
      <c r="C159" t="s">
        <v>12</v>
      </c>
      <c r="D159" s="8">
        <v>3</v>
      </c>
      <c r="E159" s="3">
        <v>5</v>
      </c>
      <c r="F159" s="8" t="s">
        <v>469</v>
      </c>
      <c r="G159" s="8" t="s">
        <v>469</v>
      </c>
      <c r="H159" s="6" t="s">
        <v>469</v>
      </c>
      <c r="I159" s="6" t="s">
        <v>469</v>
      </c>
      <c r="J159" s="6" t="s">
        <v>469</v>
      </c>
      <c r="K159" s="6" t="s">
        <v>469</v>
      </c>
      <c r="L159" s="3" t="s">
        <v>469</v>
      </c>
      <c r="M159" s="31" t="e">
        <f>'Wet ref'!$B$41*'Soil samples'!AI159%</f>
        <v>#VALUE!</v>
      </c>
      <c r="N159" s="105" t="e">
        <f>'Wet ref'!$B$41*'Soil samples'!AH159%</f>
        <v>#VALUE!</v>
      </c>
      <c r="O159" t="s">
        <v>469</v>
      </c>
      <c r="P159" t="s">
        <v>469</v>
      </c>
      <c r="Q159" t="s">
        <v>469</v>
      </c>
      <c r="R159" t="s">
        <v>469</v>
      </c>
      <c r="S159" t="s">
        <v>469</v>
      </c>
      <c r="T159" t="s">
        <v>469</v>
      </c>
      <c r="U159" s="151">
        <f>BO29</f>
        <v>192.97403159999999</v>
      </c>
      <c r="V159" s="151">
        <f>BO13</f>
        <v>1.8710172831887031</v>
      </c>
      <c r="W159" s="141">
        <f>V159*'Soil samples'!AR159/100</f>
        <v>2.6114794133791048E-2</v>
      </c>
      <c r="X159" s="149">
        <f t="shared" si="100"/>
        <v>2.6114794133791048E-2</v>
      </c>
      <c r="Y159" t="s">
        <v>469</v>
      </c>
      <c r="Z159" t="s">
        <v>469</v>
      </c>
      <c r="AA159" t="e">
        <f>Z159*('Wet ref'!$B$40+M159)</f>
        <v>#VALUE!</v>
      </c>
      <c r="AB159" t="s">
        <v>469</v>
      </c>
      <c r="AC159" t="s">
        <v>469</v>
      </c>
      <c r="AD159" t="s">
        <v>469</v>
      </c>
      <c r="AE159" s="175">
        <f>BP29</f>
        <v>1196.8114399999999</v>
      </c>
      <c r="AF159" s="175">
        <f>BP13</f>
        <v>11.603918259838851</v>
      </c>
      <c r="AG159" s="175">
        <f>AF159*'Soil samples'!AR159/100</f>
        <v>0.16196212575042673</v>
      </c>
      <c r="AH159" s="174">
        <f t="shared" si="107"/>
        <v>0.16196212575042673</v>
      </c>
      <c r="AI159" t="str">
        <f t="shared" si="88"/>
        <v>none</v>
      </c>
      <c r="AK159" t="e">
        <f>AJ159*('Wet ref'!$B$40+M159)</f>
        <v>#VALUE!</v>
      </c>
      <c r="AL159" s="175" t="e">
        <f t="shared" si="89"/>
        <v>#VALUE!</v>
      </c>
      <c r="AM159" s="175" t="e">
        <f>AL159*'Soil samples'!AK159/100</f>
        <v>#VALUE!</v>
      </c>
      <c r="AN159" s="174" t="e">
        <f t="shared" si="109"/>
        <v>#VALUE!</v>
      </c>
      <c r="AO159" s="175">
        <f>BQ13</f>
        <v>0.70427429214223725</v>
      </c>
      <c r="AP159" s="175">
        <f>AO159*'Soil samples'!AR159/100</f>
        <v>9.8299349334022169E-3</v>
      </c>
      <c r="AQ159" s="174">
        <f t="shared" si="111"/>
        <v>9.8299349334022175</v>
      </c>
      <c r="AR159" t="str">
        <f t="shared" si="90"/>
        <v>none</v>
      </c>
      <c r="AT159" t="e">
        <f>AS159*('Wet ref'!$B$40+M159)</f>
        <v>#VALUE!</v>
      </c>
      <c r="AU159" s="175" t="e">
        <f t="shared" si="91"/>
        <v>#VALUE!</v>
      </c>
      <c r="AV159" s="175" t="e">
        <f>AU159*'Soil samples'!AK159/100</f>
        <v>#VALUE!</v>
      </c>
      <c r="AW159" s="174" t="e">
        <f t="shared" si="113"/>
        <v>#VALUE!</v>
      </c>
      <c r="AX159" s="175">
        <f>BR13</f>
        <v>0.10785643915433467</v>
      </c>
      <c r="AY159" s="175">
        <f>AX159*'Soil samples'!AR159/100</f>
        <v>1.505410307979039E-3</v>
      </c>
      <c r="AZ159" s="174">
        <f t="shared" si="115"/>
        <v>1.5054103079790391</v>
      </c>
      <c r="BA159" t="e">
        <f t="shared" si="92"/>
        <v>#VALUE!</v>
      </c>
      <c r="BC159" t="e">
        <f>BB159*('Wet ref'!$B$40+M159)</f>
        <v>#VALUE!</v>
      </c>
      <c r="BD159" s="175" t="e">
        <f t="shared" si="93"/>
        <v>#VALUE!</v>
      </c>
      <c r="BE159" s="175" t="e">
        <f>BD159*'Soil samples'!AK159/100</f>
        <v>#VALUE!</v>
      </c>
      <c r="BF159" s="174" t="e">
        <f t="shared" si="123"/>
        <v>#VALUE!</v>
      </c>
      <c r="BG159" s="175">
        <f>BS13</f>
        <v>94.38150361130711</v>
      </c>
      <c r="BH159" s="175">
        <f>BG159*'Soil samples'!AR159/100</f>
        <v>1.3173333880948213</v>
      </c>
      <c r="BI159" s="174">
        <f t="shared" si="124"/>
        <v>1.3173333880948213</v>
      </c>
      <c r="BL159" s="31"/>
    </row>
    <row r="160" spans="1:64">
      <c r="A160" s="206" t="s">
        <v>163</v>
      </c>
      <c r="B160" s="6" t="s">
        <v>548</v>
      </c>
      <c r="C160" t="s">
        <v>12</v>
      </c>
      <c r="D160" s="8">
        <v>3</v>
      </c>
      <c r="E160" s="3">
        <v>10</v>
      </c>
      <c r="F160" s="8" t="s">
        <v>469</v>
      </c>
      <c r="G160" s="8" t="s">
        <v>469</v>
      </c>
      <c r="H160" s="6" t="s">
        <v>469</v>
      </c>
      <c r="I160" s="6" t="s">
        <v>469</v>
      </c>
      <c r="J160" s="6" t="s">
        <v>469</v>
      </c>
      <c r="K160" s="6" t="s">
        <v>469</v>
      </c>
      <c r="L160" s="3" t="s">
        <v>469</v>
      </c>
      <c r="M160" s="31" t="e">
        <f>'Wet ref'!$B$41*'Soil samples'!AI160%</f>
        <v>#VALUE!</v>
      </c>
      <c r="N160" s="105" t="e">
        <f>'Wet ref'!$B$41*'Soil samples'!AH160%</f>
        <v>#VALUE!</v>
      </c>
      <c r="O160" t="s">
        <v>469</v>
      </c>
      <c r="P160" t="s">
        <v>469</v>
      </c>
      <c r="Q160" t="s">
        <v>469</v>
      </c>
      <c r="R160" t="s">
        <v>469</v>
      </c>
      <c r="S160" t="s">
        <v>469</v>
      </c>
      <c r="T160" t="s">
        <v>469</v>
      </c>
      <c r="U160" s="151">
        <f>BO30</f>
        <v>242.61030947199998</v>
      </c>
      <c r="V160" s="151">
        <f>BO14</f>
        <v>4.9158023474303958</v>
      </c>
      <c r="W160" s="141">
        <f>V160*'Soil samples'!AR160/100</f>
        <v>5.4226635917327931E-2</v>
      </c>
      <c r="X160" s="149">
        <f t="shared" si="100"/>
        <v>5.4226635917327931E-2</v>
      </c>
      <c r="Y160" t="s">
        <v>469</v>
      </c>
      <c r="Z160" t="s">
        <v>469</v>
      </c>
      <c r="AA160" t="e">
        <f>Z160*('Wet ref'!$B$40+M160)</f>
        <v>#VALUE!</v>
      </c>
      <c r="AB160" t="s">
        <v>469</v>
      </c>
      <c r="AC160" t="s">
        <v>469</v>
      </c>
      <c r="AD160" t="s">
        <v>469</v>
      </c>
      <c r="AE160" s="177">
        <f>BP30</f>
        <v>649.00377750000007</v>
      </c>
      <c r="AF160" s="177">
        <f>BP14</f>
        <v>7.1441909623005007</v>
      </c>
      <c r="AG160" s="175">
        <f>AF160*'Soil samples'!AR160/100</f>
        <v>7.8808181219702567E-2</v>
      </c>
      <c r="AH160" s="174">
        <f t="shared" si="107"/>
        <v>7.8808181219702567E-2</v>
      </c>
      <c r="AI160" t="str">
        <f t="shared" si="88"/>
        <v>none</v>
      </c>
      <c r="AK160" t="e">
        <f>AJ160*('Wet ref'!$B$40+M160)</f>
        <v>#VALUE!</v>
      </c>
      <c r="AL160" s="175" t="e">
        <f t="shared" si="89"/>
        <v>#VALUE!</v>
      </c>
      <c r="AM160" s="175" t="e">
        <f>AL160*'Soil samples'!AK160/100</f>
        <v>#VALUE!</v>
      </c>
      <c r="AN160" s="174" t="e">
        <f t="shared" si="109"/>
        <v>#VALUE!</v>
      </c>
      <c r="AO160" s="175">
        <f>BQ14</f>
        <v>0.82365942402181247</v>
      </c>
      <c r="AP160" s="175">
        <f>AO160*'Soil samples'!AR160/100</f>
        <v>9.0858575161497108E-3</v>
      </c>
      <c r="AQ160" s="174">
        <f t="shared" si="111"/>
        <v>9.0858575161497104</v>
      </c>
      <c r="AR160" t="str">
        <f t="shared" si="90"/>
        <v>none</v>
      </c>
      <c r="AT160" t="e">
        <f>AS160*('Wet ref'!$B$40+M160)</f>
        <v>#VALUE!</v>
      </c>
      <c r="AU160" s="175" t="e">
        <f t="shared" si="91"/>
        <v>#VALUE!</v>
      </c>
      <c r="AV160" s="175" t="e">
        <f>AU160*'Soil samples'!AK160/100</f>
        <v>#VALUE!</v>
      </c>
      <c r="AW160" s="174" t="e">
        <f t="shared" si="113"/>
        <v>#VALUE!</v>
      </c>
      <c r="AX160" s="175">
        <f>BR14</f>
        <v>9.1983332609235011E-2</v>
      </c>
      <c r="AY160" s="175">
        <f>AX160*'Soil samples'!AR160/100</f>
        <v>1.0146760051227E-3</v>
      </c>
      <c r="AZ160" s="174">
        <f t="shared" si="115"/>
        <v>1.0146760051227</v>
      </c>
      <c r="BA160" t="e">
        <f t="shared" si="92"/>
        <v>#VALUE!</v>
      </c>
      <c r="BC160" t="e">
        <f>BB160*('Wet ref'!$B$40+M160)</f>
        <v>#VALUE!</v>
      </c>
      <c r="BD160" s="175" t="e">
        <f t="shared" si="93"/>
        <v>#VALUE!</v>
      </c>
      <c r="BE160" s="175" t="e">
        <f>BD160*'Soil samples'!AK160/100</f>
        <v>#VALUE!</v>
      </c>
      <c r="BF160" s="174" t="e">
        <f t="shared" si="123"/>
        <v>#VALUE!</v>
      </c>
      <c r="BG160" s="175">
        <f>BS14</f>
        <v>79.923339299504121</v>
      </c>
      <c r="BH160" s="175">
        <f>BG160*'Soil samples'!AR160/100</f>
        <v>0.88164118798566959</v>
      </c>
      <c r="BI160" s="174">
        <f t="shared" si="124"/>
        <v>0.88164118798566959</v>
      </c>
      <c r="BL160" s="31"/>
    </row>
    <row r="161" spans="1:64">
      <c r="A161" s="6" t="s">
        <v>164</v>
      </c>
      <c r="B161" s="6" t="s">
        <v>548</v>
      </c>
      <c r="C161" t="s">
        <v>12</v>
      </c>
      <c r="D161" s="8">
        <v>3</v>
      </c>
      <c r="E161" s="3">
        <v>20</v>
      </c>
      <c r="F161" s="26">
        <v>42767</v>
      </c>
      <c r="G161" s="3"/>
      <c r="H161">
        <f>'Wet ref'!B196</f>
        <v>163.70314200000001</v>
      </c>
      <c r="I161">
        <f>'Wet ref'!C196</f>
        <v>346.41794329999999</v>
      </c>
      <c r="J161">
        <f>'Wet ref'!D196</f>
        <v>66.31881722</v>
      </c>
      <c r="K161">
        <f>'Wet ref'!E196</f>
        <v>2.36599469</v>
      </c>
      <c r="L161" s="3">
        <f t="shared" si="94"/>
        <v>1855.8736047000002</v>
      </c>
      <c r="M161" s="31">
        <f>'Wet ref'!$B$41*'Soil samples'!AI161%</f>
        <v>2.5213610079624598</v>
      </c>
      <c r="N161" s="105">
        <f>'Wet ref'!$B$41*'Soil samples'!AH161%</f>
        <v>2.4786389920375402</v>
      </c>
      <c r="O161">
        <f t="shared" si="95"/>
        <v>163.70314200000001</v>
      </c>
      <c r="P161">
        <f t="shared" ref="P161:P166" si="125">O161/1000</f>
        <v>0.16370314200000002</v>
      </c>
      <c r="Q161">
        <f>P161*('Wet ref'!$B$40+M161)</f>
        <v>4.5053332691197427</v>
      </c>
      <c r="R161" s="141">
        <f t="shared" si="118"/>
        <v>1.817664163112426</v>
      </c>
      <c r="S161" s="141">
        <f>R161*'Soil samples'!AK161/100</f>
        <v>0.69841676337894232</v>
      </c>
      <c r="T161" s="149">
        <f t="shared" si="97"/>
        <v>0.69841676337894232</v>
      </c>
      <c r="U161" s="141">
        <f t="shared" si="98"/>
        <v>163.70314200000001</v>
      </c>
      <c r="V161" s="141">
        <f t="shared" si="99"/>
        <v>1.817664163112426</v>
      </c>
      <c r="W161" s="141">
        <f>V161*'Soil samples'!AR161/100</f>
        <v>0.69841676337894232</v>
      </c>
      <c r="X161" s="149">
        <f t="shared" si="100"/>
        <v>0.69841676337894232</v>
      </c>
      <c r="Y161">
        <f t="shared" si="101"/>
        <v>346.41794329999999</v>
      </c>
      <c r="Z161">
        <f t="shared" si="102"/>
        <v>0.34641794329999998</v>
      </c>
      <c r="AA161">
        <f>Z161*('Wet ref'!$B$40+M161)</f>
        <v>9.5338932771951708</v>
      </c>
      <c r="AB161" s="175">
        <f t="shared" si="103"/>
        <v>3.8464226972230149</v>
      </c>
      <c r="AC161" s="175">
        <f>AB161*'Soil samples'!AK161/100</f>
        <v>1.477944135830795</v>
      </c>
      <c r="AD161" s="174">
        <f t="shared" si="104"/>
        <v>1.477944135830795</v>
      </c>
      <c r="AE161" s="175">
        <f t="shared" si="105"/>
        <v>346.41794329999999</v>
      </c>
      <c r="AF161" s="175">
        <f t="shared" si="106"/>
        <v>3.8464226972230149</v>
      </c>
      <c r="AG161" s="175">
        <f>AF161*'Soil samples'!AR161/100</f>
        <v>1.477944135830795</v>
      </c>
      <c r="AH161" s="174">
        <f t="shared" si="107"/>
        <v>1.477944135830795</v>
      </c>
      <c r="AI161">
        <f t="shared" si="88"/>
        <v>66.31881722</v>
      </c>
      <c r="AJ161">
        <f t="shared" ref="AJ161:AJ166" si="126">AI161/1000</f>
        <v>6.6318817220000006E-2</v>
      </c>
      <c r="AK161">
        <f>AJ161*('Wet ref'!$B$40+M161)</f>
        <v>1.8251841103326976</v>
      </c>
      <c r="AL161" s="175">
        <f t="shared" si="89"/>
        <v>0.73636544740721732</v>
      </c>
      <c r="AM161" s="175">
        <f>AL161*'Soil samples'!AK161/100</f>
        <v>0.28294004078377472</v>
      </c>
      <c r="AN161" s="174">
        <f t="shared" si="109"/>
        <v>282.94004078377469</v>
      </c>
      <c r="AO161" s="175">
        <f t="shared" si="110"/>
        <v>0.73636544740721732</v>
      </c>
      <c r="AP161" s="175">
        <f>AO161*'Soil samples'!AR161/100</f>
        <v>0.28294004078377472</v>
      </c>
      <c r="AQ161" s="174">
        <f t="shared" si="111"/>
        <v>282.94004078377469</v>
      </c>
      <c r="AR161">
        <f t="shared" si="90"/>
        <v>2.36599469</v>
      </c>
      <c r="AS161">
        <f t="shared" ref="AS161:AS166" si="127">AR161/1000</f>
        <v>2.36599469E-3</v>
      </c>
      <c r="AT161">
        <f>AS161*('Wet ref'!$B$40+M161)</f>
        <v>6.5115394006412239E-2</v>
      </c>
      <c r="AU161" s="175">
        <f t="shared" si="91"/>
        <v>2.6270624409440436E-2</v>
      </c>
      <c r="AV161" s="175">
        <f>AU161*'Soil samples'!AK161/100</f>
        <v>1.0094188378874023E-2</v>
      </c>
      <c r="AW161" s="174">
        <f t="shared" si="113"/>
        <v>10.094188378874023</v>
      </c>
      <c r="AX161" s="175">
        <f t="shared" si="114"/>
        <v>2.6270624409440436E-2</v>
      </c>
      <c r="AY161" s="175">
        <f>AX161*'Soil samples'!AR161/100</f>
        <v>1.0094188378874023E-2</v>
      </c>
      <c r="AZ161" s="174">
        <f t="shared" si="115"/>
        <v>10.094188378874023</v>
      </c>
      <c r="BA161">
        <f t="shared" si="92"/>
        <v>1855.8736047000002</v>
      </c>
      <c r="BB161">
        <f t="shared" ref="BB161:BB166" si="128">BA161/1000</f>
        <v>1.8558736047000002</v>
      </c>
      <c r="BC161">
        <f>BB161*('Wet ref'!$B$40+M161)</f>
        <v>51.076167460097324</v>
      </c>
      <c r="BD161" s="175">
        <f t="shared" si="93"/>
        <v>20.606537549104992</v>
      </c>
      <c r="BE161" s="175">
        <f>BD161*'Soil samples'!AK161/100</f>
        <v>7.9178274796642851</v>
      </c>
      <c r="BF161" s="174">
        <f t="shared" si="123"/>
        <v>7.9178274796642851</v>
      </c>
      <c r="BG161" s="175">
        <f t="shared" si="117"/>
        <v>20.606537549104992</v>
      </c>
      <c r="BH161" s="175">
        <f>BG161*'Soil samples'!AR161/100</f>
        <v>7.9178274796642851</v>
      </c>
      <c r="BI161" s="174">
        <f t="shared" si="124"/>
        <v>7.9178274796642851</v>
      </c>
      <c r="BK161" s="6"/>
      <c r="BL161" s="31"/>
    </row>
    <row r="162" spans="1:64">
      <c r="A162" s="6" t="s">
        <v>165</v>
      </c>
      <c r="B162" s="6" t="s">
        <v>548</v>
      </c>
      <c r="C162" t="s">
        <v>12</v>
      </c>
      <c r="D162" s="8">
        <v>3</v>
      </c>
      <c r="E162" s="3">
        <v>30</v>
      </c>
      <c r="F162" s="26">
        <v>42767</v>
      </c>
      <c r="G162" s="3"/>
      <c r="H162">
        <f>'Wet ref'!B197</f>
        <v>89.677748019999996</v>
      </c>
      <c r="I162">
        <f>'Wet ref'!C197</f>
        <v>186.1048758</v>
      </c>
      <c r="J162">
        <f>'Wet ref'!D197</f>
        <v>54.980414490000001</v>
      </c>
      <c r="K162">
        <f>'Wet ref'!E197</f>
        <v>2.409123159</v>
      </c>
      <c r="L162" s="3">
        <f t="shared" si="94"/>
        <v>2133.3405351799997</v>
      </c>
      <c r="M162" s="31">
        <f>'Wet ref'!$B$41*'Soil samples'!AI162%</f>
        <v>2.2987955698396196</v>
      </c>
      <c r="N162" s="105">
        <f>'Wet ref'!$B$41*'Soil samples'!AH162%</f>
        <v>2.7012044301603804</v>
      </c>
      <c r="O162">
        <f t="shared" si="95"/>
        <v>89.677748019999996</v>
      </c>
      <c r="P162">
        <f t="shared" si="125"/>
        <v>8.9677748019999989E-2</v>
      </c>
      <c r="Q162">
        <f>P162*('Wet ref'!$B$40+M162)</f>
        <v>2.4480945103615692</v>
      </c>
      <c r="R162" s="141">
        <f t="shared" si="118"/>
        <v>0.90629738461380238</v>
      </c>
      <c r="S162" s="141">
        <f>R162*'Soil samples'!AK162/100</f>
        <v>0.4291020057761758</v>
      </c>
      <c r="T162" s="149">
        <f t="shared" si="97"/>
        <v>0.4291020057761758</v>
      </c>
      <c r="U162" s="141">
        <f t="shared" si="98"/>
        <v>89.677748019999996</v>
      </c>
      <c r="V162" s="141">
        <f t="shared" si="99"/>
        <v>0.90629738461380238</v>
      </c>
      <c r="W162" s="141">
        <f>V162*'Soil samples'!AR162/100</f>
        <v>0.4291020057761758</v>
      </c>
      <c r="X162" s="149">
        <f t="shared" si="100"/>
        <v>0.4291020057761758</v>
      </c>
      <c r="Y162">
        <f t="shared" si="101"/>
        <v>186.1048758</v>
      </c>
      <c r="Z162">
        <f t="shared" si="102"/>
        <v>0.18610487580000001</v>
      </c>
      <c r="AA162">
        <f>Z162*('Wet ref'!$B$40+M162)</f>
        <v>5.0804389590145931</v>
      </c>
      <c r="AB162" s="175">
        <f t="shared" si="103"/>
        <v>1.8808050595093053</v>
      </c>
      <c r="AC162" s="175">
        <f>AB162*'Soil samples'!AK162/100</f>
        <v>0.89049934073607773</v>
      </c>
      <c r="AD162" s="174">
        <f t="shared" si="104"/>
        <v>0.89049934073607773</v>
      </c>
      <c r="AE162" s="175">
        <f t="shared" si="105"/>
        <v>186.1048758</v>
      </c>
      <c r="AF162" s="175">
        <f t="shared" si="106"/>
        <v>1.8808050595093053</v>
      </c>
      <c r="AG162" s="175">
        <f>AF162*'Soil samples'!AR162/100</f>
        <v>0.89049934073607773</v>
      </c>
      <c r="AH162" s="174">
        <f t="shared" si="107"/>
        <v>0.89049934073607773</v>
      </c>
      <c r="AI162">
        <f t="shared" si="88"/>
        <v>54.980414490000001</v>
      </c>
      <c r="AJ162">
        <f t="shared" si="126"/>
        <v>5.4980414490000004E-2</v>
      </c>
      <c r="AK162">
        <f>AJ162*('Wet ref'!$B$40+M162)</f>
        <v>1.5008990955075581</v>
      </c>
      <c r="AL162" s="175">
        <f t="shared" si="89"/>
        <v>0.55564069077824085</v>
      </c>
      <c r="AM162" s="175">
        <f>AL162*'Soil samples'!AK162/100</f>
        <v>0.26307759346056475</v>
      </c>
      <c r="AN162" s="174">
        <f t="shared" si="109"/>
        <v>263.0775934605648</v>
      </c>
      <c r="AO162" s="175">
        <f t="shared" si="110"/>
        <v>0.55564069077824085</v>
      </c>
      <c r="AP162" s="175">
        <f>AO162*'Soil samples'!AR162/100</f>
        <v>0.26307759346056475</v>
      </c>
      <c r="AQ162" s="174">
        <f t="shared" si="111"/>
        <v>263.0775934605648</v>
      </c>
      <c r="AR162">
        <f t="shared" si="90"/>
        <v>2.409123159</v>
      </c>
      <c r="AS162">
        <f t="shared" si="127"/>
        <v>2.4091231589999998E-3</v>
      </c>
      <c r="AT162">
        <f>AS162*('Wet ref'!$B$40+M162)</f>
        <v>6.576616062010722E-2</v>
      </c>
      <c r="AU162" s="175">
        <f t="shared" si="91"/>
        <v>2.434697643976633E-2</v>
      </c>
      <c r="AV162" s="175">
        <f>AU162*'Soil samples'!AK162/100</f>
        <v>1.1527492633492391E-2</v>
      </c>
      <c r="AW162" s="174">
        <f t="shared" si="113"/>
        <v>11.527492633492392</v>
      </c>
      <c r="AX162" s="175">
        <f t="shared" si="114"/>
        <v>2.434697643976633E-2</v>
      </c>
      <c r="AY162" s="175">
        <f>AX162*'Soil samples'!AR162/100</f>
        <v>1.1527492633492391E-2</v>
      </c>
      <c r="AZ162" s="174">
        <f t="shared" si="115"/>
        <v>11.527492633492392</v>
      </c>
      <c r="BA162">
        <f t="shared" si="92"/>
        <v>2133.3405351799997</v>
      </c>
      <c r="BB162">
        <f t="shared" si="128"/>
        <v>2.1333405351799999</v>
      </c>
      <c r="BC162">
        <f>BB162*('Wet ref'!$B$40+M162)</f>
        <v>58.237627150731065</v>
      </c>
      <c r="BD162" s="175">
        <f t="shared" si="93"/>
        <v>21.559873995643226</v>
      </c>
      <c r="BE162" s="175">
        <f>BD162*'Soil samples'!AK162/100</f>
        <v>10.207891286980139</v>
      </c>
      <c r="BF162" s="174">
        <f t="shared" si="123"/>
        <v>10.207891286980139</v>
      </c>
      <c r="BG162" s="175">
        <f t="shared" si="117"/>
        <v>21.559873995643226</v>
      </c>
      <c r="BH162" s="175">
        <f>BG162*'Soil samples'!AR162/100</f>
        <v>10.207891286980139</v>
      </c>
      <c r="BI162" s="174">
        <f t="shared" si="124"/>
        <v>10.207891286980139</v>
      </c>
      <c r="BK162" s="6"/>
      <c r="BL162" s="31"/>
    </row>
    <row r="163" spans="1:64">
      <c r="A163" s="6" t="s">
        <v>166</v>
      </c>
      <c r="B163" s="6" t="s">
        <v>548</v>
      </c>
      <c r="C163" t="s">
        <v>12</v>
      </c>
      <c r="D163" s="8">
        <v>4</v>
      </c>
      <c r="E163" s="3">
        <v>5</v>
      </c>
      <c r="F163" s="26">
        <v>42776</v>
      </c>
      <c r="G163" s="3"/>
      <c r="H163">
        <f>'Wet ref'!B198</f>
        <v>192.97403159999999</v>
      </c>
      <c r="I163">
        <f>'Wet ref'!C198</f>
        <v>1196.8114399999999</v>
      </c>
      <c r="J163">
        <f>'Wet ref'!D198</f>
        <v>72.637837570000002</v>
      </c>
      <c r="K163">
        <f>'Wet ref'!E198</f>
        <v>11.12415801</v>
      </c>
      <c r="L163" s="3">
        <f t="shared" si="94"/>
        <v>9734.3725384000008</v>
      </c>
      <c r="M163" s="31">
        <f>'Wet ref'!$B$41*'Soil samples'!AI163%</f>
        <v>2.1951330867917633</v>
      </c>
      <c r="N163" s="105">
        <f>'Wet ref'!$B$41*'Soil samples'!AH163%</f>
        <v>2.8048669132082367</v>
      </c>
      <c r="O163">
        <f t="shared" si="95"/>
        <v>192.97403159999999</v>
      </c>
      <c r="P163">
        <f t="shared" si="125"/>
        <v>0.19297403159999998</v>
      </c>
      <c r="Q163">
        <f>P163*('Wet ref'!$B$40+M163)</f>
        <v>5.247954471656759</v>
      </c>
      <c r="R163" s="141">
        <f t="shared" si="118"/>
        <v>1.8710172831887031</v>
      </c>
      <c r="S163" s="141">
        <f>R163*'Soil samples'!AK163/100</f>
        <v>0.29315073678674602</v>
      </c>
      <c r="T163" s="149">
        <f t="shared" si="97"/>
        <v>0.29315073678674602</v>
      </c>
      <c r="U163" s="141">
        <f t="shared" si="98"/>
        <v>192.97403159999999</v>
      </c>
      <c r="V163" s="141">
        <f t="shared" si="99"/>
        <v>1.8710172831887031</v>
      </c>
      <c r="W163" s="141">
        <f>V163*'Soil samples'!AR163/100</f>
        <v>0.29315073678674602</v>
      </c>
      <c r="X163" s="149">
        <f t="shared" si="100"/>
        <v>0.29315073678674602</v>
      </c>
      <c r="Y163">
        <f t="shared" si="101"/>
        <v>1196.8114399999999</v>
      </c>
      <c r="Z163">
        <f t="shared" si="102"/>
        <v>1.1968114399999998</v>
      </c>
      <c r="AA163">
        <f>Z163*('Wet ref'!$B$40+M163)</f>
        <v>32.547446390594892</v>
      </c>
      <c r="AB163" s="175">
        <f t="shared" si="103"/>
        <v>11.603918259838851</v>
      </c>
      <c r="AC163" s="175">
        <f>AB163*'Soil samples'!AK163/100</f>
        <v>1.8181003553786275</v>
      </c>
      <c r="AD163" s="174">
        <f t="shared" si="104"/>
        <v>1.8181003553786275</v>
      </c>
      <c r="AE163" s="175">
        <f t="shared" si="105"/>
        <v>1196.8114399999999</v>
      </c>
      <c r="AF163" s="175">
        <f t="shared" si="106"/>
        <v>11.603918259838851</v>
      </c>
      <c r="AG163" s="175">
        <f>AF163*'Soil samples'!AR163/100</f>
        <v>1.8181003553786275</v>
      </c>
      <c r="AH163" s="174">
        <f t="shared" si="107"/>
        <v>1.8181003553786275</v>
      </c>
      <c r="AI163">
        <f t="shared" si="88"/>
        <v>72.637837570000002</v>
      </c>
      <c r="AJ163">
        <f t="shared" si="126"/>
        <v>7.2637837570000002E-2</v>
      </c>
      <c r="AK163">
        <f>AJ163*('Wet ref'!$B$40+M163)</f>
        <v>1.975395659852913</v>
      </c>
      <c r="AL163" s="175">
        <f t="shared" si="89"/>
        <v>0.70427429214223725</v>
      </c>
      <c r="AM163" s="175">
        <f>AL163*'Soil samples'!AK163/100</f>
        <v>0.11034560155938351</v>
      </c>
      <c r="AN163" s="174">
        <f t="shared" si="109"/>
        <v>110.34560155938351</v>
      </c>
      <c r="AO163" s="175">
        <f t="shared" si="110"/>
        <v>0.70427429214223725</v>
      </c>
      <c r="AP163" s="175">
        <f>AO163*'Soil samples'!AR163/100</f>
        <v>0.11034560155938351</v>
      </c>
      <c r="AQ163" s="174">
        <f t="shared" si="111"/>
        <v>110.34560155938351</v>
      </c>
      <c r="AR163">
        <f t="shared" si="90"/>
        <v>11.12415801</v>
      </c>
      <c r="AS163">
        <f t="shared" si="127"/>
        <v>1.1124158010000001E-2</v>
      </c>
      <c r="AT163">
        <f>AS163*('Wet ref'!$B$40+M163)</f>
        <v>0.30252295756045067</v>
      </c>
      <c r="AU163" s="175">
        <f t="shared" si="91"/>
        <v>0.10785643915433467</v>
      </c>
      <c r="AV163" s="175">
        <f>AU163*'Soil samples'!AK163/100</f>
        <v>1.6898932409326745E-2</v>
      </c>
      <c r="AW163" s="174">
        <f t="shared" si="113"/>
        <v>16.898932409326743</v>
      </c>
      <c r="AX163" s="175">
        <f t="shared" si="114"/>
        <v>0.10785643915433467</v>
      </c>
      <c r="AY163" s="175">
        <f>AX163*'Soil samples'!AR163/100</f>
        <v>1.6898932409326745E-2</v>
      </c>
      <c r="AZ163" s="174">
        <f t="shared" si="115"/>
        <v>16.898932409326743</v>
      </c>
      <c r="BA163">
        <f t="shared" si="92"/>
        <v>9734.3725384000008</v>
      </c>
      <c r="BB163">
        <f t="shared" si="128"/>
        <v>9.7343725384000006</v>
      </c>
      <c r="BC163">
        <f>BB163*('Wet ref'!$B$40+M163)</f>
        <v>264.72755669819901</v>
      </c>
      <c r="BD163" s="175">
        <f t="shared" si="93"/>
        <v>94.38150361130711</v>
      </c>
      <c r="BE163" s="175">
        <f>BD163*'Soil samples'!AK163/100</f>
        <v>14.78768131716137</v>
      </c>
      <c r="BF163" s="174">
        <f t="shared" si="123"/>
        <v>14.78768131716137</v>
      </c>
      <c r="BG163" s="175">
        <f t="shared" si="117"/>
        <v>94.38150361130711</v>
      </c>
      <c r="BH163" s="175">
        <f>BG163*'Soil samples'!AR163/100</f>
        <v>14.78768131716137</v>
      </c>
      <c r="BI163" s="174">
        <f t="shared" si="124"/>
        <v>14.78768131716137</v>
      </c>
      <c r="BK163" s="6"/>
      <c r="BL163" s="31"/>
    </row>
    <row r="164" spans="1:64">
      <c r="A164" s="6" t="s">
        <v>167</v>
      </c>
      <c r="B164" s="6" t="s">
        <v>548</v>
      </c>
      <c r="C164" t="s">
        <v>12</v>
      </c>
      <c r="D164" s="8">
        <v>4</v>
      </c>
      <c r="E164" s="3">
        <v>10</v>
      </c>
      <c r="F164" s="26">
        <v>42776</v>
      </c>
      <c r="G164" s="3"/>
      <c r="H164">
        <f>'Wet ref'!B199</f>
        <v>114.79350669999999</v>
      </c>
      <c r="I164">
        <f>'Wet ref'!C199</f>
        <v>435.2530208</v>
      </c>
      <c r="J164">
        <f>'Wet ref'!D199</f>
        <v>90.655025469999998</v>
      </c>
      <c r="K164">
        <f>'Wet ref'!E199</f>
        <v>7.369742724</v>
      </c>
      <c r="L164" s="3">
        <f t="shared" si="94"/>
        <v>6819.6961965</v>
      </c>
      <c r="M164" s="31">
        <f>'Wet ref'!$B$41*'Soil samples'!AI164%</f>
        <v>2.0169715720563177</v>
      </c>
      <c r="N164" s="105">
        <f>'Wet ref'!$B$41*'Soil samples'!AH164%</f>
        <v>2.9830284279436818</v>
      </c>
      <c r="O164">
        <f t="shared" ref="O164:O192" si="129">IF(H164&gt;0,H164,0)</f>
        <v>114.79350669999999</v>
      </c>
      <c r="P164">
        <f t="shared" si="125"/>
        <v>0.11479350669999999</v>
      </c>
      <c r="Q164">
        <f>P164*('Wet ref'!$B$40+M164)</f>
        <v>3.101372907170556</v>
      </c>
      <c r="R164" s="141">
        <f t="shared" si="118"/>
        <v>1.0396725951782007</v>
      </c>
      <c r="S164" s="141">
        <f>R164*'Soil samples'!AK164/100</f>
        <v>0.24246533388259395</v>
      </c>
      <c r="T164" s="149">
        <f t="shared" si="97"/>
        <v>0.24246533388259398</v>
      </c>
      <c r="U164" s="141">
        <f t="shared" si="98"/>
        <v>114.79350669999999</v>
      </c>
      <c r="V164" s="141">
        <f t="shared" si="99"/>
        <v>1.0396725951782007</v>
      </c>
      <c r="W164" s="141">
        <f>V164*'Soil samples'!AR164/100</f>
        <v>0.24246533388259395</v>
      </c>
      <c r="X164" s="149">
        <f t="shared" si="100"/>
        <v>0.24246533388259395</v>
      </c>
      <c r="Y164">
        <f t="shared" ref="Y164:Y192" si="130">IF(I164&gt;0,I164,0)</f>
        <v>435.2530208</v>
      </c>
      <c r="Z164">
        <f t="shared" si="102"/>
        <v>0.4352530208</v>
      </c>
      <c r="AA164">
        <f>Z164*('Wet ref'!$B$40+M164)</f>
        <v>11.759218489605237</v>
      </c>
      <c r="AB164" s="175">
        <f t="shared" si="103"/>
        <v>3.9420403706012705</v>
      </c>
      <c r="AC164" s="175">
        <f>AB164*'Soil samples'!AK164/100</f>
        <v>0.9193357015173369</v>
      </c>
      <c r="AD164" s="174">
        <f t="shared" si="104"/>
        <v>0.9193357015173369</v>
      </c>
      <c r="AE164" s="175">
        <f t="shared" si="105"/>
        <v>435.2530208</v>
      </c>
      <c r="AF164" s="175">
        <f t="shared" si="106"/>
        <v>3.9420403706012705</v>
      </c>
      <c r="AG164" s="175">
        <f>AF164*'Soil samples'!AR164/100</f>
        <v>0.9193357015173369</v>
      </c>
      <c r="AH164" s="174">
        <f t="shared" si="107"/>
        <v>0.9193357015173369</v>
      </c>
      <c r="AI164">
        <f t="shared" ref="AI164:AI192" si="131">IF(J164&gt;0,J164,0)</f>
        <v>90.655025469999998</v>
      </c>
      <c r="AJ164">
        <f t="shared" si="126"/>
        <v>9.0655025469999997E-2</v>
      </c>
      <c r="AK164">
        <f>AJ164*('Wet ref'!$B$40+M164)</f>
        <v>2.4492242459870313</v>
      </c>
      <c r="AL164" s="175">
        <f t="shared" ref="AL164:AL192" si="132">AK164/N164</f>
        <v>0.82105293501187893</v>
      </c>
      <c r="AM164" s="175">
        <f>AL164*'Soil samples'!AK164/100</f>
        <v>0.191480351551266</v>
      </c>
      <c r="AN164" s="174">
        <f t="shared" si="109"/>
        <v>191.48035155126598</v>
      </c>
      <c r="AO164" s="175">
        <f t="shared" si="110"/>
        <v>0.82105293501187893</v>
      </c>
      <c r="AP164" s="175">
        <f>AO164*'Soil samples'!AR164/100</f>
        <v>0.191480351551266</v>
      </c>
      <c r="AQ164" s="174">
        <f t="shared" si="111"/>
        <v>191.48035155126598</v>
      </c>
      <c r="AR164">
        <f t="shared" ref="AR164:AR192" si="133">IF(K164&gt;0,K164,0)</f>
        <v>7.369742724</v>
      </c>
      <c r="AS164">
        <f t="shared" si="127"/>
        <v>7.369742724E-3</v>
      </c>
      <c r="AT164">
        <f>AS164*('Wet ref'!$B$40+M164)</f>
        <v>0.19910812966767688</v>
      </c>
      <c r="AU164" s="175">
        <f t="shared" ref="AU164:AU192" si="134">AT164/N164</f>
        <v>6.6746976932073654E-2</v>
      </c>
      <c r="AV164" s="175">
        <f>AU164*'Soil samples'!AK164/100</f>
        <v>1.5566273577418971E-2</v>
      </c>
      <c r="AW164" s="174">
        <f t="shared" si="113"/>
        <v>15.566273577418972</v>
      </c>
      <c r="AX164" s="175">
        <f t="shared" si="114"/>
        <v>6.6746976932073654E-2</v>
      </c>
      <c r="AY164" s="175">
        <f>AX164*'Soil samples'!AR164/100</f>
        <v>1.5566273577418971E-2</v>
      </c>
      <c r="AZ164" s="174">
        <f t="shared" si="115"/>
        <v>15.566273577418972</v>
      </c>
      <c r="BA164">
        <f t="shared" ref="BA164:BA192" si="135">IF(AR164*1000-O164-Y164&gt;0,AR164*1000-O164-Y164,0)</f>
        <v>6819.6961965</v>
      </c>
      <c r="BB164">
        <f t="shared" si="128"/>
        <v>6.8196961964999998</v>
      </c>
      <c r="BC164">
        <f>BB164*('Wet ref'!$B$40+M164)</f>
        <v>184.24753827090109</v>
      </c>
      <c r="BD164" s="175">
        <f t="shared" ref="BD164:BD192" si="136">BC164/N164</f>
        <v>61.765263966294185</v>
      </c>
      <c r="BE164" s="175">
        <f>BD164*'Soil samples'!AK164/100</f>
        <v>14.40447254201904</v>
      </c>
      <c r="BF164" s="174">
        <f t="shared" si="123"/>
        <v>14.40447254201904</v>
      </c>
      <c r="BG164" s="175">
        <f t="shared" si="117"/>
        <v>61.765263966294185</v>
      </c>
      <c r="BH164" s="175">
        <f>BG164*'Soil samples'!AR164/100</f>
        <v>14.40447254201904</v>
      </c>
      <c r="BI164" s="174">
        <f t="shared" si="124"/>
        <v>14.40447254201904</v>
      </c>
      <c r="BK164" s="6"/>
      <c r="BL164" s="31"/>
    </row>
    <row r="165" spans="1:64">
      <c r="A165" s="6" t="s">
        <v>168</v>
      </c>
      <c r="B165" s="6" t="s">
        <v>548</v>
      </c>
      <c r="C165" t="s">
        <v>12</v>
      </c>
      <c r="D165" s="8">
        <v>4</v>
      </c>
      <c r="E165" s="3">
        <v>20</v>
      </c>
      <c r="F165" s="26">
        <v>42776</v>
      </c>
      <c r="G165" s="3"/>
      <c r="H165">
        <f>'Wet ref'!B200</f>
        <v>113.0610743</v>
      </c>
      <c r="I165">
        <f>'Wet ref'!C200</f>
        <v>188.9501582</v>
      </c>
      <c r="J165">
        <f>'Wet ref'!D200</f>
        <v>42.195002840000001</v>
      </c>
      <c r="K165">
        <f>'Wet ref'!E200</f>
        <v>5.1718821290000001</v>
      </c>
      <c r="L165" s="3">
        <f t="shared" si="94"/>
        <v>4869.8708965000005</v>
      </c>
      <c r="M165" s="31">
        <f>'Wet ref'!$B$41*'Soil samples'!AI165%</f>
        <v>2.2373301198366469</v>
      </c>
      <c r="N165" s="105">
        <f>'Wet ref'!$B$41*'Soil samples'!AH165%</f>
        <v>2.7626698801633531</v>
      </c>
      <c r="O165">
        <f t="shared" si="129"/>
        <v>113.0610743</v>
      </c>
      <c r="P165">
        <f t="shared" si="125"/>
        <v>0.11306107429999999</v>
      </c>
      <c r="Q165">
        <f>P165*('Wet ref'!$B$40+M165)</f>
        <v>3.0794818044124788</v>
      </c>
      <c r="R165" s="141">
        <f t="shared" si="118"/>
        <v>1.1146759974921046</v>
      </c>
      <c r="S165" s="141">
        <f>R165*'Soil samples'!AK165/100</f>
        <v>0.36571925909202591</v>
      </c>
      <c r="T165" s="149">
        <f t="shared" si="97"/>
        <v>0.36571925909202591</v>
      </c>
      <c r="U165" s="141">
        <f t="shared" si="98"/>
        <v>113.0610743</v>
      </c>
      <c r="V165" s="141">
        <f t="shared" si="99"/>
        <v>1.1146759974921046</v>
      </c>
      <c r="W165" s="141">
        <f>V165*'Soil samples'!AR165/100</f>
        <v>0.36571925909202591</v>
      </c>
      <c r="X165" s="149">
        <f t="shared" si="100"/>
        <v>0.36571925909202591</v>
      </c>
      <c r="Y165">
        <f t="shared" si="130"/>
        <v>188.9501582</v>
      </c>
      <c r="Z165">
        <f t="shared" si="102"/>
        <v>0.1889501582</v>
      </c>
      <c r="AA165">
        <f>Z165*('Wet ref'!$B$40+M165)</f>
        <v>5.1464978350887591</v>
      </c>
      <c r="AB165" s="175">
        <f t="shared" si="103"/>
        <v>1.8628710842514609</v>
      </c>
      <c r="AC165" s="175">
        <f>AB165*'Soil samples'!AK165/100</f>
        <v>0.61119808289514099</v>
      </c>
      <c r="AD165" s="174">
        <f t="shared" si="104"/>
        <v>0.61119808289514099</v>
      </c>
      <c r="AE165" s="175">
        <f t="shared" si="105"/>
        <v>188.9501582</v>
      </c>
      <c r="AF165" s="175">
        <f t="shared" si="106"/>
        <v>1.8628710842514609</v>
      </c>
      <c r="AG165" s="175">
        <f>AF165*'Soil samples'!AR165/100</f>
        <v>0.61119808289514099</v>
      </c>
      <c r="AH165" s="174">
        <f t="shared" si="107"/>
        <v>0.61119808289514099</v>
      </c>
      <c r="AI165">
        <f t="shared" si="131"/>
        <v>42.195002840000001</v>
      </c>
      <c r="AJ165">
        <f t="shared" si="126"/>
        <v>4.2195002840000002E-2</v>
      </c>
      <c r="AK165">
        <f>AJ165*('Wet ref'!$B$40+M165)</f>
        <v>1.1492792217605248</v>
      </c>
      <c r="AL165" s="175">
        <f t="shared" si="132"/>
        <v>0.41600309541600727</v>
      </c>
      <c r="AM165" s="175">
        <f>AL165*'Soil samples'!AK165/100</f>
        <v>0.13648840037627991</v>
      </c>
      <c r="AN165" s="174">
        <f t="shared" si="109"/>
        <v>136.48840037627991</v>
      </c>
      <c r="AO165" s="175">
        <f t="shared" si="110"/>
        <v>0.41600309541600727</v>
      </c>
      <c r="AP165" s="175">
        <f>AO165*'Soil samples'!AR165/100</f>
        <v>0.13648840037627991</v>
      </c>
      <c r="AQ165" s="174">
        <f t="shared" si="111"/>
        <v>136.48840037627991</v>
      </c>
      <c r="AR165">
        <f t="shared" si="133"/>
        <v>5.1718821290000001</v>
      </c>
      <c r="AS165">
        <f t="shared" si="127"/>
        <v>5.171882129E-3</v>
      </c>
      <c r="AT165">
        <f>AS165*('Wet ref'!$B$40+M165)</f>
        <v>0.14086826088845658</v>
      </c>
      <c r="AU165" s="175">
        <f t="shared" si="134"/>
        <v>5.0989899987662381E-2</v>
      </c>
      <c r="AV165" s="175">
        <f>AU165*'Soil samples'!AK165/100</f>
        <v>1.6729514663113104E-2</v>
      </c>
      <c r="AW165" s="174">
        <f t="shared" si="113"/>
        <v>16.729514663113104</v>
      </c>
      <c r="AX165" s="175">
        <f t="shared" si="114"/>
        <v>5.0989899987662381E-2</v>
      </c>
      <c r="AY165" s="175">
        <f>AX165*'Soil samples'!AR165/100</f>
        <v>1.6729514663113104E-2</v>
      </c>
      <c r="AZ165" s="174">
        <f t="shared" si="115"/>
        <v>16.729514663113104</v>
      </c>
      <c r="BA165">
        <f t="shared" si="135"/>
        <v>4869.8708965000005</v>
      </c>
      <c r="BB165">
        <f t="shared" si="128"/>
        <v>4.8698708965000002</v>
      </c>
      <c r="BC165">
        <f>BB165*('Wet ref'!$B$40+M165)</f>
        <v>132.64228124895533</v>
      </c>
      <c r="BD165" s="175">
        <f t="shared" si="136"/>
        <v>48.012352905918803</v>
      </c>
      <c r="BE165" s="175">
        <f>BD165*'Soil samples'!AK165/100</f>
        <v>15.752597321125931</v>
      </c>
      <c r="BF165" s="174">
        <f t="shared" si="123"/>
        <v>15.752597321125933</v>
      </c>
      <c r="BG165" s="175">
        <f t="shared" si="117"/>
        <v>48.012352905918803</v>
      </c>
      <c r="BH165" s="175">
        <f>BG165*'Soil samples'!AR165/100</f>
        <v>15.752597321125931</v>
      </c>
      <c r="BI165" s="174">
        <f t="shared" si="124"/>
        <v>15.752597321125933</v>
      </c>
      <c r="BK165" s="6"/>
      <c r="BL165" s="31"/>
    </row>
    <row r="166" spans="1:64">
      <c r="A166" s="6" t="s">
        <v>169</v>
      </c>
      <c r="B166" s="6" t="s">
        <v>548</v>
      </c>
      <c r="C166" t="s">
        <v>12</v>
      </c>
      <c r="D166" s="8">
        <v>4</v>
      </c>
      <c r="E166" s="3">
        <v>30</v>
      </c>
      <c r="F166" s="26">
        <v>42776</v>
      </c>
      <c r="G166" s="3"/>
      <c r="H166">
        <f>'Wet ref'!B201</f>
        <v>79.535799839999996</v>
      </c>
      <c r="I166">
        <f>'Wet ref'!C201</f>
        <v>127.798208</v>
      </c>
      <c r="J166">
        <f>'Wet ref'!D201</f>
        <v>89.294316120000005</v>
      </c>
      <c r="K166">
        <f>'Wet ref'!E201</f>
        <v>3.8803660569999998</v>
      </c>
      <c r="L166" s="3">
        <f t="shared" si="94"/>
        <v>3673.0320491599996</v>
      </c>
      <c r="M166" s="31">
        <f>'Wet ref'!$B$41*'Soil samples'!AI166%</f>
        <v>2.1305978380763295</v>
      </c>
      <c r="N166" s="105">
        <f>'Wet ref'!$B$41*'Soil samples'!AH166%</f>
        <v>2.8694021619236709</v>
      </c>
      <c r="O166">
        <f t="shared" si="129"/>
        <v>79.535799839999996</v>
      </c>
      <c r="P166">
        <f t="shared" si="125"/>
        <v>7.953579983999999E-2</v>
      </c>
      <c r="Q166">
        <f>P166*('Wet ref'!$B$40+M166)</f>
        <v>2.1578537991887754</v>
      </c>
      <c r="R166" s="141">
        <f t="shared" si="118"/>
        <v>0.75202208593239939</v>
      </c>
      <c r="S166" s="141">
        <f>R166*'Soil samples'!AK166/100</f>
        <v>0.32393701233421895</v>
      </c>
      <c r="T166" s="149">
        <f t="shared" si="97"/>
        <v>0.32393701233421895</v>
      </c>
      <c r="U166" s="141">
        <f t="shared" si="98"/>
        <v>79.535799839999996</v>
      </c>
      <c r="V166" s="141">
        <f t="shared" si="99"/>
        <v>0.75202208593239939</v>
      </c>
      <c r="W166" s="141">
        <f>V166*'Soil samples'!AR166/100</f>
        <v>0.32393701233421895</v>
      </c>
      <c r="X166" s="149">
        <f t="shared" si="100"/>
        <v>0.32393701233421895</v>
      </c>
      <c r="Y166">
        <f t="shared" si="130"/>
        <v>127.798208</v>
      </c>
      <c r="Z166">
        <f t="shared" si="102"/>
        <v>0.127798208</v>
      </c>
      <c r="AA166">
        <f>Z166*('Wet ref'!$B$40+M166)</f>
        <v>3.4672417856748292</v>
      </c>
      <c r="AB166" s="175">
        <f t="shared" si="103"/>
        <v>1.208349889633582</v>
      </c>
      <c r="AC166" s="175">
        <f>AB166*'Soil samples'!AK166/100</f>
        <v>0.5205023368655054</v>
      </c>
      <c r="AD166" s="174">
        <f t="shared" si="104"/>
        <v>0.5205023368655054</v>
      </c>
      <c r="AE166" s="175">
        <f t="shared" si="105"/>
        <v>127.798208</v>
      </c>
      <c r="AF166" s="175">
        <f t="shared" si="106"/>
        <v>1.208349889633582</v>
      </c>
      <c r="AG166" s="175">
        <f>AF166*'Soil samples'!AR166/100</f>
        <v>0.5205023368655054</v>
      </c>
      <c r="AH166" s="174">
        <f t="shared" si="107"/>
        <v>0.5205023368655054</v>
      </c>
      <c r="AI166">
        <f t="shared" si="131"/>
        <v>89.294316120000005</v>
      </c>
      <c r="AJ166">
        <f t="shared" si="126"/>
        <v>8.9294316120000009E-2</v>
      </c>
      <c r="AK166">
        <f>AJ166*('Wet ref'!$B$40+M166)</f>
        <v>2.4226081798777765</v>
      </c>
      <c r="AL166" s="175">
        <f t="shared" si="132"/>
        <v>0.84429021906557711</v>
      </c>
      <c r="AM166" s="175">
        <f>AL166*'Soil samples'!AK166/100</f>
        <v>0.36368193996325182</v>
      </c>
      <c r="AN166" s="174">
        <f t="shared" si="109"/>
        <v>363.68193996325181</v>
      </c>
      <c r="AO166" s="175">
        <f t="shared" si="110"/>
        <v>0.84429021906557711</v>
      </c>
      <c r="AP166" s="175">
        <f>AO166*'Soil samples'!AR166/100</f>
        <v>0.36368193996325182</v>
      </c>
      <c r="AQ166" s="174">
        <f t="shared" si="111"/>
        <v>363.68193996325181</v>
      </c>
      <c r="AR166">
        <f t="shared" si="133"/>
        <v>3.8803660569999998</v>
      </c>
      <c r="AS166">
        <f t="shared" si="127"/>
        <v>3.8803660569999999E-3</v>
      </c>
      <c r="AT166">
        <f>AS166*('Wet ref'!$B$40+M166)</f>
        <v>0.10527665095698897</v>
      </c>
      <c r="AU166" s="175">
        <f t="shared" si="134"/>
        <v>3.6689402536175211E-2</v>
      </c>
      <c r="AV166" s="175">
        <f>AU166*'Soil samples'!AK166/100</f>
        <v>1.5804130841663183E-2</v>
      </c>
      <c r="AW166" s="174">
        <f t="shared" si="113"/>
        <v>15.804130841663184</v>
      </c>
      <c r="AX166" s="175">
        <f t="shared" si="114"/>
        <v>3.6689402536175211E-2</v>
      </c>
      <c r="AY166" s="175">
        <f>AX166*'Soil samples'!AR166/100</f>
        <v>1.5804130841663183E-2</v>
      </c>
      <c r="AZ166" s="174">
        <f t="shared" si="115"/>
        <v>15.804130841663184</v>
      </c>
      <c r="BA166">
        <f t="shared" si="135"/>
        <v>3673.0320491599996</v>
      </c>
      <c r="BB166">
        <f t="shared" si="128"/>
        <v>3.6730320491599997</v>
      </c>
      <c r="BC166">
        <f>BB166*('Wet ref'!$B$40+M166)</f>
        <v>99.651555372125358</v>
      </c>
      <c r="BD166" s="175">
        <f t="shared" si="136"/>
        <v>34.729030560609232</v>
      </c>
      <c r="BE166" s="175">
        <f>BD166*'Soil samples'!AK166/100</f>
        <v>14.95969149246346</v>
      </c>
      <c r="BF166" s="174">
        <f t="shared" si="123"/>
        <v>14.95969149246346</v>
      </c>
      <c r="BG166" s="175">
        <f t="shared" si="117"/>
        <v>34.729030560609232</v>
      </c>
      <c r="BH166" s="175">
        <f>BG166*'Soil samples'!AR166/100</f>
        <v>14.95969149246346</v>
      </c>
      <c r="BI166" s="174">
        <f t="shared" si="124"/>
        <v>14.95969149246346</v>
      </c>
      <c r="BK166" s="6"/>
      <c r="BL166" s="31"/>
    </row>
    <row r="167" spans="1:64">
      <c r="A167" s="206" t="s">
        <v>170</v>
      </c>
      <c r="B167" s="6" t="s">
        <v>548</v>
      </c>
      <c r="C167" t="s">
        <v>12</v>
      </c>
      <c r="D167" s="8">
        <v>5</v>
      </c>
      <c r="E167" s="3">
        <v>5</v>
      </c>
      <c r="F167" s="8" t="s">
        <v>469</v>
      </c>
      <c r="G167" s="8" t="s">
        <v>469</v>
      </c>
      <c r="H167" s="6" t="s">
        <v>469</v>
      </c>
      <c r="I167" s="6" t="s">
        <v>469</v>
      </c>
      <c r="J167" s="6" t="s">
        <v>469</v>
      </c>
      <c r="K167" s="6" t="s">
        <v>469</v>
      </c>
      <c r="L167" s="3" t="s">
        <v>469</v>
      </c>
      <c r="M167" s="31" t="e">
        <f>'Wet ref'!$B$41*'Soil samples'!AI167%</f>
        <v>#VALUE!</v>
      </c>
      <c r="N167" s="105" t="e">
        <f>'Wet ref'!$B$41*'Soil samples'!AH167%</f>
        <v>#VALUE!</v>
      </c>
      <c r="O167" t="s">
        <v>469</v>
      </c>
      <c r="P167" t="s">
        <v>469</v>
      </c>
      <c r="Q167" t="s">
        <v>469</v>
      </c>
      <c r="R167" t="s">
        <v>469</v>
      </c>
      <c r="S167" t="s">
        <v>469</v>
      </c>
      <c r="T167" t="s">
        <v>469</v>
      </c>
      <c r="U167" s="151">
        <f>BO31</f>
        <v>192.97403159999999</v>
      </c>
      <c r="V167" s="151">
        <f>BO15</f>
        <v>1.8710172831887031</v>
      </c>
      <c r="W167" s="141">
        <f>V167*'Soil samples'!AR167/100</f>
        <v>3.2711264624333616E-2</v>
      </c>
      <c r="X167" s="149">
        <f t="shared" si="100"/>
        <v>3.2711264624333616E-2</v>
      </c>
      <c r="Y167" t="s">
        <v>469</v>
      </c>
      <c r="Z167" t="s">
        <v>469</v>
      </c>
      <c r="AA167" t="e">
        <f>Z167*('Wet ref'!$B$40+M167)</f>
        <v>#VALUE!</v>
      </c>
      <c r="AB167" t="s">
        <v>469</v>
      </c>
      <c r="AC167" t="s">
        <v>469</v>
      </c>
      <c r="AD167" t="s">
        <v>469</v>
      </c>
      <c r="AE167" s="177">
        <f>BP31</f>
        <v>1196.8114399999999</v>
      </c>
      <c r="AF167" s="177">
        <f>BP15</f>
        <v>11.603918259838851</v>
      </c>
      <c r="AG167" s="175">
        <f>AF167*'Soil samples'!AR167/100</f>
        <v>0.20287297412337307</v>
      </c>
      <c r="AH167" s="174">
        <f t="shared" si="107"/>
        <v>0.20287297412337307</v>
      </c>
      <c r="AI167" t="str">
        <f t="shared" si="131"/>
        <v>none</v>
      </c>
      <c r="AK167" t="e">
        <f>AJ167*('Wet ref'!$B$40+M167)</f>
        <v>#VALUE!</v>
      </c>
      <c r="AL167" s="175" t="e">
        <f t="shared" si="132"/>
        <v>#VALUE!</v>
      </c>
      <c r="AM167" s="175" t="e">
        <f>AL167*'Soil samples'!AK167/100</f>
        <v>#VALUE!</v>
      </c>
      <c r="AN167" s="174" t="e">
        <f t="shared" si="109"/>
        <v>#VALUE!</v>
      </c>
      <c r="AO167" s="175">
        <f>BQ15</f>
        <v>0.70427429214223725</v>
      </c>
      <c r="AP167" s="175">
        <f>AO167*'Soil samples'!AR167/100</f>
        <v>1.2312928878517728E-2</v>
      </c>
      <c r="AQ167" s="174">
        <f t="shared" si="111"/>
        <v>12.312928878517727</v>
      </c>
      <c r="AR167" t="str">
        <f t="shared" si="133"/>
        <v>none</v>
      </c>
      <c r="AT167" t="e">
        <f>AS167*('Wet ref'!$B$40+M167)</f>
        <v>#VALUE!</v>
      </c>
      <c r="AU167" s="175" t="e">
        <f t="shared" si="134"/>
        <v>#VALUE!</v>
      </c>
      <c r="AV167" s="175" t="e">
        <f>AU167*'Soil samples'!AK167/100</f>
        <v>#VALUE!</v>
      </c>
      <c r="AW167" s="174" t="e">
        <f t="shared" si="113"/>
        <v>#VALUE!</v>
      </c>
      <c r="AX167" s="175">
        <f>BR15</f>
        <v>0.10785643915433467</v>
      </c>
      <c r="AY167" s="175">
        <f>AX167*'Soil samples'!AR167/100</f>
        <v>1.8856696591294647E-3</v>
      </c>
      <c r="AZ167" s="174">
        <f t="shared" si="115"/>
        <v>1.8856696591294646</v>
      </c>
      <c r="BA167" t="e">
        <f t="shared" si="135"/>
        <v>#VALUE!</v>
      </c>
      <c r="BC167" t="e">
        <f>BB167*('Wet ref'!$B$40+M167)</f>
        <v>#VALUE!</v>
      </c>
      <c r="BD167" s="175" t="e">
        <f t="shared" si="136"/>
        <v>#VALUE!</v>
      </c>
      <c r="BE167" s="175" t="e">
        <f>BD167*'Soil samples'!AK167/100</f>
        <v>#VALUE!</v>
      </c>
      <c r="BF167" s="174" t="e">
        <f t="shared" si="123"/>
        <v>#VALUE!</v>
      </c>
      <c r="BG167" s="175">
        <f>BS15</f>
        <v>94.38150361130711</v>
      </c>
      <c r="BH167" s="175">
        <f>BG167*'Soil samples'!AR167/100</f>
        <v>1.6500854203817579</v>
      </c>
      <c r="BI167" s="174">
        <f t="shared" si="124"/>
        <v>1.6500854203817579</v>
      </c>
      <c r="BL167" s="31"/>
    </row>
    <row r="168" spans="1:64">
      <c r="A168" s="6" t="s">
        <v>171</v>
      </c>
      <c r="B168" s="6" t="s">
        <v>548</v>
      </c>
      <c r="C168" t="s">
        <v>12</v>
      </c>
      <c r="D168" s="8">
        <v>5</v>
      </c>
      <c r="E168" s="3">
        <v>10</v>
      </c>
      <c r="F168" s="25">
        <v>42753</v>
      </c>
      <c r="G168" s="3"/>
      <c r="H168">
        <f>'Wet ref'!B202</f>
        <v>223.5216877</v>
      </c>
      <c r="I168">
        <f>'Wet ref'!C202</f>
        <v>722.20277429999999</v>
      </c>
      <c r="J168">
        <f>'Wet ref'!D202</f>
        <v>46.400606379999999</v>
      </c>
      <c r="K168">
        <f>'Wet ref'!E202</f>
        <v>7.9450376970000001</v>
      </c>
      <c r="L168" s="3">
        <f t="shared" si="94"/>
        <v>6999.3132349999996</v>
      </c>
      <c r="M168" s="31">
        <f>'Wet ref'!$B$41*'Soil samples'!AI168%</f>
        <v>2.1512103369316331</v>
      </c>
      <c r="N168" s="105">
        <f>'Wet ref'!$B$41*'Soil samples'!AH168%</f>
        <v>2.8487896630683673</v>
      </c>
      <c r="O168">
        <f t="shared" si="129"/>
        <v>223.5216877</v>
      </c>
      <c r="P168">
        <f>O168/1000</f>
        <v>0.2235216877</v>
      </c>
      <c r="Q168">
        <f>P168*('Wet ref'!$B$40+M168)</f>
        <v>6.0688843576086446</v>
      </c>
      <c r="R168" s="141">
        <f t="shared" si="118"/>
        <v>2.1303378189992399</v>
      </c>
      <c r="S168" s="141">
        <f>R168*'Soil samples'!AK168/100</f>
        <v>0.8928542666913839</v>
      </c>
      <c r="T168" s="149">
        <f t="shared" si="97"/>
        <v>0.8928542666913839</v>
      </c>
      <c r="U168" s="141">
        <f t="shared" si="98"/>
        <v>223.5216877</v>
      </c>
      <c r="V168" s="141">
        <f t="shared" si="99"/>
        <v>2.1303378189992399</v>
      </c>
      <c r="W168" s="141">
        <f>V168*'Soil samples'!AR168/100</f>
        <v>0.8928542666913839</v>
      </c>
      <c r="X168" s="149">
        <f t="shared" si="100"/>
        <v>0.8928542666913839</v>
      </c>
      <c r="Y168">
        <f t="shared" si="130"/>
        <v>722.20277429999999</v>
      </c>
      <c r="Z168">
        <f t="shared" si="102"/>
        <v>0.72220277430000002</v>
      </c>
      <c r="AA168">
        <f>Z168*('Wet ref'!$B$40+M168)</f>
        <v>19.608679430934863</v>
      </c>
      <c r="AB168" s="175">
        <f t="shared" si="103"/>
        <v>6.8831615352797915</v>
      </c>
      <c r="AC168" s="175">
        <f>AB168*'Soil samples'!AK168/100</f>
        <v>2.8848289178791369</v>
      </c>
      <c r="AD168" s="174">
        <f t="shared" si="104"/>
        <v>2.8848289178791369</v>
      </c>
      <c r="AE168" s="175">
        <f t="shared" si="105"/>
        <v>722.20277429999999</v>
      </c>
      <c r="AF168" s="175">
        <f t="shared" si="106"/>
        <v>6.8831615352797915</v>
      </c>
      <c r="AG168" s="175">
        <f>AF168*'Soil samples'!AR168/100</f>
        <v>2.8848289178791369</v>
      </c>
      <c r="AH168" s="174">
        <f t="shared" si="107"/>
        <v>2.8848289178791369</v>
      </c>
      <c r="AI168">
        <f t="shared" si="131"/>
        <v>46.400606379999999</v>
      </c>
      <c r="AJ168">
        <f>AI168/1000</f>
        <v>4.6400606380000001E-2</v>
      </c>
      <c r="AK168">
        <f>AJ168*('Wet ref'!$B$40+M168)</f>
        <v>1.2598326235845518</v>
      </c>
      <c r="AL168" s="175">
        <f t="shared" si="132"/>
        <v>0.44223434250586768</v>
      </c>
      <c r="AM168" s="175">
        <f>AL168*'Soil samples'!AK168/100</f>
        <v>0.18534657558175927</v>
      </c>
      <c r="AN168" s="174">
        <f t="shared" si="109"/>
        <v>185.34657558175925</v>
      </c>
      <c r="AO168" s="175">
        <f t="shared" si="110"/>
        <v>0.44223434250586768</v>
      </c>
      <c r="AP168" s="175">
        <f>AO168*'Soil samples'!AR168/100</f>
        <v>0.18534657558175927</v>
      </c>
      <c r="AQ168" s="174">
        <f t="shared" si="111"/>
        <v>185.34657558175925</v>
      </c>
      <c r="AR168">
        <f t="shared" si="133"/>
        <v>7.9450376970000001</v>
      </c>
      <c r="AS168">
        <f>AR168/1000</f>
        <v>7.9450376969999997E-3</v>
      </c>
      <c r="AT168">
        <f>AS168*('Wet ref'!$B$40+M168)</f>
        <v>0.21571738964609788</v>
      </c>
      <c r="AU168" s="175">
        <f t="shared" si="134"/>
        <v>7.5722469946676765E-2</v>
      </c>
      <c r="AV168" s="175">
        <f>AU168*'Soil samples'!AK168/100</f>
        <v>3.1736342364733917E-2</v>
      </c>
      <c r="AW168" s="174">
        <f t="shared" si="113"/>
        <v>31.736342364733915</v>
      </c>
      <c r="AX168" s="175">
        <f t="shared" si="114"/>
        <v>7.5722469946676765E-2</v>
      </c>
      <c r="AY168" s="175">
        <f>AX168*'Soil samples'!AR168/100</f>
        <v>3.1736342364733917E-2</v>
      </c>
      <c r="AZ168" s="174">
        <f t="shared" si="115"/>
        <v>31.736342364733915</v>
      </c>
      <c r="BA168">
        <f t="shared" si="135"/>
        <v>6999.3132349999996</v>
      </c>
      <c r="BB168">
        <f>BA168/1000</f>
        <v>6.9993132349999998</v>
      </c>
      <c r="BC168">
        <f>BB168*('Wet ref'!$B$40+M168)</f>
        <v>190.03982585755438</v>
      </c>
      <c r="BD168" s="175">
        <f t="shared" si="136"/>
        <v>66.708970592397733</v>
      </c>
      <c r="BE168" s="175">
        <f>BD168*'Soil samples'!AK168/100</f>
        <v>27.958659180163394</v>
      </c>
      <c r="BF168" s="174">
        <f t="shared" si="123"/>
        <v>27.958659180163394</v>
      </c>
      <c r="BG168" s="175">
        <f t="shared" si="117"/>
        <v>66.708970592397733</v>
      </c>
      <c r="BH168" s="175">
        <f>BG168*'Soil samples'!AR168/100</f>
        <v>27.958659180163394</v>
      </c>
      <c r="BI168" s="174">
        <f t="shared" si="124"/>
        <v>27.958659180163394</v>
      </c>
      <c r="BK168" s="6"/>
      <c r="BL168" s="31"/>
    </row>
    <row r="169" spans="1:64">
      <c r="A169" s="6" t="s">
        <v>172</v>
      </c>
      <c r="B169" s="6" t="s">
        <v>548</v>
      </c>
      <c r="C169" t="s">
        <v>12</v>
      </c>
      <c r="D169" s="8">
        <v>5</v>
      </c>
      <c r="E169" s="3">
        <v>20</v>
      </c>
      <c r="F169" s="25">
        <v>42753</v>
      </c>
      <c r="G169" s="3"/>
      <c r="H169">
        <f>'Wet ref'!B203</f>
        <v>55.692296239999997</v>
      </c>
      <c r="I169">
        <f>'Wet ref'!C203</f>
        <v>279.50624219999997</v>
      </c>
      <c r="J169">
        <f>'Wet ref'!D203</f>
        <v>90.871417449999996</v>
      </c>
      <c r="K169">
        <f>'Wet ref'!E203</f>
        <v>4.5009285109999997</v>
      </c>
      <c r="L169" s="3">
        <f t="shared" si="94"/>
        <v>4165.7299725599996</v>
      </c>
      <c r="M169" s="31">
        <f>'Wet ref'!$B$41*'Soil samples'!AI169%</f>
        <v>2.436636595898618</v>
      </c>
      <c r="N169" s="105">
        <f>'Wet ref'!$B$41*'Soil samples'!AH169%</f>
        <v>2.563363404101382</v>
      </c>
      <c r="O169">
        <f t="shared" si="129"/>
        <v>55.692296239999997</v>
      </c>
      <c r="P169">
        <f>O169/1000</f>
        <v>5.5692296239999994E-2</v>
      </c>
      <c r="Q169">
        <f>P169*('Wet ref'!$B$40+M169)</f>
        <v>1.5280092931280109</v>
      </c>
      <c r="R169" s="141">
        <f t="shared" si="118"/>
        <v>0.59609546218971365</v>
      </c>
      <c r="S169" s="141">
        <f>R169*'Soil samples'!AK169/100</f>
        <v>0.21547987051691209</v>
      </c>
      <c r="T169" s="149">
        <f t="shared" si="97"/>
        <v>0.21547987051691209</v>
      </c>
      <c r="U169" s="141">
        <f t="shared" si="98"/>
        <v>55.692296239999997</v>
      </c>
      <c r="V169" s="141">
        <f t="shared" si="99"/>
        <v>0.59609546218971365</v>
      </c>
      <c r="W169" s="141">
        <f>V169*'Soil samples'!AR169/100</f>
        <v>0.21547987051691209</v>
      </c>
      <c r="X169" s="149">
        <f t="shared" si="100"/>
        <v>0.21547987051691209</v>
      </c>
      <c r="Y169">
        <f t="shared" si="130"/>
        <v>279.50624219999997</v>
      </c>
      <c r="Z169">
        <f t="shared" si="102"/>
        <v>0.27950624219999998</v>
      </c>
      <c r="AA169">
        <f>Z169*('Wet ref'!$B$40+M169)</f>
        <v>7.6687111935266223</v>
      </c>
      <c r="AB169" s="175">
        <f t="shared" si="103"/>
        <v>2.991659778421071</v>
      </c>
      <c r="AC169" s="175">
        <f>AB169*'Soil samples'!AK169/100</f>
        <v>1.0814416525111243</v>
      </c>
      <c r="AD169" s="174">
        <f t="shared" si="104"/>
        <v>1.0814416525111243</v>
      </c>
      <c r="AE169" s="175">
        <f t="shared" si="105"/>
        <v>279.50624219999997</v>
      </c>
      <c r="AF169" s="175">
        <f t="shared" si="106"/>
        <v>2.991659778421071</v>
      </c>
      <c r="AG169" s="175">
        <f>AF169*'Soil samples'!AR169/100</f>
        <v>1.0814416525111243</v>
      </c>
      <c r="AH169" s="174">
        <f t="shared" si="107"/>
        <v>1.0814416525111243</v>
      </c>
      <c r="AI169">
        <f t="shared" si="131"/>
        <v>90.871417449999996</v>
      </c>
      <c r="AJ169">
        <f>AI169/1000</f>
        <v>9.0871417449999992E-2</v>
      </c>
      <c r="AK169">
        <f>AJ169*('Wet ref'!$B$40+M169)</f>
        <v>2.49320605752985</v>
      </c>
      <c r="AL169" s="175">
        <f t="shared" si="132"/>
        <v>0.97263074503627533</v>
      </c>
      <c r="AM169" s="175">
        <f>AL169*'Soil samples'!AK169/100</f>
        <v>0.35159191823285946</v>
      </c>
      <c r="AN169" s="174">
        <f t="shared" si="109"/>
        <v>351.59191823285943</v>
      </c>
      <c r="AO169" s="175">
        <f t="shared" si="110"/>
        <v>0.97263074503627533</v>
      </c>
      <c r="AP169" s="175">
        <f>AO169*'Soil samples'!AR169/100</f>
        <v>0.35159191823285946</v>
      </c>
      <c r="AQ169" s="174">
        <f t="shared" si="111"/>
        <v>351.59191823285943</v>
      </c>
      <c r="AR169">
        <f t="shared" si="133"/>
        <v>4.5009285109999997</v>
      </c>
      <c r="AS169">
        <f>AR169/1000</f>
        <v>4.5009285109999997E-3</v>
      </c>
      <c r="AT169">
        <f>AS169*('Wet ref'!$B$40+M169)</f>
        <v>0.12349033990042607</v>
      </c>
      <c r="AU169" s="175">
        <f t="shared" si="134"/>
        <v>4.8175120118685279E-2</v>
      </c>
      <c r="AV169" s="175">
        <f>AU169*'Soil samples'!AK169/100</f>
        <v>1.7414607732758082E-2</v>
      </c>
      <c r="AW169" s="174">
        <f t="shared" si="113"/>
        <v>17.414607732758082</v>
      </c>
      <c r="AX169" s="175">
        <f t="shared" si="114"/>
        <v>4.8175120118685279E-2</v>
      </c>
      <c r="AY169" s="175">
        <f>AX169*'Soil samples'!AR169/100</f>
        <v>1.7414607732758082E-2</v>
      </c>
      <c r="AZ169" s="174">
        <f t="shared" si="115"/>
        <v>17.414607732758082</v>
      </c>
      <c r="BA169">
        <f t="shared" si="135"/>
        <v>4165.7299725599996</v>
      </c>
      <c r="BB169">
        <f>BA169/1000</f>
        <v>4.1657299725599994</v>
      </c>
      <c r="BC169">
        <f>BB169*('Wet ref'!$B$40+M169)</f>
        <v>114.29361941377144</v>
      </c>
      <c r="BD169" s="175">
        <f t="shared" si="136"/>
        <v>44.587364878074496</v>
      </c>
      <c r="BE169" s="175">
        <f>BD169*'Soil samples'!AK169/100</f>
        <v>16.117686209730049</v>
      </c>
      <c r="BF169" s="174">
        <f t="shared" si="123"/>
        <v>16.117686209730049</v>
      </c>
      <c r="BG169" s="175">
        <f t="shared" si="117"/>
        <v>44.587364878074496</v>
      </c>
      <c r="BH169" s="175">
        <f>BG169*'Soil samples'!AR169/100</f>
        <v>16.117686209730049</v>
      </c>
      <c r="BI169" s="174">
        <f t="shared" si="124"/>
        <v>16.117686209730049</v>
      </c>
      <c r="BK169" s="6"/>
      <c r="BL169" s="31"/>
    </row>
    <row r="170" spans="1:64">
      <c r="A170" s="6" t="s">
        <v>173</v>
      </c>
      <c r="B170" s="6" t="s">
        <v>548</v>
      </c>
      <c r="C170" t="s">
        <v>12</v>
      </c>
      <c r="D170" s="8">
        <v>5</v>
      </c>
      <c r="E170" s="3">
        <v>30</v>
      </c>
      <c r="F170" s="25">
        <v>42753</v>
      </c>
      <c r="G170" s="3"/>
      <c r="H170">
        <f>'Wet ref'!B204</f>
        <v>182.30423289999999</v>
      </c>
      <c r="I170">
        <f>'Wet ref'!C204</f>
        <v>277.37011840000002</v>
      </c>
      <c r="J170">
        <f>'Wet ref'!D204</f>
        <v>37.248639580000003</v>
      </c>
      <c r="K170">
        <f>'Wet ref'!E204</f>
        <v>4.5360978620000001</v>
      </c>
      <c r="L170" s="3">
        <f t="shared" si="94"/>
        <v>4076.4235107000004</v>
      </c>
      <c r="M170" s="31">
        <f>'Wet ref'!$B$41*'Soil samples'!AI170%</f>
        <v>2.1535960509297167</v>
      </c>
      <c r="N170" s="105">
        <f>'Wet ref'!$B$41*'Soil samples'!AH170%</f>
        <v>2.8464039490702833</v>
      </c>
      <c r="O170">
        <f t="shared" si="129"/>
        <v>182.30423289999999</v>
      </c>
      <c r="P170">
        <f>O170/1000</f>
        <v>0.1823042329</v>
      </c>
      <c r="Q170">
        <f>P170*('Wet ref'!$B$40+M170)</f>
        <v>4.9502154985412119</v>
      </c>
      <c r="R170" s="141">
        <f t="shared" si="118"/>
        <v>1.7391120821618076</v>
      </c>
      <c r="S170" s="141">
        <f>R170*'Soil samples'!AK170/100</f>
        <v>0.66956614833268413</v>
      </c>
      <c r="T170" s="149">
        <f t="shared" si="97"/>
        <v>0.66956614833268413</v>
      </c>
      <c r="U170" s="141">
        <f t="shared" si="98"/>
        <v>182.30423289999999</v>
      </c>
      <c r="V170" s="141">
        <f t="shared" si="99"/>
        <v>1.7391120821618076</v>
      </c>
      <c r="W170" s="141">
        <f>V170*'Soil samples'!AR170/100</f>
        <v>0.66956614833268413</v>
      </c>
      <c r="X170" s="149">
        <f t="shared" si="100"/>
        <v>0.66956614833268413</v>
      </c>
      <c r="Y170">
        <f t="shared" si="130"/>
        <v>277.37011840000002</v>
      </c>
      <c r="Z170">
        <f t="shared" si="102"/>
        <v>0.27737011840000003</v>
      </c>
      <c r="AA170">
        <f>Z170*('Wet ref'!$B$40+M170)</f>
        <v>7.531596151632149</v>
      </c>
      <c r="AB170" s="175">
        <f t="shared" si="103"/>
        <v>2.6460039707618392</v>
      </c>
      <c r="AC170" s="175">
        <f>AB170*'Soil samples'!AK170/100</f>
        <v>1.0187236954697643</v>
      </c>
      <c r="AD170" s="174">
        <f t="shared" si="104"/>
        <v>1.0187236954697643</v>
      </c>
      <c r="AE170" s="175">
        <f t="shared" si="105"/>
        <v>277.37011840000002</v>
      </c>
      <c r="AF170" s="175">
        <f t="shared" si="106"/>
        <v>2.6460039707618392</v>
      </c>
      <c r="AG170" s="175">
        <f>AF170*'Soil samples'!AR170/100</f>
        <v>1.0187236954697643</v>
      </c>
      <c r="AH170" s="174">
        <f t="shared" si="107"/>
        <v>1.0187236954697643</v>
      </c>
      <c r="AI170">
        <f t="shared" si="131"/>
        <v>37.248639580000003</v>
      </c>
      <c r="AJ170">
        <f>AI170/1000</f>
        <v>3.7248639579999999E-2</v>
      </c>
      <c r="AK170">
        <f>AJ170*('Wet ref'!$B$40+M170)</f>
        <v>1.0114345126019924</v>
      </c>
      <c r="AL170" s="175">
        <f t="shared" si="132"/>
        <v>0.35533765786558713</v>
      </c>
      <c r="AM170" s="175">
        <f>AL170*'Soil samples'!AK170/100</f>
        <v>0.13680663217454547</v>
      </c>
      <c r="AN170" s="174">
        <f t="shared" si="109"/>
        <v>136.80663217454546</v>
      </c>
      <c r="AO170" s="175">
        <f t="shared" si="110"/>
        <v>0.35533765786558713</v>
      </c>
      <c r="AP170" s="175">
        <f>AO170*'Soil samples'!AR170/100</f>
        <v>0.13680663217454547</v>
      </c>
      <c r="AQ170" s="174">
        <f t="shared" si="111"/>
        <v>136.80663217454546</v>
      </c>
      <c r="AR170">
        <f t="shared" si="133"/>
        <v>4.5360978620000001</v>
      </c>
      <c r="AS170">
        <f>AR170/1000</f>
        <v>4.5360978620000002E-3</v>
      </c>
      <c r="AT170">
        <f>AS170*('Wet ref'!$B$40+M170)</f>
        <v>0.12317136899223394</v>
      </c>
      <c r="AU170" s="175">
        <f t="shared" si="134"/>
        <v>4.3272624404721342E-2</v>
      </c>
      <c r="AV170" s="175">
        <f>AU170*'Soil samples'!AK170/100</f>
        <v>1.6660159369889561E-2</v>
      </c>
      <c r="AW170" s="174">
        <f t="shared" si="113"/>
        <v>16.660159369889563</v>
      </c>
      <c r="AX170" s="175">
        <f t="shared" si="114"/>
        <v>4.3272624404721342E-2</v>
      </c>
      <c r="AY170" s="175">
        <f>AX170*'Soil samples'!AR170/100</f>
        <v>1.6660159369889561E-2</v>
      </c>
      <c r="AZ170" s="174">
        <f t="shared" si="115"/>
        <v>16.660159369889563</v>
      </c>
      <c r="BA170">
        <f t="shared" si="135"/>
        <v>4076.4235107000004</v>
      </c>
      <c r="BB170">
        <f>BA170/1000</f>
        <v>4.0764235107000006</v>
      </c>
      <c r="BC170">
        <f>BB170*('Wet ref'!$B$40+M170)</f>
        <v>110.6895573420606</v>
      </c>
      <c r="BD170" s="175">
        <f t="shared" si="136"/>
        <v>38.887508351797699</v>
      </c>
      <c r="BE170" s="175">
        <f>BD170*'Soil samples'!AK170/100</f>
        <v>14.971869526087112</v>
      </c>
      <c r="BF170" s="174">
        <f t="shared" si="123"/>
        <v>14.971869526087112</v>
      </c>
      <c r="BG170" s="175">
        <f t="shared" si="117"/>
        <v>38.887508351797699</v>
      </c>
      <c r="BH170" s="175">
        <f>BG170*'Soil samples'!AR170/100</f>
        <v>14.971869526087112</v>
      </c>
      <c r="BI170" s="174">
        <f t="shared" si="124"/>
        <v>14.971869526087112</v>
      </c>
      <c r="BK170" s="6"/>
      <c r="BL170" s="31"/>
    </row>
    <row r="171" spans="1:64">
      <c r="A171" s="206" t="s">
        <v>174</v>
      </c>
      <c r="B171" s="6" t="s">
        <v>548</v>
      </c>
      <c r="C171" t="s">
        <v>12</v>
      </c>
      <c r="D171" s="8">
        <v>6</v>
      </c>
      <c r="E171" s="3">
        <v>5</v>
      </c>
      <c r="F171" s="8" t="s">
        <v>469</v>
      </c>
      <c r="G171" s="8" t="s">
        <v>469</v>
      </c>
      <c r="H171" s="6" t="s">
        <v>469</v>
      </c>
      <c r="I171" s="6" t="s">
        <v>469</v>
      </c>
      <c r="J171" s="6" t="s">
        <v>469</v>
      </c>
      <c r="K171" s="6" t="s">
        <v>469</v>
      </c>
      <c r="L171" s="3" t="s">
        <v>469</v>
      </c>
      <c r="M171" s="31">
        <f>'Wet ref'!$B$41*'Soil samples'!AI171%</f>
        <v>2.696422601136744</v>
      </c>
      <c r="N171" s="105">
        <f>'Wet ref'!$B$41*'Soil samples'!AH171%</f>
        <v>2.303577398863256</v>
      </c>
      <c r="O171" t="s">
        <v>469</v>
      </c>
      <c r="P171" t="s">
        <v>469</v>
      </c>
      <c r="Q171" t="s">
        <v>469</v>
      </c>
      <c r="R171" t="s">
        <v>469</v>
      </c>
      <c r="S171" t="s">
        <v>469</v>
      </c>
      <c r="T171" t="s">
        <v>469</v>
      </c>
      <c r="U171" s="151">
        <f>BO32</f>
        <v>192.97403159999999</v>
      </c>
      <c r="V171" s="151">
        <f>BO16</f>
        <v>1.8710172831887031</v>
      </c>
      <c r="W171" s="141">
        <f>V171*'Soil samples'!AR171/100</f>
        <v>2.7498011346661841E-2</v>
      </c>
      <c r="X171" s="149">
        <f t="shared" si="100"/>
        <v>2.7498011346661841E-2</v>
      </c>
      <c r="Y171" t="s">
        <v>469</v>
      </c>
      <c r="Z171" t="s">
        <v>469</v>
      </c>
      <c r="AA171" t="e">
        <f>Z171*('Wet ref'!$B$40+M171)</f>
        <v>#VALUE!</v>
      </c>
      <c r="AB171" t="s">
        <v>469</v>
      </c>
      <c r="AC171" t="s">
        <v>469</v>
      </c>
      <c r="AD171" t="s">
        <v>469</v>
      </c>
      <c r="AE171" s="175">
        <f>BP32</f>
        <v>1196.8114399999999</v>
      </c>
      <c r="AF171" s="175">
        <f>BP16</f>
        <v>11.603918259838851</v>
      </c>
      <c r="AG171" s="175">
        <f>AF171*'Soil samples'!AR171/100</f>
        <v>0.17054074210954451</v>
      </c>
      <c r="AH171" s="174">
        <f t="shared" si="107"/>
        <v>0.17054074210954451</v>
      </c>
      <c r="AI171" t="str">
        <f t="shared" si="131"/>
        <v>none</v>
      </c>
      <c r="AK171">
        <f>AJ171*('Wet ref'!$B$40+M171)</f>
        <v>0</v>
      </c>
      <c r="AL171" s="175">
        <f t="shared" si="132"/>
        <v>0</v>
      </c>
      <c r="AM171" s="175">
        <f>AL171*'Soil samples'!AK171/100</f>
        <v>0</v>
      </c>
      <c r="AN171" s="174">
        <f t="shared" si="109"/>
        <v>0</v>
      </c>
      <c r="AO171" s="175">
        <f>BQ16</f>
        <v>0.70427429214223725</v>
      </c>
      <c r="AP171" s="175">
        <f>AO171*'Soil samples'!AR171/100</f>
        <v>1.035059518182777E-2</v>
      </c>
      <c r="AQ171" s="174">
        <f t="shared" si="111"/>
        <v>10.350595181827771</v>
      </c>
      <c r="AR171" t="str">
        <f t="shared" si="133"/>
        <v>none</v>
      </c>
      <c r="AT171">
        <f>AS171*('Wet ref'!$B$40+M171)</f>
        <v>0</v>
      </c>
      <c r="AU171" s="175">
        <f t="shared" si="134"/>
        <v>0</v>
      </c>
      <c r="AV171" s="175">
        <f>AU171*'Soil samples'!AK171/100</f>
        <v>0</v>
      </c>
      <c r="AW171" s="174">
        <f t="shared" si="113"/>
        <v>0</v>
      </c>
      <c r="AX171" s="175">
        <f>BR16</f>
        <v>0.10785643915433467</v>
      </c>
      <c r="AY171" s="175">
        <f>AX171*'Soil samples'!AR171/100</f>
        <v>1.5851470824587326E-3</v>
      </c>
      <c r="AZ171" s="174">
        <f t="shared" si="115"/>
        <v>1.5851470824587326</v>
      </c>
      <c r="BA171" t="e">
        <f t="shared" si="135"/>
        <v>#VALUE!</v>
      </c>
      <c r="BC171">
        <f>BB171*('Wet ref'!$B$40+M171)</f>
        <v>0</v>
      </c>
      <c r="BD171" s="175">
        <f t="shared" si="136"/>
        <v>0</v>
      </c>
      <c r="BE171" s="175">
        <f>BD171*'Soil samples'!AK171/100</f>
        <v>0</v>
      </c>
      <c r="BF171" s="174">
        <f t="shared" si="123"/>
        <v>0</v>
      </c>
      <c r="BG171" s="175">
        <f>BS16</f>
        <v>94.38150361130711</v>
      </c>
      <c r="BH171" s="175">
        <f>BG171*'Soil samples'!AR171/100</f>
        <v>1.3871083290025263</v>
      </c>
      <c r="BI171" s="174">
        <f t="shared" si="124"/>
        <v>1.3871083290025263</v>
      </c>
      <c r="BL171" s="31"/>
    </row>
    <row r="172" spans="1:64">
      <c r="A172" s="6" t="s">
        <v>175</v>
      </c>
      <c r="B172" s="6" t="s">
        <v>548</v>
      </c>
      <c r="C172" t="s">
        <v>12</v>
      </c>
      <c r="D172" s="8">
        <v>6</v>
      </c>
      <c r="E172" s="3">
        <v>10</v>
      </c>
      <c r="F172" s="26">
        <v>42821</v>
      </c>
      <c r="G172" s="3"/>
      <c r="H172">
        <f>'Wet ref'!B205</f>
        <v>887.25392920000002</v>
      </c>
      <c r="I172">
        <f>'Wet ref'!C205</f>
        <v>833.50606930000004</v>
      </c>
      <c r="J172">
        <f>'Wet ref'!D205</f>
        <v>92.986166960000006</v>
      </c>
      <c r="K172">
        <f>'Wet ref'!E205</f>
        <v>11.073617609999999</v>
      </c>
      <c r="L172" s="3">
        <f t="shared" si="94"/>
        <v>9352.8576114999996</v>
      </c>
      <c r="M172" s="31">
        <f>'Wet ref'!$B$41*'Soil samples'!AI172%</f>
        <v>2.9697354911259968</v>
      </c>
      <c r="N172" s="105">
        <f>'Wet ref'!$B$41*'Soil samples'!AH172%</f>
        <v>2.0302645088740032</v>
      </c>
      <c r="O172">
        <f t="shared" si="129"/>
        <v>887.25392920000002</v>
      </c>
      <c r="P172">
        <f t="shared" ref="P172:P192" si="137">O172/1000</f>
        <v>0.88725392920000001</v>
      </c>
      <c r="Q172">
        <f>P172*('Wet ref'!$B$40+M172)</f>
        <v>24.816257713186232</v>
      </c>
      <c r="R172" s="141">
        <f t="shared" si="118"/>
        <v>12.223164816563472</v>
      </c>
      <c r="S172" s="141">
        <f>R172*'Soil samples'!AK172/100</f>
        <v>2.20269103462241</v>
      </c>
      <c r="T172" s="149">
        <f t="shared" si="97"/>
        <v>2.20269103462241</v>
      </c>
      <c r="U172" s="141">
        <f t="shared" si="98"/>
        <v>887.25392920000002</v>
      </c>
      <c r="V172" s="141">
        <f t="shared" si="99"/>
        <v>12.223164816563472</v>
      </c>
      <c r="W172" s="141">
        <f>V172*'Soil samples'!AR172/100</f>
        <v>2.20269103462241</v>
      </c>
      <c r="X172" s="149">
        <f t="shared" si="100"/>
        <v>2.20269103462241</v>
      </c>
      <c r="Y172">
        <f t="shared" si="130"/>
        <v>833.50606930000004</v>
      </c>
      <c r="Z172">
        <f t="shared" si="102"/>
        <v>0.83350606930000004</v>
      </c>
      <c r="AA172">
        <f>Z172*('Wet ref'!$B$40+M172)</f>
        <v>23.312944288569135</v>
      </c>
      <c r="AB172" s="175">
        <f t="shared" si="103"/>
        <v>11.482712812380605</v>
      </c>
      <c r="AC172" s="175">
        <f>AB172*'Soil samples'!AK172/100</f>
        <v>2.0692569350533963</v>
      </c>
      <c r="AD172" s="174">
        <f t="shared" si="104"/>
        <v>2.0692569350533963</v>
      </c>
      <c r="AE172" s="175">
        <f t="shared" si="105"/>
        <v>833.50606930000004</v>
      </c>
      <c r="AF172" s="175">
        <f t="shared" si="106"/>
        <v>11.482712812380605</v>
      </c>
      <c r="AG172" s="175">
        <f>AF172*'Soil samples'!AR172/100</f>
        <v>2.0692569350533963</v>
      </c>
      <c r="AH172" s="174">
        <f t="shared" si="107"/>
        <v>2.0692569350533963</v>
      </c>
      <c r="AI172">
        <f t="shared" si="131"/>
        <v>92.986166960000006</v>
      </c>
      <c r="AJ172">
        <f t="shared" ref="AJ172:AJ192" si="138">AI172/1000</f>
        <v>9.2986166960000005E-2</v>
      </c>
      <c r="AK172">
        <f>AJ172*('Wet ref'!$B$40+M172)</f>
        <v>2.6007984942048794</v>
      </c>
      <c r="AL172" s="175">
        <f t="shared" si="132"/>
        <v>1.2810146081149287</v>
      </c>
      <c r="AM172" s="175">
        <f>AL172*'Soil samples'!AK172/100</f>
        <v>0.23084687434562512</v>
      </c>
      <c r="AN172" s="174">
        <f t="shared" si="109"/>
        <v>230.84687434562511</v>
      </c>
      <c r="AO172" s="175">
        <f t="shared" si="110"/>
        <v>1.2810146081149287</v>
      </c>
      <c r="AP172" s="175">
        <f>AO172*'Soil samples'!AR172/100</f>
        <v>0.23084687434562512</v>
      </c>
      <c r="AQ172" s="174">
        <f t="shared" si="111"/>
        <v>230.84687434562511</v>
      </c>
      <c r="AR172">
        <f t="shared" si="133"/>
        <v>11.073617609999999</v>
      </c>
      <c r="AS172">
        <f t="shared" ref="AS172:AS192" si="139">AR172/1000</f>
        <v>1.1073617609999999E-2</v>
      </c>
      <c r="AT172">
        <f>AS172*('Wet ref'!$B$40+M172)</f>
        <v>0.30972615548157478</v>
      </c>
      <c r="AU172" s="175">
        <f t="shared" si="134"/>
        <v>0.1525545829756689</v>
      </c>
      <c r="AV172" s="175">
        <f>AU172*'Soil samples'!AK172/100</f>
        <v>2.7491293560544583E-2</v>
      </c>
      <c r="AW172" s="174">
        <f t="shared" si="113"/>
        <v>27.491293560544584</v>
      </c>
      <c r="AX172" s="175">
        <f t="shared" si="114"/>
        <v>0.1525545829756689</v>
      </c>
      <c r="AY172" s="175">
        <f>AX172*'Soil samples'!AR172/100</f>
        <v>2.7491293560544583E-2</v>
      </c>
      <c r="AZ172" s="174">
        <f t="shared" si="115"/>
        <v>27.491293560544584</v>
      </c>
      <c r="BA172">
        <f t="shared" si="135"/>
        <v>9352.8576114999996</v>
      </c>
      <c r="BB172">
        <f t="shared" ref="BB172:BB192" si="140">BA172/1000</f>
        <v>9.3528576114999993</v>
      </c>
      <c r="BC172">
        <f>BB172*('Wet ref'!$B$40+M172)</f>
        <v>261.59695347981943</v>
      </c>
      <c r="BD172" s="175">
        <f t="shared" si="136"/>
        <v>128.84870534672481</v>
      </c>
      <c r="BE172" s="175">
        <f>BD172*'Soil samples'!AK172/100</f>
        <v>23.21934559086877</v>
      </c>
      <c r="BF172" s="174">
        <f t="shared" si="123"/>
        <v>23.21934559086877</v>
      </c>
      <c r="BG172" s="175">
        <f t="shared" si="117"/>
        <v>128.84870534672481</v>
      </c>
      <c r="BH172" s="175">
        <f>BG172*'Soil samples'!AR172/100</f>
        <v>23.21934559086877</v>
      </c>
      <c r="BI172" s="174">
        <f t="shared" si="124"/>
        <v>23.21934559086877</v>
      </c>
      <c r="BK172" s="6"/>
      <c r="BL172" s="31"/>
    </row>
    <row r="173" spans="1:64">
      <c r="A173" s="6" t="s">
        <v>176</v>
      </c>
      <c r="B173" s="6" t="s">
        <v>548</v>
      </c>
      <c r="C173" t="s">
        <v>12</v>
      </c>
      <c r="D173" s="8">
        <v>6</v>
      </c>
      <c r="E173" s="3">
        <v>20</v>
      </c>
      <c r="F173" s="26">
        <v>42821</v>
      </c>
      <c r="G173" s="3"/>
      <c r="H173">
        <f>'Wet ref'!B206</f>
        <v>823.37048340000001</v>
      </c>
      <c r="I173">
        <f>'Wet ref'!C206</f>
        <v>340.7533234</v>
      </c>
      <c r="J173">
        <f>'Wet ref'!D206</f>
        <v>63.188510039999997</v>
      </c>
      <c r="K173">
        <f>'Wet ref'!E206</f>
        <v>5.6015252489999998</v>
      </c>
      <c r="L173" s="3">
        <f t="shared" si="94"/>
        <v>4437.4014422</v>
      </c>
      <c r="M173" s="31">
        <f>'Wet ref'!$B$41*'Soil samples'!AI173%</f>
        <v>2.2343463818955085</v>
      </c>
      <c r="N173" s="105">
        <f>'Wet ref'!$B$41*'Soil samples'!AH173%</f>
        <v>2.7656536181044915</v>
      </c>
      <c r="O173">
        <f t="shared" si="129"/>
        <v>823.37048340000001</v>
      </c>
      <c r="P173">
        <f t="shared" si="137"/>
        <v>0.82337048339999996</v>
      </c>
      <c r="Q173">
        <f>P173*('Wet ref'!$B$40+M173)</f>
        <v>22.423956945544347</v>
      </c>
      <c r="R173" s="141">
        <f t="shared" si="118"/>
        <v>8.1080135266227433</v>
      </c>
      <c r="S173" s="141">
        <f>R173*'Soil samples'!AK173/100</f>
        <v>2.9003145913367065</v>
      </c>
      <c r="T173" s="149">
        <f t="shared" si="97"/>
        <v>2.9003145913367065</v>
      </c>
      <c r="U173" s="141">
        <f t="shared" si="98"/>
        <v>823.37048340000001</v>
      </c>
      <c r="V173" s="141">
        <f t="shared" si="99"/>
        <v>8.1080135266227433</v>
      </c>
      <c r="W173" s="141">
        <f>V173*'Soil samples'!AR173/100</f>
        <v>2.9003145913367065</v>
      </c>
      <c r="X173" s="149">
        <f t="shared" si="100"/>
        <v>2.9003145913367065</v>
      </c>
      <c r="Y173">
        <f t="shared" si="130"/>
        <v>340.7533234</v>
      </c>
      <c r="Z173">
        <f t="shared" si="102"/>
        <v>0.34075332339999997</v>
      </c>
      <c r="AA173">
        <f>Z173*('Wet ref'!$B$40+M173)</f>
        <v>9.2801940402576601</v>
      </c>
      <c r="AB173" s="175">
        <f t="shared" si="103"/>
        <v>3.3555156652690545</v>
      </c>
      <c r="AC173" s="175">
        <f>AB173*'Soil samples'!AK173/100</f>
        <v>1.2003002971669261</v>
      </c>
      <c r="AD173" s="174">
        <f t="shared" si="104"/>
        <v>1.2003002971669261</v>
      </c>
      <c r="AE173" s="175">
        <f t="shared" si="105"/>
        <v>340.7533234</v>
      </c>
      <c r="AF173" s="175">
        <f t="shared" si="106"/>
        <v>3.3555156652690545</v>
      </c>
      <c r="AG173" s="175">
        <f>AF173*'Soil samples'!AR173/100</f>
        <v>1.2003002971669261</v>
      </c>
      <c r="AH173" s="174">
        <f t="shared" si="107"/>
        <v>1.2003002971669261</v>
      </c>
      <c r="AI173">
        <f t="shared" si="131"/>
        <v>63.188510039999997</v>
      </c>
      <c r="AJ173">
        <f t="shared" si="138"/>
        <v>6.3188510039999993E-2</v>
      </c>
      <c r="AK173">
        <f>AJ173*('Wet ref'!$B$40+M173)</f>
        <v>1.7208977697852419</v>
      </c>
      <c r="AL173" s="175">
        <f t="shared" si="132"/>
        <v>0.62223908247942539</v>
      </c>
      <c r="AM173" s="175">
        <f>AL173*'Soil samples'!AK173/100</f>
        <v>0.22258091754402323</v>
      </c>
      <c r="AN173" s="174">
        <f t="shared" si="109"/>
        <v>222.58091754402324</v>
      </c>
      <c r="AO173" s="175">
        <f t="shared" si="110"/>
        <v>0.62223908247942539</v>
      </c>
      <c r="AP173" s="175">
        <f>AO173*'Soil samples'!AR173/100</f>
        <v>0.22258091754402323</v>
      </c>
      <c r="AQ173" s="174">
        <f t="shared" si="111"/>
        <v>222.58091754402324</v>
      </c>
      <c r="AR173">
        <f t="shared" si="133"/>
        <v>5.6015252489999998</v>
      </c>
      <c r="AS173">
        <f t="shared" si="139"/>
        <v>5.6015252489999999E-3</v>
      </c>
      <c r="AT173">
        <f>AS173*('Wet ref'!$B$40+M173)</f>
        <v>0.15255387889819949</v>
      </c>
      <c r="AU173" s="175">
        <f t="shared" si="134"/>
        <v>5.516015378771693E-2</v>
      </c>
      <c r="AV173" s="175">
        <f>AU173*'Soil samples'!AK173/100</f>
        <v>1.9731318696693128E-2</v>
      </c>
      <c r="AW173" s="174">
        <f t="shared" si="113"/>
        <v>19.73131869669313</v>
      </c>
      <c r="AX173" s="175">
        <f t="shared" si="114"/>
        <v>5.516015378771693E-2</v>
      </c>
      <c r="AY173" s="175">
        <f>AX173*'Soil samples'!AR173/100</f>
        <v>1.9731318696693128E-2</v>
      </c>
      <c r="AZ173" s="174">
        <f t="shared" si="115"/>
        <v>19.73131869669313</v>
      </c>
      <c r="BA173">
        <f t="shared" si="135"/>
        <v>4437.4014422</v>
      </c>
      <c r="BB173">
        <f t="shared" si="140"/>
        <v>4.4374014421999997</v>
      </c>
      <c r="BC173">
        <f>BB173*('Wet ref'!$B$40+M173)</f>
        <v>120.84972791239747</v>
      </c>
      <c r="BD173" s="175">
        <f t="shared" si="136"/>
        <v>43.696624595825128</v>
      </c>
      <c r="BE173" s="175">
        <f>BD173*'Soil samples'!AK173/100</f>
        <v>15.630703808189494</v>
      </c>
      <c r="BF173" s="174">
        <f t="shared" si="123"/>
        <v>15.630703808189494</v>
      </c>
      <c r="BG173" s="175">
        <f t="shared" si="117"/>
        <v>43.696624595825128</v>
      </c>
      <c r="BH173" s="175">
        <f>BG173*'Soil samples'!AR173/100</f>
        <v>15.630703808189494</v>
      </c>
      <c r="BI173" s="174">
        <f t="shared" si="124"/>
        <v>15.630703808189494</v>
      </c>
      <c r="BK173" s="6"/>
      <c r="BL173" s="31"/>
    </row>
    <row r="174" spans="1:64">
      <c r="A174" s="6" t="s">
        <v>177</v>
      </c>
      <c r="B174" s="6" t="s">
        <v>548</v>
      </c>
      <c r="C174" t="s">
        <v>12</v>
      </c>
      <c r="D174" s="8">
        <v>6</v>
      </c>
      <c r="E174" s="3">
        <v>30</v>
      </c>
      <c r="F174" s="26">
        <v>42821</v>
      </c>
      <c r="G174" s="3"/>
      <c r="H174">
        <f>'Wet ref'!B207</f>
        <v>1144.2584750000001</v>
      </c>
      <c r="I174">
        <f>'Wet ref'!C207</f>
        <v>339.09285469999998</v>
      </c>
      <c r="J174">
        <f>'Wet ref'!D207</f>
        <v>49.02910859</v>
      </c>
      <c r="K174">
        <f>'Wet ref'!E207</f>
        <v>7.8643521420000004</v>
      </c>
      <c r="L174" s="3">
        <f t="shared" si="94"/>
        <v>6381.0008123000007</v>
      </c>
      <c r="M174" s="31">
        <f>'Wet ref'!$B$41*'Soil samples'!AI174%</f>
        <v>2.5749725231590515</v>
      </c>
      <c r="N174" s="105">
        <f>'Wet ref'!$B$41*'Soil samples'!AH174%</f>
        <v>2.4250274768409481</v>
      </c>
      <c r="O174">
        <f t="shared" si="129"/>
        <v>1144.2584750000001</v>
      </c>
      <c r="P174">
        <f t="shared" si="137"/>
        <v>1.144258475</v>
      </c>
      <c r="Q174">
        <f>P174*('Wet ref'!$B$40+M174)</f>
        <v>31.552896007516878</v>
      </c>
      <c r="R174" s="141">
        <f t="shared" si="118"/>
        <v>13.011356081053741</v>
      </c>
      <c r="S174" s="141">
        <f>R174*'Soil samples'!AK174/100</f>
        <v>5.1292387749819452</v>
      </c>
      <c r="T174" s="149">
        <f t="shared" si="97"/>
        <v>5.1292387749819452</v>
      </c>
      <c r="U174" s="141">
        <f t="shared" si="98"/>
        <v>1144.2584750000001</v>
      </c>
      <c r="V174" s="141">
        <f t="shared" si="99"/>
        <v>13.011356081053741</v>
      </c>
      <c r="W174" s="141">
        <f>V174*'Soil samples'!AR174/100</f>
        <v>5.1292387749819452</v>
      </c>
      <c r="X174" s="149">
        <f t="shared" si="100"/>
        <v>5.1292387749819452</v>
      </c>
      <c r="Y174">
        <f t="shared" si="130"/>
        <v>339.09285469999998</v>
      </c>
      <c r="Z174">
        <f t="shared" si="102"/>
        <v>0.3390928547</v>
      </c>
      <c r="AA174">
        <f>Z174*('Wet ref'!$B$40+M174)</f>
        <v>9.3504761511520638</v>
      </c>
      <c r="AB174" s="175">
        <f t="shared" si="103"/>
        <v>3.8558227650817418</v>
      </c>
      <c r="AC174" s="175">
        <f>AB174*'Soil samples'!AK174/100</f>
        <v>1.5200134031312802</v>
      </c>
      <c r="AD174" s="174">
        <f t="shared" si="104"/>
        <v>1.5200134031312802</v>
      </c>
      <c r="AE174" s="175">
        <f t="shared" si="105"/>
        <v>339.09285469999998</v>
      </c>
      <c r="AF174" s="175">
        <f t="shared" si="106"/>
        <v>3.8558227650817418</v>
      </c>
      <c r="AG174" s="175">
        <f>AF174*'Soil samples'!AR174/100</f>
        <v>1.5200134031312802</v>
      </c>
      <c r="AH174" s="174">
        <f t="shared" si="107"/>
        <v>1.5200134031312802</v>
      </c>
      <c r="AI174">
        <f t="shared" si="131"/>
        <v>49.02910859</v>
      </c>
      <c r="AJ174">
        <f t="shared" si="138"/>
        <v>4.9029108590000002E-2</v>
      </c>
      <c r="AK174">
        <f>AJ174*('Wet ref'!$B$40+M174)</f>
        <v>1.3519763222042314</v>
      </c>
      <c r="AL174" s="175">
        <f t="shared" si="132"/>
        <v>0.55750969220581093</v>
      </c>
      <c r="AM174" s="175">
        <f>AL174*'Soil samples'!AK174/100</f>
        <v>0.21977727093751992</v>
      </c>
      <c r="AN174" s="174">
        <f t="shared" si="109"/>
        <v>219.77727093751992</v>
      </c>
      <c r="AO174" s="175">
        <f t="shared" si="110"/>
        <v>0.55750969220581093</v>
      </c>
      <c r="AP174" s="175">
        <f>AO174*'Soil samples'!AR174/100</f>
        <v>0.21977727093751992</v>
      </c>
      <c r="AQ174" s="174">
        <f t="shared" si="111"/>
        <v>219.77727093751992</v>
      </c>
      <c r="AR174">
        <f t="shared" si="133"/>
        <v>7.8643521420000004</v>
      </c>
      <c r="AS174">
        <f t="shared" si="139"/>
        <v>7.8643521420000001E-3</v>
      </c>
      <c r="AT174">
        <f>AS174*('Wet ref'!$B$40+M174)</f>
        <v>0.21685929422809702</v>
      </c>
      <c r="AU174" s="175">
        <f t="shared" si="134"/>
        <v>8.9425499834169642E-2</v>
      </c>
      <c r="AV174" s="175">
        <f>AU174*'Soil samples'!AK174/100</f>
        <v>3.5252646869719469E-2</v>
      </c>
      <c r="AW174" s="174">
        <f t="shared" si="113"/>
        <v>35.252646869719463</v>
      </c>
      <c r="AX174" s="175">
        <f t="shared" si="114"/>
        <v>8.9425499834169642E-2</v>
      </c>
      <c r="AY174" s="175">
        <f>AX174*'Soil samples'!AR174/100</f>
        <v>3.5252646869719469E-2</v>
      </c>
      <c r="AZ174" s="174">
        <f t="shared" si="115"/>
        <v>35.252646869719463</v>
      </c>
      <c r="BA174">
        <f t="shared" si="135"/>
        <v>6381.0008123000007</v>
      </c>
      <c r="BB174">
        <f t="shared" si="140"/>
        <v>6.3810008123000008</v>
      </c>
      <c r="BC174">
        <f>BB174*('Wet ref'!$B$40+M174)</f>
        <v>175.95592206942811</v>
      </c>
      <c r="BD174" s="175">
        <f t="shared" si="136"/>
        <v>72.558320988034168</v>
      </c>
      <c r="BE174" s="175">
        <f>BD174*'Soil samples'!AK174/100</f>
        <v>28.603394691606244</v>
      </c>
      <c r="BF174" s="174">
        <f t="shared" si="123"/>
        <v>28.603394691606244</v>
      </c>
      <c r="BG174" s="175">
        <f t="shared" si="117"/>
        <v>72.558320988034168</v>
      </c>
      <c r="BH174" s="175">
        <f>BG174*'Soil samples'!AR174/100</f>
        <v>28.603394691606244</v>
      </c>
      <c r="BI174" s="174">
        <f t="shared" si="124"/>
        <v>28.603394691606244</v>
      </c>
      <c r="BK174" s="6"/>
      <c r="BL174" s="31"/>
    </row>
    <row r="175" spans="1:64">
      <c r="A175" s="6" t="s">
        <v>178</v>
      </c>
      <c r="B175" s="6" t="s">
        <v>548</v>
      </c>
      <c r="C175" t="s">
        <v>13</v>
      </c>
      <c r="D175" s="8">
        <v>1</v>
      </c>
      <c r="E175" s="3">
        <v>5</v>
      </c>
      <c r="F175" s="26">
        <v>42776</v>
      </c>
      <c r="G175" s="3"/>
      <c r="H175">
        <f>'Wet ref'!B208</f>
        <v>42.970693019999999</v>
      </c>
      <c r="I175">
        <f>'Wet ref'!C208</f>
        <v>-6.1750457829999998</v>
      </c>
      <c r="J175">
        <f>'Wet ref'!D208</f>
        <v>75.339358910000001</v>
      </c>
      <c r="K175">
        <f>'Wet ref'!E208</f>
        <v>0.93206015600000003</v>
      </c>
      <c r="L175" s="3">
        <f t="shared" si="94"/>
        <v>895.26450876299998</v>
      </c>
      <c r="M175" s="31">
        <f>'Wet ref'!$B$41*'Soil samples'!AI175%</f>
        <v>3.5337092731829571</v>
      </c>
      <c r="N175" s="105">
        <f>'Wet ref'!$B$41*'Soil samples'!AH175%</f>
        <v>1.4662907268170424</v>
      </c>
      <c r="O175">
        <f t="shared" si="129"/>
        <v>42.970693019999999</v>
      </c>
      <c r="P175">
        <f t="shared" si="137"/>
        <v>4.2970693019999999E-2</v>
      </c>
      <c r="Q175">
        <f>P175*('Wet ref'!$B$40+M175)</f>
        <v>1.2261132618998722</v>
      </c>
      <c r="R175" s="141">
        <f t="shared" si="118"/>
        <v>0.83620065207768413</v>
      </c>
      <c r="S175" s="141">
        <f>R175*'Soil samples'!AK175/100</f>
        <v>7.8937171801113773E-2</v>
      </c>
      <c r="T175" s="149">
        <f t="shared" si="97"/>
        <v>7.8937171801113773E-2</v>
      </c>
      <c r="U175" s="141">
        <f t="shared" si="98"/>
        <v>42.970693019999999</v>
      </c>
      <c r="V175" s="141">
        <f t="shared" si="99"/>
        <v>0.83620065207768413</v>
      </c>
      <c r="W175" s="141">
        <f>V175*'Soil samples'!AR175/100</f>
        <v>7.8937171801113773E-2</v>
      </c>
      <c r="X175" s="149">
        <f t="shared" si="100"/>
        <v>7.8937171801113773E-2</v>
      </c>
      <c r="Y175">
        <f t="shared" si="130"/>
        <v>0</v>
      </c>
      <c r="Z175">
        <f t="shared" si="102"/>
        <v>0</v>
      </c>
      <c r="AA175">
        <f>Z175*('Wet ref'!$B$40+M175)</f>
        <v>0</v>
      </c>
      <c r="AB175" s="175">
        <f t="shared" si="103"/>
        <v>0</v>
      </c>
      <c r="AC175" s="175">
        <f>AB175*'Soil samples'!AK175/100</f>
        <v>0</v>
      </c>
      <c r="AD175" s="174">
        <f t="shared" si="104"/>
        <v>0</v>
      </c>
      <c r="AE175" s="175">
        <f t="shared" si="105"/>
        <v>0</v>
      </c>
      <c r="AF175" s="175">
        <f t="shared" si="106"/>
        <v>0</v>
      </c>
      <c r="AG175" s="175">
        <f>AF175*'Soil samples'!AR175/100</f>
        <v>0</v>
      </c>
      <c r="AH175" s="174">
        <f t="shared" si="107"/>
        <v>0</v>
      </c>
      <c r="AI175">
        <f t="shared" si="131"/>
        <v>75.339358910000001</v>
      </c>
      <c r="AJ175">
        <f t="shared" si="138"/>
        <v>7.5339358910000001E-2</v>
      </c>
      <c r="AK175">
        <f>AJ175*('Wet ref'!$B$40+M175)</f>
        <v>2.1497113639659262</v>
      </c>
      <c r="AL175" s="175">
        <f t="shared" si="132"/>
        <v>1.4660880851592251</v>
      </c>
      <c r="AM175" s="175">
        <f>AL175*'Soil samples'!AK175/100</f>
        <v>0.13839841761212632</v>
      </c>
      <c r="AN175" s="174">
        <f t="shared" si="109"/>
        <v>138.39841761212634</v>
      </c>
      <c r="AO175" s="175">
        <f t="shared" si="110"/>
        <v>1.4660880851592251</v>
      </c>
      <c r="AP175" s="175">
        <f>AO175*'Soil samples'!AR175/100</f>
        <v>0.13839841761212632</v>
      </c>
      <c r="AQ175" s="174">
        <f t="shared" si="111"/>
        <v>138.39841761212634</v>
      </c>
      <c r="AR175">
        <f t="shared" si="133"/>
        <v>0.93206015600000003</v>
      </c>
      <c r="AS175">
        <f t="shared" si="139"/>
        <v>9.3206015599999999E-4</v>
      </c>
      <c r="AT175">
        <f>AS175*('Wet ref'!$B$40+M175)</f>
        <v>2.6595133516421555E-2</v>
      </c>
      <c r="AU175" s="175">
        <f t="shared" si="134"/>
        <v>1.8137694680885739E-2</v>
      </c>
      <c r="AV175" s="175">
        <f>AU175*'Soil samples'!AK175/100</f>
        <v>1.7121946957872195E-3</v>
      </c>
      <c r="AW175" s="174">
        <f t="shared" si="113"/>
        <v>1.7121946957872196</v>
      </c>
      <c r="AX175" s="175">
        <f t="shared" si="114"/>
        <v>1.8137694680885739E-2</v>
      </c>
      <c r="AY175" s="175">
        <f>AX175*'Soil samples'!AR175/100</f>
        <v>1.7121946957872195E-3</v>
      </c>
      <c r="AZ175" s="174">
        <f t="shared" si="115"/>
        <v>1.7121946957872196</v>
      </c>
      <c r="BA175">
        <f t="shared" si="135"/>
        <v>889.08946298000001</v>
      </c>
      <c r="BB175">
        <f t="shared" si="140"/>
        <v>0.88908946298000002</v>
      </c>
      <c r="BC175">
        <f>BB175*('Wet ref'!$B$40+M175)</f>
        <v>25.369020254521683</v>
      </c>
      <c r="BD175" s="175">
        <f t="shared" si="136"/>
        <v>17.301494028808055</v>
      </c>
      <c r="BE175" s="175">
        <f>BD175*'Soil samples'!AK175/100</f>
        <v>1.6332575239861058</v>
      </c>
      <c r="BF175" s="174">
        <f t="shared" si="123"/>
        <v>1.6332575239861058</v>
      </c>
      <c r="BG175" s="175">
        <f t="shared" si="117"/>
        <v>17.301494028808055</v>
      </c>
      <c r="BH175" s="175">
        <f>BG175*'Soil samples'!AR175/100</f>
        <v>1.6332575239861058</v>
      </c>
      <c r="BI175" s="174">
        <f t="shared" si="124"/>
        <v>1.6332575239861058</v>
      </c>
      <c r="BK175" s="6"/>
      <c r="BL175" s="31"/>
    </row>
    <row r="176" spans="1:64">
      <c r="A176" s="6" t="s">
        <v>179</v>
      </c>
      <c r="B176" s="6" t="s">
        <v>548</v>
      </c>
      <c r="C176" t="s">
        <v>13</v>
      </c>
      <c r="D176" s="8">
        <v>1</v>
      </c>
      <c r="E176" s="3">
        <v>10</v>
      </c>
      <c r="F176" s="26">
        <v>42776</v>
      </c>
      <c r="G176" s="3"/>
      <c r="H176">
        <f>'Wet ref'!B209</f>
        <v>80.781933080000002</v>
      </c>
      <c r="I176">
        <f>'Wet ref'!C209</f>
        <v>-14.02767918</v>
      </c>
      <c r="J176">
        <f>'Wet ref'!D209</f>
        <v>101.5646424</v>
      </c>
      <c r="K176">
        <f>'Wet ref'!E209</f>
        <v>0.59121094299999999</v>
      </c>
      <c r="L176" s="3">
        <f t="shared" si="94"/>
        <v>524.45668910000006</v>
      </c>
      <c r="M176" s="31">
        <f>'Wet ref'!$B$41*'Soil samples'!AI176%</f>
        <v>3.0236734531888714</v>
      </c>
      <c r="N176" s="105">
        <f>'Wet ref'!$B$41*'Soil samples'!AH176%</f>
        <v>1.9763265468111286</v>
      </c>
      <c r="O176">
        <f t="shared" si="129"/>
        <v>80.781933080000002</v>
      </c>
      <c r="P176">
        <f t="shared" si="137"/>
        <v>8.0781933080000007E-2</v>
      </c>
      <c r="Q176">
        <f>P176*('Wet ref'!$B$40+M176)</f>
        <v>2.2638065135512759</v>
      </c>
      <c r="R176" s="141">
        <f t="shared" si="118"/>
        <v>1.1454617746262661</v>
      </c>
      <c r="S176" s="141">
        <f>R176*'Soil samples'!AK176/100</f>
        <v>0.32748225025032746</v>
      </c>
      <c r="T176" s="149">
        <f t="shared" si="97"/>
        <v>0.32748225025032746</v>
      </c>
      <c r="U176" s="141">
        <f t="shared" si="98"/>
        <v>80.781933080000002</v>
      </c>
      <c r="V176" s="141">
        <f t="shared" si="99"/>
        <v>1.1454617746262661</v>
      </c>
      <c r="W176" s="141">
        <f>V176*'Soil samples'!AR176/100</f>
        <v>0.32748225025032746</v>
      </c>
      <c r="X176" s="149">
        <f t="shared" si="100"/>
        <v>0.32748225025032746</v>
      </c>
      <c r="Y176">
        <f t="shared" si="130"/>
        <v>0</v>
      </c>
      <c r="Z176">
        <f t="shared" si="102"/>
        <v>0</v>
      </c>
      <c r="AA176">
        <f>Z176*('Wet ref'!$B$40+M176)</f>
        <v>0</v>
      </c>
      <c r="AB176" s="175">
        <f t="shared" si="103"/>
        <v>0</v>
      </c>
      <c r="AC176" s="175">
        <f>AB176*'Soil samples'!AK176/100</f>
        <v>0</v>
      </c>
      <c r="AD176" s="174">
        <f t="shared" si="104"/>
        <v>0</v>
      </c>
      <c r="AE176" s="175">
        <f t="shared" si="105"/>
        <v>0</v>
      </c>
      <c r="AF176" s="175">
        <f t="shared" si="106"/>
        <v>0</v>
      </c>
      <c r="AG176" s="175">
        <f>AF176*'Soil samples'!AR176/100</f>
        <v>0</v>
      </c>
      <c r="AH176" s="174">
        <f t="shared" si="107"/>
        <v>0</v>
      </c>
      <c r="AI176">
        <f t="shared" si="131"/>
        <v>101.5646424</v>
      </c>
      <c r="AJ176">
        <f t="shared" si="138"/>
        <v>0.1015646424</v>
      </c>
      <c r="AK176">
        <f>AJ176*('Wet ref'!$B$40+M176)</f>
        <v>2.8462143730075007</v>
      </c>
      <c r="AL176" s="175">
        <f t="shared" si="132"/>
        <v>1.4401538944057428</v>
      </c>
      <c r="AM176" s="175">
        <f>AL176*'Soil samples'!AK176/100</f>
        <v>0.41173337119926495</v>
      </c>
      <c r="AN176" s="174">
        <f t="shared" si="109"/>
        <v>411.73337119926498</v>
      </c>
      <c r="AO176" s="175">
        <f t="shared" si="110"/>
        <v>1.4401538944057428</v>
      </c>
      <c r="AP176" s="175">
        <f>AO176*'Soil samples'!AR176/100</f>
        <v>0.41173337119926495</v>
      </c>
      <c r="AQ176" s="174">
        <f t="shared" si="111"/>
        <v>411.73337119926498</v>
      </c>
      <c r="AR176">
        <f t="shared" si="133"/>
        <v>0.59121094299999999</v>
      </c>
      <c r="AS176">
        <f t="shared" si="139"/>
        <v>5.9121094300000003E-4</v>
      </c>
      <c r="AT176">
        <f>AS176*('Wet ref'!$B$40+M176)</f>
        <v>1.656790240858386E-2</v>
      </c>
      <c r="AU176" s="175">
        <f t="shared" si="134"/>
        <v>8.3831806212980066E-3</v>
      </c>
      <c r="AV176" s="175">
        <f>AU176*'Soil samples'!AK176/100</f>
        <v>2.3967127624257411E-3</v>
      </c>
      <c r="AW176" s="174">
        <f t="shared" si="113"/>
        <v>2.3967127624257412</v>
      </c>
      <c r="AX176" s="175">
        <f t="shared" si="114"/>
        <v>8.3831806212980066E-3</v>
      </c>
      <c r="AY176" s="175">
        <f>AX176*'Soil samples'!AR176/100</f>
        <v>2.3967127624257411E-3</v>
      </c>
      <c r="AZ176" s="174">
        <f t="shared" si="115"/>
        <v>2.3967127624257412</v>
      </c>
      <c r="BA176">
        <f t="shared" si="135"/>
        <v>510.42900992000006</v>
      </c>
      <c r="BB176">
        <f t="shared" si="140"/>
        <v>0.51042900992000007</v>
      </c>
      <c r="BC176">
        <f>BB176*('Wet ref'!$B$40+M176)</f>
        <v>14.304095895032583</v>
      </c>
      <c r="BD176" s="175">
        <f t="shared" si="136"/>
        <v>7.237718846671739</v>
      </c>
      <c r="BE176" s="175">
        <f>BD176*'Soil samples'!AK176/100</f>
        <v>2.0692305121754129</v>
      </c>
      <c r="BF176" s="174">
        <f t="shared" si="123"/>
        <v>2.0692305121754129</v>
      </c>
      <c r="BG176" s="175">
        <f t="shared" si="117"/>
        <v>7.237718846671739</v>
      </c>
      <c r="BH176" s="175">
        <f>BG176*'Soil samples'!AR176/100</f>
        <v>2.0692305121754129</v>
      </c>
      <c r="BI176" s="174">
        <f t="shared" si="124"/>
        <v>2.0692305121754129</v>
      </c>
      <c r="BK176" s="6"/>
      <c r="BL176" s="31"/>
    </row>
    <row r="177" spans="1:71">
      <c r="A177" s="6" t="s">
        <v>180</v>
      </c>
      <c r="B177" s="6" t="s">
        <v>548</v>
      </c>
      <c r="C177" t="s">
        <v>13</v>
      </c>
      <c r="D177" s="8">
        <v>1</v>
      </c>
      <c r="E177" s="3">
        <v>20</v>
      </c>
      <c r="F177" s="26">
        <v>42776</v>
      </c>
      <c r="G177" s="3"/>
      <c r="H177">
        <f>'Wet ref'!B210</f>
        <v>62.570338710000001</v>
      </c>
      <c r="I177">
        <f>'Wet ref'!C210</f>
        <v>24.108329350000002</v>
      </c>
      <c r="J177">
        <f>'Wet ref'!D210</f>
        <v>30.01308985</v>
      </c>
      <c r="K177">
        <f>'Wet ref'!E210</f>
        <v>0.74283213400000003</v>
      </c>
      <c r="L177" s="3">
        <f t="shared" si="94"/>
        <v>656.15346594000005</v>
      </c>
      <c r="M177" s="31">
        <f>'Wet ref'!$B$41*'Soil samples'!AI177%</f>
        <v>3.3627133929389217</v>
      </c>
      <c r="N177" s="105">
        <f>'Wet ref'!$B$41*'Soil samples'!AH177%</f>
        <v>1.6372866070610781</v>
      </c>
      <c r="O177">
        <f t="shared" si="129"/>
        <v>62.570338710000001</v>
      </c>
      <c r="P177">
        <f t="shared" si="137"/>
        <v>6.2570338710000006E-2</v>
      </c>
      <c r="Q177">
        <f>P177*('Wet ref'!$B$40+M177)</f>
        <v>1.7746645837308419</v>
      </c>
      <c r="R177" s="141">
        <f t="shared" si="118"/>
        <v>1.0839058818885452</v>
      </c>
      <c r="S177" s="141">
        <f>R177*'Soil samples'!AK177/100</f>
        <v>0.34911201691153104</v>
      </c>
      <c r="T177" s="149">
        <f t="shared" si="97"/>
        <v>0.34911201691153104</v>
      </c>
      <c r="U177" s="141">
        <f t="shared" si="98"/>
        <v>62.570338710000001</v>
      </c>
      <c r="V177" s="141">
        <f t="shared" si="99"/>
        <v>1.0839058818885452</v>
      </c>
      <c r="W177" s="141">
        <f>V177*'Soil samples'!AR177/100</f>
        <v>0.34911201691153104</v>
      </c>
      <c r="X177" s="149">
        <f t="shared" si="100"/>
        <v>0.34911201691153104</v>
      </c>
      <c r="Y177">
        <f t="shared" si="130"/>
        <v>24.108329350000002</v>
      </c>
      <c r="Z177">
        <f t="shared" si="102"/>
        <v>2.4108329350000002E-2</v>
      </c>
      <c r="AA177">
        <f>Z177*('Wet ref'!$B$40+M177)</f>
        <v>0.68377763573662753</v>
      </c>
      <c r="AB177" s="175">
        <f t="shared" si="103"/>
        <v>0.41762855250126624</v>
      </c>
      <c r="AC177" s="175">
        <f>AB177*'Soil samples'!AK177/100</f>
        <v>0.13451273650210932</v>
      </c>
      <c r="AD177" s="174">
        <f t="shared" si="104"/>
        <v>0.13451273650210932</v>
      </c>
      <c r="AE177" s="175">
        <f t="shared" si="105"/>
        <v>24.108329350000002</v>
      </c>
      <c r="AF177" s="175">
        <f t="shared" si="106"/>
        <v>0.41762855250126624</v>
      </c>
      <c r="AG177" s="175">
        <f>AF177*'Soil samples'!AR177/100</f>
        <v>0.13451273650210932</v>
      </c>
      <c r="AH177" s="174">
        <f t="shared" si="107"/>
        <v>0.13451273650210932</v>
      </c>
      <c r="AI177">
        <f t="shared" si="131"/>
        <v>30.01308985</v>
      </c>
      <c r="AJ177">
        <f t="shared" si="138"/>
        <v>3.0013089850000001E-2</v>
      </c>
      <c r="AK177">
        <f>AJ177*('Wet ref'!$B$40+M177)</f>
        <v>0.85125266545207423</v>
      </c>
      <c r="AL177" s="175">
        <f t="shared" si="132"/>
        <v>0.51991670962243364</v>
      </c>
      <c r="AM177" s="175">
        <f>AL177*'Soil samples'!AK177/100</f>
        <v>0.16745842434773195</v>
      </c>
      <c r="AN177" s="174">
        <f t="shared" si="109"/>
        <v>167.45842434773195</v>
      </c>
      <c r="AO177" s="175">
        <f t="shared" si="110"/>
        <v>0.51991670962243364</v>
      </c>
      <c r="AP177" s="175">
        <f>AO177*'Soil samples'!AR177/100</f>
        <v>0.16745842434773195</v>
      </c>
      <c r="AQ177" s="174">
        <f t="shared" si="111"/>
        <v>167.45842434773195</v>
      </c>
      <c r="AR177">
        <f t="shared" si="133"/>
        <v>0.74283213400000003</v>
      </c>
      <c r="AS177">
        <f t="shared" si="139"/>
        <v>7.4283213400000003E-4</v>
      </c>
      <c r="AT177">
        <f>AS177*('Wet ref'!$B$40+M177)</f>
        <v>2.10687349157072E-2</v>
      </c>
      <c r="AU177" s="175">
        <f t="shared" si="134"/>
        <v>1.2868079922503906E-2</v>
      </c>
      <c r="AV177" s="175">
        <f>AU177*'Soil samples'!AK177/100</f>
        <v>4.1446415326179186E-3</v>
      </c>
      <c r="AW177" s="174">
        <f t="shared" si="113"/>
        <v>4.1446415326179187</v>
      </c>
      <c r="AX177" s="175">
        <f t="shared" si="114"/>
        <v>1.2868079922503906E-2</v>
      </c>
      <c r="AY177" s="175">
        <f>AX177*'Soil samples'!AR177/100</f>
        <v>4.1446415326179186E-3</v>
      </c>
      <c r="AZ177" s="174">
        <f t="shared" si="115"/>
        <v>4.1446415326179187</v>
      </c>
      <c r="BA177">
        <f t="shared" si="135"/>
        <v>656.15346594000005</v>
      </c>
      <c r="BB177">
        <f t="shared" si="140"/>
        <v>0.65615346594000001</v>
      </c>
      <c r="BC177">
        <f>BB177*('Wet ref'!$B$40+M177)</f>
        <v>18.610292696239732</v>
      </c>
      <c r="BD177" s="175">
        <f t="shared" si="136"/>
        <v>11.366545488114095</v>
      </c>
      <c r="BE177" s="175">
        <f>BD177*'Soil samples'!AK177/100</f>
        <v>3.6610167792042785</v>
      </c>
      <c r="BF177" s="174">
        <f t="shared" si="123"/>
        <v>3.6610167792042785</v>
      </c>
      <c r="BG177" s="175">
        <f t="shared" si="117"/>
        <v>11.366545488114095</v>
      </c>
      <c r="BH177" s="175">
        <f>BG177*'Soil samples'!AR177/100</f>
        <v>3.6610167792042785</v>
      </c>
      <c r="BI177" s="174">
        <f t="shared" si="124"/>
        <v>3.6610167792042785</v>
      </c>
      <c r="BK177" s="6"/>
      <c r="BL177" s="31"/>
    </row>
    <row r="178" spans="1:71">
      <c r="A178" s="6" t="s">
        <v>181</v>
      </c>
      <c r="B178" s="6" t="s">
        <v>548</v>
      </c>
      <c r="C178" t="s">
        <v>13</v>
      </c>
      <c r="D178" s="8">
        <v>2</v>
      </c>
      <c r="E178" s="3">
        <v>5</v>
      </c>
      <c r="F178" s="25">
        <v>42767</v>
      </c>
      <c r="G178" s="3"/>
      <c r="H178">
        <f>'Wet ref'!B211</f>
        <v>54.95786219</v>
      </c>
      <c r="I178">
        <f>'Wet ref'!C211</f>
        <v>394.54564379999999</v>
      </c>
      <c r="J178">
        <f>'Wet ref'!D211</f>
        <v>374.29430980000001</v>
      </c>
      <c r="K178">
        <f>'Wet ref'!E211</f>
        <v>6.8634433530000001</v>
      </c>
      <c r="L178" s="3">
        <f t="shared" si="94"/>
        <v>6413.9398470099995</v>
      </c>
      <c r="M178" s="31">
        <f>'Wet ref'!$B$41*'Soil samples'!AI178%</f>
        <v>3.6311979809151094</v>
      </c>
      <c r="N178" s="105">
        <f>'Wet ref'!$B$41*'Soil samples'!AH178%</f>
        <v>1.3688020190848897</v>
      </c>
      <c r="O178">
        <f t="shared" si="129"/>
        <v>54.95786219</v>
      </c>
      <c r="P178">
        <f t="shared" si="137"/>
        <v>5.4957862189999998E-2</v>
      </c>
      <c r="Q178">
        <f>P178*('Wet ref'!$B$40+M178)</f>
        <v>1.5735094329697388</v>
      </c>
      <c r="R178" s="141">
        <f t="shared" si="118"/>
        <v>1.149552244247642</v>
      </c>
      <c r="S178" s="141">
        <f>R178*'Soil samples'!AK178/100</f>
        <v>0.17897096290597811</v>
      </c>
      <c r="T178" s="149">
        <f t="shared" si="97"/>
        <v>0.17897096290597811</v>
      </c>
      <c r="U178" s="141">
        <f t="shared" si="98"/>
        <v>54.95786219</v>
      </c>
      <c r="V178" s="141">
        <f t="shared" si="99"/>
        <v>1.149552244247642</v>
      </c>
      <c r="W178" s="141">
        <f>V178*'Soil samples'!AR178/100</f>
        <v>0.17897096290597811</v>
      </c>
      <c r="X178" s="149">
        <f t="shared" si="100"/>
        <v>0.17897096290597811</v>
      </c>
      <c r="Y178">
        <f t="shared" si="130"/>
        <v>394.54564379999999</v>
      </c>
      <c r="Z178">
        <f t="shared" si="102"/>
        <v>0.39454564380000001</v>
      </c>
      <c r="AA178">
        <f>Z178*('Wet ref'!$B$40+M178)</f>
        <v>11.296314440145412</v>
      </c>
      <c r="AB178" s="175">
        <f t="shared" si="103"/>
        <v>8.2527014737292284</v>
      </c>
      <c r="AC178" s="175">
        <f>AB178*'Soil samples'!AK178/100</f>
        <v>1.2848428044221396</v>
      </c>
      <c r="AD178" s="174">
        <f t="shared" si="104"/>
        <v>1.2848428044221396</v>
      </c>
      <c r="AE178" s="175">
        <f t="shared" si="105"/>
        <v>394.54564379999999</v>
      </c>
      <c r="AF178" s="175">
        <f t="shared" si="106"/>
        <v>8.2527014737292284</v>
      </c>
      <c r="AG178" s="175">
        <f>AF178*'Soil samples'!AR178/100</f>
        <v>1.2848428044221396</v>
      </c>
      <c r="AH178" s="174">
        <f t="shared" si="107"/>
        <v>1.2848428044221396</v>
      </c>
      <c r="AI178">
        <f t="shared" si="131"/>
        <v>374.29430980000001</v>
      </c>
      <c r="AJ178">
        <f t="shared" si="138"/>
        <v>0.3742943098</v>
      </c>
      <c r="AK178">
        <f>AJ178*('Wet ref'!$B$40+M178)</f>
        <v>10.716494487013776</v>
      </c>
      <c r="AL178" s="175">
        <f t="shared" si="132"/>
        <v>7.8291048212934911</v>
      </c>
      <c r="AM178" s="175">
        <f>AL178*'Soil samples'!AK178/100</f>
        <v>1.2188940829529471</v>
      </c>
      <c r="AN178" s="174">
        <f t="shared" si="109"/>
        <v>1218.8940829529472</v>
      </c>
      <c r="AO178" s="175">
        <f t="shared" si="110"/>
        <v>7.8291048212934911</v>
      </c>
      <c r="AP178" s="175">
        <f>AO178*'Soil samples'!AR178/100</f>
        <v>1.2188940829529471</v>
      </c>
      <c r="AQ178" s="174">
        <f t="shared" si="111"/>
        <v>1218.8940829529472</v>
      </c>
      <c r="AR178">
        <f t="shared" si="133"/>
        <v>6.8634433530000001</v>
      </c>
      <c r="AS178">
        <f t="shared" si="139"/>
        <v>6.8634433530000002E-3</v>
      </c>
      <c r="AT178">
        <f>AS178*('Wet ref'!$B$40+M178)</f>
        <v>0.19650860547053883</v>
      </c>
      <c r="AU178" s="175">
        <f t="shared" si="134"/>
        <v>0.14356247487267321</v>
      </c>
      <c r="AV178" s="175">
        <f>AU178*'Soil samples'!AK178/100</f>
        <v>2.2350888786219093E-2</v>
      </c>
      <c r="AW178" s="174">
        <f t="shared" si="113"/>
        <v>22.350888786219091</v>
      </c>
      <c r="AX178" s="175">
        <f t="shared" si="114"/>
        <v>0.14356247487267321</v>
      </c>
      <c r="AY178" s="175">
        <f>AX178*'Soil samples'!AR178/100</f>
        <v>2.2350888786219093E-2</v>
      </c>
      <c r="AZ178" s="174">
        <f t="shared" si="115"/>
        <v>22.350888786219091</v>
      </c>
      <c r="BA178">
        <f t="shared" si="135"/>
        <v>6413.9398470099995</v>
      </c>
      <c r="BB178">
        <f t="shared" si="140"/>
        <v>6.41393984701</v>
      </c>
      <c r="BC178">
        <f>BB178*('Wet ref'!$B$40+M178)</f>
        <v>183.6387815974237</v>
      </c>
      <c r="BD178" s="175">
        <f t="shared" si="136"/>
        <v>134.16022115469636</v>
      </c>
      <c r="BE178" s="175">
        <f>BD178*'Soil samples'!AK178/100</f>
        <v>20.887075018890979</v>
      </c>
      <c r="BF178" s="174">
        <f t="shared" si="123"/>
        <v>20.887075018890979</v>
      </c>
      <c r="BG178" s="175">
        <f t="shared" si="117"/>
        <v>134.16022115469636</v>
      </c>
      <c r="BH178" s="175">
        <f>BG178*'Soil samples'!AR178/100</f>
        <v>20.887075018890979</v>
      </c>
      <c r="BI178" s="174">
        <f t="shared" si="124"/>
        <v>20.887075018890979</v>
      </c>
      <c r="BK178" s="6"/>
      <c r="BL178" s="31"/>
    </row>
    <row r="179" spans="1:71">
      <c r="A179" s="6" t="s">
        <v>182</v>
      </c>
      <c r="B179" s="6" t="s">
        <v>548</v>
      </c>
      <c r="C179" t="s">
        <v>13</v>
      </c>
      <c r="D179" s="8">
        <v>2</v>
      </c>
      <c r="E179" s="3">
        <v>10</v>
      </c>
      <c r="F179" s="25">
        <v>42767</v>
      </c>
      <c r="G179" s="3"/>
      <c r="H179">
        <f>'Wet ref'!B212</f>
        <v>56.368471229999997</v>
      </c>
      <c r="I179">
        <f>'Wet ref'!C212</f>
        <v>203.2746357</v>
      </c>
      <c r="J179">
        <f>'Wet ref'!D212</f>
        <v>28.432097890000001</v>
      </c>
      <c r="K179">
        <f>'Wet ref'!E212</f>
        <v>3.2749259259999999</v>
      </c>
      <c r="L179" s="3">
        <f t="shared" si="94"/>
        <v>3015.2828190699997</v>
      </c>
      <c r="M179" s="31">
        <f>'Wet ref'!$B$41*'Soil samples'!AI179%</f>
        <v>3.5178766116799394</v>
      </c>
      <c r="N179" s="105">
        <f>'Wet ref'!$B$41*'Soil samples'!AH179%</f>
        <v>1.4821233883200606</v>
      </c>
      <c r="O179">
        <f t="shared" si="129"/>
        <v>56.368471229999997</v>
      </c>
      <c r="P179">
        <f t="shared" si="137"/>
        <v>5.6368471229999995E-2</v>
      </c>
      <c r="Q179">
        <f>P179*('Wet ref'!$B$40+M179)</f>
        <v>1.6075091073261703</v>
      </c>
      <c r="R179" s="141">
        <f t="shared" si="118"/>
        <v>1.0845987048003003</v>
      </c>
      <c r="S179" s="141">
        <f>R179*'Soil samples'!AK179/100</f>
        <v>0.21855693823206618</v>
      </c>
      <c r="T179" s="149">
        <f t="shared" si="97"/>
        <v>0.21855693823206618</v>
      </c>
      <c r="U179" s="141">
        <f t="shared" si="98"/>
        <v>56.368471229999997</v>
      </c>
      <c r="V179" s="141">
        <f t="shared" si="99"/>
        <v>1.0845987048003003</v>
      </c>
      <c r="W179" s="141">
        <f>V179*'Soil samples'!AR179/100</f>
        <v>0.21855693823206618</v>
      </c>
      <c r="X179" s="149">
        <f t="shared" si="100"/>
        <v>0.21855693823206618</v>
      </c>
      <c r="Y179">
        <f t="shared" si="130"/>
        <v>203.2746357</v>
      </c>
      <c r="Z179">
        <f t="shared" si="102"/>
        <v>0.20327463570000001</v>
      </c>
      <c r="AA179">
        <f>Z179*('Wet ref'!$B$40+M179)</f>
        <v>5.7969609791767898</v>
      </c>
      <c r="AB179" s="175">
        <f t="shared" si="103"/>
        <v>3.9112539649937372</v>
      </c>
      <c r="AC179" s="175">
        <f>AB179*'Soil samples'!AK179/100</f>
        <v>0.7881548147288765</v>
      </c>
      <c r="AD179" s="174">
        <f t="shared" si="104"/>
        <v>0.7881548147288765</v>
      </c>
      <c r="AE179" s="175">
        <f t="shared" si="105"/>
        <v>203.2746357</v>
      </c>
      <c r="AF179" s="175">
        <f t="shared" si="106"/>
        <v>3.9112539649937372</v>
      </c>
      <c r="AG179" s="175">
        <f>AF179*'Soil samples'!AR179/100</f>
        <v>0.7881548147288765</v>
      </c>
      <c r="AH179" s="174">
        <f t="shared" si="107"/>
        <v>0.7881548147288765</v>
      </c>
      <c r="AI179">
        <f t="shared" si="131"/>
        <v>28.432097890000001</v>
      </c>
      <c r="AJ179">
        <f t="shared" si="138"/>
        <v>2.8432097890000001E-2</v>
      </c>
      <c r="AK179">
        <f>AJ179*('Wet ref'!$B$40+M179)</f>
        <v>0.81082305943822552</v>
      </c>
      <c r="AL179" s="175">
        <f t="shared" si="132"/>
        <v>0.54706852737629863</v>
      </c>
      <c r="AM179" s="175">
        <f>AL179*'Soil samples'!AK179/100</f>
        <v>0.11023950316122119</v>
      </c>
      <c r="AN179" s="174">
        <f t="shared" si="109"/>
        <v>110.23950316122119</v>
      </c>
      <c r="AO179" s="175">
        <f t="shared" si="110"/>
        <v>0.54706852737629863</v>
      </c>
      <c r="AP179" s="175">
        <f>AO179*'Soil samples'!AR179/100</f>
        <v>0.11023950316122119</v>
      </c>
      <c r="AQ179" s="174">
        <f t="shared" si="111"/>
        <v>110.23950316122119</v>
      </c>
      <c r="AR179">
        <f t="shared" si="133"/>
        <v>3.2749259259999999</v>
      </c>
      <c r="AS179">
        <f t="shared" si="139"/>
        <v>3.2749259259999999E-3</v>
      </c>
      <c r="AT179">
        <f>AS179*('Wet ref'!$B$40+M179)</f>
        <v>9.3393933470059656E-2</v>
      </c>
      <c r="AU179" s="175">
        <f t="shared" si="134"/>
        <v>6.3013602110360514E-2</v>
      </c>
      <c r="AV179" s="175">
        <f>AU179*'Soil samples'!AK179/100</f>
        <v>1.2697839194589316E-2</v>
      </c>
      <c r="AW179" s="174">
        <f t="shared" si="113"/>
        <v>12.697839194589315</v>
      </c>
      <c r="AX179" s="175">
        <f t="shared" si="114"/>
        <v>6.3013602110360514E-2</v>
      </c>
      <c r="AY179" s="175">
        <f>AX179*'Soil samples'!AR179/100</f>
        <v>1.2697839194589316E-2</v>
      </c>
      <c r="AZ179" s="174">
        <f t="shared" si="115"/>
        <v>12.697839194589315</v>
      </c>
      <c r="BA179">
        <f t="shared" si="135"/>
        <v>3015.2828190699997</v>
      </c>
      <c r="BB179">
        <f t="shared" si="140"/>
        <v>3.0152828190699998</v>
      </c>
      <c r="BC179">
        <f>BB179*('Wet ref'!$B$40+M179)</f>
        <v>85.989463383556696</v>
      </c>
      <c r="BD179" s="175">
        <f t="shared" si="136"/>
        <v>58.017749440566483</v>
      </c>
      <c r="BE179" s="175">
        <f>BD179*'Soil samples'!AK179/100</f>
        <v>11.691127441628373</v>
      </c>
      <c r="BF179" s="174">
        <f t="shared" si="123"/>
        <v>11.691127441628373</v>
      </c>
      <c r="BG179" s="175">
        <f t="shared" si="117"/>
        <v>58.017749440566483</v>
      </c>
      <c r="BH179" s="175">
        <f>BG179*'Soil samples'!AR179/100</f>
        <v>11.691127441628373</v>
      </c>
      <c r="BI179" s="174">
        <f t="shared" si="124"/>
        <v>11.691127441628373</v>
      </c>
      <c r="BK179" s="6"/>
      <c r="BL179" s="31"/>
    </row>
    <row r="180" spans="1:71">
      <c r="A180" s="6" t="s">
        <v>183</v>
      </c>
      <c r="B180" s="6" t="s">
        <v>548</v>
      </c>
      <c r="C180" t="s">
        <v>13</v>
      </c>
      <c r="D180" s="8">
        <v>2</v>
      </c>
      <c r="E180" s="3">
        <v>20</v>
      </c>
      <c r="F180" s="25">
        <v>42767</v>
      </c>
      <c r="G180" s="3"/>
      <c r="H180">
        <f>'Wet ref'!B213</f>
        <v>36.068032559999999</v>
      </c>
      <c r="I180">
        <f>'Wet ref'!C213</f>
        <v>108.0196557</v>
      </c>
      <c r="J180">
        <f>'Wet ref'!D213</f>
        <v>28.503784320000001</v>
      </c>
      <c r="K180">
        <f>'Wet ref'!E213</f>
        <v>1.197596219</v>
      </c>
      <c r="L180" s="3">
        <f t="shared" si="94"/>
        <v>1053.5085307400002</v>
      </c>
      <c r="M180" s="31">
        <f>'Wet ref'!$B$41*'Soil samples'!AI180%</f>
        <v>3.2225933637958626</v>
      </c>
      <c r="N180" s="105">
        <f>'Wet ref'!$B$41*'Soil samples'!AH180%</f>
        <v>1.7774066362041374</v>
      </c>
      <c r="O180">
        <f t="shared" si="129"/>
        <v>36.068032559999999</v>
      </c>
      <c r="P180">
        <f t="shared" si="137"/>
        <v>3.6068032559999998E-2</v>
      </c>
      <c r="Q180">
        <f>P180*('Wet ref'!$B$40+M180)</f>
        <v>1.0179334163730289</v>
      </c>
      <c r="R180" s="141">
        <f t="shared" si="118"/>
        <v>0.57270710913229539</v>
      </c>
      <c r="S180" s="141">
        <f>R180*'Soil samples'!AK180/100</f>
        <v>0.16103706647021312</v>
      </c>
      <c r="T180" s="149">
        <f t="shared" si="97"/>
        <v>0.16103706647021312</v>
      </c>
      <c r="U180" s="141">
        <f t="shared" si="98"/>
        <v>36.068032559999999</v>
      </c>
      <c r="V180" s="141">
        <f t="shared" si="99"/>
        <v>0.57270710913229539</v>
      </c>
      <c r="W180" s="141">
        <f>V180*'Soil samples'!AR180/100</f>
        <v>0.16103706647021312</v>
      </c>
      <c r="X180" s="149">
        <f t="shared" si="100"/>
        <v>0.16103706647021312</v>
      </c>
      <c r="Y180">
        <f t="shared" si="130"/>
        <v>108.0196557</v>
      </c>
      <c r="Z180">
        <f t="shared" si="102"/>
        <v>0.10801965569999999</v>
      </c>
      <c r="AA180">
        <f>Z180*('Wet ref'!$B$40+M180)</f>
        <v>3.0485948181183335</v>
      </c>
      <c r="AB180" s="175">
        <f t="shared" si="103"/>
        <v>1.7151926610496793</v>
      </c>
      <c r="AC180" s="175">
        <f>AB180*'Soil samples'!AK180/100</f>
        <v>0.48228770022632017</v>
      </c>
      <c r="AD180" s="174">
        <f t="shared" si="104"/>
        <v>0.48228770022632017</v>
      </c>
      <c r="AE180" s="175">
        <f t="shared" si="105"/>
        <v>108.0196557</v>
      </c>
      <c r="AF180" s="175">
        <f t="shared" si="106"/>
        <v>1.7151926610496793</v>
      </c>
      <c r="AG180" s="175">
        <f>AF180*'Soil samples'!AR180/100</f>
        <v>0.48228770022632017</v>
      </c>
      <c r="AH180" s="174">
        <f t="shared" si="107"/>
        <v>0.48228770022632017</v>
      </c>
      <c r="AI180">
        <f t="shared" si="131"/>
        <v>28.503784320000001</v>
      </c>
      <c r="AJ180">
        <f t="shared" si="138"/>
        <v>2.8503784319999999E-2</v>
      </c>
      <c r="AK180">
        <f>AJ180*('Wet ref'!$B$40+M180)</f>
        <v>0.80445071419270053</v>
      </c>
      <c r="AL180" s="175">
        <f t="shared" si="132"/>
        <v>0.45259801432422936</v>
      </c>
      <c r="AM180" s="175">
        <f>AL180*'Soil samples'!AK180/100</f>
        <v>0.12726410298528518</v>
      </c>
      <c r="AN180" s="174">
        <f t="shared" si="109"/>
        <v>127.26410298528518</v>
      </c>
      <c r="AO180" s="175">
        <f t="shared" si="110"/>
        <v>0.45259801432422936</v>
      </c>
      <c r="AP180" s="175">
        <f>AO180*'Soil samples'!AR180/100</f>
        <v>0.12726410298528518</v>
      </c>
      <c r="AQ180" s="174">
        <f t="shared" si="111"/>
        <v>127.26410298528518</v>
      </c>
      <c r="AR180">
        <f t="shared" si="133"/>
        <v>1.197596219</v>
      </c>
      <c r="AS180">
        <f t="shared" si="139"/>
        <v>1.197596219E-3</v>
      </c>
      <c r="AT180">
        <f>AS180*('Wet ref'!$B$40+M180)</f>
        <v>3.3799271102856417E-2</v>
      </c>
      <c r="AU180" s="175">
        <f t="shared" si="134"/>
        <v>1.9016059923709281E-2</v>
      </c>
      <c r="AV180" s="175">
        <f>AU180*'Soil samples'!AK180/100</f>
        <v>5.3470446884718833E-3</v>
      </c>
      <c r="AW180" s="174">
        <f t="shared" si="113"/>
        <v>5.3470446884718834</v>
      </c>
      <c r="AX180" s="175">
        <f t="shared" si="114"/>
        <v>1.9016059923709281E-2</v>
      </c>
      <c r="AY180" s="175">
        <f>AX180*'Soil samples'!AR180/100</f>
        <v>5.3470446884718833E-3</v>
      </c>
      <c r="AZ180" s="174">
        <f t="shared" si="115"/>
        <v>5.3470446884718834</v>
      </c>
      <c r="BA180">
        <f t="shared" si="135"/>
        <v>1053.5085307400002</v>
      </c>
      <c r="BB180">
        <f t="shared" si="140"/>
        <v>1.0535085307400003</v>
      </c>
      <c r="BC180">
        <f>BB180*('Wet ref'!$B$40+M180)</f>
        <v>29.732742868365062</v>
      </c>
      <c r="BD180" s="175">
        <f t="shared" si="136"/>
        <v>16.728160153527309</v>
      </c>
      <c r="BE180" s="175">
        <f>BD180*'Soil samples'!AK180/100</f>
        <v>4.7037199217753507</v>
      </c>
      <c r="BF180" s="174">
        <f t="shared" si="123"/>
        <v>4.7037199217753507</v>
      </c>
      <c r="BG180" s="175">
        <f t="shared" si="117"/>
        <v>16.728160153527309</v>
      </c>
      <c r="BH180" s="175">
        <f>BG180*'Soil samples'!AR180/100</f>
        <v>4.7037199217753507</v>
      </c>
      <c r="BI180" s="174">
        <f t="shared" si="124"/>
        <v>4.7037199217753507</v>
      </c>
      <c r="BK180" s="6"/>
      <c r="BL180" s="31"/>
    </row>
    <row r="181" spans="1:71">
      <c r="A181" s="6" t="s">
        <v>184</v>
      </c>
      <c r="B181" s="6" t="s">
        <v>548</v>
      </c>
      <c r="C181" t="s">
        <v>13</v>
      </c>
      <c r="D181" s="8">
        <v>3</v>
      </c>
      <c r="E181" s="3">
        <v>5</v>
      </c>
      <c r="F181" s="26">
        <v>42818</v>
      </c>
      <c r="G181" s="3"/>
      <c r="H181">
        <f>'Wet ref'!B214</f>
        <v>42.011238249999998</v>
      </c>
      <c r="I181">
        <f>'Wet ref'!C214</f>
        <v>243.88405080000001</v>
      </c>
      <c r="J181">
        <f>'Wet ref'!D214</f>
        <v>34.214802759999998</v>
      </c>
      <c r="K181">
        <f>'Wet ref'!E214</f>
        <v>3.7221785939999998</v>
      </c>
      <c r="L181" s="3">
        <f t="shared" si="94"/>
        <v>3436.28330495</v>
      </c>
      <c r="M181" s="31">
        <f>'Wet ref'!$B$41*'Soil samples'!AI181%</f>
        <v>3.7635449915811874</v>
      </c>
      <c r="N181" s="105">
        <f>'Wet ref'!$B$41*'Soil samples'!AH181%</f>
        <v>1.2364550084188126</v>
      </c>
      <c r="O181">
        <f t="shared" si="129"/>
        <v>42.011238249999998</v>
      </c>
      <c r="P181">
        <f t="shared" si="137"/>
        <v>4.2011238249999999E-2</v>
      </c>
      <c r="Q181">
        <f>P181*('Wet ref'!$B$40+M181)</f>
        <v>1.2083921415559116</v>
      </c>
      <c r="R181" s="141">
        <f t="shared" si="118"/>
        <v>0.97730377031770199</v>
      </c>
      <c r="S181" s="141">
        <f>R181*'Soil samples'!AK181/100</f>
        <v>0.16310877126721696</v>
      </c>
      <c r="T181" s="149">
        <f t="shared" si="97"/>
        <v>0.16310877126721696</v>
      </c>
      <c r="U181" s="141">
        <f t="shared" si="98"/>
        <v>42.011238249999998</v>
      </c>
      <c r="V181" s="141">
        <f t="shared" si="99"/>
        <v>0.97730377031770199</v>
      </c>
      <c r="W181" s="141">
        <f>V181*'Soil samples'!AR181/100</f>
        <v>0.16310877126721696</v>
      </c>
      <c r="X181" s="149">
        <f t="shared" si="100"/>
        <v>0.16310877126721696</v>
      </c>
      <c r="Y181">
        <f t="shared" si="130"/>
        <v>243.88405080000001</v>
      </c>
      <c r="Z181">
        <f t="shared" si="102"/>
        <v>0.2438840508</v>
      </c>
      <c r="AA181">
        <f>Z181*('Wet ref'!$B$40+M181)</f>
        <v>7.0149698679148722</v>
      </c>
      <c r="AB181" s="175">
        <f t="shared" si="103"/>
        <v>5.6734533971322296</v>
      </c>
      <c r="AC181" s="175">
        <f>AB181*'Soil samples'!AK181/100</f>
        <v>0.94688063277114964</v>
      </c>
      <c r="AD181" s="174">
        <f t="shared" si="104"/>
        <v>0.94688063277114964</v>
      </c>
      <c r="AE181" s="175">
        <f t="shared" si="105"/>
        <v>243.88405080000001</v>
      </c>
      <c r="AF181" s="175">
        <f t="shared" si="106"/>
        <v>5.6734533971322296</v>
      </c>
      <c r="AG181" s="175">
        <f>AF181*'Soil samples'!AR181/100</f>
        <v>0.94688063277114964</v>
      </c>
      <c r="AH181" s="174">
        <f t="shared" si="107"/>
        <v>0.94688063277114964</v>
      </c>
      <c r="AI181">
        <f t="shared" si="131"/>
        <v>34.214802759999998</v>
      </c>
      <c r="AJ181">
        <f t="shared" si="138"/>
        <v>3.4214802759999996E-2</v>
      </c>
      <c r="AK181">
        <f>AJ181*('Wet ref'!$B$40+M181)</f>
        <v>0.98413901856533614</v>
      </c>
      <c r="AL181" s="175">
        <f t="shared" si="132"/>
        <v>0.79593597168073271</v>
      </c>
      <c r="AM181" s="175">
        <f>AL181*'Soil samples'!AK181/100</f>
        <v>0.1328390847259491</v>
      </c>
      <c r="AN181" s="174">
        <f t="shared" si="109"/>
        <v>132.83908472594911</v>
      </c>
      <c r="AO181" s="175">
        <f t="shared" si="110"/>
        <v>0.79593597168073271</v>
      </c>
      <c r="AP181" s="175">
        <f>AO181*'Soil samples'!AR181/100</f>
        <v>0.1328390847259491</v>
      </c>
      <c r="AQ181" s="174">
        <f t="shared" si="111"/>
        <v>132.83908472594911</v>
      </c>
      <c r="AR181">
        <f t="shared" si="133"/>
        <v>3.7221785939999998</v>
      </c>
      <c r="AS181">
        <f t="shared" si="139"/>
        <v>3.7221785939999998E-3</v>
      </c>
      <c r="AT181">
        <f>AS181*('Wet ref'!$B$40+M181)</f>
        <v>0.10706305145521941</v>
      </c>
      <c r="AU181" s="175">
        <f t="shared" si="134"/>
        <v>8.6588715906559671E-2</v>
      </c>
      <c r="AV181" s="175">
        <f>AU181*'Soil samples'!AK181/100</f>
        <v>1.445137068542552E-2</v>
      </c>
      <c r="AW181" s="174">
        <f t="shared" si="113"/>
        <v>14.45137068542552</v>
      </c>
      <c r="AX181" s="175">
        <f t="shared" si="114"/>
        <v>8.6588715906559671E-2</v>
      </c>
      <c r="AY181" s="175">
        <f>AX181*'Soil samples'!AR181/100</f>
        <v>1.445137068542552E-2</v>
      </c>
      <c r="AZ181" s="174">
        <f t="shared" si="115"/>
        <v>14.45137068542552</v>
      </c>
      <c r="BA181">
        <f t="shared" si="135"/>
        <v>3436.28330495</v>
      </c>
      <c r="BB181">
        <f t="shared" si="140"/>
        <v>3.4362833049499999</v>
      </c>
      <c r="BC181">
        <f>BB181*('Wet ref'!$B$40+M181)</f>
        <v>98.839689445748618</v>
      </c>
      <c r="BD181" s="175">
        <f t="shared" si="136"/>
        <v>79.937958739109732</v>
      </c>
      <c r="BE181" s="175">
        <f>BD181*'Soil samples'!AK181/100</f>
        <v>13.34138128138715</v>
      </c>
      <c r="BF181" s="174">
        <f t="shared" si="123"/>
        <v>13.34138128138715</v>
      </c>
      <c r="BG181" s="175">
        <f t="shared" si="117"/>
        <v>79.937958739109732</v>
      </c>
      <c r="BH181" s="175">
        <f>BG181*'Soil samples'!AR181/100</f>
        <v>13.34138128138715</v>
      </c>
      <c r="BI181" s="174">
        <f t="shared" si="124"/>
        <v>13.34138128138715</v>
      </c>
      <c r="BK181" s="6"/>
      <c r="BL181" s="31"/>
    </row>
    <row r="182" spans="1:71">
      <c r="A182" s="6" t="s">
        <v>185</v>
      </c>
      <c r="B182" s="6" t="s">
        <v>548</v>
      </c>
      <c r="C182" t="s">
        <v>13</v>
      </c>
      <c r="D182" s="8">
        <v>4</v>
      </c>
      <c r="E182" s="3">
        <v>5</v>
      </c>
      <c r="F182" s="26">
        <v>42818</v>
      </c>
      <c r="G182" s="3"/>
      <c r="H182">
        <f>'Wet ref'!B215</f>
        <v>38.777965930000001</v>
      </c>
      <c r="I182">
        <f>'Wet ref'!C215</f>
        <v>163.0226826</v>
      </c>
      <c r="J182">
        <f>'Wet ref'!D215</f>
        <v>203.2982931</v>
      </c>
      <c r="K182">
        <f>'Wet ref'!E215</f>
        <v>4.7045824339999998</v>
      </c>
      <c r="L182" s="3">
        <f t="shared" si="94"/>
        <v>4502.7817854699997</v>
      </c>
      <c r="M182" s="31">
        <f>'Wet ref'!$B$41*'Soil samples'!AI182%</f>
        <v>3.3385024744085143</v>
      </c>
      <c r="N182" s="105">
        <f>'Wet ref'!$B$41*'Soil samples'!AH182%</f>
        <v>1.6614975255914854</v>
      </c>
      <c r="O182">
        <f t="shared" si="129"/>
        <v>38.777965930000001</v>
      </c>
      <c r="P182">
        <f t="shared" si="137"/>
        <v>3.8777965929999998E-2</v>
      </c>
      <c r="Q182">
        <f>P182*('Wet ref'!$B$40+M182)</f>
        <v>1.0989094834598341</v>
      </c>
      <c r="R182" s="141">
        <f t="shared" si="118"/>
        <v>0.66139700272417035</v>
      </c>
      <c r="S182" s="141">
        <f>R182*'Soil samples'!AK182/100</f>
        <v>4.1846473130150531E-2</v>
      </c>
      <c r="T182" s="149">
        <f t="shared" si="97"/>
        <v>4.1846473130150531E-2</v>
      </c>
      <c r="U182" s="141">
        <f t="shared" si="98"/>
        <v>38.777965930000001</v>
      </c>
      <c r="V182" s="141">
        <f t="shared" si="99"/>
        <v>0.66139700272417035</v>
      </c>
      <c r="W182" s="141">
        <f>V182*'Soil samples'!AR182/100</f>
        <v>4.1846473130150531E-2</v>
      </c>
      <c r="X182" s="149">
        <f t="shared" si="100"/>
        <v>4.1846473130150531E-2</v>
      </c>
      <c r="Y182">
        <f t="shared" si="130"/>
        <v>163.0226826</v>
      </c>
      <c r="Z182">
        <f t="shared" si="102"/>
        <v>0.1630226826</v>
      </c>
      <c r="AA182">
        <f>Z182*('Wet ref'!$B$40+M182)</f>
        <v>4.6198186942448141</v>
      </c>
      <c r="AB182" s="175">
        <f t="shared" si="103"/>
        <v>2.7805149409417145</v>
      </c>
      <c r="AC182" s="175">
        <f>AB182*'Soil samples'!AK182/100</f>
        <v>0.1759226958768427</v>
      </c>
      <c r="AD182" s="174">
        <f t="shared" si="104"/>
        <v>0.1759226958768427</v>
      </c>
      <c r="AE182" s="175">
        <f t="shared" si="105"/>
        <v>163.0226826</v>
      </c>
      <c r="AF182" s="175">
        <f t="shared" si="106"/>
        <v>2.7805149409417145</v>
      </c>
      <c r="AG182" s="175">
        <f>AF182*'Soil samples'!AR182/100</f>
        <v>0.1759226958768427</v>
      </c>
      <c r="AH182" s="174">
        <f t="shared" si="107"/>
        <v>0.1759226958768427</v>
      </c>
      <c r="AI182">
        <f t="shared" si="131"/>
        <v>203.2982931</v>
      </c>
      <c r="AJ182">
        <f t="shared" si="138"/>
        <v>0.2032982931</v>
      </c>
      <c r="AK182">
        <f>AJ182*('Wet ref'!$B$40+M182)</f>
        <v>5.7611691820573769</v>
      </c>
      <c r="AL182" s="175">
        <f t="shared" si="132"/>
        <v>3.4674557700628696</v>
      </c>
      <c r="AM182" s="175">
        <f>AL182*'Soil samples'!AK182/100</f>
        <v>0.21938532245274517</v>
      </c>
      <c r="AN182" s="174">
        <f t="shared" si="109"/>
        <v>219.38532245274516</v>
      </c>
      <c r="AO182" s="175">
        <f t="shared" si="110"/>
        <v>3.4674557700628696</v>
      </c>
      <c r="AP182" s="175">
        <f>AO182*'Soil samples'!AR182/100</f>
        <v>0.21938532245274517</v>
      </c>
      <c r="AQ182" s="174">
        <f t="shared" si="111"/>
        <v>219.38532245274516</v>
      </c>
      <c r="AR182">
        <f t="shared" si="133"/>
        <v>4.7045824339999998</v>
      </c>
      <c r="AS182">
        <f t="shared" si="139"/>
        <v>4.7045824339999997E-3</v>
      </c>
      <c r="AT182">
        <f>AS182*('Wet ref'!$B$40+M182)</f>
        <v>0.13332082094696782</v>
      </c>
      <c r="AU182" s="175">
        <f t="shared" si="134"/>
        <v>8.0241359913856156E-2</v>
      </c>
      <c r="AV182" s="175">
        <f>AU182*'Soil samples'!AK182/100</f>
        <v>5.07685686166054E-3</v>
      </c>
      <c r="AW182" s="174">
        <f t="shared" si="113"/>
        <v>5.0768568616605396</v>
      </c>
      <c r="AX182" s="175">
        <f t="shared" si="114"/>
        <v>8.0241359913856156E-2</v>
      </c>
      <c r="AY182" s="175">
        <f>AX182*'Soil samples'!AR182/100</f>
        <v>5.07685686166054E-3</v>
      </c>
      <c r="AZ182" s="174">
        <f t="shared" si="115"/>
        <v>5.0768568616605396</v>
      </c>
      <c r="BA182">
        <f t="shared" si="135"/>
        <v>4502.7817854699997</v>
      </c>
      <c r="BB182">
        <f t="shared" si="140"/>
        <v>4.5027817854699999</v>
      </c>
      <c r="BC182">
        <f>BB182*('Wet ref'!$B$40+M182)</f>
        <v>127.60209276926318</v>
      </c>
      <c r="BD182" s="175">
        <f t="shared" si="136"/>
        <v>76.799447970190286</v>
      </c>
      <c r="BE182" s="175">
        <f>BD182*'Soil samples'!AK182/100</f>
        <v>4.8590876926535485</v>
      </c>
      <c r="BF182" s="174">
        <f t="shared" si="123"/>
        <v>4.8590876926535485</v>
      </c>
      <c r="BG182" s="175">
        <f t="shared" si="117"/>
        <v>76.799447970190286</v>
      </c>
      <c r="BH182" s="175">
        <f>BG182*'Soil samples'!AR182/100</f>
        <v>4.8590876926535485</v>
      </c>
      <c r="BI182" s="174">
        <f t="shared" si="124"/>
        <v>4.8590876926535485</v>
      </c>
      <c r="BK182" s="6"/>
      <c r="BL182" s="31"/>
    </row>
    <row r="183" spans="1:71">
      <c r="A183" s="6" t="s">
        <v>186</v>
      </c>
      <c r="B183" s="6" t="s">
        <v>548</v>
      </c>
      <c r="C183" t="s">
        <v>13</v>
      </c>
      <c r="D183" s="8">
        <v>4</v>
      </c>
      <c r="E183" s="3">
        <v>10</v>
      </c>
      <c r="F183" s="26">
        <v>42818</v>
      </c>
      <c r="G183" s="3"/>
      <c r="H183">
        <f>'Wet ref'!B216</f>
        <v>36.657540820000001</v>
      </c>
      <c r="I183">
        <f>'Wet ref'!C216</f>
        <v>175.43872229999999</v>
      </c>
      <c r="J183">
        <f>'Wet ref'!D216</f>
        <v>99.640612419999997</v>
      </c>
      <c r="K183">
        <f>'Wet ref'!E216</f>
        <v>3.4291338310000001</v>
      </c>
      <c r="L183" s="3">
        <f t="shared" si="94"/>
        <v>3217.0375678800001</v>
      </c>
      <c r="M183" s="31">
        <f>'Wet ref'!$B$41*'Soil samples'!AI183%</f>
        <v>3.5550688576711078</v>
      </c>
      <c r="N183" s="105">
        <f>'Wet ref'!$B$41*'Soil samples'!AH183%</f>
        <v>1.4449311423288924</v>
      </c>
      <c r="O183">
        <f t="shared" si="129"/>
        <v>36.657540820000001</v>
      </c>
      <c r="P183">
        <f t="shared" si="137"/>
        <v>3.6657540820000001E-2</v>
      </c>
      <c r="Q183">
        <f>P183*('Wet ref'!$B$40+M183)</f>
        <v>1.0467586022679896</v>
      </c>
      <c r="R183" s="141">
        <f t="shared" si="118"/>
        <v>0.72443493783437907</v>
      </c>
      <c r="S183" s="141">
        <f>R183*'Soil samples'!AK183/100</f>
        <v>8.7613695009830753E-2</v>
      </c>
      <c r="T183" s="149">
        <f t="shared" si="97"/>
        <v>8.7613695009830753E-2</v>
      </c>
      <c r="U183" s="141">
        <f t="shared" si="98"/>
        <v>36.657540820000001</v>
      </c>
      <c r="V183" s="141">
        <f t="shared" si="99"/>
        <v>0.72443493783437907</v>
      </c>
      <c r="W183" s="141">
        <f>V183*'Soil samples'!AR183/100</f>
        <v>8.7613695009830753E-2</v>
      </c>
      <c r="X183" s="149">
        <f t="shared" si="100"/>
        <v>8.7613695009830753E-2</v>
      </c>
      <c r="Y183">
        <f t="shared" si="130"/>
        <v>175.43872229999999</v>
      </c>
      <c r="Z183">
        <f t="shared" si="102"/>
        <v>0.17543872229999999</v>
      </c>
      <c r="AA183">
        <f>Z183*('Wet ref'!$B$40+M183)</f>
        <v>5.00966479557834</v>
      </c>
      <c r="AB183" s="175">
        <f t="shared" si="103"/>
        <v>3.4670612659811093</v>
      </c>
      <c r="AC183" s="175">
        <f>AB183*'Soil samples'!AK183/100</f>
        <v>0.41930894338990726</v>
      </c>
      <c r="AD183" s="174">
        <f t="shared" si="104"/>
        <v>0.41930894338990726</v>
      </c>
      <c r="AE183" s="175">
        <f t="shared" si="105"/>
        <v>175.43872229999999</v>
      </c>
      <c r="AF183" s="175">
        <f t="shared" si="106"/>
        <v>3.4670612659811093</v>
      </c>
      <c r="AG183" s="175">
        <f>AF183*'Soil samples'!AR183/100</f>
        <v>0.41930894338990726</v>
      </c>
      <c r="AH183" s="174">
        <f t="shared" si="107"/>
        <v>0.41930894338990726</v>
      </c>
      <c r="AI183">
        <f t="shared" si="131"/>
        <v>99.640612419999997</v>
      </c>
      <c r="AJ183">
        <f t="shared" si="138"/>
        <v>9.9640612419999997E-2</v>
      </c>
      <c r="AK183">
        <f>AJ183*('Wet ref'!$B$40+M183)</f>
        <v>2.8452445486736191</v>
      </c>
      <c r="AL183" s="175">
        <f t="shared" si="132"/>
        <v>1.9691212026115983</v>
      </c>
      <c r="AM183" s="175">
        <f>AL183*'Soil samples'!AK183/100</f>
        <v>0.23814696872398206</v>
      </c>
      <c r="AN183" s="174">
        <f t="shared" si="109"/>
        <v>238.14696872398207</v>
      </c>
      <c r="AO183" s="175">
        <f t="shared" si="110"/>
        <v>1.9691212026115983</v>
      </c>
      <c r="AP183" s="175">
        <f>AO183*'Soil samples'!AR183/100</f>
        <v>0.23814696872398206</v>
      </c>
      <c r="AQ183" s="174">
        <f t="shared" si="111"/>
        <v>238.14696872398207</v>
      </c>
      <c r="AR183">
        <f t="shared" si="133"/>
        <v>3.4291338310000001</v>
      </c>
      <c r="AS183">
        <f t="shared" si="139"/>
        <v>3.4291338310000002E-3</v>
      </c>
      <c r="AT183">
        <f>AS183*('Wet ref'!$B$40+M183)</f>
        <v>9.7919152666374534E-2</v>
      </c>
      <c r="AU183" s="175">
        <f t="shared" si="134"/>
        <v>6.7767348766911942E-2</v>
      </c>
      <c r="AV183" s="175">
        <f>AU183*'Soil samples'!AK183/100</f>
        <v>8.1958330781755524E-3</v>
      </c>
      <c r="AW183" s="174">
        <f t="shared" si="113"/>
        <v>8.1958330781755535</v>
      </c>
      <c r="AX183" s="175">
        <f t="shared" si="114"/>
        <v>6.7767348766911942E-2</v>
      </c>
      <c r="AY183" s="175">
        <f>AX183*'Soil samples'!AR183/100</f>
        <v>8.1958330781755524E-3</v>
      </c>
      <c r="AZ183" s="174">
        <f t="shared" si="115"/>
        <v>8.1958330781755535</v>
      </c>
      <c r="BA183">
        <f t="shared" si="135"/>
        <v>3217.0375678800001</v>
      </c>
      <c r="BB183">
        <f t="shared" si="140"/>
        <v>3.2170375678800003</v>
      </c>
      <c r="BC183">
        <f>BB183*('Wet ref'!$B$40+M183)</f>
        <v>91.862729268528199</v>
      </c>
      <c r="BD183" s="175">
        <f t="shared" si="136"/>
        <v>63.575852563096454</v>
      </c>
      <c r="BE183" s="175">
        <f>BD183*'Soil samples'!AK183/100</f>
        <v>7.6889104397758139</v>
      </c>
      <c r="BF183" s="174">
        <f t="shared" si="123"/>
        <v>7.6889104397758139</v>
      </c>
      <c r="BG183" s="175">
        <f t="shared" si="117"/>
        <v>63.575852563096454</v>
      </c>
      <c r="BH183" s="175">
        <f>BG183*'Soil samples'!AR183/100</f>
        <v>7.6889104397758139</v>
      </c>
      <c r="BI183" s="174">
        <f t="shared" si="124"/>
        <v>7.6889104397758139</v>
      </c>
      <c r="BK183" s="6"/>
      <c r="BL183" s="31"/>
    </row>
    <row r="184" spans="1:71">
      <c r="A184" s="6" t="s">
        <v>187</v>
      </c>
      <c r="B184" s="6" t="s">
        <v>548</v>
      </c>
      <c r="C184" t="s">
        <v>13</v>
      </c>
      <c r="D184" s="8">
        <v>4</v>
      </c>
      <c r="E184" s="3">
        <v>20</v>
      </c>
      <c r="F184" s="26">
        <v>42818</v>
      </c>
      <c r="G184" s="3"/>
      <c r="H184">
        <f>'Wet ref'!B217</f>
        <v>41.96161128</v>
      </c>
      <c r="I184">
        <f>'Wet ref'!C217</f>
        <v>169.837523</v>
      </c>
      <c r="J184">
        <f>'Wet ref'!D217</f>
        <v>29.387916879999999</v>
      </c>
      <c r="K184">
        <f>'Wet ref'!E217</f>
        <v>2.1580627419999998</v>
      </c>
      <c r="L184" s="3">
        <f t="shared" si="94"/>
        <v>1946.2636077199998</v>
      </c>
      <c r="M184" s="31">
        <f>'Wet ref'!$B$41*'Soil samples'!AI184%</f>
        <v>3.2744718478156964</v>
      </c>
      <c r="N184" s="105">
        <f>'Wet ref'!$B$41*'Soil samples'!AH184%</f>
        <v>1.7255281521843038</v>
      </c>
      <c r="O184">
        <f t="shared" si="129"/>
        <v>41.96161128</v>
      </c>
      <c r="P184">
        <f t="shared" si="137"/>
        <v>4.1961611279999998E-2</v>
      </c>
      <c r="Q184">
        <f>P184*('Wet ref'!$B$40+M184)</f>
        <v>1.1864423968253455</v>
      </c>
      <c r="R184" s="141">
        <f t="shared" si="118"/>
        <v>0.68758217321662185</v>
      </c>
      <c r="S184" s="141">
        <f>R184*'Soil samples'!AK184/100</f>
        <v>0.17910534422475419</v>
      </c>
      <c r="T184" s="149">
        <f t="shared" si="97"/>
        <v>0.17910534422475419</v>
      </c>
      <c r="U184" s="141">
        <f t="shared" si="98"/>
        <v>41.96161128</v>
      </c>
      <c r="V184" s="141">
        <f t="shared" si="99"/>
        <v>0.68758217321662185</v>
      </c>
      <c r="W184" s="141">
        <f>V184*'Soil samples'!AR184/100</f>
        <v>0.17910534422475419</v>
      </c>
      <c r="X184" s="149">
        <f t="shared" si="100"/>
        <v>0.17910534422475419</v>
      </c>
      <c r="Y184">
        <f t="shared" si="130"/>
        <v>169.837523</v>
      </c>
      <c r="Z184">
        <f t="shared" si="102"/>
        <v>0.16983752300000002</v>
      </c>
      <c r="AA184">
        <f>Z184*('Wet ref'!$B$40+M184)</f>
        <v>4.8020662627662514</v>
      </c>
      <c r="AB184" s="175">
        <f t="shared" si="103"/>
        <v>2.7829544575598106</v>
      </c>
      <c r="AC184" s="175">
        <f>AB184*'Soil samples'!AK184/100</f>
        <v>0.72491992302719355</v>
      </c>
      <c r="AD184" s="174">
        <f t="shared" si="104"/>
        <v>0.72491992302719355</v>
      </c>
      <c r="AE184" s="175">
        <f t="shared" si="105"/>
        <v>169.837523</v>
      </c>
      <c r="AF184" s="175">
        <f t="shared" si="106"/>
        <v>2.7829544575598106</v>
      </c>
      <c r="AG184" s="175">
        <f>AF184*'Soil samples'!AR184/100</f>
        <v>0.72491992302719355</v>
      </c>
      <c r="AH184" s="174">
        <f t="shared" si="107"/>
        <v>0.72491992302719355</v>
      </c>
      <c r="AI184">
        <f t="shared" si="131"/>
        <v>29.387916879999999</v>
      </c>
      <c r="AJ184">
        <f t="shared" si="138"/>
        <v>2.938791688E-2</v>
      </c>
      <c r="AK184">
        <f>AJ184*('Wet ref'!$B$40+M184)</f>
        <v>0.83092782848950775</v>
      </c>
      <c r="AL184" s="175">
        <f t="shared" si="132"/>
        <v>0.48154985326530697</v>
      </c>
      <c r="AM184" s="175">
        <f>AL184*'Soil samples'!AK184/100</f>
        <v>0.12543686498877613</v>
      </c>
      <c r="AN184" s="174">
        <f t="shared" si="109"/>
        <v>125.43686498877612</v>
      </c>
      <c r="AO184" s="175">
        <f t="shared" si="110"/>
        <v>0.48154985326530697</v>
      </c>
      <c r="AP184" s="175">
        <f>AO184*'Soil samples'!AR184/100</f>
        <v>0.12543686498877613</v>
      </c>
      <c r="AQ184" s="174">
        <f t="shared" si="111"/>
        <v>125.43686498877612</v>
      </c>
      <c r="AR184">
        <f t="shared" si="133"/>
        <v>2.1580627419999998</v>
      </c>
      <c r="AS184">
        <f t="shared" si="139"/>
        <v>2.1580627419999997E-3</v>
      </c>
      <c r="AT184">
        <f>AS184*('Wet ref'!$B$40+M184)</f>
        <v>6.1018084244498942E-2</v>
      </c>
      <c r="AU184" s="175">
        <f t="shared" si="134"/>
        <v>3.5361975501389323E-2</v>
      </c>
      <c r="AV184" s="175">
        <f>AU184*'Soil samples'!AK184/100</f>
        <v>9.2112899975495613E-3</v>
      </c>
      <c r="AW184" s="174">
        <f t="shared" si="113"/>
        <v>9.2112899975495619</v>
      </c>
      <c r="AX184" s="175">
        <f t="shared" si="114"/>
        <v>3.5361975501389323E-2</v>
      </c>
      <c r="AY184" s="175">
        <f>AX184*'Soil samples'!AR184/100</f>
        <v>9.2112899975495613E-3</v>
      </c>
      <c r="AZ184" s="174">
        <f t="shared" si="115"/>
        <v>9.2112899975495619</v>
      </c>
      <c r="BA184">
        <f t="shared" si="135"/>
        <v>1946.2636077199998</v>
      </c>
      <c r="BB184">
        <f t="shared" si="140"/>
        <v>1.9462636077199997</v>
      </c>
      <c r="BC184">
        <f>BB184*('Wet ref'!$B$40+M184)</f>
        <v>55.029575584907349</v>
      </c>
      <c r="BD184" s="175">
        <f t="shared" si="136"/>
        <v>31.891438870612895</v>
      </c>
      <c r="BE184" s="175">
        <f>BD184*'Soil samples'!AK184/100</f>
        <v>8.3072647302976161</v>
      </c>
      <c r="BF184" s="174">
        <f t="shared" si="123"/>
        <v>8.3072647302976161</v>
      </c>
      <c r="BG184" s="175">
        <f t="shared" si="117"/>
        <v>31.891438870612895</v>
      </c>
      <c r="BH184" s="175">
        <f>BG184*'Soil samples'!AR184/100</f>
        <v>8.3072647302976161</v>
      </c>
      <c r="BI184" s="174">
        <f t="shared" si="124"/>
        <v>8.3072647302976161</v>
      </c>
      <c r="BK184" s="6"/>
      <c r="BL184" s="31"/>
    </row>
    <row r="185" spans="1:71">
      <c r="A185" s="6" t="s">
        <v>188</v>
      </c>
      <c r="B185" s="6" t="s">
        <v>548</v>
      </c>
      <c r="C185" t="s">
        <v>13</v>
      </c>
      <c r="D185" s="8">
        <v>5</v>
      </c>
      <c r="E185" s="3">
        <v>5</v>
      </c>
      <c r="F185" s="26">
        <v>42792</v>
      </c>
      <c r="G185" s="3"/>
      <c r="H185">
        <f>'Wet ref'!B218</f>
        <v>46.271638490000001</v>
      </c>
      <c r="I185">
        <f>'Wet ref'!C218</f>
        <v>836.24762420000002</v>
      </c>
      <c r="J185">
        <f>'Wet ref'!D218</f>
        <v>52.757691110000003</v>
      </c>
      <c r="K185">
        <f>'Wet ref'!E218</f>
        <v>7.034464893</v>
      </c>
      <c r="L185" s="3">
        <f t="shared" si="94"/>
        <v>6151.9456303099996</v>
      </c>
      <c r="M185" s="31">
        <f>'Wet ref'!$B$41*'Soil samples'!AI185%</f>
        <v>3.889863547758285</v>
      </c>
      <c r="N185" s="105">
        <f>'Wet ref'!$B$41*'Soil samples'!AH185%</f>
        <v>1.110136452241715</v>
      </c>
      <c r="O185">
        <f t="shared" si="129"/>
        <v>46.271638490000001</v>
      </c>
      <c r="P185">
        <f t="shared" si="137"/>
        <v>4.6271638490000003E-2</v>
      </c>
      <c r="Q185">
        <f>P185*('Wet ref'!$B$40+M185)</f>
        <v>1.3367813221073004</v>
      </c>
      <c r="R185" s="141">
        <f t="shared" si="118"/>
        <v>1.2041594701335301</v>
      </c>
      <c r="S185" s="141">
        <f>R185*'Soil samples'!AK185/100</f>
        <v>0.11993602021946705</v>
      </c>
      <c r="T185" s="149">
        <f t="shared" si="97"/>
        <v>0.11993602021946705</v>
      </c>
      <c r="U185" s="141">
        <f t="shared" si="98"/>
        <v>46.271638490000001</v>
      </c>
      <c r="V185" s="141">
        <f t="shared" si="99"/>
        <v>1.2041594701335301</v>
      </c>
      <c r="W185" s="141">
        <f>V185*'Soil samples'!AR185/100</f>
        <v>0.11993602021946705</v>
      </c>
      <c r="X185" s="149">
        <f t="shared" si="100"/>
        <v>0.11993602021946705</v>
      </c>
      <c r="Y185">
        <f t="shared" si="130"/>
        <v>836.24762420000002</v>
      </c>
      <c r="Z185">
        <f t="shared" si="102"/>
        <v>0.83624762419999998</v>
      </c>
      <c r="AA185">
        <f>Z185*('Wet ref'!$B$40+M185)</f>
        <v>24.159079755275048</v>
      </c>
      <c r="AB185" s="175">
        <f t="shared" si="103"/>
        <v>21.762261482802643</v>
      </c>
      <c r="AC185" s="175">
        <f>AB185*'Soil samples'!AK185/100</f>
        <v>2.1675526356432782</v>
      </c>
      <c r="AD185" s="174">
        <f t="shared" si="104"/>
        <v>2.1675526356432782</v>
      </c>
      <c r="AE185" s="175">
        <f t="shared" si="105"/>
        <v>836.24762420000002</v>
      </c>
      <c r="AF185" s="175">
        <f t="shared" si="106"/>
        <v>21.762261482802643</v>
      </c>
      <c r="AG185" s="175">
        <f>AF185*'Soil samples'!AR185/100</f>
        <v>2.1675526356432782</v>
      </c>
      <c r="AH185" s="174">
        <f t="shared" si="107"/>
        <v>2.1675526356432782</v>
      </c>
      <c r="AI185">
        <f t="shared" si="131"/>
        <v>52.757691110000003</v>
      </c>
      <c r="AJ185">
        <f t="shared" si="138"/>
        <v>5.2757691110000005E-2</v>
      </c>
      <c r="AK185">
        <f>AJ185*('Wet ref'!$B$40+M185)</f>
        <v>1.5241624972626804</v>
      </c>
      <c r="AL185" s="175">
        <f t="shared" si="132"/>
        <v>1.3729505901593597</v>
      </c>
      <c r="AM185" s="175">
        <f>AL185*'Soil samples'!AK185/100</f>
        <v>0.13674785925440774</v>
      </c>
      <c r="AN185" s="174">
        <f t="shared" si="109"/>
        <v>136.74785925440776</v>
      </c>
      <c r="AO185" s="175">
        <f t="shared" si="110"/>
        <v>1.3729505901593597</v>
      </c>
      <c r="AP185" s="175">
        <f>AO185*'Soil samples'!AR185/100</f>
        <v>0.13674785925440774</v>
      </c>
      <c r="AQ185" s="174">
        <f t="shared" si="111"/>
        <v>136.74785925440776</v>
      </c>
      <c r="AR185">
        <f t="shared" si="133"/>
        <v>7.034464893</v>
      </c>
      <c r="AS185">
        <f t="shared" si="139"/>
        <v>7.0344648930000002E-3</v>
      </c>
      <c r="AT185">
        <f>AS185*('Wet ref'!$B$40+M185)</f>
        <v>0.2032247308902661</v>
      </c>
      <c r="AU185" s="175">
        <f t="shared" si="134"/>
        <v>0.18306283923916866</v>
      </c>
      <c r="AV185" s="175">
        <f>AU185*'Soil samples'!AK185/100</f>
        <v>1.8233322855474684E-2</v>
      </c>
      <c r="AW185" s="174">
        <f t="shared" si="113"/>
        <v>18.233322855474686</v>
      </c>
      <c r="AX185" s="175">
        <f t="shared" si="114"/>
        <v>0.18306283923916866</v>
      </c>
      <c r="AY185" s="175">
        <f>AX185*'Soil samples'!AR185/100</f>
        <v>1.8233322855474684E-2</v>
      </c>
      <c r="AZ185" s="174">
        <f t="shared" si="115"/>
        <v>18.233322855474686</v>
      </c>
      <c r="BA185">
        <f t="shared" si="135"/>
        <v>6151.9456303099996</v>
      </c>
      <c r="BB185">
        <f t="shared" si="140"/>
        <v>6.1519456303099993</v>
      </c>
      <c r="BC185">
        <f>BB185*('Wet ref'!$B$40+M185)</f>
        <v>177.72886981288372</v>
      </c>
      <c r="BD185" s="175">
        <f t="shared" si="136"/>
        <v>160.09641828623245</v>
      </c>
      <c r="BE185" s="175">
        <f>BD185*'Soil samples'!AK185/100</f>
        <v>15.945834199611934</v>
      </c>
      <c r="BF185" s="174">
        <f t="shared" si="123"/>
        <v>15.945834199611932</v>
      </c>
      <c r="BG185" s="175">
        <f t="shared" si="117"/>
        <v>160.09641828623245</v>
      </c>
      <c r="BH185" s="175">
        <f>BG185*'Soil samples'!AR185/100</f>
        <v>15.945834199611934</v>
      </c>
      <c r="BI185" s="174">
        <f t="shared" si="124"/>
        <v>15.945834199611932</v>
      </c>
      <c r="BK185" s="6"/>
      <c r="BL185" s="31"/>
    </row>
    <row r="186" spans="1:71">
      <c r="A186" s="6" t="s">
        <v>189</v>
      </c>
      <c r="B186" s="6" t="s">
        <v>548</v>
      </c>
      <c r="C186" t="s">
        <v>13</v>
      </c>
      <c r="D186" s="8">
        <v>5</v>
      </c>
      <c r="E186" s="3">
        <v>10</v>
      </c>
      <c r="F186" s="26">
        <v>42792</v>
      </c>
      <c r="G186" s="3"/>
      <c r="H186">
        <f>'Wet ref'!B219</f>
        <v>41.250291369999999</v>
      </c>
      <c r="I186">
        <f>'Wet ref'!C219</f>
        <v>406.33035940000002</v>
      </c>
      <c r="J186">
        <f>'Wet ref'!D219</f>
        <v>29.698558049999999</v>
      </c>
      <c r="K186">
        <f>'Wet ref'!E219</f>
        <v>4.3110538109999998</v>
      </c>
      <c r="L186" s="3">
        <f t="shared" si="94"/>
        <v>3863.4731602299998</v>
      </c>
      <c r="M186" s="31">
        <f>'Wet ref'!$B$41*'Soil samples'!AI186%</f>
        <v>3.716935362187634</v>
      </c>
      <c r="N186" s="105">
        <f>'Wet ref'!$B$41*'Soil samples'!AH186%</f>
        <v>1.2830646378123656</v>
      </c>
      <c r="O186">
        <f t="shared" si="129"/>
        <v>41.250291369999999</v>
      </c>
      <c r="P186">
        <f t="shared" si="137"/>
        <v>4.1250291369999997E-2</v>
      </c>
      <c r="Q186">
        <f>P186*('Wet ref'!$B$40+M186)</f>
        <v>1.1845819509436963</v>
      </c>
      <c r="R186" s="141">
        <f t="shared" si="118"/>
        <v>0.92324417339052933</v>
      </c>
      <c r="S186" s="141">
        <f>R186*'Soil samples'!AK186/100</f>
        <v>0.16844755342419365</v>
      </c>
      <c r="T186" s="149">
        <f t="shared" si="97"/>
        <v>0.16844755342419365</v>
      </c>
      <c r="U186" s="141">
        <f t="shared" si="98"/>
        <v>41.250291369999999</v>
      </c>
      <c r="V186" s="141">
        <f t="shared" si="99"/>
        <v>0.92324417339052933</v>
      </c>
      <c r="W186" s="141">
        <f>V186*'Soil samples'!AR186/100</f>
        <v>0.16844755342419365</v>
      </c>
      <c r="X186" s="149">
        <f t="shared" si="100"/>
        <v>0.16844755342419365</v>
      </c>
      <c r="Y186">
        <f t="shared" si="130"/>
        <v>406.33035940000002</v>
      </c>
      <c r="Z186">
        <f t="shared" si="102"/>
        <v>0.40633035940000001</v>
      </c>
      <c r="AA186">
        <f>Z186*('Wet ref'!$B$40+M186)</f>
        <v>11.66856266658427</v>
      </c>
      <c r="AB186" s="175">
        <f t="shared" si="103"/>
        <v>9.0942905935582896</v>
      </c>
      <c r="AC186" s="175">
        <f>AB186*'Soil samples'!AK186/100</f>
        <v>1.6592696111882836</v>
      </c>
      <c r="AD186" s="174">
        <f t="shared" si="104"/>
        <v>1.6592696111882836</v>
      </c>
      <c r="AE186" s="175">
        <f t="shared" si="105"/>
        <v>406.33035940000002</v>
      </c>
      <c r="AF186" s="175">
        <f t="shared" si="106"/>
        <v>9.0942905935582896</v>
      </c>
      <c r="AG186" s="175">
        <f>AF186*'Soil samples'!AR186/100</f>
        <v>1.6592696111882836</v>
      </c>
      <c r="AH186" s="174">
        <f t="shared" si="107"/>
        <v>1.6592696111882836</v>
      </c>
      <c r="AI186">
        <f t="shared" si="131"/>
        <v>29.698558049999999</v>
      </c>
      <c r="AJ186">
        <f t="shared" si="138"/>
        <v>2.9698558050000001E-2</v>
      </c>
      <c r="AK186">
        <f>AJ186*('Wet ref'!$B$40+M186)</f>
        <v>0.8528515718720272</v>
      </c>
      <c r="AL186" s="175">
        <f t="shared" si="132"/>
        <v>0.66469883647182826</v>
      </c>
      <c r="AM186" s="175">
        <f>AL186*'Soil samples'!AK186/100</f>
        <v>0.12127549352020228</v>
      </c>
      <c r="AN186" s="174">
        <f t="shared" si="109"/>
        <v>121.27549352020228</v>
      </c>
      <c r="AO186" s="175">
        <f t="shared" si="110"/>
        <v>0.66469883647182826</v>
      </c>
      <c r="AP186" s="175">
        <f>AO186*'Soil samples'!AR186/100</f>
        <v>0.12127549352020228</v>
      </c>
      <c r="AQ186" s="174">
        <f t="shared" si="111"/>
        <v>121.27549352020228</v>
      </c>
      <c r="AR186">
        <f t="shared" si="133"/>
        <v>4.3110538109999998</v>
      </c>
      <c r="AS186">
        <f t="shared" si="139"/>
        <v>4.3110538110000002E-3</v>
      </c>
      <c r="AT186">
        <f>AS186*('Wet ref'!$B$40+M186)</f>
        <v>0.12380025363339967</v>
      </c>
      <c r="AU186" s="175">
        <f t="shared" si="134"/>
        <v>9.6487932084606418E-2</v>
      </c>
      <c r="AV186" s="175">
        <f>AU186*'Soil samples'!AK186/100</f>
        <v>1.7604396066669435E-2</v>
      </c>
      <c r="AW186" s="174">
        <f t="shared" si="113"/>
        <v>17.604396066669434</v>
      </c>
      <c r="AX186" s="175">
        <f t="shared" si="114"/>
        <v>9.6487932084606418E-2</v>
      </c>
      <c r="AY186" s="175">
        <f>AX186*'Soil samples'!AR186/100</f>
        <v>1.7604396066669435E-2</v>
      </c>
      <c r="AZ186" s="174">
        <f t="shared" si="115"/>
        <v>17.604396066669434</v>
      </c>
      <c r="BA186">
        <f t="shared" si="135"/>
        <v>3863.4731602299998</v>
      </c>
      <c r="BB186">
        <f t="shared" si="140"/>
        <v>3.8634731602299999</v>
      </c>
      <c r="BC186">
        <f>BB186*('Wet ref'!$B$40+M186)</f>
        <v>110.94710901587169</v>
      </c>
      <c r="BD186" s="175">
        <f t="shared" si="136"/>
        <v>86.4703973176576</v>
      </c>
      <c r="BE186" s="175">
        <f>BD186*'Soil samples'!AK186/100</f>
        <v>15.776678902056961</v>
      </c>
      <c r="BF186" s="174">
        <f t="shared" si="123"/>
        <v>15.776678902056961</v>
      </c>
      <c r="BG186" s="175">
        <f t="shared" si="117"/>
        <v>86.4703973176576</v>
      </c>
      <c r="BH186" s="175">
        <f>BG186*'Soil samples'!AR186/100</f>
        <v>15.776678902056961</v>
      </c>
      <c r="BI186" s="174">
        <f t="shared" si="124"/>
        <v>15.776678902056961</v>
      </c>
      <c r="BK186" s="6"/>
      <c r="BL186" s="31"/>
    </row>
    <row r="187" spans="1:71">
      <c r="A187" s="6" t="s">
        <v>190</v>
      </c>
      <c r="B187" s="6" t="s">
        <v>548</v>
      </c>
      <c r="C187" t="s">
        <v>13</v>
      </c>
      <c r="D187" s="8">
        <v>5</v>
      </c>
      <c r="E187" s="3">
        <v>20</v>
      </c>
      <c r="F187" s="26">
        <v>42792</v>
      </c>
      <c r="G187" s="3"/>
      <c r="H187">
        <f>'Wet ref'!B220</f>
        <v>19.342239620000001</v>
      </c>
      <c r="I187">
        <f>'Wet ref'!C220</f>
        <v>64.962778889999996</v>
      </c>
      <c r="J187">
        <f>'Wet ref'!D220</f>
        <v>25.8752821</v>
      </c>
      <c r="K187">
        <f>'Wet ref'!E220</f>
        <v>2.0974242140000001</v>
      </c>
      <c r="L187" s="3">
        <f t="shared" si="94"/>
        <v>2013.1191954900003</v>
      </c>
      <c r="M187" s="31">
        <f>'Wet ref'!$B$41*'Soil samples'!AI187%</f>
        <v>2.8120312031203119</v>
      </c>
      <c r="N187" s="105">
        <f>'Wet ref'!$B$41*'Soil samples'!AH187%</f>
        <v>2.1879687968796881</v>
      </c>
      <c r="O187">
        <f t="shared" si="129"/>
        <v>19.342239620000001</v>
      </c>
      <c r="P187">
        <f t="shared" si="137"/>
        <v>1.934223962E-2</v>
      </c>
      <c r="Q187">
        <f>P187*('Wet ref'!$B$40+M187)</f>
        <v>0.53794697184967</v>
      </c>
      <c r="R187" s="141">
        <f t="shared" si="118"/>
        <v>0.24586592487829276</v>
      </c>
      <c r="S187" s="141">
        <f>R187*'Soil samples'!AK187/100</f>
        <v>8.9417545660852082E-2</v>
      </c>
      <c r="T187" s="149">
        <f t="shared" si="97"/>
        <v>8.9417545660852082E-2</v>
      </c>
      <c r="U187" s="141">
        <f t="shared" si="98"/>
        <v>19.342239620000001</v>
      </c>
      <c r="V187" s="141">
        <f t="shared" si="99"/>
        <v>0.24586592487829276</v>
      </c>
      <c r="W187" s="141">
        <f>V187*'Soil samples'!AR187/100</f>
        <v>8.9417545660852082E-2</v>
      </c>
      <c r="X187" s="149">
        <f t="shared" si="100"/>
        <v>8.9417545660852082E-2</v>
      </c>
      <c r="Y187">
        <f t="shared" si="130"/>
        <v>64.962778889999996</v>
      </c>
      <c r="Z187">
        <f t="shared" si="102"/>
        <v>6.4962778889999989E-2</v>
      </c>
      <c r="AA187">
        <f>Z187*('Wet ref'!$B$40+M187)</f>
        <v>1.8067468335300854</v>
      </c>
      <c r="AB187" s="175">
        <f t="shared" si="103"/>
        <v>0.8257644423936612</v>
      </c>
      <c r="AC187" s="175">
        <f>AB187*'Soil samples'!AK187/100</f>
        <v>0.3003174586693706</v>
      </c>
      <c r="AD187" s="174">
        <f t="shared" si="104"/>
        <v>0.3003174586693706</v>
      </c>
      <c r="AE187" s="175">
        <f t="shared" si="105"/>
        <v>64.962778889999996</v>
      </c>
      <c r="AF187" s="175">
        <f t="shared" si="106"/>
        <v>0.8257644423936612</v>
      </c>
      <c r="AG187" s="175">
        <f>AF187*'Soil samples'!AR187/100</f>
        <v>0.3003174586693706</v>
      </c>
      <c r="AH187" s="174">
        <f t="shared" si="107"/>
        <v>0.3003174586693706</v>
      </c>
      <c r="AI187">
        <f t="shared" si="131"/>
        <v>25.8752821</v>
      </c>
      <c r="AJ187">
        <f t="shared" si="138"/>
        <v>2.5875282100000001E-2</v>
      </c>
      <c r="AK187">
        <f>AJ187*('Wet ref'!$B$40+M187)</f>
        <v>0.71964415315474051</v>
      </c>
      <c r="AL187" s="175">
        <f t="shared" si="132"/>
        <v>0.3289096966012684</v>
      </c>
      <c r="AM187" s="175">
        <f>AL187*'Soil samples'!AK187/100</f>
        <v>0.11961925113738088</v>
      </c>
      <c r="AN187" s="174">
        <f t="shared" si="109"/>
        <v>119.61925113738087</v>
      </c>
      <c r="AO187" s="175">
        <f t="shared" si="110"/>
        <v>0.3289096966012684</v>
      </c>
      <c r="AP187" s="175">
        <f>AO187*'Soil samples'!AR187/100</f>
        <v>0.11961925113738088</v>
      </c>
      <c r="AQ187" s="174">
        <f t="shared" si="111"/>
        <v>119.61925113738087</v>
      </c>
      <c r="AR187">
        <f t="shared" si="133"/>
        <v>2.0974242140000001</v>
      </c>
      <c r="AS187">
        <f t="shared" si="139"/>
        <v>2.0974242140000001E-3</v>
      </c>
      <c r="AT187">
        <f>AS187*('Wet ref'!$B$40+M187)</f>
        <v>5.8333627685948096E-2</v>
      </c>
      <c r="AU187" s="175">
        <f t="shared" si="134"/>
        <v>2.666108756630305E-2</v>
      </c>
      <c r="AV187" s="175">
        <f>AU187*'Soil samples'!AK187/100</f>
        <v>9.6962155939582864E-3</v>
      </c>
      <c r="AW187" s="174">
        <f t="shared" si="113"/>
        <v>9.6962155939582857</v>
      </c>
      <c r="AX187" s="175">
        <f t="shared" si="114"/>
        <v>2.666108756630305E-2</v>
      </c>
      <c r="AY187" s="175">
        <f>AX187*'Soil samples'!AR187/100</f>
        <v>9.6962155939582864E-3</v>
      </c>
      <c r="AZ187" s="174">
        <f t="shared" si="115"/>
        <v>9.6962155939582857</v>
      </c>
      <c r="BA187">
        <f t="shared" si="135"/>
        <v>2013.1191954900003</v>
      </c>
      <c r="BB187">
        <f t="shared" si="140"/>
        <v>2.0131191954900003</v>
      </c>
      <c r="BC187">
        <f>BB187*('Wet ref'!$B$40+M187)</f>
        <v>55.988933880568347</v>
      </c>
      <c r="BD187" s="175">
        <f t="shared" si="136"/>
        <v>25.589457199031099</v>
      </c>
      <c r="BE187" s="175">
        <f>BD187*'Soil samples'!AK187/100</f>
        <v>9.3064805896280642</v>
      </c>
      <c r="BF187" s="174">
        <f t="shared" si="123"/>
        <v>9.3064805896280642</v>
      </c>
      <c r="BG187" s="175">
        <f t="shared" si="117"/>
        <v>25.589457199031099</v>
      </c>
      <c r="BH187" s="175">
        <f>BG187*'Soil samples'!AR187/100</f>
        <v>9.3064805896280642</v>
      </c>
      <c r="BI187" s="174">
        <f t="shared" si="124"/>
        <v>9.3064805896280642</v>
      </c>
      <c r="BK187" s="6"/>
      <c r="BL187" s="31"/>
    </row>
    <row r="188" spans="1:71">
      <c r="A188" s="6" t="s">
        <v>191</v>
      </c>
      <c r="B188" s="6" t="s">
        <v>548</v>
      </c>
      <c r="C188" t="s">
        <v>13</v>
      </c>
      <c r="D188" s="8">
        <v>5</v>
      </c>
      <c r="E188" s="3">
        <v>30</v>
      </c>
      <c r="F188" s="26">
        <v>42792</v>
      </c>
      <c r="G188" s="3" t="s">
        <v>674</v>
      </c>
      <c r="H188">
        <f>'Wet ref'!B221</f>
        <v>24.246286619999999</v>
      </c>
      <c r="I188">
        <f>'Wet ref'!C221</f>
        <v>60.154338170000003</v>
      </c>
      <c r="J188">
        <f>'Wet ref'!D221</f>
        <v>34.621025830000001</v>
      </c>
      <c r="K188">
        <f>'Wet ref'!E221</f>
        <v>2.5084131520000001</v>
      </c>
      <c r="L188" s="3">
        <f t="shared" si="94"/>
        <v>2424.0125272100004</v>
      </c>
      <c r="M188" s="31">
        <f>'Wet ref'!$B$41*'Soil samples'!AI188%</f>
        <v>3.0659679753139719</v>
      </c>
      <c r="N188" s="105">
        <f>'Wet ref'!$B$41*'Soil samples'!AH188%</f>
        <v>1.9340320246860285</v>
      </c>
      <c r="O188">
        <f t="shared" si="129"/>
        <v>24.246286619999999</v>
      </c>
      <c r="P188">
        <f t="shared" si="137"/>
        <v>2.4246286619999998E-2</v>
      </c>
      <c r="Q188">
        <f>P188*('Wet ref'!$B$40+M188)</f>
        <v>0.68049550379720358</v>
      </c>
      <c r="R188" s="141">
        <f t="shared" si="118"/>
        <v>0.35185327601163974</v>
      </c>
      <c r="S188" s="141">
        <f>R188*'Soil samples'!AK188/100</f>
        <v>0.12363242312987593</v>
      </c>
      <c r="T188" s="149">
        <f t="shared" si="97"/>
        <v>0.12363242312987593</v>
      </c>
      <c r="U188" s="141">
        <f t="shared" si="98"/>
        <v>24.246286619999999</v>
      </c>
      <c r="V188" s="141">
        <f t="shared" si="99"/>
        <v>0.35185327601163974</v>
      </c>
      <c r="W188" s="141">
        <f>V188*'Soil samples'!AR188/100</f>
        <v>0.12363242312987593</v>
      </c>
      <c r="X188" s="149">
        <f t="shared" si="100"/>
        <v>0.12363242312987593</v>
      </c>
      <c r="Y188">
        <f t="shared" si="130"/>
        <v>60.154338170000003</v>
      </c>
      <c r="Z188">
        <f t="shared" si="102"/>
        <v>6.0154338170000002E-2</v>
      </c>
      <c r="AA188">
        <f>Z188*('Wet ref'!$B$40+M188)</f>
        <v>1.6882897286554268</v>
      </c>
      <c r="AB188" s="175">
        <f t="shared" si="103"/>
        <v>0.87293783510617118</v>
      </c>
      <c r="AC188" s="175">
        <f>AB188*'Soil samples'!AK188/100</f>
        <v>0.30672847790211782</v>
      </c>
      <c r="AD188" s="174">
        <f t="shared" si="104"/>
        <v>0.30672847790211782</v>
      </c>
      <c r="AE188" s="175">
        <f t="shared" si="105"/>
        <v>60.154338170000003</v>
      </c>
      <c r="AF188" s="175">
        <f t="shared" si="106"/>
        <v>0.87293783510617118</v>
      </c>
      <c r="AG188" s="175">
        <f>AF188*'Soil samples'!AR188/100</f>
        <v>0.30672847790211782</v>
      </c>
      <c r="AH188" s="174">
        <f t="shared" si="107"/>
        <v>0.30672847790211782</v>
      </c>
      <c r="AI188">
        <f t="shared" si="131"/>
        <v>34.621025830000001</v>
      </c>
      <c r="AJ188">
        <f t="shared" si="138"/>
        <v>3.4621025829999999E-2</v>
      </c>
      <c r="AK188">
        <f>AJ188*('Wet ref'!$B$40+M188)</f>
        <v>0.97167260221729779</v>
      </c>
      <c r="AL188" s="175">
        <f t="shared" si="132"/>
        <v>0.50240771084183034</v>
      </c>
      <c r="AM188" s="175">
        <f>AL188*'Soil samples'!AK188/100</f>
        <v>0.17653347837083863</v>
      </c>
      <c r="AN188" s="174">
        <f t="shared" si="109"/>
        <v>176.53347837083865</v>
      </c>
      <c r="AO188" s="175">
        <f t="shared" si="110"/>
        <v>0.50240771084183034</v>
      </c>
      <c r="AP188" s="175">
        <f>AO188*'Soil samples'!AR188/100</f>
        <v>0.17653347837083863</v>
      </c>
      <c r="AQ188" s="174">
        <f t="shared" si="111"/>
        <v>176.53347837083865</v>
      </c>
      <c r="AR188">
        <f t="shared" si="133"/>
        <v>2.5084131520000001</v>
      </c>
      <c r="AS188">
        <f t="shared" si="139"/>
        <v>2.508413152E-3</v>
      </c>
      <c r="AT188">
        <f>AS188*('Wet ref'!$B$40+M188)</f>
        <v>7.0401043192888368E-2</v>
      </c>
      <c r="AU188" s="175">
        <f t="shared" si="134"/>
        <v>3.640117758873062E-2</v>
      </c>
      <c r="AV188" s="175">
        <f>AU188*'Soil samples'!AK188/100</f>
        <v>1.2790461527283954E-2</v>
      </c>
      <c r="AW188" s="174">
        <f t="shared" si="113"/>
        <v>12.790461527283954</v>
      </c>
      <c r="AX188" s="175">
        <f t="shared" si="114"/>
        <v>3.640117758873062E-2</v>
      </c>
      <c r="AY188" s="175">
        <f>AX188*'Soil samples'!AR188/100</f>
        <v>1.2790461527283954E-2</v>
      </c>
      <c r="AZ188" s="174">
        <f t="shared" si="115"/>
        <v>12.790461527283954</v>
      </c>
      <c r="BA188">
        <f t="shared" si="135"/>
        <v>2424.0125272100004</v>
      </c>
      <c r="BB188">
        <f t="shared" si="140"/>
        <v>2.4240125272100004</v>
      </c>
      <c r="BC188">
        <f>BB188*('Wet ref'!$B$40+M188)</f>
        <v>68.032257960435757</v>
      </c>
      <c r="BD188" s="175">
        <f t="shared" si="136"/>
        <v>35.176386477612823</v>
      </c>
      <c r="BE188" s="175">
        <f>BD188*'Soil samples'!AK188/100</f>
        <v>12.360100626251965</v>
      </c>
      <c r="BF188" s="174">
        <f t="shared" si="123"/>
        <v>12.360100626251965</v>
      </c>
      <c r="BG188" s="175">
        <f t="shared" si="117"/>
        <v>35.176386477612823</v>
      </c>
      <c r="BH188" s="175">
        <f>BG188*'Soil samples'!AR188/100</f>
        <v>12.360100626251965</v>
      </c>
      <c r="BI188" s="174">
        <f t="shared" si="124"/>
        <v>12.360100626251965</v>
      </c>
      <c r="BK188" s="6"/>
      <c r="BL188" s="31"/>
    </row>
    <row r="189" spans="1:71">
      <c r="A189" s="6" t="s">
        <v>192</v>
      </c>
      <c r="B189" s="6" t="s">
        <v>548</v>
      </c>
      <c r="C189" t="s">
        <v>13</v>
      </c>
      <c r="D189" s="8">
        <v>6</v>
      </c>
      <c r="E189" s="3">
        <v>5</v>
      </c>
      <c r="F189" s="25">
        <v>42753</v>
      </c>
      <c r="G189" s="3"/>
      <c r="H189">
        <f>'Wet ref'!B222</f>
        <v>25.622307169999999</v>
      </c>
      <c r="I189">
        <f>'Wet ref'!C222</f>
        <v>141.75080969999999</v>
      </c>
      <c r="J189">
        <f>'Wet ref'!D222</f>
        <v>73.714022400000005</v>
      </c>
      <c r="K189">
        <f>'Wet ref'!E222</f>
        <v>4.099291537</v>
      </c>
      <c r="L189" s="3">
        <f t="shared" si="94"/>
        <v>3931.91842013</v>
      </c>
      <c r="M189" s="31">
        <f>'Wet ref'!$B$41*'Soil samples'!AI189%</f>
        <v>3.7574596274476155</v>
      </c>
      <c r="N189" s="105">
        <f>'Wet ref'!$B$41*'Soil samples'!AH189%</f>
        <v>1.2425403725523843</v>
      </c>
      <c r="O189">
        <f t="shared" si="129"/>
        <v>25.622307169999999</v>
      </c>
      <c r="P189">
        <f t="shared" si="137"/>
        <v>2.5622307170000001E-2</v>
      </c>
      <c r="Q189">
        <f>P189*('Wet ref'!$B$40+M189)</f>
        <v>0.73683246400333657</v>
      </c>
      <c r="R189" s="141">
        <f t="shared" si="118"/>
        <v>0.59300484739160653</v>
      </c>
      <c r="S189" s="141">
        <f>R189*'Soil samples'!AK189/100</f>
        <v>6.895278198143226E-2</v>
      </c>
      <c r="T189" s="149">
        <f t="shared" si="97"/>
        <v>6.895278198143226E-2</v>
      </c>
      <c r="U189" s="141">
        <f t="shared" si="98"/>
        <v>25.622307169999999</v>
      </c>
      <c r="V189" s="141">
        <f t="shared" si="99"/>
        <v>0.59300484739160653</v>
      </c>
      <c r="W189" s="141">
        <f>V189*'Soil samples'!AR189/100</f>
        <v>6.895278198143226E-2</v>
      </c>
      <c r="X189" s="149">
        <f t="shared" si="100"/>
        <v>6.895278198143226E-2</v>
      </c>
      <c r="Y189">
        <f t="shared" si="130"/>
        <v>141.75080969999999</v>
      </c>
      <c r="Z189">
        <f t="shared" si="102"/>
        <v>0.14175080969999998</v>
      </c>
      <c r="AA189">
        <f>Z189*('Wet ref'!$B$40+M189)</f>
        <v>4.0763931871057597</v>
      </c>
      <c r="AB189" s="175">
        <f t="shared" si="103"/>
        <v>3.2806927462100659</v>
      </c>
      <c r="AC189" s="175">
        <f>AB189*'Soil samples'!AK189/100</f>
        <v>0.38146887444935712</v>
      </c>
      <c r="AD189" s="174">
        <f t="shared" si="104"/>
        <v>0.38146887444935712</v>
      </c>
      <c r="AE189" s="175">
        <f t="shared" si="105"/>
        <v>141.75080969999999</v>
      </c>
      <c r="AF189" s="175">
        <f t="shared" si="106"/>
        <v>3.2806927462100659</v>
      </c>
      <c r="AG189" s="175">
        <f>AF189*'Soil samples'!AR189/100</f>
        <v>0.38146887444935712</v>
      </c>
      <c r="AH189" s="174">
        <f t="shared" si="107"/>
        <v>0.38146887444935712</v>
      </c>
      <c r="AI189">
        <f t="shared" si="131"/>
        <v>73.714022400000005</v>
      </c>
      <c r="AJ189">
        <f t="shared" si="138"/>
        <v>7.3714022400000009E-2</v>
      </c>
      <c r="AK189">
        <f>AJ189*('Wet ref'!$B$40+M189)</f>
        <v>2.1198280231447697</v>
      </c>
      <c r="AL189" s="175">
        <f t="shared" si="132"/>
        <v>1.7060435781175392</v>
      </c>
      <c r="AM189" s="175">
        <f>AL189*'Soil samples'!AK189/100</f>
        <v>0.19837350640588763</v>
      </c>
      <c r="AN189" s="174">
        <f t="shared" si="109"/>
        <v>198.37350640588764</v>
      </c>
      <c r="AO189" s="175">
        <f t="shared" si="110"/>
        <v>1.7060435781175392</v>
      </c>
      <c r="AP189" s="175">
        <f>AO189*'Soil samples'!AR189/100</f>
        <v>0.19837350640588763</v>
      </c>
      <c r="AQ189" s="174">
        <f t="shared" si="111"/>
        <v>198.37350640588764</v>
      </c>
      <c r="AR189">
        <f t="shared" si="133"/>
        <v>4.099291537</v>
      </c>
      <c r="AS189">
        <f t="shared" si="139"/>
        <v>4.0992915369999997E-3</v>
      </c>
      <c r="AT189">
        <f>AS189*('Wet ref'!$B$40+M189)</f>
        <v>0.11788521087641518</v>
      </c>
      <c r="AU189" s="175">
        <f t="shared" si="134"/>
        <v>9.4874350548674227E-2</v>
      </c>
      <c r="AV189" s="175">
        <f>AU189*'Soil samples'!AK189/100</f>
        <v>1.1031698033814936E-2</v>
      </c>
      <c r="AW189" s="174">
        <f t="shared" si="113"/>
        <v>11.031698033814937</v>
      </c>
      <c r="AX189" s="175">
        <f t="shared" si="114"/>
        <v>9.4874350548674227E-2</v>
      </c>
      <c r="AY189" s="175">
        <f>AX189*'Soil samples'!AR189/100</f>
        <v>1.1031698033814936E-2</v>
      </c>
      <c r="AZ189" s="174">
        <f t="shared" si="115"/>
        <v>11.031698033814937</v>
      </c>
      <c r="BA189">
        <f t="shared" si="135"/>
        <v>3931.91842013</v>
      </c>
      <c r="BB189">
        <f t="shared" si="140"/>
        <v>3.9319184201300001</v>
      </c>
      <c r="BC189">
        <f>BB189*('Wet ref'!$B$40+M189)</f>
        <v>113.07198522530609</v>
      </c>
      <c r="BD189" s="175">
        <f t="shared" si="136"/>
        <v>91.000652955072567</v>
      </c>
      <c r="BE189" s="175">
        <f>BD189*'Soil samples'!AK189/100</f>
        <v>10.58127637738415</v>
      </c>
      <c r="BF189" s="174">
        <f t="shared" si="123"/>
        <v>10.58127637738415</v>
      </c>
      <c r="BG189" s="175">
        <f t="shared" si="117"/>
        <v>91.000652955072567</v>
      </c>
      <c r="BH189" s="175">
        <f>BG189*'Soil samples'!AR189/100</f>
        <v>10.58127637738415</v>
      </c>
      <c r="BI189" s="174">
        <f t="shared" si="124"/>
        <v>10.58127637738415</v>
      </c>
      <c r="BK189" s="6"/>
      <c r="BL189" s="31"/>
    </row>
    <row r="190" spans="1:71">
      <c r="A190" s="6" t="s">
        <v>193</v>
      </c>
      <c r="B190" s="6" t="s">
        <v>548</v>
      </c>
      <c r="C190" t="s">
        <v>13</v>
      </c>
      <c r="D190" s="8">
        <v>6</v>
      </c>
      <c r="E190" s="3">
        <v>10</v>
      </c>
      <c r="F190" s="25">
        <v>42753</v>
      </c>
      <c r="G190" s="3"/>
      <c r="H190">
        <f>'Wet ref'!B223</f>
        <v>5.4436801560000001</v>
      </c>
      <c r="I190">
        <f>'Wet ref'!C223</f>
        <v>110.841876</v>
      </c>
      <c r="J190">
        <f>'Wet ref'!D223</f>
        <v>26.377087070000002</v>
      </c>
      <c r="K190">
        <f>'Wet ref'!E223</f>
        <v>1.348570732</v>
      </c>
      <c r="L190" s="3">
        <f t="shared" si="94"/>
        <v>1232.2851758439999</v>
      </c>
      <c r="M190" s="31">
        <f>'Wet ref'!$B$41*'Soil samples'!AI190%</f>
        <v>3.7335368930180763</v>
      </c>
      <c r="N190" s="105">
        <f>'Wet ref'!$B$41*'Soil samples'!AH190%</f>
        <v>1.2664631069819234</v>
      </c>
      <c r="O190">
        <f t="shared" si="129"/>
        <v>5.4436801560000001</v>
      </c>
      <c r="P190">
        <f t="shared" si="137"/>
        <v>5.4436801560000005E-3</v>
      </c>
      <c r="Q190">
        <f>P190*('Wet ref'!$B$40+M190)</f>
        <v>0.15641618459621642</v>
      </c>
      <c r="R190" s="141">
        <f t="shared" si="118"/>
        <v>0.12350630960657663</v>
      </c>
      <c r="S190" s="141">
        <f>R190*'Soil samples'!AK190/100</f>
        <v>2.6274790688472435E-2</v>
      </c>
      <c r="T190" s="149">
        <f t="shared" si="97"/>
        <v>2.6274790688472435E-2</v>
      </c>
      <c r="U190" s="141">
        <f t="shared" si="98"/>
        <v>5.4436801560000001</v>
      </c>
      <c r="V190" s="141">
        <f t="shared" si="99"/>
        <v>0.12350630960657663</v>
      </c>
      <c r="W190" s="141">
        <f>V190*'Soil samples'!AR190/100</f>
        <v>2.6274790688472435E-2</v>
      </c>
      <c r="X190" s="149">
        <f t="shared" si="100"/>
        <v>2.6274790688472435E-2</v>
      </c>
      <c r="Y190">
        <f t="shared" si="130"/>
        <v>110.841876</v>
      </c>
      <c r="Z190">
        <f t="shared" si="102"/>
        <v>0.11084187600000001</v>
      </c>
      <c r="AA190">
        <f>Z190*('Wet ref'!$B$40+M190)</f>
        <v>3.184879133337335</v>
      </c>
      <c r="AB190" s="175">
        <f t="shared" si="103"/>
        <v>2.5147824013027438</v>
      </c>
      <c r="AC190" s="175">
        <f>AB190*'Soil samples'!AK190/100</f>
        <v>0.53499599681800558</v>
      </c>
      <c r="AD190" s="174">
        <f t="shared" si="104"/>
        <v>0.53499599681800558</v>
      </c>
      <c r="AE190" s="175">
        <f t="shared" si="105"/>
        <v>110.841876</v>
      </c>
      <c r="AF190" s="175">
        <f t="shared" si="106"/>
        <v>2.5147824013027438</v>
      </c>
      <c r="AG190" s="175">
        <f>AF190*'Soil samples'!AR190/100</f>
        <v>0.53499599681800558</v>
      </c>
      <c r="AH190" s="174">
        <f t="shared" si="107"/>
        <v>0.53499599681800558</v>
      </c>
      <c r="AI190">
        <f t="shared" si="131"/>
        <v>26.377087070000002</v>
      </c>
      <c r="AJ190">
        <f t="shared" si="138"/>
        <v>2.6377087070000003E-2</v>
      </c>
      <c r="AK190">
        <f>AJ190*('Wet ref'!$B$40+M190)</f>
        <v>0.75790700445619519</v>
      </c>
      <c r="AL190" s="175">
        <f t="shared" si="132"/>
        <v>0.59844380801770403</v>
      </c>
      <c r="AM190" s="175">
        <f>AL190*'Soil samples'!AK190/100</f>
        <v>0.12731321860855169</v>
      </c>
      <c r="AN190" s="174">
        <f t="shared" si="109"/>
        <v>127.31321860855169</v>
      </c>
      <c r="AO190" s="175">
        <f t="shared" si="110"/>
        <v>0.59844380801770403</v>
      </c>
      <c r="AP190" s="175">
        <f>AO190*'Soil samples'!AR190/100</f>
        <v>0.12731321860855169</v>
      </c>
      <c r="AQ190" s="174">
        <f t="shared" si="111"/>
        <v>127.31321860855169</v>
      </c>
      <c r="AR190">
        <f t="shared" si="133"/>
        <v>1.348570732</v>
      </c>
      <c r="AS190">
        <f t="shared" si="139"/>
        <v>1.348570732E-3</v>
      </c>
      <c r="AT190">
        <f>AS190*('Wet ref'!$B$40+M190)</f>
        <v>3.8749206880766392E-2</v>
      </c>
      <c r="AU190" s="175">
        <f t="shared" si="134"/>
        <v>3.0596396110668125E-2</v>
      </c>
      <c r="AV190" s="175">
        <f>AU190*'Soil samples'!AK190/100</f>
        <v>6.5090917718311388E-3</v>
      </c>
      <c r="AW190" s="174">
        <f t="shared" si="113"/>
        <v>6.5090917718311383</v>
      </c>
      <c r="AX190" s="175">
        <f t="shared" si="114"/>
        <v>3.0596396110668125E-2</v>
      </c>
      <c r="AY190" s="175">
        <f>AX190*'Soil samples'!AR190/100</f>
        <v>6.5090917718311388E-3</v>
      </c>
      <c r="AZ190" s="174">
        <f t="shared" si="115"/>
        <v>6.5090917718311383</v>
      </c>
      <c r="BA190">
        <f t="shared" si="135"/>
        <v>1232.2851758439999</v>
      </c>
      <c r="BB190">
        <f t="shared" si="140"/>
        <v>1.2322851758439999</v>
      </c>
      <c r="BC190">
        <f>BB190*('Wet ref'!$B$40+M190)</f>
        <v>35.407911562832837</v>
      </c>
      <c r="BD190" s="175">
        <f t="shared" si="136"/>
        <v>27.958107399758802</v>
      </c>
      <c r="BE190" s="175">
        <f>BD190*'Soil samples'!AK190/100</f>
        <v>5.947820984324661</v>
      </c>
      <c r="BF190" s="174">
        <f t="shared" si="123"/>
        <v>5.947820984324661</v>
      </c>
      <c r="BG190" s="175">
        <f t="shared" si="117"/>
        <v>27.958107399758802</v>
      </c>
      <c r="BH190" s="175">
        <f>BG190*'Soil samples'!AR190/100</f>
        <v>5.947820984324661</v>
      </c>
      <c r="BI190" s="174">
        <f t="shared" si="124"/>
        <v>5.947820984324661</v>
      </c>
      <c r="BK190" s="6"/>
      <c r="BL190" s="31"/>
    </row>
    <row r="191" spans="1:71">
      <c r="A191" s="6" t="s">
        <v>194</v>
      </c>
      <c r="B191" s="6" t="s">
        <v>548</v>
      </c>
      <c r="C191" t="s">
        <v>13</v>
      </c>
      <c r="D191" s="8">
        <v>6</v>
      </c>
      <c r="E191" s="3">
        <v>20</v>
      </c>
      <c r="F191" s="25">
        <v>42753</v>
      </c>
      <c r="G191" s="3"/>
      <c r="H191">
        <f>'Wet ref'!B224</f>
        <v>21.103245149999999</v>
      </c>
      <c r="I191">
        <f>'Wet ref'!C224</f>
        <v>98.492139780000002</v>
      </c>
      <c r="J191">
        <f>'Wet ref'!D224</f>
        <v>37.512378269999999</v>
      </c>
      <c r="K191">
        <f>'Wet ref'!E224</f>
        <v>1.7036468680000001</v>
      </c>
      <c r="L191" s="3">
        <f t="shared" si="94"/>
        <v>1584.0514830699999</v>
      </c>
      <c r="M191" s="31">
        <f>'Wet ref'!$B$41*'Soil samples'!AI191%</f>
        <v>3.4134329871521891</v>
      </c>
      <c r="N191" s="105">
        <f>'Wet ref'!$B$41*'Soil samples'!AH191%</f>
        <v>1.5865670128478107</v>
      </c>
      <c r="O191">
        <f t="shared" si="129"/>
        <v>21.103245149999999</v>
      </c>
      <c r="P191">
        <f t="shared" si="137"/>
        <v>2.1103245149999998E-2</v>
      </c>
      <c r="Q191">
        <f>P191*('Wet ref'!$B$40+M191)</f>
        <v>0.59961564188096939</v>
      </c>
      <c r="R191" s="141">
        <f t="shared" si="118"/>
        <v>0.37793275482558308</v>
      </c>
      <c r="S191" s="141">
        <f>R191*'Soil samples'!AK191/100</f>
        <v>0.10733119989669351</v>
      </c>
      <c r="T191" s="149">
        <f t="shared" si="97"/>
        <v>0.10733119989669351</v>
      </c>
      <c r="U191" s="141">
        <f t="shared" si="98"/>
        <v>21.103245149999999</v>
      </c>
      <c r="V191" s="141">
        <f t="shared" si="99"/>
        <v>0.37793275482558308</v>
      </c>
      <c r="W191" s="141">
        <f>V191*'Soil samples'!AR191/100</f>
        <v>0.10733119989669351</v>
      </c>
      <c r="X191" s="149">
        <f t="shared" si="100"/>
        <v>0.1073311998966935</v>
      </c>
      <c r="Y191">
        <f t="shared" si="130"/>
        <v>98.492139780000002</v>
      </c>
      <c r="Z191">
        <f t="shared" si="102"/>
        <v>9.8492139780000001E-2</v>
      </c>
      <c r="AA191">
        <f>Z191*('Wet ref'!$B$40+M191)</f>
        <v>2.7984998134002561</v>
      </c>
      <c r="AB191" s="175">
        <f t="shared" si="103"/>
        <v>1.7638711701039875</v>
      </c>
      <c r="AC191" s="175">
        <f>AB191*'Soil samples'!AK191/100</f>
        <v>0.50093146659864585</v>
      </c>
      <c r="AD191" s="174">
        <f t="shared" si="104"/>
        <v>0.50093146659864585</v>
      </c>
      <c r="AE191" s="175">
        <f t="shared" si="105"/>
        <v>98.492139780000002</v>
      </c>
      <c r="AF191" s="175">
        <f t="shared" si="106"/>
        <v>1.7638711701039875</v>
      </c>
      <c r="AG191" s="175">
        <f>AF191*'Soil samples'!AR191/100</f>
        <v>0.50093146659864585</v>
      </c>
      <c r="AH191" s="174">
        <f t="shared" si="107"/>
        <v>0.50093146659864585</v>
      </c>
      <c r="AI191">
        <f t="shared" si="131"/>
        <v>37.512378269999999</v>
      </c>
      <c r="AJ191">
        <f t="shared" si="138"/>
        <v>3.7512378270000001E-2</v>
      </c>
      <c r="AK191">
        <f>AJ191*('Wet ref'!$B$40+M191)</f>
        <v>1.0658554461633489</v>
      </c>
      <c r="AL191" s="175">
        <f t="shared" si="132"/>
        <v>0.67179982788762904</v>
      </c>
      <c r="AM191" s="175">
        <f>AL191*'Soil samples'!AK191/100</f>
        <v>0.19078812486323948</v>
      </c>
      <c r="AN191" s="174">
        <f t="shared" si="109"/>
        <v>190.78812486323949</v>
      </c>
      <c r="AO191" s="175">
        <f t="shared" si="110"/>
        <v>0.67179982788762904</v>
      </c>
      <c r="AP191" s="175">
        <f>AO191*'Soil samples'!AR191/100</f>
        <v>0.19078812486323948</v>
      </c>
      <c r="AQ191" s="174">
        <f t="shared" si="111"/>
        <v>190.78812486323949</v>
      </c>
      <c r="AR191">
        <f t="shared" si="133"/>
        <v>1.7036468680000001</v>
      </c>
      <c r="AS191">
        <f t="shared" si="139"/>
        <v>1.7036468680000001E-3</v>
      </c>
      <c r="AT191">
        <f>AS191*('Wet ref'!$B$40+M191)</f>
        <v>4.8406456117689713E-2</v>
      </c>
      <c r="AU191" s="175">
        <f t="shared" si="134"/>
        <v>3.0510186916594514E-2</v>
      </c>
      <c r="AV191" s="175">
        <f>AU191*'Soil samples'!AK191/100</f>
        <v>8.6647556450664583E-3</v>
      </c>
      <c r="AW191" s="174">
        <f t="shared" si="113"/>
        <v>8.6647556450664585</v>
      </c>
      <c r="AX191" s="175">
        <f t="shared" si="114"/>
        <v>3.0510186916594514E-2</v>
      </c>
      <c r="AY191" s="175">
        <f>AX191*'Soil samples'!AR191/100</f>
        <v>8.6647556450664583E-3</v>
      </c>
      <c r="AZ191" s="174">
        <f t="shared" si="115"/>
        <v>8.6647556450664585</v>
      </c>
      <c r="BA191">
        <f t="shared" si="135"/>
        <v>1584.0514830699999</v>
      </c>
      <c r="BB191">
        <f t="shared" si="140"/>
        <v>1.5840514830699999</v>
      </c>
      <c r="BC191">
        <f>BB191*('Wet ref'!$B$40+M191)</f>
        <v>45.008340662408479</v>
      </c>
      <c r="BD191" s="175">
        <f t="shared" si="136"/>
        <v>28.368382991664937</v>
      </c>
      <c r="BE191" s="175">
        <f>BD191*'Soil samples'!AK191/100</f>
        <v>8.0564929785711179</v>
      </c>
      <c r="BF191" s="174">
        <f t="shared" si="123"/>
        <v>8.0564929785711179</v>
      </c>
      <c r="BG191" s="175">
        <f t="shared" si="117"/>
        <v>28.368382991664937</v>
      </c>
      <c r="BH191" s="175">
        <f>BG191*'Soil samples'!AR191/100</f>
        <v>8.0564929785711179</v>
      </c>
      <c r="BI191" s="174">
        <f t="shared" si="124"/>
        <v>8.0564929785711179</v>
      </c>
      <c r="BK191" s="6"/>
      <c r="BL191" s="31"/>
    </row>
    <row r="192" spans="1:71" s="4" customFormat="1">
      <c r="A192" s="7" t="s">
        <v>195</v>
      </c>
      <c r="B192" s="7" t="s">
        <v>548</v>
      </c>
      <c r="C192" s="4" t="s">
        <v>13</v>
      </c>
      <c r="D192" s="4">
        <v>6</v>
      </c>
      <c r="E192" s="5">
        <v>30</v>
      </c>
      <c r="F192" s="27">
        <v>42753</v>
      </c>
      <c r="G192" s="5"/>
      <c r="H192">
        <f>'Wet ref'!B225</f>
        <v>20.425009889999998</v>
      </c>
      <c r="I192">
        <f>'Wet ref'!C225</f>
        <v>118.61379220000001</v>
      </c>
      <c r="J192">
        <f>'Wet ref'!D225</f>
        <v>32.685492379999999</v>
      </c>
      <c r="K192">
        <f>'Wet ref'!E225</f>
        <v>1.1977454519999999</v>
      </c>
      <c r="L192" s="3">
        <f t="shared" si="94"/>
        <v>1058.7066499099999</v>
      </c>
      <c r="M192" s="31">
        <f>'Wet ref'!$B$41*'Soil samples'!AI192%</f>
        <v>2.2605145490035863</v>
      </c>
      <c r="N192" s="105">
        <f>'Wet ref'!$B$41*'Soil samples'!AH192%</f>
        <v>2.7394854509964137</v>
      </c>
      <c r="O192">
        <f t="shared" si="129"/>
        <v>20.425009889999998</v>
      </c>
      <c r="P192" s="4">
        <f t="shared" si="137"/>
        <v>2.0425009889999998E-2</v>
      </c>
      <c r="Q192">
        <f>P192*('Wet ref'!$B$40+M192)</f>
        <v>0.55679627926988717</v>
      </c>
      <c r="R192" s="141">
        <f t="shared" si="118"/>
        <v>0.20324848926186762</v>
      </c>
      <c r="S192" s="141">
        <f>R192*'Soil samples'!AK192/100</f>
        <v>0.13315226222460083</v>
      </c>
      <c r="T192" s="149">
        <f t="shared" si="97"/>
        <v>0.13315226222460083</v>
      </c>
      <c r="U192" s="141">
        <f t="shared" si="98"/>
        <v>20.425009889999998</v>
      </c>
      <c r="V192" s="141">
        <f t="shared" si="99"/>
        <v>0.20324848926186762</v>
      </c>
      <c r="W192" s="141">
        <f>V192*'Soil samples'!AR192/100</f>
        <v>0.13315226222460083</v>
      </c>
      <c r="X192" s="149">
        <f t="shared" si="100"/>
        <v>0.13315226222460083</v>
      </c>
      <c r="Y192">
        <f t="shared" si="130"/>
        <v>118.61379220000001</v>
      </c>
      <c r="Z192">
        <f t="shared" si="102"/>
        <v>0.11861379220000001</v>
      </c>
      <c r="AA192">
        <f>Z192*('Wet ref'!$B$40+M192)</f>
        <v>3.2334730079805887</v>
      </c>
      <c r="AB192" s="175">
        <f t="shared" si="103"/>
        <v>1.1803212923815676</v>
      </c>
      <c r="AC192" s="175">
        <f>AB192*'Soil samples'!AK192/100</f>
        <v>0.77325273512847803</v>
      </c>
      <c r="AD192" s="174">
        <f t="shared" si="104"/>
        <v>0.77325273512847803</v>
      </c>
      <c r="AE192" s="175">
        <f t="shared" si="105"/>
        <v>118.61379220000001</v>
      </c>
      <c r="AF192" s="175">
        <f t="shared" si="106"/>
        <v>1.1803212923815676</v>
      </c>
      <c r="AG192" s="175">
        <f>AF192*'Soil samples'!AR192/100</f>
        <v>0.77325273512847803</v>
      </c>
      <c r="AH192" s="174">
        <f t="shared" si="107"/>
        <v>0.77325273512847803</v>
      </c>
      <c r="AI192">
        <f t="shared" si="131"/>
        <v>32.685492379999999</v>
      </c>
      <c r="AJ192" s="4">
        <f t="shared" si="138"/>
        <v>3.268549238E-2</v>
      </c>
      <c r="AK192">
        <f>AJ192*('Wet ref'!$B$40+M192)</f>
        <v>0.89102334056633592</v>
      </c>
      <c r="AL192" s="175">
        <f t="shared" si="132"/>
        <v>0.32525207981748921</v>
      </c>
      <c r="AM192" s="175">
        <f>AL192*'Soil samples'!AK192/100</f>
        <v>0.21307932166303359</v>
      </c>
      <c r="AN192" s="174">
        <f t="shared" si="109"/>
        <v>213.07932166303357</v>
      </c>
      <c r="AO192" s="175">
        <f t="shared" si="110"/>
        <v>0.32525207981748921</v>
      </c>
      <c r="AP192" s="175">
        <f>AO192*'Soil samples'!AR192/100</f>
        <v>0.21307932166303359</v>
      </c>
      <c r="AQ192" s="174">
        <f t="shared" si="111"/>
        <v>213.07932166303357</v>
      </c>
      <c r="AR192">
        <f t="shared" si="133"/>
        <v>1.1977454519999999</v>
      </c>
      <c r="AS192" s="4">
        <f t="shared" si="139"/>
        <v>1.197745452E-3</v>
      </c>
      <c r="AT192">
        <f>AS192*('Wet ref'!$B$40+M192)</f>
        <v>3.2651157320248876E-2</v>
      </c>
      <c r="AU192" s="175">
        <f t="shared" si="134"/>
        <v>1.1918719009211346E-2</v>
      </c>
      <c r="AV192" s="175">
        <f>AU192*'Soil samples'!AK192/100</f>
        <v>7.808197761564317E-3</v>
      </c>
      <c r="AW192" s="174">
        <f t="shared" si="113"/>
        <v>7.8081977615643172</v>
      </c>
      <c r="AX192" s="175">
        <f t="shared" si="114"/>
        <v>1.1918719009211346E-2</v>
      </c>
      <c r="AY192" s="175">
        <f>AX192*'Soil samples'!AR192/100</f>
        <v>7.808197761564317E-3</v>
      </c>
      <c r="AZ192" s="174">
        <f t="shared" si="115"/>
        <v>7.8081977615643172</v>
      </c>
      <c r="BA192">
        <f t="shared" si="135"/>
        <v>1058.7066499099999</v>
      </c>
      <c r="BB192" s="4">
        <f t="shared" si="140"/>
        <v>1.05870664991</v>
      </c>
      <c r="BC192">
        <f>BB192*('Wet ref'!$B$40+M192)</f>
        <v>28.860888032998403</v>
      </c>
      <c r="BD192" s="175">
        <f t="shared" si="136"/>
        <v>10.535149227567913</v>
      </c>
      <c r="BE192" s="175">
        <f>BD192*'Soil samples'!AK192/100</f>
        <v>6.9017927642112396</v>
      </c>
      <c r="BF192" s="174">
        <f t="shared" si="123"/>
        <v>6.9017927642112396</v>
      </c>
      <c r="BG192" s="175">
        <f t="shared" si="117"/>
        <v>10.535149227567913</v>
      </c>
      <c r="BH192" s="175">
        <f>BG192*'Soil samples'!AR192/100</f>
        <v>6.9017927642112396</v>
      </c>
      <c r="BI192" s="174">
        <f t="shared" si="124"/>
        <v>6.9017927642112396</v>
      </c>
      <c r="BK192" s="7"/>
      <c r="BL192" s="31"/>
      <c r="BM192" s="52"/>
      <c r="BN192" s="95"/>
      <c r="BO192" s="32"/>
      <c r="BP192" s="32"/>
      <c r="BQ192" s="32"/>
      <c r="BR192" s="32"/>
      <c r="BS192" s="3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F48"/>
  <sheetViews>
    <sheetView workbookViewId="0">
      <selection activeCell="H33" sqref="H33"/>
    </sheetView>
  </sheetViews>
  <sheetFormatPr baseColWidth="10" defaultRowHeight="16"/>
  <sheetData>
    <row r="1" spans="1:58" ht="19">
      <c r="A1" s="19"/>
      <c r="B1" s="19"/>
      <c r="C1" s="19"/>
      <c r="D1" s="19"/>
      <c r="E1" s="21"/>
      <c r="F1" s="20" t="s">
        <v>757</v>
      </c>
      <c r="G1" s="21"/>
      <c r="L1" s="3"/>
      <c r="M1" s="31"/>
      <c r="N1" s="105"/>
      <c r="O1" s="1" t="s">
        <v>887</v>
      </c>
      <c r="R1" s="141"/>
      <c r="S1" s="141"/>
      <c r="T1" s="149"/>
      <c r="U1" s="141"/>
      <c r="V1" s="141"/>
      <c r="W1" s="141"/>
      <c r="X1" s="141"/>
      <c r="Y1" s="1" t="s">
        <v>888</v>
      </c>
      <c r="AB1" s="175"/>
      <c r="AC1" s="175"/>
      <c r="AD1" s="174"/>
      <c r="AE1" s="175"/>
      <c r="AF1" s="175"/>
      <c r="AG1" s="175"/>
      <c r="AH1" s="175"/>
      <c r="AL1" s="175"/>
      <c r="AM1" s="175"/>
      <c r="AN1" s="174"/>
      <c r="AO1" s="175"/>
      <c r="AP1" s="175"/>
      <c r="AQ1" s="175"/>
      <c r="AU1" s="175"/>
      <c r="AV1" s="175"/>
      <c r="AW1" s="174"/>
      <c r="AX1" s="175"/>
      <c r="AY1" s="175"/>
      <c r="AZ1" s="175"/>
      <c r="BD1" s="175"/>
      <c r="BE1" s="175"/>
      <c r="BF1" s="174"/>
    </row>
    <row r="2" spans="1:58">
      <c r="A2" s="9"/>
      <c r="B2" s="9"/>
      <c r="C2" s="9"/>
      <c r="D2" s="9"/>
      <c r="E2" s="23"/>
      <c r="F2" s="22"/>
      <c r="G2" s="23"/>
      <c r="L2" s="3"/>
      <c r="M2" s="31"/>
      <c r="N2" s="105"/>
      <c r="R2" s="141"/>
      <c r="S2" s="141"/>
      <c r="T2" s="149"/>
      <c r="U2" s="141"/>
      <c r="V2" s="141"/>
      <c r="W2" s="141"/>
      <c r="X2" s="141"/>
      <c r="Y2" t="s">
        <v>847</v>
      </c>
      <c r="AB2" s="175"/>
      <c r="AC2" s="175"/>
      <c r="AD2" s="174"/>
      <c r="AE2" s="175"/>
      <c r="AF2" s="175"/>
      <c r="AG2" s="175"/>
      <c r="AH2" s="175"/>
      <c r="AI2" t="s">
        <v>848</v>
      </c>
      <c r="AL2" s="175"/>
      <c r="AM2" s="175"/>
      <c r="AN2" s="174"/>
      <c r="AO2" s="175"/>
      <c r="AP2" s="175"/>
      <c r="AQ2" s="175"/>
      <c r="AR2" t="s">
        <v>859</v>
      </c>
      <c r="AU2" s="175"/>
      <c r="AV2" s="175"/>
      <c r="AW2" s="174"/>
      <c r="AX2" s="175"/>
      <c r="AY2" s="175"/>
      <c r="AZ2" s="175"/>
      <c r="BA2" t="s">
        <v>860</v>
      </c>
      <c r="BD2" s="175"/>
      <c r="BE2" s="175"/>
      <c r="BF2" s="174"/>
    </row>
    <row r="3" spans="1:58">
      <c r="A3" s="1" t="s">
        <v>10</v>
      </c>
      <c r="B3" s="1" t="s">
        <v>8</v>
      </c>
      <c r="C3" s="1" t="s">
        <v>11</v>
      </c>
      <c r="D3" s="1" t="s">
        <v>212</v>
      </c>
      <c r="E3" s="2" t="s">
        <v>20</v>
      </c>
      <c r="F3" s="18" t="s">
        <v>462</v>
      </c>
      <c r="G3" s="2" t="s">
        <v>375</v>
      </c>
      <c r="H3" s="107" t="s">
        <v>754</v>
      </c>
      <c r="I3" s="107" t="s">
        <v>755</v>
      </c>
      <c r="J3" s="107" t="s">
        <v>756</v>
      </c>
      <c r="K3" s="107" t="s">
        <v>790</v>
      </c>
      <c r="L3" s="125" t="s">
        <v>791</v>
      </c>
      <c r="M3" s="126" t="s">
        <v>849</v>
      </c>
      <c r="N3" s="127" t="s">
        <v>850</v>
      </c>
      <c r="O3" s="107" t="s">
        <v>1060</v>
      </c>
      <c r="P3" s="107" t="s">
        <v>792</v>
      </c>
      <c r="Q3" s="107" t="s">
        <v>793</v>
      </c>
      <c r="R3" s="142" t="s">
        <v>794</v>
      </c>
      <c r="S3" s="142" t="s">
        <v>878</v>
      </c>
      <c r="T3" s="150" t="s">
        <v>879</v>
      </c>
      <c r="U3" s="142"/>
      <c r="V3" s="142"/>
      <c r="W3" s="142"/>
      <c r="X3" s="142"/>
      <c r="Y3" s="107" t="s">
        <v>1061</v>
      </c>
      <c r="Z3" s="107" t="s">
        <v>795</v>
      </c>
      <c r="AA3" s="107" t="s">
        <v>796</v>
      </c>
      <c r="AB3" s="176" t="s">
        <v>797</v>
      </c>
      <c r="AC3" s="142" t="s">
        <v>1025</v>
      </c>
      <c r="AD3" s="150" t="s">
        <v>1026</v>
      </c>
      <c r="AE3" s="142"/>
      <c r="AF3" s="142"/>
      <c r="AG3" s="142"/>
      <c r="AH3" s="142"/>
      <c r="AI3" s="107" t="s">
        <v>1062</v>
      </c>
      <c r="AJ3" s="107" t="s">
        <v>798</v>
      </c>
      <c r="AK3" s="107" t="s">
        <v>799</v>
      </c>
      <c r="AL3" s="176" t="s">
        <v>800</v>
      </c>
      <c r="AM3" s="142" t="s">
        <v>1034</v>
      </c>
      <c r="AN3" s="150" t="s">
        <v>1030</v>
      </c>
      <c r="AO3" s="142"/>
      <c r="AP3" s="142"/>
      <c r="AQ3" s="142"/>
      <c r="AR3" s="107" t="s">
        <v>1063</v>
      </c>
      <c r="AS3" s="107" t="s">
        <v>801</v>
      </c>
      <c r="AT3" s="107" t="s">
        <v>802</v>
      </c>
      <c r="AU3" s="176" t="s">
        <v>803</v>
      </c>
      <c r="AV3" s="142" t="s">
        <v>1035</v>
      </c>
      <c r="AW3" s="150" t="s">
        <v>1031</v>
      </c>
      <c r="AX3" s="142"/>
      <c r="AY3" s="142"/>
      <c r="AZ3" s="142"/>
      <c r="BA3" s="107" t="s">
        <v>791</v>
      </c>
      <c r="BB3" s="107" t="s">
        <v>804</v>
      </c>
      <c r="BC3" s="107" t="s">
        <v>805</v>
      </c>
      <c r="BD3" s="176" t="s">
        <v>806</v>
      </c>
      <c r="BE3" s="142" t="s">
        <v>1032</v>
      </c>
      <c r="BF3" s="150" t="s">
        <v>1033</v>
      </c>
    </row>
    <row r="4" spans="1:58">
      <c r="A4" t="s">
        <v>0</v>
      </c>
      <c r="B4" t="s">
        <v>9</v>
      </c>
      <c r="C4" t="s">
        <v>12</v>
      </c>
      <c r="D4" s="8">
        <v>1</v>
      </c>
      <c r="E4">
        <v>5</v>
      </c>
      <c r="F4" s="26">
        <v>43007</v>
      </c>
      <c r="G4" s="24">
        <v>42996</v>
      </c>
      <c r="H4">
        <f>'Wet ref 2017'!B51</f>
        <v>7264.0653421865154</v>
      </c>
      <c r="I4">
        <f>'Wet ref 2017'!C51</f>
        <v>10061.768221561935</v>
      </c>
      <c r="J4">
        <f>'Wet ref 2017'!D51</f>
        <v>38.718413587191037</v>
      </c>
      <c r="K4">
        <f>'Wet ref 2017'!E51</f>
        <v>31.435667845472921</v>
      </c>
      <c r="L4">
        <f>K4*1000-H4-I4</f>
        <v>14109.83428172447</v>
      </c>
      <c r="M4">
        <f>'Wet ref 2017'!$B$41*'Soil samples 2017'!AI4%</f>
        <v>3.0255255255255253</v>
      </c>
      <c r="N4">
        <f>'Wet ref 2017'!$B$41*'Soil samples 2017'!AH4%</f>
        <v>1.9744744744744747</v>
      </c>
      <c r="O4">
        <f>IF(H4&gt;0,H4,0)</f>
        <v>7264.0653421865154</v>
      </c>
      <c r="P4">
        <f>O4/1000</f>
        <v>7.2640653421865151</v>
      </c>
      <c r="Q4">
        <f>P4*('Wet ref 2017'!$B$40+M4)</f>
        <v>203.57924866653349</v>
      </c>
      <c r="R4" s="141">
        <f>Q4/N4</f>
        <v>103.1055358265485</v>
      </c>
      <c r="S4" s="141">
        <f>R4*'Soil samples 2017'!AJ4/100</f>
        <v>3.4079166226777726</v>
      </c>
      <c r="T4" s="149">
        <f>S4/1000000*1000000</f>
        <v>3.4079166226777726</v>
      </c>
      <c r="U4" s="141"/>
      <c r="V4" s="141"/>
      <c r="W4" s="141"/>
      <c r="X4" s="141"/>
      <c r="Y4">
        <f t="shared" ref="Y4:Y48" si="0">IF(I4&gt;0,I4,0)</f>
        <v>10061.768221561935</v>
      </c>
      <c r="Z4">
        <f>Y4/1000</f>
        <v>10.061768221561936</v>
      </c>
      <c r="AA4">
        <f>Z4*('Wet ref 2017'!$B$40+M4)</f>
        <v>281.98634212530555</v>
      </c>
      <c r="AB4" s="175">
        <f t="shared" ref="AB4:AB48" si="1">AA4/N4</f>
        <v>142.81589646802547</v>
      </c>
      <c r="AC4" s="175">
        <f>AB4*'Soil samples 2017'!AJ4/100</f>
        <v>4.7204513671776178</v>
      </c>
      <c r="AD4" s="174">
        <f>AC4/1000000*1000000</f>
        <v>4.7204513671776178</v>
      </c>
      <c r="AE4" s="175"/>
      <c r="AF4" s="175"/>
      <c r="AG4" s="175"/>
      <c r="AH4" s="175"/>
      <c r="AI4">
        <f t="shared" ref="AI4:AI48" si="2">IF(J4&gt;0,J4,0)</f>
        <v>38.718413587191037</v>
      </c>
      <c r="AJ4">
        <f>AI4/1000</f>
        <v>3.8718413587191039E-2</v>
      </c>
      <c r="AK4">
        <f>AJ4*('Wet ref 2017'!$B$40+M4)</f>
        <v>1.0851038882956767</v>
      </c>
      <c r="AL4" s="175">
        <f t="shared" ref="AL4:AL48" si="3">AK4/N4</f>
        <v>0.54956592365393209</v>
      </c>
      <c r="AM4" s="175">
        <f>AL4*'Soil samples 2017'!AJ4/100</f>
        <v>1.8164639090069643E-2</v>
      </c>
      <c r="AN4" s="174">
        <f>AM4/1000*1000000</f>
        <v>18.164639090069645</v>
      </c>
      <c r="AO4" s="175"/>
      <c r="AP4" s="175"/>
      <c r="AQ4" s="175"/>
      <c r="AR4">
        <f t="shared" ref="AR4:AR48" si="4">IF(K4&gt;0,K4,0)</f>
        <v>31.435667845472921</v>
      </c>
      <c r="AS4">
        <f>AR4/1000</f>
        <v>3.1435667845472921E-2</v>
      </c>
      <c r="AT4">
        <f>AS4*('Wet ref 2017'!$B$40+M4)</f>
        <v>0.8810011116152433</v>
      </c>
      <c r="AU4" s="175">
        <f t="shared" ref="AU4:AU48" si="5">AT4/N4</f>
        <v>0.44619523979905096</v>
      </c>
      <c r="AV4" s="175">
        <f>AU4*'Soil samples 2017'!AJ4/100</f>
        <v>1.4747958608439183E-2</v>
      </c>
      <c r="AW4" s="174">
        <f>AV4/1000*1000000</f>
        <v>14.747958608439182</v>
      </c>
      <c r="AX4" s="175"/>
      <c r="AY4" s="175"/>
      <c r="AZ4" s="175"/>
      <c r="BA4">
        <f t="shared" ref="BA4:BA48" si="6">IF(AR4*1000-O4-Y4&gt;0,AR4*1000-O4-Y4,0)</f>
        <v>14109.83428172447</v>
      </c>
      <c r="BB4">
        <f>BA4/1000</f>
        <v>14.109834281724471</v>
      </c>
      <c r="BC4">
        <f>BB4*('Wet ref 2017'!$B$40+M4)</f>
        <v>395.43552082340426</v>
      </c>
      <c r="BD4" s="175">
        <f t="shared" ref="BD4:BD48" si="7">BC4/N4</f>
        <v>200.27380750447696</v>
      </c>
      <c r="BE4" s="175">
        <f>BD4*'Soil samples 2017'!AJ4/100</f>
        <v>6.6195906185837909</v>
      </c>
      <c r="BF4" s="174">
        <f t="shared" ref="BF4" si="8">BE4/1000000*1000000</f>
        <v>6.6195906185837909</v>
      </c>
    </row>
    <row r="5" spans="1:58">
      <c r="A5" t="s">
        <v>642</v>
      </c>
      <c r="B5" t="s">
        <v>9</v>
      </c>
      <c r="C5" t="s">
        <v>12</v>
      </c>
      <c r="D5" s="8">
        <v>1</v>
      </c>
      <c r="E5">
        <v>10</v>
      </c>
      <c r="F5" s="26">
        <v>43007</v>
      </c>
      <c r="G5" s="24">
        <v>42996</v>
      </c>
      <c r="H5">
        <f>'Wet ref 2017'!B52</f>
        <v>1080.9465736382988</v>
      </c>
      <c r="I5">
        <f>'Wet ref 2017'!C52</f>
        <v>3307.3094096846798</v>
      </c>
      <c r="J5">
        <f>'Wet ref 2017'!D52</f>
        <v>26.979416694460618</v>
      </c>
      <c r="K5">
        <f>'Wet ref 2017'!E52</f>
        <v>12.910130492161109</v>
      </c>
      <c r="L5">
        <f t="shared" ref="L5:L48" si="9">K5*1000-H5-I5</f>
        <v>8521.8745088381293</v>
      </c>
      <c r="M5">
        <f>'Wet ref 2017'!$B$41*'Soil samples 2017'!AI5%</f>
        <v>3.2169280852323165</v>
      </c>
      <c r="N5">
        <f>'Wet ref 2017'!$B$41*'Soil samples 2017'!AH5%</f>
        <v>1.7830719147676832</v>
      </c>
      <c r="O5">
        <f>IF(H5&gt;0,H5,0)</f>
        <v>1080.9465736382988</v>
      </c>
      <c r="P5">
        <f>O5/1000</f>
        <v>1.0809465736382988</v>
      </c>
      <c r="Q5">
        <f>P5*('Wet ref 2017'!$B$40+M5)</f>
        <v>30.50099173233016</v>
      </c>
      <c r="R5" s="141">
        <f>Q5/N5</f>
        <v>17.105867396438768</v>
      </c>
      <c r="S5" s="141">
        <f>R5*'Soil samples 2017'!AJ5/100</f>
        <v>1.2700612957342274</v>
      </c>
      <c r="T5" s="149">
        <f>S5/1000000*1000000</f>
        <v>1.2700612957342274</v>
      </c>
      <c r="U5" s="141"/>
      <c r="V5" s="141"/>
      <c r="W5" s="141"/>
      <c r="X5" s="141"/>
      <c r="Y5">
        <f t="shared" si="0"/>
        <v>3307.3094096846798</v>
      </c>
      <c r="Z5">
        <f t="shared" ref="Z5:Z48" si="10">Y5/1000</f>
        <v>3.30730940968468</v>
      </c>
      <c r="AA5">
        <f>Z5*('Wet ref 2017'!$B$40+M5)</f>
        <v>93.322111768684763</v>
      </c>
      <c r="AB5" s="175">
        <f t="shared" si="1"/>
        <v>52.337828326371074</v>
      </c>
      <c r="AC5" s="175">
        <f>AB5*'Soil samples 2017'!AJ5/100</f>
        <v>3.8859327340480321</v>
      </c>
      <c r="AD5" s="174">
        <f t="shared" ref="AD5:AD48" si="11">AC5/1000000*1000000</f>
        <v>3.8859327340480316</v>
      </c>
      <c r="AE5" s="175"/>
      <c r="AF5" s="175"/>
      <c r="AG5" s="175"/>
      <c r="AH5" s="175"/>
      <c r="AI5">
        <f t="shared" si="2"/>
        <v>26.979416694460618</v>
      </c>
      <c r="AJ5">
        <f t="shared" ref="AJ5:AJ48" si="12">AI5/1000</f>
        <v>2.6979416694460617E-2</v>
      </c>
      <c r="AK5">
        <f>AJ5*('Wet ref 2017'!$B$40+M5)</f>
        <v>0.76127626064911147</v>
      </c>
      <c r="AL5" s="175">
        <f t="shared" si="3"/>
        <v>0.42694647049516132</v>
      </c>
      <c r="AM5" s="175">
        <f>AL5*'Soil samples 2017'!AJ5/100</f>
        <v>3.1699543493428989E-2</v>
      </c>
      <c r="AN5" s="174">
        <f t="shared" ref="AN5:AN48" si="13">AM5/1000*1000000</f>
        <v>31.69954349342899</v>
      </c>
      <c r="AO5" s="175"/>
      <c r="AP5" s="175"/>
      <c r="AQ5" s="175"/>
      <c r="AR5">
        <f t="shared" si="4"/>
        <v>12.910130492161109</v>
      </c>
      <c r="AS5">
        <f t="shared" ref="AS5:AS48" si="14">AR5/1000</f>
        <v>1.2910130492161109E-2</v>
      </c>
      <c r="AT5">
        <f>AS5*('Wet ref 2017'!$B$40+M5)</f>
        <v>0.36428422366827495</v>
      </c>
      <c r="AU5" s="175">
        <f t="shared" si="5"/>
        <v>0.20430147581329472</v>
      </c>
      <c r="AV5" s="175">
        <f>AU5*'Soil samples 2017'!AJ5/100</f>
        <v>1.5168795073546964E-2</v>
      </c>
      <c r="AW5" s="174">
        <f t="shared" ref="AW5:AW48" si="15">AV5/1000*1000000</f>
        <v>15.168795073546963</v>
      </c>
      <c r="AX5" s="175"/>
      <c r="AY5" s="175"/>
      <c r="AZ5" s="175"/>
      <c r="BA5">
        <f t="shared" si="6"/>
        <v>8521.8745088381293</v>
      </c>
      <c r="BB5">
        <f t="shared" ref="BB5:BB48" si="16">BA5/1000</f>
        <v>8.5218745088381294</v>
      </c>
      <c r="BC5">
        <f>BB5*('Wet ref 2017'!$B$40+M5)</f>
        <v>240.46112016725999</v>
      </c>
      <c r="BD5" s="175">
        <f t="shared" si="7"/>
        <v>134.85778009048485</v>
      </c>
      <c r="BE5" s="175">
        <f>BD5*'Soil samples 2017'!AJ5/100</f>
        <v>10.012801043764702</v>
      </c>
      <c r="BF5" s="174">
        <f t="shared" ref="BF5:BF48" si="17">BE5/1000000*1000000</f>
        <v>10.012801043764702</v>
      </c>
    </row>
    <row r="6" spans="1:58">
      <c r="A6" t="s">
        <v>3</v>
      </c>
      <c r="B6" t="s">
        <v>9</v>
      </c>
      <c r="C6" t="s">
        <v>12</v>
      </c>
      <c r="D6" s="8">
        <v>2</v>
      </c>
      <c r="E6">
        <v>5</v>
      </c>
      <c r="F6" s="26">
        <v>43007</v>
      </c>
      <c r="G6" s="24">
        <v>42996</v>
      </c>
      <c r="H6">
        <f>'Wet ref 2017'!B53</f>
        <v>852.29202464102639</v>
      </c>
      <c r="I6">
        <f>'Wet ref 2017'!C53</f>
        <v>2432.7595744258188</v>
      </c>
      <c r="J6">
        <f>'Wet ref 2017'!D53</f>
        <v>61.467433261540151</v>
      </c>
      <c r="K6">
        <f>'Wet ref 2017'!E53</f>
        <v>14.841765313037868</v>
      </c>
      <c r="L6">
        <f t="shared" si="9"/>
        <v>11556.713713971021</v>
      </c>
      <c r="M6">
        <f>'Wet ref 2017'!$B$41*'Soil samples 2017'!AI6%</f>
        <v>3.207231993711309</v>
      </c>
      <c r="N6">
        <f>'Wet ref 2017'!$B$41*'Soil samples 2017'!AH6%</f>
        <v>1.7927680062886902</v>
      </c>
      <c r="O6">
        <f t="shared" ref="O6:O48" si="18">IF(H6&gt;0,H6,0)</f>
        <v>852.29202464102639</v>
      </c>
      <c r="P6">
        <f t="shared" ref="P6:P48" si="19">O6/1000</f>
        <v>0.85229202464102638</v>
      </c>
      <c r="Q6">
        <f>P6*('Wet ref 2017'!$B$40+M6)</f>
        <v>24.040798865439349</v>
      </c>
      <c r="R6" s="141">
        <f t="shared" ref="R6:R48" si="20">Q6/N6</f>
        <v>13.409877229573924</v>
      </c>
      <c r="S6" s="141">
        <f>R6*'Soil samples 2017'!AJ6/100</f>
        <v>0.12933949789606358</v>
      </c>
      <c r="T6" s="149">
        <f t="shared" ref="T6:T48" si="21">S6/1000000*1000000</f>
        <v>0.12933949789606358</v>
      </c>
      <c r="U6" s="141"/>
      <c r="V6" s="141"/>
      <c r="W6" s="141"/>
      <c r="X6" s="141"/>
      <c r="Y6">
        <f t="shared" si="0"/>
        <v>2432.7595744258188</v>
      </c>
      <c r="Z6">
        <f t="shared" si="10"/>
        <v>2.4327595744258188</v>
      </c>
      <c r="AA6">
        <f>Z6*('Wet ref 2017'!$B$40+M6)</f>
        <v>68.621413700751475</v>
      </c>
      <c r="AB6" s="175">
        <f t="shared" si="1"/>
        <v>38.276795134697053</v>
      </c>
      <c r="AC6" s="175">
        <f>AB6*'Soil samples 2017'!AJ6/100</f>
        <v>0.36918320571004265</v>
      </c>
      <c r="AD6" s="174">
        <f t="shared" si="11"/>
        <v>0.36918320571004265</v>
      </c>
      <c r="AE6" s="175"/>
      <c r="AF6" s="175"/>
      <c r="AG6" s="175"/>
      <c r="AH6" s="175"/>
      <c r="AI6">
        <f t="shared" si="2"/>
        <v>61.467433261540151</v>
      </c>
      <c r="AJ6">
        <f t="shared" si="12"/>
        <v>6.1467433261540153E-2</v>
      </c>
      <c r="AK6">
        <f>AJ6*('Wet ref 2017'!$B$40+M6)</f>
        <v>1.7338261500662302</v>
      </c>
      <c r="AL6" s="175">
        <f t="shared" si="3"/>
        <v>0.96712242966423811</v>
      </c>
      <c r="AM6" s="175">
        <f>AL6*'Soil samples 2017'!AJ6/100</f>
        <v>9.3279846873563117E-3</v>
      </c>
      <c r="AN6" s="174">
        <f t="shared" si="13"/>
        <v>9.327984687356313</v>
      </c>
      <c r="AO6" s="175"/>
      <c r="AP6" s="175"/>
      <c r="AQ6" s="175"/>
      <c r="AR6">
        <f t="shared" si="4"/>
        <v>14.841765313037868</v>
      </c>
      <c r="AS6">
        <f t="shared" si="14"/>
        <v>1.4841765313037868E-2</v>
      </c>
      <c r="AT6">
        <f>AS6*('Wet ref 2017'!$B$40+M6)</f>
        <v>0.41864511738107651</v>
      </c>
      <c r="AU6" s="175">
        <f t="shared" si="5"/>
        <v>0.23351884678471996</v>
      </c>
      <c r="AV6" s="175">
        <f>AU6*'Soil samples 2017'!AJ6/100</f>
        <v>2.2523107315101897E-3</v>
      </c>
      <c r="AW6" s="174">
        <f t="shared" si="15"/>
        <v>2.2523107315101898</v>
      </c>
      <c r="AX6" s="175"/>
      <c r="AY6" s="175"/>
      <c r="AZ6" s="175"/>
      <c r="BA6">
        <f t="shared" si="6"/>
        <v>11556.713713971021</v>
      </c>
      <c r="BB6">
        <f t="shared" si="16"/>
        <v>11.556713713971021</v>
      </c>
      <c r="BC6">
        <f>BB6*('Wet ref 2017'!$B$40+M6)</f>
        <v>325.98290481488567</v>
      </c>
      <c r="BD6" s="175">
        <f t="shared" si="7"/>
        <v>181.83217442044898</v>
      </c>
      <c r="BE6" s="175">
        <f>BD6*'Soil samples 2017'!AJ6/100</f>
        <v>1.7537880279040836</v>
      </c>
      <c r="BF6" s="174">
        <f t="shared" si="17"/>
        <v>1.7537880279040836</v>
      </c>
    </row>
    <row r="7" spans="1:58">
      <c r="A7" t="s">
        <v>643</v>
      </c>
      <c r="B7" t="s">
        <v>9</v>
      </c>
      <c r="C7" t="s">
        <v>12</v>
      </c>
      <c r="D7" s="6">
        <v>2</v>
      </c>
      <c r="E7">
        <v>10</v>
      </c>
      <c r="F7" s="26">
        <v>43007</v>
      </c>
      <c r="G7" s="24">
        <v>42996</v>
      </c>
      <c r="H7">
        <f>'Wet ref 2017'!B54</f>
        <v>1100.8812239575527</v>
      </c>
      <c r="I7">
        <f>'Wet ref 2017'!C54</f>
        <v>1930.3544389294234</v>
      </c>
      <c r="J7">
        <f>'Wet ref 2017'!D54</f>
        <v>30.599150211705123</v>
      </c>
      <c r="K7">
        <f>'Wet ref 2017'!E54</f>
        <v>10.182486754461594</v>
      </c>
      <c r="L7">
        <f t="shared" si="9"/>
        <v>7151.251091574617</v>
      </c>
      <c r="M7">
        <f>'Wet ref 2017'!$B$41*'Soil samples 2017'!AI7%</f>
        <v>3.1458305447731232</v>
      </c>
      <c r="N7">
        <f>'Wet ref 2017'!$B$41*'Soil samples 2017'!AH7%</f>
        <v>1.854169455226877</v>
      </c>
      <c r="O7">
        <f t="shared" si="18"/>
        <v>1100.8812239575527</v>
      </c>
      <c r="P7">
        <f t="shared" si="19"/>
        <v>1.1008812239575527</v>
      </c>
      <c r="Q7">
        <f>P7*('Wet ref 2017'!$B$40+M7)</f>
        <v>30.985216379431709</v>
      </c>
      <c r="R7" s="141">
        <f t="shared" si="20"/>
        <v>16.711102802435253</v>
      </c>
      <c r="S7" s="141">
        <f>R7*'Soil samples 2017'!AJ7/100</f>
        <v>2.2736951779226988</v>
      </c>
      <c r="T7" s="149">
        <f t="shared" si="21"/>
        <v>2.2736951779226988</v>
      </c>
      <c r="U7" s="141"/>
      <c r="V7" s="141"/>
      <c r="W7" s="141"/>
      <c r="X7" s="141"/>
      <c r="Y7">
        <f t="shared" si="0"/>
        <v>1930.3544389294234</v>
      </c>
      <c r="Z7">
        <f t="shared" si="10"/>
        <v>1.9303544389294234</v>
      </c>
      <c r="AA7">
        <f>Z7*('Wet ref 2017'!$B$40+M7)</f>
        <v>54.331428929458149</v>
      </c>
      <c r="AB7" s="175">
        <f t="shared" si="1"/>
        <v>29.302299623315783</v>
      </c>
      <c r="AC7" s="175">
        <f>AB7*'Soil samples 2017'!AJ7/100</f>
        <v>3.9868402548436386</v>
      </c>
      <c r="AD7" s="174">
        <f t="shared" si="11"/>
        <v>3.9868402548436381</v>
      </c>
      <c r="AE7" s="175"/>
      <c r="AF7" s="175"/>
      <c r="AG7" s="175"/>
      <c r="AH7" s="175"/>
      <c r="AI7">
        <f t="shared" si="2"/>
        <v>30.599150211705123</v>
      </c>
      <c r="AJ7">
        <f t="shared" si="12"/>
        <v>3.0599150211705124E-2</v>
      </c>
      <c r="AK7">
        <f>AJ7*('Wet ref 2017'!$B$40+M7)</f>
        <v>0.86123849667271102</v>
      </c>
      <c r="AL7" s="175">
        <f t="shared" si="3"/>
        <v>0.46448747941828727</v>
      </c>
      <c r="AM7" s="175">
        <f>AL7*'Soil samples 2017'!AJ7/100</f>
        <v>6.319768088584353E-2</v>
      </c>
      <c r="AN7" s="174">
        <f t="shared" si="13"/>
        <v>63.197680885843525</v>
      </c>
      <c r="AO7" s="175"/>
      <c r="AP7" s="175"/>
      <c r="AQ7" s="175"/>
      <c r="AR7">
        <f t="shared" si="4"/>
        <v>10.182486754461594</v>
      </c>
      <c r="AS7">
        <f t="shared" si="14"/>
        <v>1.0182486754461595E-2</v>
      </c>
      <c r="AT7">
        <f>AS7*('Wet ref 2017'!$B$40+M7)</f>
        <v>0.28659454671547291</v>
      </c>
      <c r="AU7" s="175">
        <f t="shared" si="5"/>
        <v>0.15456761295876545</v>
      </c>
      <c r="AV7" s="175">
        <f>AU7*'Soil samples 2017'!AJ7/100</f>
        <v>2.1030307837981401E-2</v>
      </c>
      <c r="AW7" s="174">
        <f t="shared" si="15"/>
        <v>21.0303078379814</v>
      </c>
      <c r="AX7" s="175"/>
      <c r="AY7" s="175"/>
      <c r="AZ7" s="175"/>
      <c r="BA7">
        <f t="shared" si="6"/>
        <v>7151.251091574617</v>
      </c>
      <c r="BB7">
        <f t="shared" si="16"/>
        <v>7.1512510915746166</v>
      </c>
      <c r="BC7">
        <f>BB7*('Wet ref 2017'!$B$40+M7)</f>
        <v>201.27790140658297</v>
      </c>
      <c r="BD7" s="175">
        <f t="shared" si="7"/>
        <v>108.55421053301437</v>
      </c>
      <c r="BE7" s="175">
        <f>BD7*'Soil samples 2017'!AJ7/100</f>
        <v>14.769772405215058</v>
      </c>
      <c r="BF7" s="174">
        <f t="shared" si="17"/>
        <v>14.769772405215058</v>
      </c>
    </row>
    <row r="8" spans="1:58">
      <c r="A8" t="s">
        <v>23</v>
      </c>
      <c r="B8" t="s">
        <v>9</v>
      </c>
      <c r="C8" t="s">
        <v>12</v>
      </c>
      <c r="D8" s="6">
        <v>3</v>
      </c>
      <c r="E8">
        <v>5</v>
      </c>
      <c r="F8" s="24">
        <v>42993</v>
      </c>
      <c r="G8" s="24">
        <v>42990</v>
      </c>
      <c r="H8">
        <f>'Wet ref 2017'!B55</f>
        <v>891.70229173536404</v>
      </c>
      <c r="I8">
        <f>'Wet ref 2017'!C55</f>
        <v>7937.6149853421557</v>
      </c>
      <c r="J8">
        <f>'Wet ref 2017'!D55</f>
        <v>60.160307269201866</v>
      </c>
      <c r="K8">
        <f>'Wet ref 2017'!E55</f>
        <v>24.744910997981854</v>
      </c>
      <c r="L8">
        <f t="shared" si="9"/>
        <v>15915.593720904333</v>
      </c>
      <c r="M8">
        <f>'Wet ref 2017'!$B$41*'Soil samples 2017'!AI8%</f>
        <v>3.1231009830205543</v>
      </c>
      <c r="N8">
        <f>'Wet ref 2017'!$B$41*'Soil samples 2017'!AH8%</f>
        <v>1.8768990169794455</v>
      </c>
      <c r="O8">
        <f t="shared" si="18"/>
        <v>891.70229173536404</v>
      </c>
      <c r="P8">
        <f t="shared" si="19"/>
        <v>0.89170229173536408</v>
      </c>
      <c r="Q8">
        <f>P8*('Wet ref 2017'!$B$40+M8)</f>
        <v>25.077433597264498</v>
      </c>
      <c r="R8" s="141">
        <f t="shared" si="20"/>
        <v>13.361099009803109</v>
      </c>
      <c r="S8" s="141">
        <f>R8*'Soil samples 2017'!AJ8/100</f>
        <v>0.7723849547957482</v>
      </c>
      <c r="T8" s="149">
        <f t="shared" si="21"/>
        <v>0.7723849547957482</v>
      </c>
      <c r="U8" s="141"/>
      <c r="V8" s="141"/>
      <c r="W8" s="141"/>
      <c r="X8" s="141"/>
      <c r="Y8">
        <f t="shared" si="0"/>
        <v>7937.6149853421557</v>
      </c>
      <c r="Z8">
        <f t="shared" si="10"/>
        <v>7.9376149853421554</v>
      </c>
      <c r="AA8">
        <f>Z8*('Wet ref 2017'!$B$40+M8)</f>
        <v>223.23034779711463</v>
      </c>
      <c r="AB8" s="175">
        <f t="shared" si="1"/>
        <v>118.93572631113979</v>
      </c>
      <c r="AC8" s="175">
        <f>AB8*'Soil samples 2017'!AJ8/100</f>
        <v>6.8754947121511467</v>
      </c>
      <c r="AD8" s="174">
        <f t="shared" si="11"/>
        <v>6.8754947121511467</v>
      </c>
      <c r="AE8" s="175"/>
      <c r="AF8" s="175"/>
      <c r="AG8" s="175"/>
      <c r="AH8" s="175"/>
      <c r="AI8">
        <f t="shared" si="2"/>
        <v>60.160307269201866</v>
      </c>
      <c r="AJ8">
        <f t="shared" si="12"/>
        <v>6.0160307269201865E-2</v>
      </c>
      <c r="AK8">
        <f>AJ8*('Wet ref 2017'!$B$40+M8)</f>
        <v>1.6918943965013096</v>
      </c>
      <c r="AL8" s="175">
        <f t="shared" si="3"/>
        <v>0.90143070095701261</v>
      </c>
      <c r="AM8" s="175">
        <f>AL8*'Soil samples 2017'!AJ8/100</f>
        <v>5.2110347412240444E-2</v>
      </c>
      <c r="AN8" s="174">
        <f t="shared" si="13"/>
        <v>52.110347412240444</v>
      </c>
      <c r="AO8" s="175"/>
      <c r="AP8" s="175"/>
      <c r="AQ8" s="175"/>
      <c r="AR8">
        <f t="shared" si="4"/>
        <v>24.744910997981854</v>
      </c>
      <c r="AS8">
        <f t="shared" si="14"/>
        <v>2.4744910997981855E-2</v>
      </c>
      <c r="AT8">
        <f>AS8*('Wet ref 2017'!$B$40+M8)</f>
        <v>0.69590363081209961</v>
      </c>
      <c r="AU8" s="175">
        <f t="shared" si="5"/>
        <v>0.37077308076597532</v>
      </c>
      <c r="AV8" s="175">
        <f>AU8*'Soil samples 2017'!AJ8/100</f>
        <v>2.1433831829012717E-2</v>
      </c>
      <c r="AW8" s="174">
        <f t="shared" si="15"/>
        <v>21.433831829012718</v>
      </c>
      <c r="AX8" s="175"/>
      <c r="AY8" s="175"/>
      <c r="AZ8" s="175"/>
      <c r="BA8">
        <f t="shared" si="6"/>
        <v>15915.593720904333</v>
      </c>
      <c r="BB8">
        <f t="shared" si="16"/>
        <v>15.915593720904333</v>
      </c>
      <c r="BC8">
        <f>BB8*('Wet ref 2017'!$B$40+M8)</f>
        <v>447.59584941772039</v>
      </c>
      <c r="BD8" s="175">
        <f t="shared" si="7"/>
        <v>238.47625544503236</v>
      </c>
      <c r="BE8" s="175">
        <f>BD8*'Soil samples 2017'!AJ8/100</f>
        <v>13.785952162065819</v>
      </c>
      <c r="BF8" s="174">
        <f t="shared" si="17"/>
        <v>13.785952162065819</v>
      </c>
    </row>
    <row r="9" spans="1:58">
      <c r="A9" t="s">
        <v>1089</v>
      </c>
      <c r="B9" t="s">
        <v>9</v>
      </c>
      <c r="C9" t="s">
        <v>12</v>
      </c>
      <c r="D9" s="6">
        <v>3</v>
      </c>
      <c r="E9">
        <v>10</v>
      </c>
      <c r="F9" s="24">
        <v>42993</v>
      </c>
      <c r="G9" s="24">
        <v>42990</v>
      </c>
      <c r="H9">
        <f>'Wet ref 2017'!B56</f>
        <v>308.3143874216853</v>
      </c>
      <c r="I9">
        <f>'Wet ref 2017'!C56</f>
        <v>1748.8582318068175</v>
      </c>
      <c r="J9">
        <f>'Wet ref 2017'!D56</f>
        <v>39.547935851559579</v>
      </c>
      <c r="K9">
        <f>'Wet ref 2017'!E56</f>
        <v>7.2405672437708501</v>
      </c>
      <c r="L9">
        <f t="shared" si="9"/>
        <v>5183.3946245423476</v>
      </c>
      <c r="M9">
        <f>'Wet ref 2017'!$B$41*'Soil samples 2017'!AI9%</f>
        <v>2.7981636597938149</v>
      </c>
      <c r="N9">
        <f>'Wet ref 2017'!$B$41*'Soil samples 2017'!AH9%</f>
        <v>2.2018363402061856</v>
      </c>
      <c r="O9">
        <f t="shared" si="18"/>
        <v>308.3143874216853</v>
      </c>
      <c r="P9">
        <f t="shared" si="19"/>
        <v>0.30831438742168532</v>
      </c>
      <c r="Q9">
        <f>P9*('Wet ref 2017'!$B$40+M9)</f>
        <v>8.5705738002170833</v>
      </c>
      <c r="R9" s="141">
        <f t="shared" si="20"/>
        <v>3.8924663217314839</v>
      </c>
      <c r="S9" s="141">
        <f>R9*'Soil samples 2017'!AJ9/100</f>
        <v>0.69987305652572773</v>
      </c>
      <c r="T9" s="149">
        <f t="shared" si="21"/>
        <v>0.69987305652572773</v>
      </c>
      <c r="U9" s="141"/>
      <c r="V9" s="141"/>
      <c r="W9" s="141"/>
      <c r="X9" s="141"/>
      <c r="Y9">
        <f t="shared" si="0"/>
        <v>1748.8582318068175</v>
      </c>
      <c r="Z9">
        <f t="shared" si="10"/>
        <v>1.7488582318068175</v>
      </c>
      <c r="AA9">
        <f>Z9*('Wet ref 2017'!$B$40+M9)</f>
        <v>48.615047345543545</v>
      </c>
      <c r="AB9" s="175">
        <f t="shared" si="1"/>
        <v>22.079319183637011</v>
      </c>
      <c r="AC9" s="175">
        <f>AB9*'Soil samples 2017'!AJ9/100</f>
        <v>3.9699047662370894</v>
      </c>
      <c r="AD9" s="174">
        <f t="shared" si="11"/>
        <v>3.969904766237089</v>
      </c>
      <c r="AE9" s="175"/>
      <c r="AF9" s="175"/>
      <c r="AG9" s="175"/>
      <c r="AH9" s="175"/>
      <c r="AI9">
        <f t="shared" si="2"/>
        <v>39.547935851559579</v>
      </c>
      <c r="AJ9">
        <f t="shared" si="12"/>
        <v>3.9547935851559579E-2</v>
      </c>
      <c r="AK9">
        <f>AJ9*('Wet ref 2017'!$B$40+M9)</f>
        <v>1.0993599932086804</v>
      </c>
      <c r="AL9" s="175">
        <f t="shared" si="3"/>
        <v>0.49929232846876054</v>
      </c>
      <c r="AM9" s="175">
        <f>AL9*'Soil samples 2017'!AJ9/100</f>
        <v>8.9773737045420923E-2</v>
      </c>
      <c r="AN9" s="174">
        <f t="shared" si="13"/>
        <v>89.773737045420916</v>
      </c>
      <c r="AO9" s="175"/>
      <c r="AP9" s="175"/>
      <c r="AQ9" s="175"/>
      <c r="AR9">
        <f t="shared" si="4"/>
        <v>7.2405672437708501</v>
      </c>
      <c r="AS9">
        <f t="shared" si="14"/>
        <v>7.2405672437708506E-3</v>
      </c>
      <c r="AT9">
        <f>AS9*('Wet ref 2017'!$B$40+M9)</f>
        <v>0.20127447323208433</v>
      </c>
      <c r="AU9" s="175">
        <f t="shared" si="5"/>
        <v>9.1412095239211316E-2</v>
      </c>
      <c r="AV9" s="175">
        <f>AU9*'Soil samples 2017'!AJ9/100</f>
        <v>1.6436073484132022E-2</v>
      </c>
      <c r="AW9" s="174">
        <f t="shared" si="15"/>
        <v>16.43607348413202</v>
      </c>
      <c r="AX9" s="175"/>
      <c r="AY9" s="175"/>
      <c r="AZ9" s="175"/>
      <c r="BA9">
        <f t="shared" si="6"/>
        <v>5183.3946245423476</v>
      </c>
      <c r="BB9">
        <f t="shared" si="16"/>
        <v>5.1833946245423475</v>
      </c>
      <c r="BC9">
        <f>BB9*('Wet ref 2017'!$B$40+M9)</f>
        <v>144.0888520863237</v>
      </c>
      <c r="BD9" s="175">
        <f t="shared" si="7"/>
        <v>65.440309733842824</v>
      </c>
      <c r="BE9" s="175">
        <f>BD9*'Soil samples 2017'!AJ9/100</f>
        <v>11.766295661369204</v>
      </c>
      <c r="BF9" s="174">
        <f t="shared" si="17"/>
        <v>11.766295661369204</v>
      </c>
    </row>
    <row r="10" spans="1:58">
      <c r="A10" t="s">
        <v>16</v>
      </c>
      <c r="B10" t="s">
        <v>9</v>
      </c>
      <c r="C10" t="s">
        <v>12</v>
      </c>
      <c r="D10" s="6">
        <v>4</v>
      </c>
      <c r="E10">
        <v>5</v>
      </c>
      <c r="F10" s="24">
        <v>43014</v>
      </c>
      <c r="G10" s="24">
        <v>43010</v>
      </c>
      <c r="H10">
        <f>'Wet ref 2017'!B57</f>
        <v>686.8104454569982</v>
      </c>
      <c r="I10">
        <f>'Wet ref 2017'!C57</f>
        <v>6004.1130796802227</v>
      </c>
      <c r="J10">
        <f>'Wet ref 2017'!D57</f>
        <v>98.242920315211705</v>
      </c>
      <c r="K10">
        <f>'Wet ref 2017'!E57</f>
        <v>20.489555953733852</v>
      </c>
      <c r="L10">
        <f t="shared" si="9"/>
        <v>13798.632428596631</v>
      </c>
      <c r="M10">
        <f>'Wet ref 2017'!$B$41*'Soil samples 2017'!AI10%</f>
        <v>0.96080599582258364</v>
      </c>
      <c r="N10">
        <f>'Wet ref 2017'!$B$41*'Soil samples 2017'!AH10%</f>
        <v>4.0391940041774159</v>
      </c>
      <c r="O10">
        <f t="shared" si="18"/>
        <v>686.8104454569982</v>
      </c>
      <c r="P10">
        <f t="shared" si="19"/>
        <v>0.68681044545699821</v>
      </c>
      <c r="Q10">
        <f>P10*('Wet ref 2017'!$B$40+M10)</f>
        <v>17.830152730413619</v>
      </c>
      <c r="R10" s="141">
        <f t="shared" si="20"/>
        <v>4.4142848082992092</v>
      </c>
      <c r="S10" s="141">
        <f>R10*'Soil samples 2017'!AJ10/100</f>
        <v>0.73602870471147563</v>
      </c>
      <c r="T10" s="149">
        <f t="shared" si="21"/>
        <v>0.73602870471147563</v>
      </c>
      <c r="U10" s="141"/>
      <c r="V10" s="141"/>
      <c r="W10" s="141"/>
      <c r="X10" s="141"/>
      <c r="Y10">
        <f t="shared" si="0"/>
        <v>6004.1130796802227</v>
      </c>
      <c r="Z10">
        <f t="shared" si="10"/>
        <v>6.0041130796802227</v>
      </c>
      <c r="AA10">
        <f>Z10*('Wet ref 2017'!$B$40+M10)</f>
        <v>155.87161483855911</v>
      </c>
      <c r="AB10" s="175">
        <f t="shared" si="1"/>
        <v>38.589781693415453</v>
      </c>
      <c r="AC10" s="175">
        <f>AB10*'Soil samples 2017'!AJ10/100</f>
        <v>6.4343802605357325</v>
      </c>
      <c r="AD10" s="174">
        <f t="shared" si="11"/>
        <v>6.4343802605357325</v>
      </c>
      <c r="AE10" s="175"/>
      <c r="AF10" s="175"/>
      <c r="AG10" s="175"/>
      <c r="AH10" s="175"/>
      <c r="AI10">
        <f t="shared" si="2"/>
        <v>98.242920315211705</v>
      </c>
      <c r="AJ10">
        <f t="shared" si="12"/>
        <v>9.8242920315211701E-2</v>
      </c>
      <c r="AK10">
        <f>AJ10*('Wet ref 2017'!$B$40+M10)</f>
        <v>2.5504653947662681</v>
      </c>
      <c r="AL10" s="175">
        <f t="shared" si="3"/>
        <v>0.63142928815217225</v>
      </c>
      <c r="AM10" s="175">
        <f>AL10*'Soil samples 2017'!AJ10/100</f>
        <v>0.10528321149595175</v>
      </c>
      <c r="AN10" s="174">
        <f t="shared" si="13"/>
        <v>105.28321149595175</v>
      </c>
      <c r="AO10" s="175"/>
      <c r="AP10" s="175"/>
      <c r="AQ10" s="175"/>
      <c r="AR10">
        <f t="shared" si="4"/>
        <v>20.489555953733852</v>
      </c>
      <c r="AS10">
        <f t="shared" si="14"/>
        <v>2.0489555953733852E-2</v>
      </c>
      <c r="AT10">
        <f>AS10*('Wet ref 2017'!$B$40+M10)</f>
        <v>0.53192538705543602</v>
      </c>
      <c r="AU10" s="175">
        <f t="shared" si="5"/>
        <v>0.13169097263100213</v>
      </c>
      <c r="AV10" s="175">
        <f>AU10*'Soil samples 2017'!AJ10/100</f>
        <v>2.1957879977648441E-2</v>
      </c>
      <c r="AW10" s="174">
        <f t="shared" si="15"/>
        <v>21.957879977648442</v>
      </c>
      <c r="AX10" s="175"/>
      <c r="AY10" s="175"/>
      <c r="AZ10" s="175"/>
      <c r="BA10">
        <f t="shared" si="6"/>
        <v>13798.632428596631</v>
      </c>
      <c r="BB10">
        <f t="shared" si="16"/>
        <v>13.798632428596632</v>
      </c>
      <c r="BC10">
        <f>BB10*('Wet ref 2017'!$B$40+M10)</f>
        <v>358.22361948646335</v>
      </c>
      <c r="BD10" s="175">
        <f t="shared" si="7"/>
        <v>88.686906129287493</v>
      </c>
      <c r="BE10" s="175">
        <f>BD10*'Soil samples 2017'!AJ10/100</f>
        <v>14.787471012401237</v>
      </c>
      <c r="BF10" s="174">
        <f t="shared" si="17"/>
        <v>14.787471012401237</v>
      </c>
    </row>
    <row r="11" spans="1:58">
      <c r="A11" t="s">
        <v>1090</v>
      </c>
      <c r="B11" t="s">
        <v>9</v>
      </c>
      <c r="C11" t="s">
        <v>12</v>
      </c>
      <c r="D11" s="6">
        <v>4</v>
      </c>
      <c r="E11">
        <v>10</v>
      </c>
      <c r="F11" s="24">
        <v>43014</v>
      </c>
      <c r="G11" s="24">
        <v>43010</v>
      </c>
      <c r="H11">
        <f>'Wet ref 2017'!B58</f>
        <v>367.92498725981</v>
      </c>
      <c r="I11">
        <f>'Wet ref 2017'!C58</f>
        <v>678.55165152637426</v>
      </c>
      <c r="J11">
        <f>'Wet ref 2017'!D58</f>
        <v>112.09342842633474</v>
      </c>
      <c r="K11">
        <f>'Wet ref 2017'!E58</f>
        <v>13.72029755278507</v>
      </c>
      <c r="L11">
        <f t="shared" si="9"/>
        <v>12673.820913998887</v>
      </c>
      <c r="M11">
        <f>'Wet ref 2017'!$B$41*'Soil samples 2017'!AI11%</f>
        <v>1.2819447993866604</v>
      </c>
      <c r="N11">
        <f>'Wet ref 2017'!$B$41*'Soil samples 2017'!AH11%</f>
        <v>3.7180552006133394</v>
      </c>
      <c r="O11">
        <f t="shared" si="18"/>
        <v>367.92498725981</v>
      </c>
      <c r="P11">
        <f t="shared" si="19"/>
        <v>0.36792498725980999</v>
      </c>
      <c r="Q11">
        <f>P11*('Wet ref 2017'!$B$40+M11)</f>
        <v>9.6697842054773666</v>
      </c>
      <c r="R11" s="141">
        <f t="shared" si="20"/>
        <v>2.6007640241280483</v>
      </c>
      <c r="S11" s="141">
        <f>R11*'Soil samples 2017'!AJ11/100</f>
        <v>0.38698476390320513</v>
      </c>
      <c r="T11" s="149">
        <f t="shared" si="21"/>
        <v>0.38698476390320513</v>
      </c>
      <c r="U11" s="141"/>
      <c r="V11" s="141"/>
      <c r="W11" s="141"/>
      <c r="X11" s="141"/>
      <c r="Y11">
        <f t="shared" si="0"/>
        <v>678.55165152637426</v>
      </c>
      <c r="Z11">
        <f t="shared" si="10"/>
        <v>0.67855165152637431</v>
      </c>
      <c r="AA11">
        <f>Z11*('Wet ref 2017'!$B$40+M11)</f>
        <v>17.833657048948822</v>
      </c>
      <c r="AB11" s="175">
        <f t="shared" si="1"/>
        <v>4.7965014198839597</v>
      </c>
      <c r="AC11" s="175">
        <f>AB11*'Soil samples 2017'!AJ11/100</f>
        <v>0.71370295509893356</v>
      </c>
      <c r="AD11" s="174">
        <f t="shared" si="11"/>
        <v>0.71370295509893356</v>
      </c>
      <c r="AE11" s="175"/>
      <c r="AF11" s="175"/>
      <c r="AG11" s="175"/>
      <c r="AH11" s="175"/>
      <c r="AI11">
        <f t="shared" si="2"/>
        <v>112.09342842633474</v>
      </c>
      <c r="AJ11">
        <f t="shared" si="12"/>
        <v>0.11209342842633474</v>
      </c>
      <c r="AK11">
        <f>AJ11*('Wet ref 2017'!$B$40+M11)</f>
        <v>2.9460332982749291</v>
      </c>
      <c r="AL11" s="175">
        <f t="shared" si="3"/>
        <v>0.79235867659763215</v>
      </c>
      <c r="AM11" s="175">
        <f>AL11*'Soil samples 2017'!AJ11/100</f>
        <v>0.11790025259696295</v>
      </c>
      <c r="AN11" s="174">
        <f t="shared" si="13"/>
        <v>117.90025259696296</v>
      </c>
      <c r="AO11" s="175"/>
      <c r="AP11" s="175"/>
      <c r="AQ11" s="175"/>
      <c r="AR11">
        <f t="shared" si="4"/>
        <v>13.72029755278507</v>
      </c>
      <c r="AS11">
        <f t="shared" si="14"/>
        <v>1.3720297552785071E-2</v>
      </c>
      <c r="AT11">
        <f>AS11*('Wet ref 2017'!$B$40+M11)</f>
        <v>0.36059610291345712</v>
      </c>
      <c r="AU11" s="175">
        <f t="shared" si="5"/>
        <v>9.6985139664944278E-2</v>
      </c>
      <c r="AV11" s="175">
        <f>AU11*'Soil samples 2017'!AJ11/100</f>
        <v>1.4431056038596589E-2</v>
      </c>
      <c r="AW11" s="174">
        <f t="shared" si="15"/>
        <v>14.431056038596589</v>
      </c>
      <c r="AX11" s="175"/>
      <c r="AY11" s="175"/>
      <c r="AZ11" s="175"/>
      <c r="BA11">
        <f t="shared" si="6"/>
        <v>12673.820913998887</v>
      </c>
      <c r="BB11">
        <f t="shared" si="16"/>
        <v>12.673820913998886</v>
      </c>
      <c r="BC11">
        <f>BB11*('Wet ref 2017'!$B$40+M11)</f>
        <v>333.09266165903091</v>
      </c>
      <c r="BD11" s="175">
        <f t="shared" si="7"/>
        <v>89.587874220932264</v>
      </c>
      <c r="BE11" s="175">
        <f>BD11*'Soil samples 2017'!AJ11/100</f>
        <v>13.330368319594449</v>
      </c>
      <c r="BF11" s="174">
        <f t="shared" si="17"/>
        <v>13.330368319594449</v>
      </c>
    </row>
    <row r="12" spans="1:58">
      <c r="A12" t="s">
        <v>26</v>
      </c>
      <c r="B12" t="s">
        <v>9</v>
      </c>
      <c r="C12" t="s">
        <v>12</v>
      </c>
      <c r="D12" s="6">
        <v>5</v>
      </c>
      <c r="E12">
        <v>5</v>
      </c>
      <c r="F12" s="24">
        <v>42993</v>
      </c>
      <c r="G12" s="24">
        <v>42990</v>
      </c>
      <c r="H12">
        <f>'Wet ref 2017'!B59</f>
        <v>1207.2093512994993</v>
      </c>
      <c r="I12">
        <f>'Wet ref 2017'!C59</f>
        <v>1936.1267641207705</v>
      </c>
      <c r="J12">
        <f>'Wet ref 2017'!D59</f>
        <v>-6.7180400176373922</v>
      </c>
      <c r="K12">
        <f>'Wet ref 2017'!E59</f>
        <v>10.86826440883218</v>
      </c>
      <c r="L12">
        <f t="shared" si="9"/>
        <v>7724.928293411911</v>
      </c>
      <c r="M12">
        <f>'Wet ref 2017'!$B$41*'Soil samples 2017'!AI12%</f>
        <v>1.7931080361894622</v>
      </c>
      <c r="N12">
        <f>'Wet ref 2017'!$B$41*'Soil samples 2017'!AH12%</f>
        <v>3.2068919638105378</v>
      </c>
      <c r="O12">
        <f t="shared" si="18"/>
        <v>1207.2093512994993</v>
      </c>
      <c r="P12">
        <f t="shared" si="19"/>
        <v>1.2072093512994992</v>
      </c>
      <c r="Q12">
        <f>P12*('Wet ref 2017'!$B$40+M12)</f>
        <v>32.34489057166568</v>
      </c>
      <c r="R12" s="141">
        <f t="shared" si="20"/>
        <v>10.086055575515049</v>
      </c>
      <c r="S12" s="141">
        <f>R12*'Soil samples 2017'!AJ12/100</f>
        <v>3.0384790203022756</v>
      </c>
      <c r="T12" s="149">
        <f t="shared" si="21"/>
        <v>3.0384790203022756</v>
      </c>
      <c r="U12" s="141"/>
      <c r="V12" s="141"/>
      <c r="W12" s="141"/>
      <c r="X12" s="141"/>
      <c r="Y12">
        <f t="shared" si="0"/>
        <v>1936.1267641207705</v>
      </c>
      <c r="Z12">
        <f t="shared" si="10"/>
        <v>1.9361267641207704</v>
      </c>
      <c r="AA12">
        <f>Z12*('Wet ref 2017'!$B$40+M12)</f>
        <v>51.874853562845715</v>
      </c>
      <c r="AB12" s="175">
        <f t="shared" si="1"/>
        <v>16.176052747722206</v>
      </c>
      <c r="AC12" s="175">
        <f>AB12*'Soil samples 2017'!AJ12/100</f>
        <v>4.8731237436937285</v>
      </c>
      <c r="AD12" s="174">
        <f t="shared" si="11"/>
        <v>4.8731237436937285</v>
      </c>
      <c r="AE12" s="175"/>
      <c r="AF12" s="175"/>
      <c r="AG12" s="175"/>
      <c r="AH12" s="175"/>
      <c r="AI12">
        <f t="shared" si="2"/>
        <v>0</v>
      </c>
      <c r="AJ12">
        <f t="shared" si="12"/>
        <v>0</v>
      </c>
      <c r="AK12">
        <f>AJ12*('Wet ref 2017'!$B$40+M12)</f>
        <v>0</v>
      </c>
      <c r="AL12" s="175">
        <f t="shared" si="3"/>
        <v>0</v>
      </c>
      <c r="AM12" s="175">
        <f>AL12*'Soil samples 2017'!AJ12/100</f>
        <v>0</v>
      </c>
      <c r="AN12" s="174">
        <f t="shared" si="13"/>
        <v>0</v>
      </c>
      <c r="AO12" s="175"/>
      <c r="AP12" s="175"/>
      <c r="AQ12" s="175"/>
      <c r="AR12">
        <f t="shared" si="4"/>
        <v>10.86826440883218</v>
      </c>
      <c r="AS12">
        <f t="shared" si="14"/>
        <v>1.0868264408832181E-2</v>
      </c>
      <c r="AT12">
        <f>AS12*('Wet ref 2017'!$B$40+M12)</f>
        <v>0.29119458247171343</v>
      </c>
      <c r="AU12" s="175">
        <f t="shared" si="5"/>
        <v>9.0802741644500598E-2</v>
      </c>
      <c r="AV12" s="175">
        <f>AU12*'Soil samples 2017'!AJ12/100</f>
        <v>2.7354819077392775E-2</v>
      </c>
      <c r="AW12" s="174">
        <f t="shared" si="15"/>
        <v>27.354819077392776</v>
      </c>
      <c r="AX12" s="175"/>
      <c r="AY12" s="175"/>
      <c r="AZ12" s="175"/>
      <c r="BA12">
        <f t="shared" si="6"/>
        <v>7724.928293411911</v>
      </c>
      <c r="BB12">
        <f t="shared" si="16"/>
        <v>7.724928293411911</v>
      </c>
      <c r="BC12">
        <f>BB12*('Wet ref 2017'!$B$40+M12)</f>
        <v>206.97483833720202</v>
      </c>
      <c r="BD12" s="175">
        <f t="shared" si="7"/>
        <v>64.540633321263343</v>
      </c>
      <c r="BE12" s="175">
        <f>BD12*'Soil samples 2017'!AJ12/100</f>
        <v>19.443216313396771</v>
      </c>
      <c r="BF12" s="174">
        <f t="shared" si="17"/>
        <v>19.443216313396771</v>
      </c>
    </row>
    <row r="13" spans="1:58">
      <c r="A13" t="s">
        <v>1091</v>
      </c>
      <c r="B13" t="s">
        <v>9</v>
      </c>
      <c r="C13" t="s">
        <v>12</v>
      </c>
      <c r="D13" s="6">
        <v>5</v>
      </c>
      <c r="E13">
        <v>10</v>
      </c>
      <c r="F13" s="24">
        <v>42993</v>
      </c>
      <c r="G13" s="24">
        <v>42990</v>
      </c>
      <c r="H13">
        <f>'Wet ref 2017'!B60</f>
        <v>506.11258281123537</v>
      </c>
      <c r="I13">
        <f>'Wet ref 2017'!C60</f>
        <v>1113.3575805046385</v>
      </c>
      <c r="J13">
        <f>'Wet ref 2017'!D60</f>
        <v>35.802517142744087</v>
      </c>
      <c r="K13">
        <f>'Wet ref 2017'!E60</f>
        <v>8.6623899118061853</v>
      </c>
      <c r="L13">
        <f t="shared" si="9"/>
        <v>7042.9197484903116</v>
      </c>
      <c r="M13">
        <f>'Wet ref 2017'!$B$41*'Soil samples 2017'!AI13%</f>
        <v>1.7736480310066185</v>
      </c>
      <c r="N13">
        <f>'Wet ref 2017'!$B$41*'Soil samples 2017'!AH13%</f>
        <v>3.2263519689933817</v>
      </c>
      <c r="O13">
        <f t="shared" si="18"/>
        <v>506.11258281123537</v>
      </c>
      <c r="P13">
        <f t="shared" si="19"/>
        <v>0.50611258281123539</v>
      </c>
      <c r="Q13">
        <f>P13*('Wet ref 2017'!$B$40+M13)</f>
        <v>13.550480156251707</v>
      </c>
      <c r="R13" s="141">
        <f t="shared" si="20"/>
        <v>4.1999385951928367</v>
      </c>
      <c r="S13" s="141">
        <f>R13*'Soil samples 2017'!AJ13/100</f>
        <v>1.681614587390837</v>
      </c>
      <c r="T13" s="149">
        <f t="shared" si="21"/>
        <v>1.681614587390837</v>
      </c>
      <c r="U13" s="141"/>
      <c r="V13" s="141"/>
      <c r="W13" s="141"/>
      <c r="X13" s="141"/>
      <c r="Y13">
        <f t="shared" si="0"/>
        <v>1113.3575805046385</v>
      </c>
      <c r="Z13">
        <f t="shared" si="10"/>
        <v>1.1133575805046385</v>
      </c>
      <c r="AA13">
        <f>Z13*('Wet ref 2017'!$B$40+M13)</f>
        <v>29.80864399308431</v>
      </c>
      <c r="AB13" s="175">
        <f t="shared" si="1"/>
        <v>9.2391172071609322</v>
      </c>
      <c r="AC13" s="175">
        <f>AB13*'Soil samples 2017'!AJ13/100</f>
        <v>3.6992527195417635</v>
      </c>
      <c r="AD13" s="174">
        <f t="shared" si="11"/>
        <v>3.6992527195417635</v>
      </c>
      <c r="AE13" s="175"/>
      <c r="AF13" s="175"/>
      <c r="AG13" s="175"/>
      <c r="AH13" s="175"/>
      <c r="AI13">
        <f t="shared" si="2"/>
        <v>35.802517142744087</v>
      </c>
      <c r="AJ13">
        <f t="shared" si="12"/>
        <v>3.5802517142744086E-2</v>
      </c>
      <c r="AK13">
        <f>AJ13*('Wet ref 2017'!$B$40+M13)</f>
        <v>0.9585639926039109</v>
      </c>
      <c r="AL13" s="175">
        <f t="shared" si="3"/>
        <v>0.29710459423402025</v>
      </c>
      <c r="AM13" s="175">
        <f>AL13*'Soil samples 2017'!AJ13/100</f>
        <v>0.11895779148214539</v>
      </c>
      <c r="AN13" s="174">
        <f t="shared" si="13"/>
        <v>118.95779148214538</v>
      </c>
      <c r="AO13" s="175"/>
      <c r="AP13" s="175"/>
      <c r="AQ13" s="175"/>
      <c r="AR13">
        <f t="shared" si="4"/>
        <v>8.6623899118061853</v>
      </c>
      <c r="AS13">
        <f t="shared" si="14"/>
        <v>8.6623899118061856E-3</v>
      </c>
      <c r="AT13">
        <f>AS13*('Wet ref 2017'!$B$40+M13)</f>
        <v>0.23192377860604127</v>
      </c>
      <c r="AU13" s="175">
        <f t="shared" si="5"/>
        <v>7.188421500038672E-2</v>
      </c>
      <c r="AV13" s="175">
        <f>AU13*'Soil samples 2017'!AJ13/100</f>
        <v>2.8781740925009732E-2</v>
      </c>
      <c r="AW13" s="174">
        <f t="shared" si="15"/>
        <v>28.781740925009732</v>
      </c>
      <c r="AX13" s="175"/>
      <c r="AY13" s="175"/>
      <c r="AZ13" s="175"/>
      <c r="BA13">
        <f t="shared" si="6"/>
        <v>7042.9197484903116</v>
      </c>
      <c r="BB13">
        <f t="shared" si="16"/>
        <v>7.0429197484903119</v>
      </c>
      <c r="BC13">
        <f>BB13*('Wet ref 2017'!$B$40+M13)</f>
        <v>188.56465445670528</v>
      </c>
      <c r="BD13" s="175">
        <f t="shared" si="7"/>
        <v>58.445159198032954</v>
      </c>
      <c r="BE13" s="175">
        <f>BD13*'Soil samples 2017'!AJ13/100</f>
        <v>23.400873618077132</v>
      </c>
      <c r="BF13" s="174">
        <f t="shared" si="17"/>
        <v>23.400873618077132</v>
      </c>
    </row>
    <row r="14" spans="1:58">
      <c r="A14" t="s">
        <v>17</v>
      </c>
      <c r="B14" t="s">
        <v>9</v>
      </c>
      <c r="C14" t="s">
        <v>12</v>
      </c>
      <c r="D14" s="6">
        <v>6</v>
      </c>
      <c r="E14">
        <v>5</v>
      </c>
      <c r="F14" s="26">
        <v>43007</v>
      </c>
      <c r="G14" s="24">
        <v>42996</v>
      </c>
      <c r="H14">
        <f>'Wet ref 2017'!B61</f>
        <v>1469.2375895560419</v>
      </c>
      <c r="I14">
        <f>'Wet ref 2017'!C61</f>
        <v>393.48562736434047</v>
      </c>
      <c r="J14">
        <f>'Wet ref 2017'!D61</f>
        <v>19.199503336216367</v>
      </c>
      <c r="K14">
        <f>'Wet ref 2017'!E61</f>
        <v>4.9706241716444834</v>
      </c>
      <c r="L14">
        <f t="shared" si="9"/>
        <v>3107.9009547241017</v>
      </c>
      <c r="M14">
        <f>'Wet ref 2017'!$B$41*'Soil samples 2017'!AI14%</f>
        <v>1.835006273525722</v>
      </c>
      <c r="N14">
        <f>'Wet ref 2017'!$B$41*'Soil samples 2017'!AH14%</f>
        <v>3.1649937264742785</v>
      </c>
      <c r="O14">
        <f t="shared" si="18"/>
        <v>1469.2375895560419</v>
      </c>
      <c r="P14">
        <f t="shared" si="19"/>
        <v>1.4692375895560419</v>
      </c>
      <c r="Q14">
        <f>P14*('Wet ref 2017'!$B$40+M14)</f>
        <v>39.426999933036193</v>
      </c>
      <c r="R14" s="141">
        <f t="shared" si="20"/>
        <v>12.457212664669909</v>
      </c>
      <c r="S14" s="141">
        <f>R14*'Soil samples 2017'!AJ14/100</f>
        <v>0.19476937966919641</v>
      </c>
      <c r="T14" s="149">
        <f t="shared" si="21"/>
        <v>0.19476937966919641</v>
      </c>
      <c r="U14" s="141"/>
      <c r="V14" s="141"/>
      <c r="W14" s="141"/>
      <c r="X14" s="141"/>
      <c r="Y14">
        <f t="shared" si="0"/>
        <v>393.48562736434047</v>
      </c>
      <c r="Z14">
        <f t="shared" si="10"/>
        <v>0.39348562736434045</v>
      </c>
      <c r="AA14">
        <f>Z14*('Wet ref 2017'!$B$40+M14)</f>
        <v>10.559189278864281</v>
      </c>
      <c r="AB14" s="175">
        <f t="shared" si="1"/>
        <v>3.336243351934522</v>
      </c>
      <c r="AC14" s="175">
        <f>AB14*'Soil samples 2017'!AJ14/100</f>
        <v>5.2162395037588911E-2</v>
      </c>
      <c r="AD14" s="174">
        <f t="shared" si="11"/>
        <v>5.2162395037588911E-2</v>
      </c>
      <c r="AE14" s="175"/>
      <c r="AF14" s="175"/>
      <c r="AG14" s="175"/>
      <c r="AH14" s="175"/>
      <c r="AI14">
        <f t="shared" si="2"/>
        <v>19.199503336216367</v>
      </c>
      <c r="AJ14">
        <f t="shared" si="12"/>
        <v>1.9199503336216367E-2</v>
      </c>
      <c r="AK14">
        <f>AJ14*('Wet ref 2017'!$B$40+M14)</f>
        <v>0.51521879247594426</v>
      </c>
      <c r="AL14" s="175">
        <f t="shared" si="3"/>
        <v>0.16278667100231026</v>
      </c>
      <c r="AM14" s="175">
        <f>AL14*'Soil samples 2017'!AJ14/100</f>
        <v>2.5451808348311345E-3</v>
      </c>
      <c r="AN14" s="174">
        <f t="shared" si="13"/>
        <v>2.5451808348311347</v>
      </c>
      <c r="AO14" s="175"/>
      <c r="AP14" s="175"/>
      <c r="AQ14" s="175"/>
      <c r="AR14">
        <f t="shared" si="4"/>
        <v>4.9706241716444834</v>
      </c>
      <c r="AS14">
        <f t="shared" si="14"/>
        <v>4.9706241716444832E-3</v>
      </c>
      <c r="AT14">
        <f>AS14*('Wet ref 2017'!$B$40+M14)</f>
        <v>0.13338673082941829</v>
      </c>
      <c r="AU14" s="175">
        <f t="shared" si="5"/>
        <v>4.214439027593514E-2</v>
      </c>
      <c r="AV14" s="175">
        <f>AU14*'Soil samples 2017'!AJ14/100</f>
        <v>6.5893045029731848E-4</v>
      </c>
      <c r="AW14" s="174">
        <f t="shared" si="15"/>
        <v>0.65893045029731845</v>
      </c>
      <c r="AX14" s="175"/>
      <c r="AY14" s="175"/>
      <c r="AZ14" s="175"/>
      <c r="BA14">
        <f t="shared" si="6"/>
        <v>3107.9009547241017</v>
      </c>
      <c r="BB14">
        <f t="shared" si="16"/>
        <v>3.1079009547241019</v>
      </c>
      <c r="BC14">
        <f>BB14*('Wet ref 2017'!$B$40+M14)</f>
        <v>83.400541617517845</v>
      </c>
      <c r="BD14" s="175">
        <f t="shared" si="7"/>
        <v>26.350934259330714</v>
      </c>
      <c r="BE14" s="175">
        <f>BD14*'Soil samples 2017'!AJ14/100</f>
        <v>0.41199867559053316</v>
      </c>
      <c r="BF14" s="174">
        <f t="shared" si="17"/>
        <v>0.41199867559053316</v>
      </c>
    </row>
    <row r="15" spans="1:58">
      <c r="A15" t="s">
        <v>1092</v>
      </c>
      <c r="B15" t="s">
        <v>9</v>
      </c>
      <c r="C15" t="s">
        <v>12</v>
      </c>
      <c r="D15" s="6">
        <v>6</v>
      </c>
      <c r="E15">
        <v>10</v>
      </c>
      <c r="F15" s="26">
        <v>43007</v>
      </c>
      <c r="G15" s="24">
        <v>42996</v>
      </c>
      <c r="H15">
        <f>'Wet ref 2017'!B62</f>
        <v>546.40156029857008</v>
      </c>
      <c r="I15">
        <f>'Wet ref 2017'!C62</f>
        <v>642.62360977492472</v>
      </c>
      <c r="J15">
        <f>'Wet ref 2017'!D62</f>
        <v>41.508624840067014</v>
      </c>
      <c r="K15">
        <f>'Wet ref 2017'!E62</f>
        <v>7.3478835942639584</v>
      </c>
      <c r="L15">
        <f t="shared" si="9"/>
        <v>6158.8584241904628</v>
      </c>
      <c r="M15">
        <f>'Wet ref 2017'!$B$41*'Soil samples 2017'!AI15%</f>
        <v>2.131347842688049</v>
      </c>
      <c r="N15">
        <f>'Wet ref 2017'!$B$41*'Soil samples 2017'!AH15%</f>
        <v>2.868652157311951</v>
      </c>
      <c r="O15">
        <f t="shared" si="18"/>
        <v>546.40156029857008</v>
      </c>
      <c r="P15">
        <f t="shared" si="19"/>
        <v>0.54640156029857012</v>
      </c>
      <c r="Q15">
        <f>P15*('Wet ref 2017'!$B$40+M15)</f>
        <v>14.824610794247995</v>
      </c>
      <c r="R15" s="141">
        <f t="shared" si="20"/>
        <v>5.1677965752875687</v>
      </c>
      <c r="S15" s="141">
        <f>R15*'Soil samples 2017'!AJ15/100</f>
        <v>0.39996799922881121</v>
      </c>
      <c r="T15" s="149">
        <f t="shared" si="21"/>
        <v>0.39996799922881121</v>
      </c>
      <c r="U15" s="141"/>
      <c r="V15" s="141"/>
      <c r="W15" s="141"/>
      <c r="X15" s="141"/>
      <c r="Y15">
        <f t="shared" si="0"/>
        <v>642.62360977492472</v>
      </c>
      <c r="Z15">
        <f t="shared" si="10"/>
        <v>0.64262360977492472</v>
      </c>
      <c r="AA15">
        <f>Z15*('Wet ref 2017'!$B$40+M15)</f>
        <v>17.435244688727312</v>
      </c>
      <c r="AB15" s="175">
        <f t="shared" si="1"/>
        <v>6.0778525009685653</v>
      </c>
      <c r="AC15" s="175">
        <f>AB15*'Soil samples 2017'!AJ15/100</f>
        <v>0.47040290170186316</v>
      </c>
      <c r="AD15" s="174">
        <f t="shared" si="11"/>
        <v>0.47040290170186316</v>
      </c>
      <c r="AE15" s="175"/>
      <c r="AF15" s="175"/>
      <c r="AG15" s="175"/>
      <c r="AH15" s="175"/>
      <c r="AI15">
        <f t="shared" si="2"/>
        <v>41.508624840067014</v>
      </c>
      <c r="AJ15">
        <f t="shared" si="12"/>
        <v>4.1508624840067017E-2</v>
      </c>
      <c r="AK15">
        <f>AJ15*('Wet ref 2017'!$B$40+M15)</f>
        <v>1.1261849390074998</v>
      </c>
      <c r="AL15" s="175">
        <f t="shared" si="3"/>
        <v>0.3925833029762601</v>
      </c>
      <c r="AM15" s="175">
        <f>AL15*'Soil samples 2017'!AJ15/100</f>
        <v>3.0384469654422368E-2</v>
      </c>
      <c r="AN15" s="174">
        <f t="shared" si="13"/>
        <v>30.384469654422368</v>
      </c>
      <c r="AO15" s="175"/>
      <c r="AP15" s="175"/>
      <c r="AQ15" s="175"/>
      <c r="AR15">
        <f t="shared" si="4"/>
        <v>7.3478835942639584</v>
      </c>
      <c r="AS15">
        <f t="shared" si="14"/>
        <v>7.3478835942639587E-3</v>
      </c>
      <c r="AT15">
        <f>AS15*('Wet ref 2017'!$B$40+M15)</f>
        <v>0.19935798570355637</v>
      </c>
      <c r="AU15" s="175">
        <f t="shared" si="5"/>
        <v>6.9495350001013464E-2</v>
      </c>
      <c r="AV15" s="175">
        <f>AU15*'Soil samples 2017'!AJ15/100</f>
        <v>5.3786784542819545E-3</v>
      </c>
      <c r="AW15" s="174">
        <f t="shared" si="15"/>
        <v>5.3786784542819541</v>
      </c>
      <c r="AX15" s="175"/>
      <c r="AY15" s="175"/>
      <c r="AZ15" s="175"/>
      <c r="BA15">
        <f t="shared" si="6"/>
        <v>6158.8584241904628</v>
      </c>
      <c r="BB15">
        <f t="shared" si="16"/>
        <v>6.1588584241904627</v>
      </c>
      <c r="BC15">
        <f>BB15*('Wet ref 2017'!$B$40+M15)</f>
        <v>167.09813022058103</v>
      </c>
      <c r="BD15" s="175">
        <f t="shared" si="7"/>
        <v>58.24970092475732</v>
      </c>
      <c r="BE15" s="175">
        <f>BD15*'Soil samples 2017'!AJ15/100</f>
        <v>4.5083075533512798</v>
      </c>
      <c r="BF15" s="174">
        <f t="shared" si="17"/>
        <v>4.5083075533512798</v>
      </c>
    </row>
    <row r="16" spans="1:58">
      <c r="A16" t="s">
        <v>4</v>
      </c>
      <c r="B16" t="s">
        <v>9</v>
      </c>
      <c r="C16" t="s">
        <v>13</v>
      </c>
      <c r="D16" s="6">
        <v>1</v>
      </c>
      <c r="E16">
        <v>5</v>
      </c>
      <c r="F16" s="24">
        <v>43014</v>
      </c>
      <c r="G16" s="24">
        <v>43010</v>
      </c>
      <c r="H16">
        <f>'Wet ref 2017'!B63</f>
        <v>939.89018705596686</v>
      </c>
      <c r="I16">
        <f>'Wet ref 2017'!C63</f>
        <v>2101.5490037488894</v>
      </c>
      <c r="J16">
        <f>'Wet ref 2017'!D63</f>
        <v>15.868845759585144</v>
      </c>
      <c r="K16">
        <f>'Wet ref 2017'!E63</f>
        <v>13.123335481167375</v>
      </c>
      <c r="L16">
        <f t="shared" si="9"/>
        <v>10081.896290362518</v>
      </c>
      <c r="M16">
        <f>'Wet ref 2017'!$B$41*'Soil samples 2017'!AI16%</f>
        <v>2.4678173318950019</v>
      </c>
      <c r="N16">
        <f>'Wet ref 2017'!$B$41*'Soil samples 2017'!AH16%</f>
        <v>2.5321826681049986</v>
      </c>
      <c r="O16">
        <f t="shared" si="18"/>
        <v>939.89018705596686</v>
      </c>
      <c r="P16">
        <f t="shared" si="19"/>
        <v>0.93989018705596683</v>
      </c>
      <c r="Q16">
        <f>P16*('Wet ref 2017'!$B$40+M16)</f>
        <v>25.816731970093922</v>
      </c>
      <c r="R16" s="141">
        <f t="shared" si="20"/>
        <v>10.195446124514511</v>
      </c>
      <c r="S16" s="141">
        <f>R16*'Soil samples 2017'!AJ16/100</f>
        <v>0.94489239010543813</v>
      </c>
      <c r="T16" s="149">
        <f t="shared" si="21"/>
        <v>0.94489239010543813</v>
      </c>
      <c r="U16" s="141"/>
      <c r="V16" s="141"/>
      <c r="W16" s="141"/>
      <c r="X16" s="141"/>
      <c r="Y16">
        <f t="shared" si="0"/>
        <v>2101.5490037488894</v>
      </c>
      <c r="Z16">
        <f t="shared" si="10"/>
        <v>2.1015490037488895</v>
      </c>
      <c r="AA16">
        <f>Z16*('Wet ref 2017'!$B$40+M16)</f>
        <v>57.724964149000421</v>
      </c>
      <c r="AB16" s="175">
        <f t="shared" si="1"/>
        <v>22.79652446724938</v>
      </c>
      <c r="AC16" s="175">
        <f>AB16*'Soil samples 2017'!AJ16/100</f>
        <v>2.1127336878534164</v>
      </c>
      <c r="AD16" s="174">
        <f t="shared" si="11"/>
        <v>2.1127336878534164</v>
      </c>
      <c r="AE16" s="175"/>
      <c r="AF16" s="175"/>
      <c r="AG16" s="175"/>
      <c r="AH16" s="175"/>
      <c r="AI16">
        <f t="shared" si="2"/>
        <v>15.868845759585144</v>
      </c>
      <c r="AJ16">
        <f t="shared" si="12"/>
        <v>1.5868845759585144E-2</v>
      </c>
      <c r="AK16">
        <f>AJ16*('Wet ref 2017'!$B$40+M16)</f>
        <v>0.43588255659230135</v>
      </c>
      <c r="AL16" s="175">
        <f t="shared" si="3"/>
        <v>0.17213709029866373</v>
      </c>
      <c r="AM16" s="175">
        <f>AL16*'Soil samples 2017'!AJ16/100</f>
        <v>1.595330157127824E-2</v>
      </c>
      <c r="AN16" s="174">
        <f t="shared" si="13"/>
        <v>15.953301571278239</v>
      </c>
      <c r="AO16" s="175"/>
      <c r="AP16" s="175"/>
      <c r="AQ16" s="175"/>
      <c r="AR16">
        <f t="shared" si="4"/>
        <v>13.123335481167375</v>
      </c>
      <c r="AS16">
        <f t="shared" si="14"/>
        <v>1.3123335481167375E-2</v>
      </c>
      <c r="AT16">
        <f>AS16*('Wet ref 2017'!$B$40+M16)</f>
        <v>0.36046938178188187</v>
      </c>
      <c r="AU16" s="175">
        <f t="shared" si="5"/>
        <v>0.14235520459179399</v>
      </c>
      <c r="AV16" s="175">
        <f>AU16*'Soil samples 2017'!AJ16/100</f>
        <v>1.3193179373216884E-2</v>
      </c>
      <c r="AW16" s="174">
        <f t="shared" si="15"/>
        <v>13.193179373216884</v>
      </c>
      <c r="AX16" s="175"/>
      <c r="AY16" s="175"/>
      <c r="AZ16" s="175"/>
      <c r="BA16">
        <f t="shared" si="6"/>
        <v>10081.896290362518</v>
      </c>
      <c r="BB16">
        <f t="shared" si="16"/>
        <v>10.081896290362518</v>
      </c>
      <c r="BC16">
        <f>BB16*('Wet ref 2017'!$B$40+M16)</f>
        <v>276.9276856627875</v>
      </c>
      <c r="BD16" s="175">
        <f t="shared" si="7"/>
        <v>109.36323400003009</v>
      </c>
      <c r="BE16" s="175">
        <f>BD16*'Soil samples 2017'!AJ16/100</f>
        <v>10.135553295258029</v>
      </c>
      <c r="BF16" s="174">
        <f t="shared" si="17"/>
        <v>10.135553295258029</v>
      </c>
    </row>
    <row r="17" spans="1:58">
      <c r="A17" t="s">
        <v>640</v>
      </c>
      <c r="B17" t="s">
        <v>9</v>
      </c>
      <c r="C17" t="s">
        <v>13</v>
      </c>
      <c r="D17" s="6">
        <v>1</v>
      </c>
      <c r="E17">
        <v>10</v>
      </c>
      <c r="F17" s="24">
        <v>43014</v>
      </c>
      <c r="G17" s="24">
        <v>43010</v>
      </c>
      <c r="H17">
        <f>'Wet ref 2017'!B64</f>
        <v>249.90404538505348</v>
      </c>
      <c r="I17">
        <f>'Wet ref 2017'!C64</f>
        <v>624.79264184623594</v>
      </c>
      <c r="J17">
        <f>'Wet ref 2017'!D64</f>
        <v>17.251382866866027</v>
      </c>
      <c r="K17">
        <f>'Wet ref 2017'!E64</f>
        <v>8.1212870714041347</v>
      </c>
      <c r="L17">
        <f t="shared" si="9"/>
        <v>7246.590384172845</v>
      </c>
      <c r="M17">
        <f>'Wet ref 2017'!$B$41*'Soil samples 2017'!AI17%</f>
        <v>2.1918007836533784</v>
      </c>
      <c r="N17">
        <f>'Wet ref 2017'!$B$41*'Soil samples 2017'!AH17%</f>
        <v>2.8081992163466212</v>
      </c>
      <c r="O17">
        <f t="shared" si="18"/>
        <v>249.90404538505348</v>
      </c>
      <c r="P17">
        <f t="shared" si="19"/>
        <v>0.24990404538505348</v>
      </c>
      <c r="Q17">
        <f>P17*('Wet ref 2017'!$B$40+M17)</f>
        <v>6.7953410171394468</v>
      </c>
      <c r="R17" s="141">
        <f t="shared" si="20"/>
        <v>2.4198215630798345</v>
      </c>
      <c r="S17" s="141">
        <f>R17*'Soil samples 2017'!AJ17/100</f>
        <v>0.94645509686718288</v>
      </c>
      <c r="T17" s="149">
        <f t="shared" si="21"/>
        <v>0.94645509686718288</v>
      </c>
      <c r="U17" s="141"/>
      <c r="V17" s="141"/>
      <c r="W17" s="141"/>
      <c r="X17" s="141"/>
      <c r="Y17">
        <f t="shared" si="0"/>
        <v>624.79264184623594</v>
      </c>
      <c r="Z17">
        <f t="shared" si="10"/>
        <v>0.62479264184623595</v>
      </c>
      <c r="AA17">
        <f>Z17*('Wet ref 2017'!$B$40+M17)</f>
        <v>16.989237048175344</v>
      </c>
      <c r="AB17" s="175">
        <f t="shared" si="1"/>
        <v>6.04986888012803</v>
      </c>
      <c r="AC17" s="175">
        <f>AB17*'Soil samples 2017'!AJ17/100</f>
        <v>2.3662609360698634</v>
      </c>
      <c r="AD17" s="174">
        <f t="shared" si="11"/>
        <v>2.3662609360698634</v>
      </c>
      <c r="AE17" s="175"/>
      <c r="AF17" s="175"/>
      <c r="AG17" s="175"/>
      <c r="AH17" s="175"/>
      <c r="AI17">
        <f t="shared" si="2"/>
        <v>17.251382866866027</v>
      </c>
      <c r="AJ17">
        <f t="shared" si="12"/>
        <v>1.7251382866866026E-2</v>
      </c>
      <c r="AK17">
        <f>AJ17*('Wet ref 2017'!$B$40+M17)</f>
        <v>0.46909616615835203</v>
      </c>
      <c r="AL17" s="175">
        <f t="shared" si="3"/>
        <v>0.16704518804354321</v>
      </c>
      <c r="AM17" s="175">
        <f>AL17*'Soil samples 2017'!AJ17/100</f>
        <v>6.533571402253531E-2</v>
      </c>
      <c r="AN17" s="174">
        <f t="shared" si="13"/>
        <v>65.335714022535313</v>
      </c>
      <c r="AO17" s="175"/>
      <c r="AP17" s="175"/>
      <c r="AQ17" s="175"/>
      <c r="AR17">
        <f t="shared" si="4"/>
        <v>8.1212870714041347</v>
      </c>
      <c r="AS17">
        <f t="shared" si="14"/>
        <v>8.1212870714041339E-3</v>
      </c>
      <c r="AT17">
        <f>AS17*('Wet ref 2017'!$B$40+M17)</f>
        <v>0.22083242015248097</v>
      </c>
      <c r="AU17" s="175">
        <f t="shared" si="5"/>
        <v>7.8638445188292952E-2</v>
      </c>
      <c r="AV17" s="175">
        <f>AU17*'Soil samples 2017'!AJ17/100</f>
        <v>3.0757539478837571E-2</v>
      </c>
      <c r="AW17" s="174">
        <f t="shared" si="15"/>
        <v>30.757539478837568</v>
      </c>
      <c r="AX17" s="175"/>
      <c r="AY17" s="175"/>
      <c r="AZ17" s="175"/>
      <c r="BA17">
        <f t="shared" si="6"/>
        <v>7246.590384172845</v>
      </c>
      <c r="BB17">
        <f t="shared" si="16"/>
        <v>7.246590384172845</v>
      </c>
      <c r="BC17">
        <f>BB17*('Wet ref 2017'!$B$40+M17)</f>
        <v>197.0478420871662</v>
      </c>
      <c r="BD17" s="175">
        <f t="shared" si="7"/>
        <v>70.168754745085096</v>
      </c>
      <c r="BE17" s="175">
        <f>BD17*'Soil samples 2017'!AJ17/100</f>
        <v>27.444823445900528</v>
      </c>
      <c r="BF17" s="174">
        <f t="shared" si="17"/>
        <v>27.444823445900528</v>
      </c>
    </row>
    <row r="18" spans="1:58">
      <c r="A18" t="s">
        <v>7</v>
      </c>
      <c r="B18" t="s">
        <v>9</v>
      </c>
      <c r="C18" t="s">
        <v>13</v>
      </c>
      <c r="D18" s="6">
        <v>2</v>
      </c>
      <c r="E18">
        <v>5</v>
      </c>
      <c r="F18" s="26">
        <v>43007</v>
      </c>
      <c r="G18" s="24">
        <v>42996</v>
      </c>
      <c r="H18">
        <f>'Wet ref 2017'!B65</f>
        <v>33.783957852453618</v>
      </c>
      <c r="I18">
        <f>'Wet ref 2017'!C65</f>
        <v>2166.8069279253968</v>
      </c>
      <c r="J18">
        <f>'Wet ref 2017'!D65</f>
        <v>29.317161257681029</v>
      </c>
      <c r="K18">
        <f>'Wet ref 2017'!E65</f>
        <v>7.7224200370048655</v>
      </c>
      <c r="L18">
        <f t="shared" si="9"/>
        <v>5521.8291512270152</v>
      </c>
      <c r="M18">
        <f>'Wet ref 2017'!$B$41*'Soil samples 2017'!AI18%</f>
        <v>2.0591948379856921</v>
      </c>
      <c r="N18">
        <f>'Wet ref 2017'!$B$41*'Soil samples 2017'!AH18%</f>
        <v>2.9408051620143079</v>
      </c>
      <c r="O18">
        <f t="shared" si="18"/>
        <v>33.783957852453618</v>
      </c>
      <c r="P18">
        <f t="shared" si="19"/>
        <v>3.3783957852453618E-2</v>
      </c>
      <c r="Q18">
        <f>P18*('Wet ref 2017'!$B$40+M18)</f>
        <v>0.91416669792783911</v>
      </c>
      <c r="R18" s="141">
        <f t="shared" si="20"/>
        <v>0.31085592127486594</v>
      </c>
      <c r="S18" s="141">
        <f>R18*'Soil samples 2017'!AJ18/100</f>
        <v>8.7046952976688866E-2</v>
      </c>
      <c r="T18" s="149">
        <f t="shared" si="21"/>
        <v>8.7046952976688866E-2</v>
      </c>
      <c r="U18" s="141"/>
      <c r="V18" s="141"/>
      <c r="W18" s="141"/>
      <c r="X18" s="141"/>
      <c r="Y18">
        <f t="shared" si="0"/>
        <v>2166.8069279253968</v>
      </c>
      <c r="Z18">
        <f t="shared" si="10"/>
        <v>2.1668069279253968</v>
      </c>
      <c r="AA18">
        <f>Z18*('Wet ref 2017'!$B$40+M18)</f>
        <v>58.632050839030533</v>
      </c>
      <c r="AB18" s="175">
        <f t="shared" si="1"/>
        <v>19.937414282444486</v>
      </c>
      <c r="AC18" s="175">
        <f>AB18*'Soil samples 2017'!AJ18/100</f>
        <v>5.5829438808924889</v>
      </c>
      <c r="AD18" s="174">
        <f t="shared" si="11"/>
        <v>5.5829438808924889</v>
      </c>
      <c r="AE18" s="175"/>
      <c r="AF18" s="175"/>
      <c r="AG18" s="175"/>
      <c r="AH18" s="175"/>
      <c r="AI18">
        <f t="shared" si="2"/>
        <v>29.317161257681029</v>
      </c>
      <c r="AJ18">
        <f t="shared" si="12"/>
        <v>2.9317161257681031E-2</v>
      </c>
      <c r="AK18">
        <f>AJ18*('Wet ref 2017'!$B$40+M18)</f>
        <v>0.79329877856823672</v>
      </c>
      <c r="AL18" s="175">
        <f t="shared" si="3"/>
        <v>0.26975563999107843</v>
      </c>
      <c r="AM18" s="175">
        <f>AL18*'Soil samples 2017'!AJ18/100</f>
        <v>7.5537909695267524E-2</v>
      </c>
      <c r="AN18" s="174">
        <f t="shared" si="13"/>
        <v>75.53790969526753</v>
      </c>
      <c r="AO18" s="175"/>
      <c r="AP18" s="175"/>
      <c r="AQ18" s="175"/>
      <c r="AR18">
        <f t="shared" si="4"/>
        <v>7.7224200370048655</v>
      </c>
      <c r="AS18">
        <f t="shared" si="14"/>
        <v>7.7224200370048651E-3</v>
      </c>
      <c r="AT18">
        <f>AS18*('Wet ref 2017'!$B$40+M18)</f>
        <v>0.20896246840207933</v>
      </c>
      <c r="AU18" s="175">
        <f t="shared" si="5"/>
        <v>7.1056209741875667E-2</v>
      </c>
      <c r="AV18" s="175">
        <f>AU18*'Soil samples 2017'!AJ18/100</f>
        <v>1.9897406241245998E-2</v>
      </c>
      <c r="AW18" s="174">
        <f t="shared" si="15"/>
        <v>19.897406241245999</v>
      </c>
      <c r="AX18" s="175"/>
      <c r="AY18" s="175"/>
      <c r="AZ18" s="175"/>
      <c r="BA18">
        <f t="shared" si="6"/>
        <v>5521.8291512270152</v>
      </c>
      <c r="BB18">
        <f t="shared" si="16"/>
        <v>5.5218291512270152</v>
      </c>
      <c r="BC18">
        <f>BB18*('Wet ref 2017'!$B$40+M18)</f>
        <v>149.41625086512096</v>
      </c>
      <c r="BD18" s="175">
        <f t="shared" si="7"/>
        <v>50.807939538156319</v>
      </c>
      <c r="BE18" s="175">
        <f>BD18*'Soil samples 2017'!AJ18/100</f>
        <v>14.227415407376821</v>
      </c>
      <c r="BF18" s="174">
        <f t="shared" si="17"/>
        <v>14.227415407376821</v>
      </c>
    </row>
    <row r="19" spans="1:58">
      <c r="A19" t="s">
        <v>641</v>
      </c>
      <c r="B19" t="s">
        <v>9</v>
      </c>
      <c r="C19" t="s">
        <v>13</v>
      </c>
      <c r="D19" s="6">
        <v>2</v>
      </c>
      <c r="E19">
        <v>10</v>
      </c>
      <c r="F19" s="26">
        <v>43007</v>
      </c>
      <c r="G19" s="24">
        <v>42996</v>
      </c>
      <c r="H19">
        <f>'Wet ref 2017'!B66</f>
        <v>132.8921445486975</v>
      </c>
      <c r="I19">
        <f>'Wet ref 2017'!C66</f>
        <v>297.39623294766028</v>
      </c>
      <c r="J19">
        <f>'Wet ref 2017'!D66</f>
        <v>31.566926186801737</v>
      </c>
      <c r="K19">
        <f>'Wet ref 2017'!E66</f>
        <v>2.8311382816862887</v>
      </c>
      <c r="L19">
        <f t="shared" si="9"/>
        <v>2400.8499041899308</v>
      </c>
      <c r="M19">
        <f>'Wet ref 2017'!$B$41*'Soil samples 2017'!AI19%</f>
        <v>1.843262485603602</v>
      </c>
      <c r="N19">
        <f>'Wet ref 2017'!$B$41*'Soil samples 2017'!AH19%</f>
        <v>3.1567375143963976</v>
      </c>
      <c r="O19">
        <f t="shared" si="18"/>
        <v>132.8921445486975</v>
      </c>
      <c r="P19">
        <f t="shared" si="19"/>
        <v>0.13289214454869749</v>
      </c>
      <c r="Q19">
        <f>P19*('Wet ref 2017'!$B$40+M19)</f>
        <v>3.5672587183954629</v>
      </c>
      <c r="R19" s="141">
        <f t="shared" si="20"/>
        <v>1.1300460371275314</v>
      </c>
      <c r="S19" s="141">
        <f>R19*'Soil samples 2017'!AJ19/100</f>
        <v>0.57069004976890625</v>
      </c>
      <c r="T19" s="149">
        <f t="shared" si="21"/>
        <v>0.57069004976890625</v>
      </c>
      <c r="U19" s="141"/>
      <c r="V19" s="141"/>
      <c r="W19" s="141"/>
      <c r="X19" s="141"/>
      <c r="Y19">
        <f t="shared" si="0"/>
        <v>297.39623294766028</v>
      </c>
      <c r="Z19">
        <f t="shared" si="10"/>
        <v>0.29739623294766027</v>
      </c>
      <c r="AA19">
        <f>Z19*('Wet ref 2017'!$B$40+M19)</f>
        <v>7.9830851432437591</v>
      </c>
      <c r="AB19" s="175">
        <f t="shared" si="1"/>
        <v>2.5289036883290601</v>
      </c>
      <c r="AC19" s="175">
        <f>AB19*'Soil samples 2017'!AJ19/100</f>
        <v>1.2771339612161368</v>
      </c>
      <c r="AD19" s="174">
        <f t="shared" si="11"/>
        <v>1.2771339612161368</v>
      </c>
      <c r="AE19" s="175"/>
      <c r="AF19" s="175"/>
      <c r="AG19" s="175"/>
      <c r="AH19" s="175"/>
      <c r="AI19">
        <f t="shared" si="2"/>
        <v>31.566926186801737</v>
      </c>
      <c r="AJ19">
        <f t="shared" si="12"/>
        <v>3.1566926186801736E-2</v>
      </c>
      <c r="AK19">
        <f>AJ19*('Wet ref 2017'!$B$40+M19)</f>
        <v>0.84735928549599304</v>
      </c>
      <c r="AL19" s="175">
        <f t="shared" si="3"/>
        <v>0.26842880715662459</v>
      </c>
      <c r="AM19" s="175">
        <f>AL19*'Soil samples 2017'!AJ19/100</f>
        <v>0.13556053849364902</v>
      </c>
      <c r="AN19" s="174">
        <f t="shared" si="13"/>
        <v>135.56053849364901</v>
      </c>
      <c r="AO19" s="175"/>
      <c r="AP19" s="175"/>
      <c r="AQ19" s="175"/>
      <c r="AR19">
        <f t="shared" si="4"/>
        <v>2.8311382816862887</v>
      </c>
      <c r="AS19">
        <f t="shared" si="14"/>
        <v>2.8311382816862888E-3</v>
      </c>
      <c r="AT19">
        <f>AS19*('Wet ref 2017'!$B$40+M19)</f>
        <v>7.5996988028345799E-2</v>
      </c>
      <c r="AU19" s="175">
        <f t="shared" si="5"/>
        <v>2.407453507989157E-2</v>
      </c>
      <c r="AV19" s="175">
        <f>AU19*'Soil samples 2017'!AJ19/100</f>
        <v>1.2157998144774761E-2</v>
      </c>
      <c r="AW19" s="174">
        <f t="shared" si="15"/>
        <v>12.157998144774762</v>
      </c>
      <c r="AX19" s="175"/>
      <c r="AY19" s="175"/>
      <c r="AZ19" s="175"/>
      <c r="BA19">
        <f t="shared" si="6"/>
        <v>2400.8499041899308</v>
      </c>
      <c r="BB19">
        <f t="shared" si="16"/>
        <v>2.4008499041899309</v>
      </c>
      <c r="BC19">
        <f>BB19*('Wet ref 2017'!$B$40+M19)</f>
        <v>64.446644166706577</v>
      </c>
      <c r="BD19" s="175">
        <f t="shared" si="7"/>
        <v>20.415585354434981</v>
      </c>
      <c r="BE19" s="175">
        <f>BD19*'Soil samples 2017'!AJ19/100</f>
        <v>10.310174133789722</v>
      </c>
      <c r="BF19" s="174">
        <f t="shared" si="17"/>
        <v>10.310174133789722</v>
      </c>
    </row>
    <row r="20" spans="1:58">
      <c r="A20" t="s">
        <v>31</v>
      </c>
      <c r="B20" t="s">
        <v>9</v>
      </c>
      <c r="C20" t="s">
        <v>13</v>
      </c>
      <c r="D20" s="6">
        <v>3</v>
      </c>
      <c r="E20">
        <v>5</v>
      </c>
      <c r="F20" s="26">
        <v>43007</v>
      </c>
      <c r="G20" s="24">
        <v>42996</v>
      </c>
      <c r="H20">
        <f>'Wet ref 2017'!B67</f>
        <v>906.96054288198081</v>
      </c>
      <c r="I20">
        <f>'Wet ref 2017'!C67</f>
        <v>951.85133850401996</v>
      </c>
      <c r="J20">
        <f>'Wet ref 2017'!D67</f>
        <v>35.29977637646013</v>
      </c>
      <c r="K20">
        <f>'Wet ref 2017'!E67</f>
        <v>9.6178266663903234</v>
      </c>
      <c r="L20">
        <f t="shared" si="9"/>
        <v>7759.0147850043222</v>
      </c>
      <c r="M20">
        <f>'Wet ref 2017'!$B$41*'Soil samples 2017'!AI20%</f>
        <v>1.97988879260543</v>
      </c>
      <c r="N20">
        <f>'Wet ref 2017'!$B$41*'Soil samples 2017'!AH20%</f>
        <v>3.0201112073945695</v>
      </c>
      <c r="O20">
        <f t="shared" si="18"/>
        <v>906.96054288198081</v>
      </c>
      <c r="P20">
        <f t="shared" si="19"/>
        <v>0.9069605428819808</v>
      </c>
      <c r="Q20">
        <f>P20*('Wet ref 2017'!$B$40+M20)</f>
        <v>24.469694586236891</v>
      </c>
      <c r="R20" s="141">
        <f t="shared" si="20"/>
        <v>8.1022495219130484</v>
      </c>
      <c r="S20" s="141">
        <f>R20*'Soil samples 2017'!AJ20/100</f>
        <v>3.096395152942415</v>
      </c>
      <c r="T20" s="149">
        <f t="shared" si="21"/>
        <v>3.096395152942415</v>
      </c>
      <c r="U20" s="141"/>
      <c r="V20" s="141"/>
      <c r="W20" s="141"/>
      <c r="X20" s="141"/>
      <c r="Y20">
        <f t="shared" si="0"/>
        <v>951.85133850401996</v>
      </c>
      <c r="Z20">
        <f t="shared" si="10"/>
        <v>0.95185133850401993</v>
      </c>
      <c r="AA20">
        <f>Z20*('Wet ref 2017'!$B$40+M20)</f>
        <v>25.680843259931084</v>
      </c>
      <c r="AB20" s="175">
        <f t="shared" si="1"/>
        <v>8.5032773617915165</v>
      </c>
      <c r="AC20" s="175">
        <f>AB20*'Soil samples 2017'!AJ20/100</f>
        <v>3.2496539061116789</v>
      </c>
      <c r="AD20" s="174">
        <f t="shared" si="11"/>
        <v>3.2496539061116789</v>
      </c>
      <c r="AE20" s="175"/>
      <c r="AF20" s="175"/>
      <c r="AG20" s="175"/>
      <c r="AH20" s="175"/>
      <c r="AI20">
        <f t="shared" si="2"/>
        <v>35.29977637646013</v>
      </c>
      <c r="AJ20">
        <f t="shared" si="12"/>
        <v>3.5299776376460132E-2</v>
      </c>
      <c r="AK20">
        <f>AJ20*('Wet ref 2017'!$B$40+M20)</f>
        <v>0.9523840410407346</v>
      </c>
      <c r="AL20" s="175">
        <f t="shared" si="3"/>
        <v>0.31534734174982587</v>
      </c>
      <c r="AM20" s="175">
        <f>AL20*'Soil samples 2017'!AJ20/100</f>
        <v>0.12051467655329452</v>
      </c>
      <c r="AN20" s="174">
        <f t="shared" si="13"/>
        <v>120.51467655329452</v>
      </c>
      <c r="AO20" s="175"/>
      <c r="AP20" s="175"/>
      <c r="AQ20" s="175"/>
      <c r="AR20">
        <f t="shared" si="4"/>
        <v>9.6178266663903234</v>
      </c>
      <c r="AS20">
        <f t="shared" si="14"/>
        <v>9.6178266663903226E-3</v>
      </c>
      <c r="AT20">
        <f>AS20*('Wet ref 2017'!$B$40+M20)</f>
        <v>0.25948789388576587</v>
      </c>
      <c r="AU20" s="175">
        <f t="shared" si="5"/>
        <v>8.5919979784328679E-2</v>
      </c>
      <c r="AV20" s="175">
        <f>AU20*'Soil samples 2017'!AJ20/100</f>
        <v>3.283559809230481E-2</v>
      </c>
      <c r="AW20" s="174">
        <f t="shared" si="15"/>
        <v>32.835598092304807</v>
      </c>
      <c r="AX20" s="175"/>
      <c r="AY20" s="175"/>
      <c r="AZ20" s="175"/>
      <c r="BA20">
        <f t="shared" si="6"/>
        <v>7759.0147850043222</v>
      </c>
      <c r="BB20">
        <f t="shared" si="16"/>
        <v>7.7590147850043225</v>
      </c>
      <c r="BC20">
        <f>BB20*('Wet ref 2017'!$B$40+M20)</f>
        <v>209.33735603959795</v>
      </c>
      <c r="BD20" s="175">
        <f t="shared" si="7"/>
        <v>69.314452900624133</v>
      </c>
      <c r="BE20" s="175">
        <f>BD20*'Soil samples 2017'!AJ20/100</f>
        <v>26.489549033250718</v>
      </c>
      <c r="BF20" s="174">
        <f t="shared" si="17"/>
        <v>26.489549033250718</v>
      </c>
    </row>
    <row r="21" spans="1:58">
      <c r="A21" t="s">
        <v>1093</v>
      </c>
      <c r="B21" t="s">
        <v>9</v>
      </c>
      <c r="C21" t="s">
        <v>13</v>
      </c>
      <c r="D21" s="6">
        <v>3</v>
      </c>
      <c r="E21">
        <v>10</v>
      </c>
      <c r="F21" s="26">
        <v>43007</v>
      </c>
      <c r="G21" s="24">
        <v>42996</v>
      </c>
      <c r="H21">
        <f>'Wet ref 2017'!B68</f>
        <v>514.71257381816008</v>
      </c>
      <c r="I21">
        <f>'Wet ref 2017'!C68</f>
        <v>176.81025964111689</v>
      </c>
      <c r="J21">
        <f>'Wet ref 2017'!D68</f>
        <v>21.185329363038004</v>
      </c>
      <c r="K21">
        <f>'Wet ref 2017'!E68</f>
        <v>4.4921621943628551</v>
      </c>
      <c r="L21">
        <f t="shared" si="9"/>
        <v>3800.6393609035781</v>
      </c>
      <c r="M21">
        <f>'Wet ref 2017'!$B$41*'Soil samples 2017'!AI21%</f>
        <v>1.9388633401372255</v>
      </c>
      <c r="N21">
        <f>'Wet ref 2017'!$B$41*'Soil samples 2017'!AH21%</f>
        <v>3.0611366598627749</v>
      </c>
      <c r="O21">
        <f t="shared" si="18"/>
        <v>514.71257381816008</v>
      </c>
      <c r="P21">
        <f t="shared" si="19"/>
        <v>0.51471257381816005</v>
      </c>
      <c r="Q21">
        <f>P21*('Wet ref 2017'!$B$40+M21)</f>
        <v>13.865771685537707</v>
      </c>
      <c r="R21" s="141">
        <f t="shared" si="20"/>
        <v>4.5296153769754541</v>
      </c>
      <c r="S21" s="141">
        <f>R21*'Soil samples 2017'!AJ21/100</f>
        <v>2.3469205154941117</v>
      </c>
      <c r="T21" s="149">
        <f t="shared" si="21"/>
        <v>2.3469205154941117</v>
      </c>
      <c r="U21" s="141"/>
      <c r="V21" s="141"/>
      <c r="W21" s="141"/>
      <c r="X21" s="141"/>
      <c r="Y21">
        <f t="shared" si="0"/>
        <v>176.81025964111689</v>
      </c>
      <c r="Z21">
        <f t="shared" si="10"/>
        <v>0.17681025964111688</v>
      </c>
      <c r="AA21">
        <f>Z21*('Wet ref 2017'!$B$40+M21)</f>
        <v>4.7630674216062276</v>
      </c>
      <c r="AB21" s="175">
        <f t="shared" si="1"/>
        <v>1.5559800005203777</v>
      </c>
      <c r="AC21" s="175">
        <f>AB21*'Soil samples 2017'!AJ21/100</f>
        <v>0.80619679178107007</v>
      </c>
      <c r="AD21" s="174">
        <f t="shared" si="11"/>
        <v>0.80619679178107007</v>
      </c>
      <c r="AE21" s="175"/>
      <c r="AF21" s="175"/>
      <c r="AG21" s="175"/>
      <c r="AH21" s="175"/>
      <c r="AI21">
        <f t="shared" si="2"/>
        <v>21.185329363038004</v>
      </c>
      <c r="AJ21">
        <f t="shared" si="12"/>
        <v>2.1185329363038005E-2</v>
      </c>
      <c r="AK21">
        <f>AJ21*('Wet ref 2017'!$B$40+M21)</f>
        <v>0.57070869252667722</v>
      </c>
      <c r="AL21" s="175">
        <f t="shared" si="3"/>
        <v>0.18643685530598331</v>
      </c>
      <c r="AM21" s="175">
        <f>AL21*'Soil samples 2017'!AJ21/100</f>
        <v>9.6598153297065378E-2</v>
      </c>
      <c r="AN21" s="174">
        <f t="shared" si="13"/>
        <v>96.59815329706538</v>
      </c>
      <c r="AO21" s="175"/>
      <c r="AP21" s="175"/>
      <c r="AQ21" s="175"/>
      <c r="AR21">
        <f t="shared" si="4"/>
        <v>4.4921621943628551</v>
      </c>
      <c r="AS21">
        <f t="shared" si="14"/>
        <v>4.4921621943628549E-3</v>
      </c>
      <c r="AT21">
        <f>AS21*('Wet ref 2017'!$B$40+M21)</f>
        <v>0.1210137434556719</v>
      </c>
      <c r="AU21" s="175">
        <f t="shared" si="5"/>
        <v>3.9532290420871544E-2</v>
      </c>
      <c r="AV21" s="175">
        <f>AU21*'Soil samples 2017'!AJ21/100</f>
        <v>2.0482786217307022E-2</v>
      </c>
      <c r="AW21" s="174">
        <f t="shared" si="15"/>
        <v>20.482786217307023</v>
      </c>
      <c r="AX21" s="175"/>
      <c r="AY21" s="175"/>
      <c r="AZ21" s="175"/>
      <c r="BA21">
        <f t="shared" si="6"/>
        <v>3800.6393609035781</v>
      </c>
      <c r="BB21">
        <f t="shared" si="16"/>
        <v>3.800639360903578</v>
      </c>
      <c r="BC21">
        <f>BB21*('Wet ref 2017'!$B$40+M21)</f>
        <v>102.38490434852797</v>
      </c>
      <c r="BD21" s="175">
        <f t="shared" si="7"/>
        <v>33.446695043375712</v>
      </c>
      <c r="BE21" s="175">
        <f>BD21*'Soil samples 2017'!AJ21/100</f>
        <v>17.329668910031842</v>
      </c>
      <c r="BF21" s="174">
        <f t="shared" si="17"/>
        <v>17.329668910031842</v>
      </c>
    </row>
    <row r="22" spans="1:58">
      <c r="A22" t="s">
        <v>34</v>
      </c>
      <c r="B22" t="s">
        <v>9</v>
      </c>
      <c r="C22" t="s">
        <v>13</v>
      </c>
      <c r="D22" s="6">
        <v>4</v>
      </c>
      <c r="E22">
        <v>5</v>
      </c>
      <c r="F22" s="24">
        <v>42993</v>
      </c>
      <c r="G22" s="24">
        <v>42990</v>
      </c>
      <c r="H22">
        <f>'Wet ref 2017'!B69</f>
        <v>191.83875565814327</v>
      </c>
      <c r="I22">
        <f>'Wet ref 2017'!C69</f>
        <v>1457.5090572152644</v>
      </c>
      <c r="J22">
        <f>'Wet ref 2017'!D69</f>
        <v>49.653025253867142</v>
      </c>
      <c r="K22">
        <f>'Wet ref 2017'!E69</f>
        <v>10.814130329592309</v>
      </c>
      <c r="L22">
        <f t="shared" si="9"/>
        <v>9164.7825167189021</v>
      </c>
      <c r="M22">
        <f>'Wet ref 2017'!$B$41*'Soil samples 2017'!AI22%</f>
        <v>1.748472441921777</v>
      </c>
      <c r="N22">
        <f>'Wet ref 2017'!$B$41*'Soil samples 2017'!AH22%</f>
        <v>3.251527558078223</v>
      </c>
      <c r="O22">
        <f t="shared" si="18"/>
        <v>191.83875565814327</v>
      </c>
      <c r="P22">
        <f t="shared" si="19"/>
        <v>0.19183875565814326</v>
      </c>
      <c r="Q22">
        <f>P22*('Wet ref 2017'!$B$40+M22)</f>
        <v>5.1313936690144102</v>
      </c>
      <c r="R22" s="141">
        <f t="shared" si="20"/>
        <v>1.5781486016520985</v>
      </c>
      <c r="S22" s="141">
        <f>R22*'Soil samples 2017'!AJ22/100</f>
        <v>0.7079270705772277</v>
      </c>
      <c r="T22" s="149">
        <f t="shared" si="21"/>
        <v>0.7079270705772277</v>
      </c>
      <c r="U22" s="141"/>
      <c r="V22" s="141"/>
      <c r="W22" s="141"/>
      <c r="X22" s="141"/>
      <c r="Y22">
        <f t="shared" si="0"/>
        <v>1457.5090572152644</v>
      </c>
      <c r="Z22">
        <f t="shared" si="10"/>
        <v>1.4575090572152645</v>
      </c>
      <c r="AA22">
        <f>Z22*('Wet ref 2017'!$B$40+M22)</f>
        <v>38.986140850773893</v>
      </c>
      <c r="AB22" s="175">
        <f t="shared" si="1"/>
        <v>11.990100085086221</v>
      </c>
      <c r="AC22" s="175">
        <f>AB22*'Soil samples 2017'!AJ22/100</f>
        <v>5.3785279917727635</v>
      </c>
      <c r="AD22" s="174">
        <f t="shared" si="11"/>
        <v>5.3785279917727635</v>
      </c>
      <c r="AE22" s="175"/>
      <c r="AF22" s="175"/>
      <c r="AG22" s="175"/>
      <c r="AH22" s="175"/>
      <c r="AI22">
        <f t="shared" si="2"/>
        <v>49.653025253867142</v>
      </c>
      <c r="AJ22">
        <f t="shared" si="12"/>
        <v>4.9653025253867139E-2</v>
      </c>
      <c r="AK22">
        <f>AJ22*('Wet ref 2017'!$B$40+M22)</f>
        <v>1.3281425776611113</v>
      </c>
      <c r="AL22" s="175">
        <f t="shared" si="3"/>
        <v>0.40846726774971404</v>
      </c>
      <c r="AM22" s="175">
        <f>AL22*'Soil samples 2017'!AJ22/100</f>
        <v>0.18323055001412683</v>
      </c>
      <c r="AN22" s="174">
        <f t="shared" si="13"/>
        <v>183.23055001412681</v>
      </c>
      <c r="AO22" s="175"/>
      <c r="AP22" s="175"/>
      <c r="AQ22" s="175"/>
      <c r="AR22">
        <f t="shared" si="4"/>
        <v>10.814130329592309</v>
      </c>
      <c r="AS22">
        <f t="shared" si="14"/>
        <v>1.081413032959231E-2</v>
      </c>
      <c r="AT22">
        <f>AS22*('Wet ref 2017'!$B$40+M22)</f>
        <v>0.28926146710445039</v>
      </c>
      <c r="AU22" s="175">
        <f t="shared" si="5"/>
        <v>8.8961714744135514E-2</v>
      </c>
      <c r="AV22" s="175">
        <f>AU22*'Soil samples 2017'!AJ22/100</f>
        <v>3.9906512001729955E-2</v>
      </c>
      <c r="AW22" s="174">
        <f t="shared" si="15"/>
        <v>39.906512001729951</v>
      </c>
      <c r="AX22" s="175"/>
      <c r="AY22" s="175"/>
      <c r="AZ22" s="175"/>
      <c r="BA22">
        <f t="shared" si="6"/>
        <v>9164.7825167189021</v>
      </c>
      <c r="BB22">
        <f t="shared" si="16"/>
        <v>9.164782516718903</v>
      </c>
      <c r="BC22">
        <f>BB22*('Wet ref 2017'!$B$40+M22)</f>
        <v>245.14393258466208</v>
      </c>
      <c r="BD22" s="175">
        <f t="shared" si="7"/>
        <v>75.393466057397191</v>
      </c>
      <c r="BE22" s="175">
        <f>BD22*'Soil samples 2017'!AJ22/100</f>
        <v>33.82005693937996</v>
      </c>
      <c r="BF22" s="174">
        <f t="shared" si="17"/>
        <v>33.82005693937996</v>
      </c>
    </row>
    <row r="23" spans="1:58">
      <c r="A23" t="s">
        <v>1094</v>
      </c>
      <c r="B23" t="s">
        <v>9</v>
      </c>
      <c r="C23" t="s">
        <v>13</v>
      </c>
      <c r="D23" s="6">
        <v>4</v>
      </c>
      <c r="E23">
        <v>10</v>
      </c>
      <c r="F23" s="24">
        <v>42993</v>
      </c>
      <c r="G23" s="24">
        <v>42990</v>
      </c>
      <c r="H23">
        <f>'Wet ref 2017'!B70</f>
        <v>124.73542522257863</v>
      </c>
      <c r="I23">
        <f>'Wet ref 2017'!C70</f>
        <v>131.69871527452602</v>
      </c>
      <c r="J23">
        <f>'Wet ref 2017'!D70</f>
        <v>19.450873719358345</v>
      </c>
      <c r="K23">
        <f>'Wet ref 2017'!E70</f>
        <v>2.8146006179185039</v>
      </c>
      <c r="L23">
        <f t="shared" si="9"/>
        <v>2558.1664774213991</v>
      </c>
      <c r="M23">
        <f>'Wet ref 2017'!$B$41*'Soil samples 2017'!AI23%</f>
        <v>1.6007702920211542</v>
      </c>
      <c r="N23">
        <f>'Wet ref 2017'!$B$41*'Soil samples 2017'!AH23%</f>
        <v>3.3992297079788458</v>
      </c>
      <c r="O23">
        <f t="shared" si="18"/>
        <v>124.73542522257863</v>
      </c>
      <c r="P23">
        <f t="shared" si="19"/>
        <v>0.12473542522257863</v>
      </c>
      <c r="Q23">
        <f>P23*('Wet ref 2017'!$B$40+M23)</f>
        <v>3.3180583936233958</v>
      </c>
      <c r="R23" s="141">
        <f t="shared" si="20"/>
        <v>0.97612067399713509</v>
      </c>
      <c r="S23" s="141">
        <f>R23*'Soil samples 2017'!AJ23/100</f>
        <v>0.7161697236796738</v>
      </c>
      <c r="T23" s="149">
        <f t="shared" si="21"/>
        <v>0.7161697236796738</v>
      </c>
      <c r="U23" s="141"/>
      <c r="V23" s="141"/>
      <c r="W23" s="141"/>
      <c r="X23" s="141"/>
      <c r="Y23">
        <f t="shared" si="0"/>
        <v>131.69871527452602</v>
      </c>
      <c r="Z23">
        <f t="shared" si="10"/>
        <v>0.13169871527452603</v>
      </c>
      <c r="AA23">
        <f>Z23*('Wet ref 2017'!$B$40+M23)</f>
        <v>3.5032872727719644</v>
      </c>
      <c r="AB23" s="175">
        <f t="shared" si="1"/>
        <v>1.0306121014854834</v>
      </c>
      <c r="AC23" s="175">
        <f>AB23*'Soil samples 2017'!AJ23/100</f>
        <v>0.7561495249551009</v>
      </c>
      <c r="AD23" s="174">
        <f t="shared" si="11"/>
        <v>0.7561495249551009</v>
      </c>
      <c r="AE23" s="175"/>
      <c r="AF23" s="175"/>
      <c r="AG23" s="175"/>
      <c r="AH23" s="175"/>
      <c r="AI23">
        <f t="shared" si="2"/>
        <v>19.450873719358345</v>
      </c>
      <c r="AJ23">
        <f t="shared" si="12"/>
        <v>1.9450873719358344E-2</v>
      </c>
      <c r="AK23">
        <f>AJ23*('Wet ref 2017'!$B$40+M23)</f>
        <v>0.51740822378776241</v>
      </c>
      <c r="AL23" s="175">
        <f t="shared" si="3"/>
        <v>0.15221337427514103</v>
      </c>
      <c r="AM23" s="175">
        <f>AL23*'Soil samples 2017'!AJ23/100</f>
        <v>0.11167739102235066</v>
      </c>
      <c r="AN23" s="174">
        <f t="shared" si="13"/>
        <v>111.67739102235068</v>
      </c>
      <c r="AO23" s="175"/>
      <c r="AP23" s="175"/>
      <c r="AQ23" s="175"/>
      <c r="AR23">
        <f t="shared" si="4"/>
        <v>2.8146006179185039</v>
      </c>
      <c r="AS23">
        <f t="shared" si="14"/>
        <v>2.8146006179185041E-3</v>
      </c>
      <c r="AT23">
        <f>AS23*('Wet ref 2017'!$B$40+M23)</f>
        <v>7.4870544501030922E-2</v>
      </c>
      <c r="AU23" s="175">
        <f t="shared" si="5"/>
        <v>2.2025738456359967E-2</v>
      </c>
      <c r="AV23" s="175">
        <f>AU23*'Soil samples 2017'!AJ23/100</f>
        <v>1.6160058325102519E-2</v>
      </c>
      <c r="AW23" s="174">
        <f t="shared" si="15"/>
        <v>16.160058325102522</v>
      </c>
      <c r="AX23" s="175"/>
      <c r="AY23" s="175"/>
      <c r="AZ23" s="175"/>
      <c r="BA23">
        <f t="shared" si="6"/>
        <v>2558.1664774213991</v>
      </c>
      <c r="BB23">
        <f t="shared" si="16"/>
        <v>2.5581664774213992</v>
      </c>
      <c r="BC23">
        <f>BB23*('Wet ref 2017'!$B$40+M23)</f>
        <v>68.049198834635561</v>
      </c>
      <c r="BD23" s="175">
        <f t="shared" si="7"/>
        <v>20.019005680877349</v>
      </c>
      <c r="BE23" s="175">
        <f>BD23*'Soil samples 2017'!AJ23/100</f>
        <v>14.687739076467743</v>
      </c>
      <c r="BF23" s="174">
        <f t="shared" si="17"/>
        <v>14.687739076467743</v>
      </c>
    </row>
    <row r="24" spans="1:58">
      <c r="A24" t="s">
        <v>37</v>
      </c>
      <c r="B24" t="s">
        <v>9</v>
      </c>
      <c r="C24" t="s">
        <v>13</v>
      </c>
      <c r="D24" s="6">
        <v>5</v>
      </c>
      <c r="E24">
        <v>5</v>
      </c>
      <c r="F24" s="24">
        <v>42993</v>
      </c>
      <c r="G24" s="24">
        <v>42990</v>
      </c>
      <c r="H24">
        <f>'Wet ref 2017'!B71</f>
        <v>76.015439611499147</v>
      </c>
      <c r="I24">
        <f>'Wet ref 2017'!C71</f>
        <v>2468.0235433676439</v>
      </c>
      <c r="J24">
        <f>'Wet ref 2017'!D71</f>
        <v>18.973269991388587</v>
      </c>
      <c r="K24">
        <f>'Wet ref 2017'!E71</f>
        <v>6.6232602764388275</v>
      </c>
      <c r="L24">
        <f t="shared" si="9"/>
        <v>4079.2212934596841</v>
      </c>
      <c r="M24">
        <f>'Wet ref 2017'!$B$41*'Soil samples 2017'!AI24%</f>
        <v>1.87440600646265</v>
      </c>
      <c r="N24">
        <f>'Wet ref 2017'!$B$41*'Soil samples 2017'!AH24%</f>
        <v>3.12559399353735</v>
      </c>
      <c r="O24">
        <f t="shared" si="18"/>
        <v>76.015439611499147</v>
      </c>
      <c r="P24">
        <f t="shared" si="19"/>
        <v>7.6015439611499147E-2</v>
      </c>
      <c r="Q24">
        <f>P24*('Wet ref 2017'!$B$40+M24)</f>
        <v>2.0428697868791716</v>
      </c>
      <c r="R24" s="141">
        <f t="shared" si="20"/>
        <v>0.65359409798685353</v>
      </c>
      <c r="S24" s="141">
        <f>R24*'Soil samples 2017'!AJ24/100</f>
        <v>0.25078269503728712</v>
      </c>
      <c r="T24" s="149">
        <f t="shared" si="21"/>
        <v>0.25078269503728712</v>
      </c>
      <c r="U24" s="141"/>
      <c r="V24" s="141"/>
      <c r="W24" s="141"/>
      <c r="X24" s="141"/>
      <c r="Y24">
        <f t="shared" si="0"/>
        <v>2468.0235433676439</v>
      </c>
      <c r="Z24">
        <f t="shared" si="10"/>
        <v>2.4680235433676438</v>
      </c>
      <c r="AA24">
        <f>Z24*('Wet ref 2017'!$B$40+M24)</f>
        <v>66.32666673797064</v>
      </c>
      <c r="AB24" s="175">
        <f t="shared" si="1"/>
        <v>21.220499807432219</v>
      </c>
      <c r="AC24" s="175">
        <f>AB24*'Soil samples 2017'!AJ24/100</f>
        <v>8.1422616087532749</v>
      </c>
      <c r="AD24" s="174">
        <f t="shared" si="11"/>
        <v>8.1422616087532749</v>
      </c>
      <c r="AE24" s="175"/>
      <c r="AF24" s="175"/>
      <c r="AG24" s="175"/>
      <c r="AH24" s="175"/>
      <c r="AI24">
        <f t="shared" si="2"/>
        <v>18.973269991388587</v>
      </c>
      <c r="AJ24">
        <f t="shared" si="12"/>
        <v>1.8973269991388587E-2</v>
      </c>
      <c r="AK24">
        <f>AJ24*('Wet ref 2017'!$B$40+M24)</f>
        <v>0.50989536101881094</v>
      </c>
      <c r="AL24" s="175">
        <f t="shared" si="3"/>
        <v>0.16313550706620841</v>
      </c>
      <c r="AM24" s="175">
        <f>AL24*'Soil samples 2017'!AJ24/100</f>
        <v>6.2594754518669221E-2</v>
      </c>
      <c r="AN24" s="174">
        <f t="shared" si="13"/>
        <v>62.594754518669227</v>
      </c>
      <c r="AO24" s="175"/>
      <c r="AP24" s="175"/>
      <c r="AQ24" s="175"/>
      <c r="AR24">
        <f t="shared" si="4"/>
        <v>6.6232602764388275</v>
      </c>
      <c r="AS24">
        <f t="shared" si="14"/>
        <v>6.6232602764388273E-3</v>
      </c>
      <c r="AT24">
        <f>AS24*('Wet ref 2017'!$B$40+M24)</f>
        <v>0.17799618575549309</v>
      </c>
      <c r="AU24" s="175">
        <f t="shared" si="5"/>
        <v>5.6947954892262967E-2</v>
      </c>
      <c r="AV24" s="175">
        <f>AU24*'Soil samples 2017'!AJ24/100</f>
        <v>2.1850811763344326E-2</v>
      </c>
      <c r="AW24" s="174">
        <f t="shared" si="15"/>
        <v>21.850811763344328</v>
      </c>
      <c r="AX24" s="175"/>
      <c r="AY24" s="175"/>
      <c r="AZ24" s="175"/>
      <c r="BA24">
        <f t="shared" si="6"/>
        <v>4079.2212934596841</v>
      </c>
      <c r="BB24">
        <f t="shared" si="16"/>
        <v>4.0792212934596845</v>
      </c>
      <c r="BC24">
        <f>BB24*('Wet ref 2017'!$B$40+M24)</f>
        <v>109.62664923064328</v>
      </c>
      <c r="BD24" s="175">
        <f t="shared" si="7"/>
        <v>35.073860986843897</v>
      </c>
      <c r="BE24" s="175">
        <f>BD24*'Soil samples 2017'!AJ24/100</f>
        <v>13.457767459553768</v>
      </c>
      <c r="BF24" s="174">
        <f t="shared" si="17"/>
        <v>13.457767459553768</v>
      </c>
    </row>
    <row r="25" spans="1:58">
      <c r="A25" t="s">
        <v>38</v>
      </c>
      <c r="B25" t="s">
        <v>9</v>
      </c>
      <c r="C25" t="s">
        <v>13</v>
      </c>
      <c r="D25" s="6">
        <v>5</v>
      </c>
      <c r="E25">
        <v>10</v>
      </c>
      <c r="F25" s="24">
        <v>42993</v>
      </c>
      <c r="G25" s="24">
        <v>42990</v>
      </c>
      <c r="H25">
        <f>'Wet ref 2017'!B72</f>
        <v>64.414372433226418</v>
      </c>
      <c r="I25">
        <f>'Wet ref 2017'!C72</f>
        <v>975.15632103663472</v>
      </c>
      <c r="J25">
        <f>'Wet ref 2017'!D72</f>
        <v>18.457960705947524</v>
      </c>
      <c r="K25">
        <f>'Wet ref 2017'!E72</f>
        <v>5.7660382084755968</v>
      </c>
      <c r="L25">
        <f t="shared" si="9"/>
        <v>4726.4675150057355</v>
      </c>
      <c r="M25">
        <f>'Wet ref 2017'!$B$41*'Soil samples 2017'!AI25%</f>
        <v>1.6703359525141706</v>
      </c>
      <c r="N25">
        <f>'Wet ref 2017'!$B$41*'Soil samples 2017'!AH25%</f>
        <v>3.3296640474858292</v>
      </c>
      <c r="O25">
        <f t="shared" si="18"/>
        <v>64.414372433226418</v>
      </c>
      <c r="P25">
        <f t="shared" si="19"/>
        <v>6.4414372433226424E-2</v>
      </c>
      <c r="Q25">
        <f>P25*('Wet ref 2017'!$B$40+M25)</f>
        <v>1.7179529529645166</v>
      </c>
      <c r="R25" s="141">
        <f t="shared" si="20"/>
        <v>0.51595384052685811</v>
      </c>
      <c r="S25" s="141">
        <f>R25*'Soil samples 2017'!AJ25/100</f>
        <v>0.30115715265467985</v>
      </c>
      <c r="T25" s="149">
        <f t="shared" si="21"/>
        <v>0.30115715265467985</v>
      </c>
      <c r="U25" s="141"/>
      <c r="V25" s="141"/>
      <c r="W25" s="141"/>
      <c r="X25" s="141"/>
      <c r="Y25">
        <f t="shared" si="0"/>
        <v>975.15632103663472</v>
      </c>
      <c r="Z25">
        <f t="shared" si="10"/>
        <v>0.97515632103663474</v>
      </c>
      <c r="AA25">
        <f>Z25*('Wet ref 2017'!$B$40+M25)</f>
        <v>26.007746688264813</v>
      </c>
      <c r="AB25" s="175">
        <f t="shared" si="1"/>
        <v>7.8109221583188866</v>
      </c>
      <c r="AC25" s="175">
        <f>AB25*'Soil samples 2017'!AJ25/100</f>
        <v>4.5591579944528231</v>
      </c>
      <c r="AD25" s="174">
        <f t="shared" si="11"/>
        <v>4.5591579944528231</v>
      </c>
      <c r="AE25" s="175"/>
      <c r="AF25" s="175"/>
      <c r="AG25" s="175"/>
      <c r="AH25" s="175"/>
      <c r="AI25">
        <f t="shared" si="2"/>
        <v>18.457960705947524</v>
      </c>
      <c r="AJ25">
        <f t="shared" si="12"/>
        <v>1.8457960705947525E-2</v>
      </c>
      <c r="AK25">
        <f>AJ25*('Wet ref 2017'!$B$40+M25)</f>
        <v>0.49228001302592617</v>
      </c>
      <c r="AL25" s="175">
        <f t="shared" si="3"/>
        <v>0.14784675150564758</v>
      </c>
      <c r="AM25" s="175">
        <f>AL25*'Soil samples 2017'!AJ25/100</f>
        <v>8.6296686283444876E-2</v>
      </c>
      <c r="AN25" s="174">
        <f t="shared" si="13"/>
        <v>86.29668628344487</v>
      </c>
      <c r="AO25" s="175"/>
      <c r="AP25" s="175"/>
      <c r="AQ25" s="175"/>
      <c r="AR25">
        <f t="shared" si="4"/>
        <v>5.7660382084755968</v>
      </c>
      <c r="AS25">
        <f t="shared" si="14"/>
        <v>5.7660382084755964E-3</v>
      </c>
      <c r="AT25">
        <f>AS25*('Wet ref 2017'!$B$40+M25)</f>
        <v>0.15378217613507711</v>
      </c>
      <c r="AU25" s="175">
        <f t="shared" si="5"/>
        <v>4.6185493173461545E-2</v>
      </c>
      <c r="AV25" s="175">
        <f>AU25*'Soil samples 2017'!AJ25/100</f>
        <v>2.6958015476479025E-2</v>
      </c>
      <c r="AW25" s="174">
        <f t="shared" si="15"/>
        <v>26.958015476479023</v>
      </c>
      <c r="AX25" s="175"/>
      <c r="AY25" s="175"/>
      <c r="AZ25" s="175"/>
      <c r="BA25">
        <f t="shared" si="6"/>
        <v>4726.4675150057355</v>
      </c>
      <c r="BB25">
        <f t="shared" si="16"/>
        <v>4.7264675150057354</v>
      </c>
      <c r="BC25">
        <f>BB25*('Wet ref 2017'!$B$40+M25)</f>
        <v>126.05647649384778</v>
      </c>
      <c r="BD25" s="175">
        <f t="shared" si="7"/>
        <v>37.858617174615802</v>
      </c>
      <c r="BE25" s="175">
        <f>BD25*'Soil samples 2017'!AJ25/100</f>
        <v>22.097700329371524</v>
      </c>
      <c r="BF25" s="174">
        <f t="shared" si="17"/>
        <v>22.097700329371524</v>
      </c>
    </row>
    <row r="26" spans="1:58">
      <c r="A26" t="s">
        <v>39</v>
      </c>
      <c r="B26" t="s">
        <v>9</v>
      </c>
      <c r="C26" t="s">
        <v>13</v>
      </c>
      <c r="D26" s="6">
        <v>6</v>
      </c>
      <c r="E26">
        <v>5</v>
      </c>
      <c r="F26" s="24">
        <v>42993</v>
      </c>
      <c r="G26" s="24">
        <v>42990</v>
      </c>
      <c r="H26">
        <f>'Wet ref 2017'!B73</f>
        <v>1006.4389445127255</v>
      </c>
      <c r="I26">
        <f>'Wet ref 2017'!C73</f>
        <v>3242.0519793059016</v>
      </c>
      <c r="J26">
        <f>'Wet ref 2017'!D73</f>
        <v>11.042534403259145</v>
      </c>
      <c r="K26">
        <f>'Wet ref 2017'!E73</f>
        <v>7.8176008356683742</v>
      </c>
      <c r="L26">
        <f t="shared" si="9"/>
        <v>3569.1099118497473</v>
      </c>
      <c r="M26">
        <f>'Wet ref 2017'!$B$41*'Soil samples 2017'!AI26%</f>
        <v>3.2235726399095532</v>
      </c>
      <c r="N26">
        <f>'Wet ref 2017'!$B$41*'Soil samples 2017'!AH26%</f>
        <v>1.7764273600904468</v>
      </c>
      <c r="O26">
        <f t="shared" si="18"/>
        <v>1006.4389445127255</v>
      </c>
      <c r="P26">
        <f t="shared" si="19"/>
        <v>1.0064389445127255</v>
      </c>
      <c r="Q26">
        <f>P26*('Wet ref 2017'!$B$40+M26)</f>
        <v>28.405302658088807</v>
      </c>
      <c r="R26" s="141">
        <f t="shared" si="20"/>
        <v>15.990129006255877</v>
      </c>
      <c r="S26" s="141">
        <f>R26*'Soil samples 2017'!AJ26/100</f>
        <v>1.8253247488087865</v>
      </c>
      <c r="T26" s="149">
        <f t="shared" si="21"/>
        <v>1.8253247488087865</v>
      </c>
      <c r="U26" s="141"/>
      <c r="V26" s="141"/>
      <c r="W26" s="141"/>
      <c r="X26" s="141"/>
      <c r="Y26">
        <f t="shared" si="0"/>
        <v>3242.0519793059016</v>
      </c>
      <c r="Z26">
        <f t="shared" si="10"/>
        <v>3.2420519793059017</v>
      </c>
      <c r="AA26">
        <f>Z26*('Wet ref 2017'!$B$40+M26)</f>
        <v>91.502289540302655</v>
      </c>
      <c r="AB26" s="175">
        <f t="shared" si="1"/>
        <v>51.509164740428126</v>
      </c>
      <c r="AC26" s="175">
        <f>AB26*'Soil samples 2017'!AJ26/100</f>
        <v>5.8799371258598478</v>
      </c>
      <c r="AD26" s="174">
        <f t="shared" si="11"/>
        <v>5.8799371258598478</v>
      </c>
      <c r="AE26" s="175"/>
      <c r="AF26" s="175"/>
      <c r="AG26" s="175"/>
      <c r="AH26" s="175"/>
      <c r="AI26">
        <f t="shared" si="2"/>
        <v>11.042534403259145</v>
      </c>
      <c r="AJ26">
        <f t="shared" si="12"/>
        <v>1.1042534403259145E-2</v>
      </c>
      <c r="AK26">
        <f>AJ26*('Wet ref 2017'!$B$40+M26)</f>
        <v>0.31165977185908472</v>
      </c>
      <c r="AL26" s="175">
        <f t="shared" si="3"/>
        <v>0.17544188907516972</v>
      </c>
      <c r="AM26" s="175">
        <f>AL26*'Soil samples 2017'!AJ26/100</f>
        <v>2.0027256939664784E-2</v>
      </c>
      <c r="AN26" s="174">
        <f t="shared" si="13"/>
        <v>20.027256939664781</v>
      </c>
      <c r="AO26" s="175"/>
      <c r="AP26" s="175"/>
      <c r="AQ26" s="175"/>
      <c r="AR26">
        <f t="shared" si="4"/>
        <v>7.8176008356683742</v>
      </c>
      <c r="AS26">
        <f t="shared" si="14"/>
        <v>7.817600835668374E-3</v>
      </c>
      <c r="AT26">
        <f>AS26*('Wet ref 2017'!$B$40+M26)</f>
        <v>0.22064062505530396</v>
      </c>
      <c r="AU26" s="175">
        <f t="shared" si="5"/>
        <v>0.12420469871848296</v>
      </c>
      <c r="AV26" s="175">
        <f>AU26*'Soil samples 2017'!AJ26/100</f>
        <v>1.4178366566053834E-2</v>
      </c>
      <c r="AW26" s="174">
        <f t="shared" si="15"/>
        <v>14.178366566053834</v>
      </c>
      <c r="AX26" s="175"/>
      <c r="AY26" s="175"/>
      <c r="AZ26" s="175"/>
      <c r="BA26">
        <f t="shared" si="6"/>
        <v>3569.1099118497473</v>
      </c>
      <c r="BB26">
        <f t="shared" si="16"/>
        <v>3.5691099118497474</v>
      </c>
      <c r="BC26">
        <f>BB26*('Wet ref 2017'!$B$40+M26)</f>
        <v>100.73303285691252</v>
      </c>
      <c r="BD26" s="175">
        <f t="shared" si="7"/>
        <v>56.705404971798956</v>
      </c>
      <c r="BE26" s="175">
        <f>BD26*'Soil samples 2017'!AJ26/100</f>
        <v>6.4731046913851973</v>
      </c>
      <c r="BF26" s="174">
        <f t="shared" si="17"/>
        <v>6.4731046913851973</v>
      </c>
    </row>
    <row r="27" spans="1:58">
      <c r="A27" s="4" t="s">
        <v>1095</v>
      </c>
      <c r="B27" s="4" t="s">
        <v>9</v>
      </c>
      <c r="C27" s="4" t="s">
        <v>13</v>
      </c>
      <c r="D27" s="7">
        <v>6</v>
      </c>
      <c r="E27" s="4">
        <v>10</v>
      </c>
      <c r="F27" s="24">
        <v>42993</v>
      </c>
      <c r="G27" s="24">
        <v>42990</v>
      </c>
      <c r="H27">
        <f>'Wet ref 2017'!B74</f>
        <v>149.04670553673674</v>
      </c>
      <c r="I27">
        <f>'Wet ref 2017'!C74</f>
        <v>1494.1777955620639</v>
      </c>
      <c r="J27">
        <f>'Wet ref 2017'!D74</f>
        <v>0.98897592949568769</v>
      </c>
      <c r="K27">
        <f>'Wet ref 2017'!E74</f>
        <v>1.6209739146789324</v>
      </c>
      <c r="L27">
        <f t="shared" si="9"/>
        <v>-22.250586419868341</v>
      </c>
      <c r="M27">
        <f>'Wet ref 2017'!$B$41*'Soil samples 2017'!AI27%</f>
        <v>1.305953032094147</v>
      </c>
      <c r="N27">
        <f>'Wet ref 2017'!$B$41*'Soil samples 2017'!AH27%</f>
        <v>3.694046967905853</v>
      </c>
      <c r="O27">
        <f t="shared" si="18"/>
        <v>149.04670553673674</v>
      </c>
      <c r="P27">
        <f t="shared" si="19"/>
        <v>0.14904670553673674</v>
      </c>
      <c r="Q27">
        <f>P27*('Wet ref 2017'!$B$40+M27)</f>
        <v>3.9208156354377635</v>
      </c>
      <c r="R27" s="141">
        <f t="shared" si="20"/>
        <v>1.0613875972617817</v>
      </c>
      <c r="S27" s="141">
        <f>R27*'Soil samples 2017'!AJ27/100</f>
        <v>0.93927059362547083</v>
      </c>
      <c r="T27" s="149">
        <f t="shared" si="21"/>
        <v>0.93927059362547083</v>
      </c>
      <c r="U27" s="141"/>
      <c r="V27" s="141"/>
      <c r="W27" s="141"/>
      <c r="X27" s="141"/>
      <c r="Y27">
        <f t="shared" si="0"/>
        <v>1494.1777955620639</v>
      </c>
      <c r="Z27">
        <f t="shared" si="10"/>
        <v>1.4941777955620639</v>
      </c>
      <c r="AA27">
        <f>Z27*('Wet ref 2017'!$B$40+M27)</f>
        <v>39.305770911653624</v>
      </c>
      <c r="AB27" s="175">
        <f t="shared" si="1"/>
        <v>10.640300801030687</v>
      </c>
      <c r="AC27" s="175">
        <f>AB27*'Soil samples 2017'!AJ27/100</f>
        <v>9.416090479595745</v>
      </c>
      <c r="AD27" s="174">
        <f t="shared" si="11"/>
        <v>9.416090479595745</v>
      </c>
      <c r="AE27" s="175"/>
      <c r="AF27" s="175"/>
      <c r="AG27" s="175"/>
      <c r="AH27" s="175"/>
      <c r="AI27">
        <f t="shared" si="2"/>
        <v>0.98897592949568769</v>
      </c>
      <c r="AJ27">
        <f t="shared" si="12"/>
        <v>9.8897592949568768E-4</v>
      </c>
      <c r="AK27">
        <f>AJ27*('Wet ref 2017'!$B$40+M27)</f>
        <v>2.6015954351185214E-2</v>
      </c>
      <c r="AL27" s="175">
        <f t="shared" si="3"/>
        <v>7.0426701601830474E-3</v>
      </c>
      <c r="AM27" s="175">
        <f>AL27*'Soil samples 2017'!AJ27/100</f>
        <v>6.2323820243699313E-3</v>
      </c>
      <c r="AN27" s="174">
        <f t="shared" si="13"/>
        <v>6.2323820243699313</v>
      </c>
      <c r="AO27" s="175"/>
      <c r="AP27" s="175"/>
      <c r="AQ27" s="175"/>
      <c r="AR27">
        <f t="shared" si="4"/>
        <v>1.6209739146789324</v>
      </c>
      <c r="AS27">
        <f t="shared" si="14"/>
        <v>1.6209739146789324E-3</v>
      </c>
      <c r="AT27">
        <f>AS27*('Wet ref 2017'!$B$40+M27)</f>
        <v>4.264126366579378E-2</v>
      </c>
      <c r="AU27" s="175">
        <f t="shared" si="5"/>
        <v>1.1543238089895489E-2</v>
      </c>
      <c r="AV27" s="175">
        <f>AU27*'Soil samples 2017'!AJ27/100</f>
        <v>1.0215141123777562E-2</v>
      </c>
      <c r="AW27" s="174">
        <f t="shared" si="15"/>
        <v>10.215141123777562</v>
      </c>
      <c r="AX27" s="175"/>
      <c r="AY27" s="175"/>
      <c r="AZ27" s="175"/>
      <c r="BA27">
        <f t="shared" si="6"/>
        <v>0</v>
      </c>
      <c r="BB27">
        <f t="shared" si="16"/>
        <v>0</v>
      </c>
      <c r="BC27">
        <f>BB27*('Wet ref 2017'!$B$40+M27)</f>
        <v>0</v>
      </c>
      <c r="BD27" s="175">
        <f t="shared" si="7"/>
        <v>0</v>
      </c>
      <c r="BE27" s="175">
        <f>BD27*'Soil samples 2017'!AJ27/100</f>
        <v>0</v>
      </c>
      <c r="BF27" s="174">
        <f t="shared" si="17"/>
        <v>0</v>
      </c>
    </row>
    <row r="28" spans="1:58">
      <c r="A28" s="6" t="s">
        <v>51</v>
      </c>
      <c r="B28" s="6" t="s">
        <v>196</v>
      </c>
      <c r="C28" t="s">
        <v>12</v>
      </c>
      <c r="D28" s="8">
        <v>3</v>
      </c>
      <c r="E28">
        <v>5</v>
      </c>
      <c r="F28" s="24">
        <v>43014</v>
      </c>
      <c r="G28" s="24">
        <v>43010</v>
      </c>
      <c r="H28">
        <f>'Wet ref 2017'!B75</f>
        <v>1515.1322506669865</v>
      </c>
      <c r="I28">
        <f>'Wet ref 2017'!C75</f>
        <v>17121.317900735306</v>
      </c>
      <c r="J28">
        <f>'Wet ref 2017'!D75</f>
        <v>120.31323995507746</v>
      </c>
      <c r="K28">
        <f>'Wet ref 2017'!E75</f>
        <v>36.379953408047243</v>
      </c>
      <c r="L28">
        <f t="shared" si="9"/>
        <v>17743.503256644948</v>
      </c>
      <c r="M28">
        <f>'Wet ref 2017'!$B$41*'Soil samples 2017'!AI28%</f>
        <v>3.0012322858903264</v>
      </c>
      <c r="N28">
        <f>'Wet ref 2017'!$B$41*'Soil samples 2017'!AH28%</f>
        <v>1.9987677141096738</v>
      </c>
      <c r="O28">
        <f t="shared" si="18"/>
        <v>1515.1322506669865</v>
      </c>
      <c r="P28">
        <f t="shared" si="19"/>
        <v>1.5151322506669864</v>
      </c>
      <c r="Q28">
        <f>P28*('Wet ref 2017'!$B$40+M28)</f>
        <v>42.425570094770094</v>
      </c>
      <c r="R28" s="141">
        <f t="shared" si="20"/>
        <v>21.225863213258894</v>
      </c>
      <c r="S28" s="141">
        <f>R28*'Soil samples 2017'!AJ28/100</f>
        <v>0.70935553198455703</v>
      </c>
      <c r="T28" s="149">
        <f t="shared" si="21"/>
        <v>0.70935553198455703</v>
      </c>
      <c r="U28" s="141"/>
      <c r="V28" s="141"/>
      <c r="W28" s="141"/>
      <c r="X28" s="141"/>
      <c r="Y28">
        <f t="shared" si="0"/>
        <v>17121.317900735306</v>
      </c>
      <c r="Z28">
        <f t="shared" si="10"/>
        <v>17.121317900735306</v>
      </c>
      <c r="AA28">
        <f>Z28*('Wet ref 2017'!$B$40+M28)</f>
        <v>479.41799957906142</v>
      </c>
      <c r="AB28" s="175">
        <f t="shared" si="1"/>
        <v>239.85678585598538</v>
      </c>
      <c r="AC28" s="175">
        <f>AB28*'Soil samples 2017'!AJ28/100</f>
        <v>8.0158689529619203</v>
      </c>
      <c r="AD28" s="174">
        <f t="shared" si="11"/>
        <v>8.0158689529619203</v>
      </c>
      <c r="AE28" s="175"/>
      <c r="AF28" s="175"/>
      <c r="AG28" s="175"/>
      <c r="AH28" s="175"/>
      <c r="AI28">
        <f t="shared" si="2"/>
        <v>120.31323995507746</v>
      </c>
      <c r="AJ28">
        <f t="shared" si="12"/>
        <v>0.12031323995507746</v>
      </c>
      <c r="AK28">
        <f>AJ28*('Wet ref 2017'!$B$40+M28)</f>
        <v>3.3689189790501848</v>
      </c>
      <c r="AL28" s="175">
        <f t="shared" si="3"/>
        <v>1.6854979972251691</v>
      </c>
      <c r="AM28" s="175">
        <f>AL28*'Soil samples 2017'!AJ28/100</f>
        <v>5.6328325329719181E-2</v>
      </c>
      <c r="AN28" s="174">
        <f t="shared" si="13"/>
        <v>56.328325329719178</v>
      </c>
      <c r="AO28" s="175"/>
      <c r="AP28" s="175"/>
      <c r="AQ28" s="175"/>
      <c r="AR28">
        <f t="shared" si="4"/>
        <v>36.379953408047243</v>
      </c>
      <c r="AS28">
        <f t="shared" si="14"/>
        <v>3.6379953408047241E-2</v>
      </c>
      <c r="AT28">
        <f>AS28*('Wet ref 2017'!$B$40+M28)</f>
        <v>1.0186835259285982</v>
      </c>
      <c r="AU28" s="175">
        <f t="shared" si="5"/>
        <v>0.5096557837799367</v>
      </c>
      <c r="AV28" s="175">
        <f>AU28*'Soil samples 2017'!AJ28/100</f>
        <v>1.7032388553526189E-2</v>
      </c>
      <c r="AW28" s="174">
        <f t="shared" si="15"/>
        <v>17.032388553526189</v>
      </c>
      <c r="AX28" s="175"/>
      <c r="AY28" s="175"/>
      <c r="AZ28" s="175"/>
      <c r="BA28">
        <f t="shared" si="6"/>
        <v>17743.503256644948</v>
      </c>
      <c r="BB28">
        <f t="shared" si="16"/>
        <v>17.743503256644949</v>
      </c>
      <c r="BC28">
        <f>BB28*('Wet ref 2017'!$B$40+M28)</f>
        <v>496.83995625476666</v>
      </c>
      <c r="BD28" s="175">
        <f t="shared" si="7"/>
        <v>248.57313471069241</v>
      </c>
      <c r="BE28" s="175">
        <f>BD28*'Soil samples 2017'!AJ28/100</f>
        <v>8.3071640685797128</v>
      </c>
      <c r="BF28" s="174">
        <f t="shared" si="17"/>
        <v>8.3071640685797128</v>
      </c>
    </row>
    <row r="29" spans="1:58">
      <c r="A29" s="6" t="s">
        <v>1096</v>
      </c>
      <c r="B29" s="6" t="s">
        <v>196</v>
      </c>
      <c r="C29" t="s">
        <v>12</v>
      </c>
      <c r="D29" s="8">
        <v>3</v>
      </c>
      <c r="E29">
        <v>10</v>
      </c>
      <c r="F29" s="24">
        <v>43014</v>
      </c>
      <c r="G29" s="24">
        <v>43010</v>
      </c>
      <c r="H29">
        <f>'Wet ref 2017'!B76</f>
        <v>525.71748703498304</v>
      </c>
      <c r="I29">
        <f>'Wet ref 2017'!C76</f>
        <v>8580.0344807035781</v>
      </c>
      <c r="J29">
        <f>'Wet ref 2017'!D76</f>
        <v>132.00196277117951</v>
      </c>
      <c r="K29">
        <f>'Wet ref 2017'!E76</f>
        <v>32.971053103913654</v>
      </c>
      <c r="L29">
        <f t="shared" si="9"/>
        <v>23865.301136175091</v>
      </c>
      <c r="M29">
        <f>'Wet ref 2017'!$B$41*'Soil samples 2017'!AI29%</f>
        <v>2.5018882175226591</v>
      </c>
      <c r="N29">
        <f>'Wet ref 2017'!$B$41*'Soil samples 2017'!AH29%</f>
        <v>2.4981117824773409</v>
      </c>
      <c r="O29">
        <f t="shared" si="18"/>
        <v>525.71748703498304</v>
      </c>
      <c r="P29">
        <f t="shared" si="19"/>
        <v>0.525717487034983</v>
      </c>
      <c r="Q29">
        <f>P29*('Wet ref 2017'!$B$40+M29)</f>
        <v>14.45822356243302</v>
      </c>
      <c r="R29" s="141">
        <f t="shared" si="20"/>
        <v>5.7876607699656297</v>
      </c>
      <c r="S29" s="141">
        <f>R29*'Soil samples 2017'!AJ29/100</f>
        <v>0.31345428683354881</v>
      </c>
      <c r="T29" s="149">
        <f t="shared" si="21"/>
        <v>0.31345428683354881</v>
      </c>
      <c r="U29" s="141"/>
      <c r="V29" s="141"/>
      <c r="W29" s="141"/>
      <c r="X29" s="141"/>
      <c r="Y29">
        <f t="shared" si="0"/>
        <v>8580.0344807035781</v>
      </c>
      <c r="Z29">
        <f t="shared" si="10"/>
        <v>8.5800344807035778</v>
      </c>
      <c r="AA29">
        <f>Z29*('Wet ref 2017'!$B$40+M29)</f>
        <v>235.96714919079986</v>
      </c>
      <c r="AB29" s="175">
        <f t="shared" si="1"/>
        <v>94.458202729741217</v>
      </c>
      <c r="AC29" s="175">
        <f>AB29*'Soil samples 2017'!AJ29/100</f>
        <v>5.1157677944565565</v>
      </c>
      <c r="AD29" s="174">
        <f t="shared" si="11"/>
        <v>5.1157677944565565</v>
      </c>
      <c r="AE29" s="175"/>
      <c r="AF29" s="175"/>
      <c r="AG29" s="175"/>
      <c r="AH29" s="175"/>
      <c r="AI29">
        <f t="shared" si="2"/>
        <v>132.00196277117951</v>
      </c>
      <c r="AJ29">
        <f t="shared" si="12"/>
        <v>0.13200196277117951</v>
      </c>
      <c r="AK29">
        <f>AJ29*('Wet ref 2017'!$B$40+M29)</f>
        <v>3.6303032246265663</v>
      </c>
      <c r="AL29" s="175">
        <f t="shared" si="3"/>
        <v>1.4532188871974527</v>
      </c>
      <c r="AM29" s="175">
        <f>AL29*'Soil samples 2017'!AJ29/100</f>
        <v>7.8704973909904205E-2</v>
      </c>
      <c r="AN29" s="174">
        <f t="shared" si="13"/>
        <v>78.704973909904197</v>
      </c>
      <c r="AO29" s="175"/>
      <c r="AP29" s="175"/>
      <c r="AQ29" s="175"/>
      <c r="AR29">
        <f t="shared" si="4"/>
        <v>32.971053103913654</v>
      </c>
      <c r="AS29">
        <f t="shared" si="14"/>
        <v>3.2971053103913656E-2</v>
      </c>
      <c r="AT29">
        <f>AS29*('Wet ref 2017'!$B$40+M29)</f>
        <v>0.90676621687783687</v>
      </c>
      <c r="AU29" s="175">
        <f t="shared" si="5"/>
        <v>0.36298064131406083</v>
      </c>
      <c r="AV29" s="175">
        <f>AU29*'Soil samples 2017'!AJ29/100</f>
        <v>1.9658691581911563E-2</v>
      </c>
      <c r="AW29" s="174">
        <f t="shared" si="15"/>
        <v>19.658691581911565</v>
      </c>
      <c r="AX29" s="175"/>
      <c r="AY29" s="175"/>
      <c r="AZ29" s="175"/>
      <c r="BA29">
        <f t="shared" si="6"/>
        <v>23865.301136175091</v>
      </c>
      <c r="BB29">
        <f t="shared" si="16"/>
        <v>23.865301136175091</v>
      </c>
      <c r="BC29">
        <f>BB29*('Wet ref 2017'!$B$40+M29)</f>
        <v>656.3408441246039</v>
      </c>
      <c r="BD29" s="175">
        <f t="shared" si="7"/>
        <v>262.73477781435395</v>
      </c>
      <c r="BE29" s="175">
        <f>BD29*'Soil samples 2017'!AJ29/100</f>
        <v>14.229469500621455</v>
      </c>
      <c r="BF29" s="174">
        <f t="shared" si="17"/>
        <v>14.229469500621455</v>
      </c>
    </row>
    <row r="30" spans="1:58">
      <c r="A30" s="6" t="s">
        <v>1097</v>
      </c>
      <c r="B30" s="6" t="s">
        <v>196</v>
      </c>
      <c r="C30" t="s">
        <v>12</v>
      </c>
      <c r="D30" s="8">
        <v>3</v>
      </c>
      <c r="E30">
        <v>20</v>
      </c>
      <c r="F30" s="67">
        <v>43014</v>
      </c>
      <c r="G30" s="24">
        <v>43010</v>
      </c>
      <c r="H30">
        <f>'Wet ref 2017'!B77</f>
        <v>251.79740549776673</v>
      </c>
      <c r="I30">
        <f>'Wet ref 2017'!C77</f>
        <v>514.41498874765523</v>
      </c>
      <c r="J30">
        <f>'Wet ref 2017'!D77</f>
        <v>19.538853353458038</v>
      </c>
      <c r="K30">
        <f>'Wet ref 2017'!E77</f>
        <v>3.7329763490230388</v>
      </c>
      <c r="L30">
        <f t="shared" si="9"/>
        <v>2966.7639547776171</v>
      </c>
      <c r="M30">
        <f>'Wet ref 2017'!$B$41*'Soil samples 2017'!AI30%</f>
        <v>1.9554554956983197</v>
      </c>
      <c r="N30">
        <f>'Wet ref 2017'!$B$41*'Soil samples 2017'!AH30%</f>
        <v>3.0445445043016806</v>
      </c>
      <c r="O30">
        <f t="shared" si="18"/>
        <v>251.79740549776673</v>
      </c>
      <c r="P30">
        <f t="shared" si="19"/>
        <v>0.25179740549776675</v>
      </c>
      <c r="Q30">
        <f>P30*('Wet ref 2017'!$B$40+M30)</f>
        <v>6.7873137578273548</v>
      </c>
      <c r="R30" s="141">
        <f t="shared" si="20"/>
        <v>2.2293363582754209</v>
      </c>
      <c r="S30" s="141">
        <f>R30*'Soil samples 2017'!AJ30/100</f>
        <v>1.0844769922256554</v>
      </c>
      <c r="T30" s="149">
        <f t="shared" si="21"/>
        <v>1.0844769922256554</v>
      </c>
      <c r="U30" s="141"/>
      <c r="V30" s="141"/>
      <c r="W30" s="141"/>
      <c r="X30" s="141"/>
      <c r="Y30">
        <f t="shared" si="0"/>
        <v>514.41498874765523</v>
      </c>
      <c r="Z30">
        <f t="shared" si="10"/>
        <v>0.51441498874765523</v>
      </c>
      <c r="AA30">
        <f>Z30*('Wet ref 2017'!$B$40+M30)</f>
        <v>13.866290335507573</v>
      </c>
      <c r="AB30" s="175">
        <f t="shared" si="1"/>
        <v>4.5544712241570764</v>
      </c>
      <c r="AC30" s="175">
        <f>AB30*'Soil samples 2017'!AJ30/100</f>
        <v>2.2155558698074014</v>
      </c>
      <c r="AD30" s="174">
        <f t="shared" si="11"/>
        <v>2.2155558698074014</v>
      </c>
      <c r="AE30" s="175"/>
      <c r="AF30" s="175"/>
      <c r="AG30" s="175"/>
      <c r="AH30" s="175"/>
      <c r="AI30">
        <f t="shared" si="2"/>
        <v>19.538853353458038</v>
      </c>
      <c r="AJ30">
        <f t="shared" si="12"/>
        <v>1.9538853353458039E-2</v>
      </c>
      <c r="AK30">
        <f>AJ30*('Wet ref 2017'!$B$40+M30)</f>
        <v>0.52667869200611406</v>
      </c>
      <c r="AL30" s="175">
        <f t="shared" si="3"/>
        <v>0.17299096507275954</v>
      </c>
      <c r="AM30" s="175">
        <f>AL30*'Soil samples 2017'!AJ30/100</f>
        <v>8.4152721408736947E-2</v>
      </c>
      <c r="AN30" s="174">
        <f t="shared" si="13"/>
        <v>84.152721408736952</v>
      </c>
      <c r="AO30" s="175"/>
      <c r="AP30" s="175"/>
      <c r="AQ30" s="175"/>
      <c r="AR30">
        <f t="shared" si="4"/>
        <v>3.7329763490230388</v>
      </c>
      <c r="AS30">
        <f t="shared" si="14"/>
        <v>3.7329763490230386E-3</v>
      </c>
      <c r="AT30">
        <f>AS30*('Wet ref 2017'!$B$40+M30)</f>
        <v>0.10062407784258491</v>
      </c>
      <c r="AU30" s="175">
        <f t="shared" si="5"/>
        <v>3.3050618146790667E-2</v>
      </c>
      <c r="AV30" s="175">
        <f>AU30*'Soil samples 2017'!AJ30/100</f>
        <v>1.6077715157688226E-2</v>
      </c>
      <c r="AW30" s="174">
        <f t="shared" si="15"/>
        <v>16.077715157688225</v>
      </c>
      <c r="AX30" s="175"/>
      <c r="AY30" s="175"/>
      <c r="AZ30" s="175"/>
      <c r="BA30">
        <f t="shared" si="6"/>
        <v>2966.7639547776171</v>
      </c>
      <c r="BB30">
        <f t="shared" si="16"/>
        <v>2.9667639547776172</v>
      </c>
      <c r="BC30">
        <f>BB30*('Wet ref 2017'!$B$40+M30)</f>
        <v>79.970473749250004</v>
      </c>
      <c r="BD30" s="175">
        <f t="shared" si="7"/>
        <v>26.266810564358174</v>
      </c>
      <c r="BE30" s="175">
        <f>BD30*'Soil samples 2017'!AJ30/100</f>
        <v>12.777682295655172</v>
      </c>
      <c r="BF30" s="174">
        <f t="shared" si="17"/>
        <v>12.777682295655172</v>
      </c>
    </row>
    <row r="31" spans="1:58">
      <c r="A31" s="6" t="s">
        <v>1098</v>
      </c>
      <c r="B31" s="6" t="s">
        <v>196</v>
      </c>
      <c r="C31" t="s">
        <v>12</v>
      </c>
      <c r="D31" s="8">
        <v>3</v>
      </c>
      <c r="E31">
        <v>30</v>
      </c>
      <c r="F31" s="67">
        <v>43014</v>
      </c>
      <c r="G31" s="24">
        <v>43010</v>
      </c>
      <c r="H31">
        <f>'Wet ref 2017'!B78</f>
        <v>240.85732935639567</v>
      </c>
      <c r="I31">
        <f>'Wet ref 2017'!C78</f>
        <v>278.87347142642267</v>
      </c>
      <c r="J31">
        <f>'Wet ref 2017'!D78</f>
        <v>11.796645552685082</v>
      </c>
      <c r="K31">
        <f>'Wet ref 2017'!E78</f>
        <v>2.076770964278813</v>
      </c>
      <c r="L31">
        <f t="shared" si="9"/>
        <v>1557.0401634959949</v>
      </c>
      <c r="M31">
        <f>'Wet ref 2017'!$B$41*'Soil samples 2017'!AI31%</f>
        <v>1.9460473510484189</v>
      </c>
      <c r="N31">
        <f>'Wet ref 2017'!$B$41*'Soil samples 2017'!AH31%</f>
        <v>3.0539526489515811</v>
      </c>
      <c r="O31">
        <f t="shared" si="18"/>
        <v>240.85732935639567</v>
      </c>
      <c r="P31">
        <f t="shared" si="19"/>
        <v>0.24085732935639567</v>
      </c>
      <c r="Q31">
        <f>P31*('Wet ref 2017'!$B$40+M31)</f>
        <v>6.4901530016845026</v>
      </c>
      <c r="R31" s="141">
        <f t="shared" si="20"/>
        <v>2.1251649084711794</v>
      </c>
      <c r="S31" s="141">
        <f>R31*'Soil samples 2017'!AJ31/100</f>
        <v>1.1140996642691623</v>
      </c>
      <c r="T31" s="149">
        <f t="shared" si="21"/>
        <v>1.1140996642691623</v>
      </c>
      <c r="U31" s="141"/>
      <c r="V31" s="141"/>
      <c r="W31" s="141"/>
      <c r="X31" s="141"/>
      <c r="Y31">
        <f t="shared" si="0"/>
        <v>278.87347142642267</v>
      </c>
      <c r="Z31">
        <f t="shared" si="10"/>
        <v>0.27887347142642266</v>
      </c>
      <c r="AA31">
        <f>Z31*('Wet ref 2017'!$B$40+M31)</f>
        <v>7.514537766007634</v>
      </c>
      <c r="AB31" s="175">
        <f t="shared" si="1"/>
        <v>2.4605940660499002</v>
      </c>
      <c r="AC31" s="175">
        <f>AB31*'Soil samples 2017'!AJ31/100</f>
        <v>1.2899455529128709</v>
      </c>
      <c r="AD31" s="174">
        <f t="shared" si="11"/>
        <v>1.2899455529128709</v>
      </c>
      <c r="AE31" s="175"/>
      <c r="AF31" s="175"/>
      <c r="AG31" s="175"/>
      <c r="AH31" s="175"/>
      <c r="AI31">
        <f t="shared" si="2"/>
        <v>11.796645552685082</v>
      </c>
      <c r="AJ31">
        <f t="shared" si="12"/>
        <v>1.1796645552685081E-2</v>
      </c>
      <c r="AK31">
        <f>AJ31*('Wet ref 2017'!$B$40+M31)</f>
        <v>0.317872969646187</v>
      </c>
      <c r="AL31" s="175">
        <f t="shared" si="3"/>
        <v>0.1040857558008676</v>
      </c>
      <c r="AM31" s="175">
        <f>AL31*'Soil samples 2017'!AJ31/100</f>
        <v>5.4566073969464481E-2</v>
      </c>
      <c r="AN31" s="174">
        <f t="shared" si="13"/>
        <v>54.566073969464476</v>
      </c>
      <c r="AO31" s="175"/>
      <c r="AP31" s="175"/>
      <c r="AQ31" s="175"/>
      <c r="AR31">
        <f t="shared" si="4"/>
        <v>2.076770964278813</v>
      </c>
      <c r="AS31">
        <f t="shared" si="14"/>
        <v>2.076770964278813E-3</v>
      </c>
      <c r="AT31">
        <f>AS31*('Wet ref 2017'!$B$40+M31)</f>
        <v>5.5960768740739381E-2</v>
      </c>
      <c r="AU31" s="175">
        <f t="shared" si="5"/>
        <v>1.8324045973650133E-2</v>
      </c>
      <c r="AV31" s="175">
        <f>AU31*'Soil samples 2017'!AJ31/100</f>
        <v>9.6062255620353258E-3</v>
      </c>
      <c r="AW31" s="174">
        <f t="shared" si="15"/>
        <v>9.6062255620353252</v>
      </c>
      <c r="AX31" s="175"/>
      <c r="AY31" s="175"/>
      <c r="AZ31" s="175"/>
      <c r="BA31">
        <f t="shared" si="6"/>
        <v>1557.0401634959949</v>
      </c>
      <c r="BB31">
        <f t="shared" si="16"/>
        <v>1.5570401634959949</v>
      </c>
      <c r="BC31">
        <f>BB31*('Wet ref 2017'!$B$40+M31)</f>
        <v>41.956077973047258</v>
      </c>
      <c r="BD31" s="175">
        <f t="shared" si="7"/>
        <v>13.738286999129059</v>
      </c>
      <c r="BE31" s="175">
        <f>BD31*'Soil samples 2017'!AJ31/100</f>
        <v>7.2021803448532955</v>
      </c>
      <c r="BF31" s="174">
        <f t="shared" si="17"/>
        <v>7.2021803448532955</v>
      </c>
    </row>
    <row r="32" spans="1:58">
      <c r="A32" s="6" t="s">
        <v>63</v>
      </c>
      <c r="B32" s="6" t="s">
        <v>196</v>
      </c>
      <c r="C32" t="s">
        <v>13</v>
      </c>
      <c r="D32" s="6">
        <v>2</v>
      </c>
      <c r="E32">
        <v>5</v>
      </c>
      <c r="F32" s="59"/>
      <c r="G32" s="24"/>
      <c r="H32" t="s">
        <v>469</v>
      </c>
      <c r="I32" t="s">
        <v>469</v>
      </c>
      <c r="J32" t="s">
        <v>469</v>
      </c>
      <c r="K32" t="s">
        <v>469</v>
      </c>
      <c r="L32" t="s">
        <v>469</v>
      </c>
      <c r="M32" t="s">
        <v>469</v>
      </c>
      <c r="N32" t="s">
        <v>469</v>
      </c>
      <c r="O32" t="str">
        <f t="shared" si="18"/>
        <v>none</v>
      </c>
      <c r="P32" t="e">
        <f t="shared" si="19"/>
        <v>#VALUE!</v>
      </c>
      <c r="Q32" t="e">
        <f>P32*('Wet ref 2017'!$B$40+M32)</f>
        <v>#VALUE!</v>
      </c>
      <c r="R32" s="141" t="e">
        <f t="shared" si="20"/>
        <v>#VALUE!</v>
      </c>
      <c r="S32" s="141" t="e">
        <f>R32*'Soil samples 2017'!AJ32/100</f>
        <v>#VALUE!</v>
      </c>
      <c r="T32" s="149" t="e">
        <f t="shared" si="21"/>
        <v>#VALUE!</v>
      </c>
      <c r="U32" s="141"/>
      <c r="V32" s="141"/>
      <c r="W32" s="141"/>
      <c r="X32" s="141"/>
      <c r="Y32" t="str">
        <f t="shared" si="0"/>
        <v>none</v>
      </c>
      <c r="Z32" t="e">
        <f t="shared" si="10"/>
        <v>#VALUE!</v>
      </c>
      <c r="AA32" t="e">
        <f>Z32*('Wet ref 2017'!$B$40+M32)</f>
        <v>#VALUE!</v>
      </c>
      <c r="AB32" s="175" t="e">
        <f t="shared" si="1"/>
        <v>#VALUE!</v>
      </c>
      <c r="AC32" s="175" t="e">
        <f>AB32*'Soil samples 2017'!AJ32/100</f>
        <v>#VALUE!</v>
      </c>
      <c r="AD32" s="174" t="e">
        <f t="shared" si="11"/>
        <v>#VALUE!</v>
      </c>
      <c r="AE32" s="175"/>
      <c r="AF32" s="175"/>
      <c r="AG32" s="175"/>
      <c r="AH32" s="175"/>
      <c r="AI32" t="str">
        <f t="shared" si="2"/>
        <v>none</v>
      </c>
      <c r="AJ32" t="e">
        <f t="shared" si="12"/>
        <v>#VALUE!</v>
      </c>
      <c r="AK32" t="e">
        <f>AJ32*('Wet ref 2017'!$B$40+M32)</f>
        <v>#VALUE!</v>
      </c>
      <c r="AL32" s="175" t="e">
        <f t="shared" si="3"/>
        <v>#VALUE!</v>
      </c>
      <c r="AM32" s="175" t="e">
        <f>AL32*'Soil samples 2017'!AJ32/100</f>
        <v>#VALUE!</v>
      </c>
      <c r="AN32" s="174" t="e">
        <f t="shared" si="13"/>
        <v>#VALUE!</v>
      </c>
      <c r="AO32" s="175"/>
      <c r="AP32" s="175"/>
      <c r="AQ32" s="175"/>
      <c r="AR32" t="str">
        <f t="shared" si="4"/>
        <v>none</v>
      </c>
      <c r="AS32" t="e">
        <f t="shared" si="14"/>
        <v>#VALUE!</v>
      </c>
      <c r="AT32" t="e">
        <f>AS32*('Wet ref 2017'!$B$40+M32)</f>
        <v>#VALUE!</v>
      </c>
      <c r="AU32" s="175" t="e">
        <f t="shared" si="5"/>
        <v>#VALUE!</v>
      </c>
      <c r="AV32" s="175" t="e">
        <f>AU32*'Soil samples 2017'!AJ32/100</f>
        <v>#VALUE!</v>
      </c>
      <c r="AW32" s="174" t="e">
        <f t="shared" si="15"/>
        <v>#VALUE!</v>
      </c>
      <c r="AX32" s="175"/>
      <c r="AY32" s="175"/>
      <c r="AZ32" s="175"/>
      <c r="BA32" t="e">
        <f t="shared" si="6"/>
        <v>#VALUE!</v>
      </c>
      <c r="BB32" t="e">
        <f t="shared" si="16"/>
        <v>#VALUE!</v>
      </c>
      <c r="BC32" t="e">
        <f>BB32*('Wet ref 2017'!$B$40+M32)</f>
        <v>#VALUE!</v>
      </c>
      <c r="BD32" s="175" t="e">
        <f t="shared" si="7"/>
        <v>#VALUE!</v>
      </c>
      <c r="BE32" s="175" t="e">
        <f>BD32*'Soil samples 2017'!AJ32/100</f>
        <v>#VALUE!</v>
      </c>
      <c r="BF32" s="174" t="e">
        <f t="shared" si="17"/>
        <v>#VALUE!</v>
      </c>
    </row>
    <row r="33" spans="1:58">
      <c r="A33" s="7" t="s">
        <v>66</v>
      </c>
      <c r="B33" s="7" t="s">
        <v>196</v>
      </c>
      <c r="C33" s="4" t="s">
        <v>13</v>
      </c>
      <c r="D33" s="7">
        <v>3</v>
      </c>
      <c r="E33" s="4">
        <v>5</v>
      </c>
      <c r="F33" s="59"/>
      <c r="G33" s="24"/>
      <c r="H33" t="s">
        <v>469</v>
      </c>
      <c r="I33" t="s">
        <v>469</v>
      </c>
      <c r="J33" t="s">
        <v>469</v>
      </c>
      <c r="K33" t="s">
        <v>469</v>
      </c>
      <c r="L33" t="s">
        <v>469</v>
      </c>
      <c r="M33" t="s">
        <v>469</v>
      </c>
      <c r="N33" t="s">
        <v>469</v>
      </c>
      <c r="O33" t="str">
        <f t="shared" si="18"/>
        <v>none</v>
      </c>
      <c r="P33" t="e">
        <f t="shared" si="19"/>
        <v>#VALUE!</v>
      </c>
      <c r="Q33" t="e">
        <f>P33*('Wet ref 2017'!$B$40+M33)</f>
        <v>#VALUE!</v>
      </c>
      <c r="R33" s="141" t="e">
        <f t="shared" si="20"/>
        <v>#VALUE!</v>
      </c>
      <c r="S33" s="141" t="e">
        <f>R33*'Soil samples 2017'!AJ33/100</f>
        <v>#VALUE!</v>
      </c>
      <c r="T33" s="149" t="e">
        <f t="shared" si="21"/>
        <v>#VALUE!</v>
      </c>
      <c r="U33" s="141"/>
      <c r="V33" s="141"/>
      <c r="W33" s="141"/>
      <c r="X33" s="141"/>
      <c r="Y33" t="str">
        <f t="shared" si="0"/>
        <v>none</v>
      </c>
      <c r="Z33" t="e">
        <f t="shared" si="10"/>
        <v>#VALUE!</v>
      </c>
      <c r="AA33" t="e">
        <f>Z33*('Wet ref 2017'!$B$40+M33)</f>
        <v>#VALUE!</v>
      </c>
      <c r="AB33" s="175" t="e">
        <f t="shared" si="1"/>
        <v>#VALUE!</v>
      </c>
      <c r="AC33" s="175" t="e">
        <f>AB33*'Soil samples 2017'!AJ33/100</f>
        <v>#VALUE!</v>
      </c>
      <c r="AD33" s="174" t="e">
        <f t="shared" si="11"/>
        <v>#VALUE!</v>
      </c>
      <c r="AE33" s="175"/>
      <c r="AF33" s="175"/>
      <c r="AG33" s="175"/>
      <c r="AH33" s="175"/>
      <c r="AI33" t="str">
        <f t="shared" si="2"/>
        <v>none</v>
      </c>
      <c r="AJ33" t="e">
        <f t="shared" si="12"/>
        <v>#VALUE!</v>
      </c>
      <c r="AK33" t="e">
        <f>AJ33*('Wet ref 2017'!$B$40+M33)</f>
        <v>#VALUE!</v>
      </c>
      <c r="AL33" s="175" t="e">
        <f t="shared" si="3"/>
        <v>#VALUE!</v>
      </c>
      <c r="AM33" s="175" t="e">
        <f>AL33*'Soil samples 2017'!AJ33/100</f>
        <v>#VALUE!</v>
      </c>
      <c r="AN33" s="174" t="e">
        <f t="shared" si="13"/>
        <v>#VALUE!</v>
      </c>
      <c r="AO33" s="175"/>
      <c r="AP33" s="175"/>
      <c r="AQ33" s="175"/>
      <c r="AR33" t="str">
        <f t="shared" si="4"/>
        <v>none</v>
      </c>
      <c r="AS33" t="e">
        <f t="shared" si="14"/>
        <v>#VALUE!</v>
      </c>
      <c r="AT33" t="e">
        <f>AS33*('Wet ref 2017'!$B$40+M33)</f>
        <v>#VALUE!</v>
      </c>
      <c r="AU33" s="175" t="e">
        <f t="shared" si="5"/>
        <v>#VALUE!</v>
      </c>
      <c r="AV33" s="175" t="e">
        <f>AU33*'Soil samples 2017'!AJ33/100</f>
        <v>#VALUE!</v>
      </c>
      <c r="AW33" s="174" t="e">
        <f t="shared" si="15"/>
        <v>#VALUE!</v>
      </c>
      <c r="AX33" s="175"/>
      <c r="AY33" s="175"/>
      <c r="AZ33" s="175"/>
      <c r="BA33" t="e">
        <f t="shared" si="6"/>
        <v>#VALUE!</v>
      </c>
      <c r="BB33" t="e">
        <f t="shared" si="16"/>
        <v>#VALUE!</v>
      </c>
      <c r="BC33" t="e">
        <f>BB33*('Wet ref 2017'!$B$40+M33)</f>
        <v>#VALUE!</v>
      </c>
      <c r="BD33" s="175" t="e">
        <f t="shared" si="7"/>
        <v>#VALUE!</v>
      </c>
      <c r="BE33" s="175" t="e">
        <f>BD33*'Soil samples 2017'!AJ33/100</f>
        <v>#VALUE!</v>
      </c>
      <c r="BF33" s="174" t="e">
        <f t="shared" si="17"/>
        <v>#VALUE!</v>
      </c>
    </row>
    <row r="34" spans="1:58">
      <c r="A34" s="6" t="s">
        <v>101</v>
      </c>
      <c r="B34" s="6" t="s">
        <v>197</v>
      </c>
      <c r="C34" s="6" t="s">
        <v>13</v>
      </c>
      <c r="D34" s="6">
        <v>1</v>
      </c>
      <c r="E34" s="6">
        <v>5</v>
      </c>
      <c r="F34" s="59"/>
      <c r="G34" s="24"/>
      <c r="H34" t="s">
        <v>469</v>
      </c>
      <c r="I34" t="s">
        <v>469</v>
      </c>
      <c r="J34" t="s">
        <v>469</v>
      </c>
      <c r="K34" t="s">
        <v>469</v>
      </c>
      <c r="L34" t="s">
        <v>469</v>
      </c>
      <c r="M34" t="s">
        <v>469</v>
      </c>
      <c r="N34" t="s">
        <v>469</v>
      </c>
      <c r="O34" t="str">
        <f t="shared" si="18"/>
        <v>none</v>
      </c>
      <c r="P34" t="e">
        <f t="shared" si="19"/>
        <v>#VALUE!</v>
      </c>
      <c r="Q34" t="e">
        <f>P34*('Wet ref 2017'!$B$40+M34)</f>
        <v>#VALUE!</v>
      </c>
      <c r="R34" s="141" t="e">
        <f t="shared" si="20"/>
        <v>#VALUE!</v>
      </c>
      <c r="S34" s="141" t="e">
        <f>R34*'Soil samples 2017'!AJ34/100</f>
        <v>#VALUE!</v>
      </c>
      <c r="T34" s="149" t="e">
        <f t="shared" si="21"/>
        <v>#VALUE!</v>
      </c>
      <c r="U34" s="141"/>
      <c r="V34" s="141"/>
      <c r="W34" s="141"/>
      <c r="X34" s="141"/>
      <c r="Y34" t="str">
        <f t="shared" si="0"/>
        <v>none</v>
      </c>
      <c r="Z34" t="e">
        <f t="shared" si="10"/>
        <v>#VALUE!</v>
      </c>
      <c r="AA34" t="e">
        <f>Z34*('Wet ref 2017'!$B$40+M34)</f>
        <v>#VALUE!</v>
      </c>
      <c r="AB34" s="175" t="e">
        <f t="shared" si="1"/>
        <v>#VALUE!</v>
      </c>
      <c r="AC34" s="175" t="e">
        <f>AB34*'Soil samples 2017'!AJ34/100</f>
        <v>#VALUE!</v>
      </c>
      <c r="AD34" s="174" t="e">
        <f t="shared" si="11"/>
        <v>#VALUE!</v>
      </c>
      <c r="AE34" s="175"/>
      <c r="AF34" s="175"/>
      <c r="AG34" s="175"/>
      <c r="AH34" s="175"/>
      <c r="AI34" t="str">
        <f t="shared" si="2"/>
        <v>none</v>
      </c>
      <c r="AJ34" t="e">
        <f t="shared" si="12"/>
        <v>#VALUE!</v>
      </c>
      <c r="AK34" t="e">
        <f>AJ34*('Wet ref 2017'!$B$40+M34)</f>
        <v>#VALUE!</v>
      </c>
      <c r="AL34" s="175" t="e">
        <f t="shared" si="3"/>
        <v>#VALUE!</v>
      </c>
      <c r="AM34" s="175" t="e">
        <f>AL34*'Soil samples 2017'!AJ34/100</f>
        <v>#VALUE!</v>
      </c>
      <c r="AN34" s="174" t="e">
        <f t="shared" si="13"/>
        <v>#VALUE!</v>
      </c>
      <c r="AO34" s="175"/>
      <c r="AP34" s="175"/>
      <c r="AQ34" s="175"/>
      <c r="AR34" t="str">
        <f t="shared" si="4"/>
        <v>none</v>
      </c>
      <c r="AS34" t="e">
        <f t="shared" si="14"/>
        <v>#VALUE!</v>
      </c>
      <c r="AT34" t="e">
        <f>AS34*('Wet ref 2017'!$B$40+M34)</f>
        <v>#VALUE!</v>
      </c>
      <c r="AU34" s="175" t="e">
        <f t="shared" si="5"/>
        <v>#VALUE!</v>
      </c>
      <c r="AV34" s="175" t="e">
        <f>AU34*'Soil samples 2017'!AJ34/100</f>
        <v>#VALUE!</v>
      </c>
      <c r="AW34" s="174" t="e">
        <f t="shared" si="15"/>
        <v>#VALUE!</v>
      </c>
      <c r="AX34" s="175"/>
      <c r="AY34" s="175"/>
      <c r="AZ34" s="175"/>
      <c r="BA34" t="e">
        <f t="shared" si="6"/>
        <v>#VALUE!</v>
      </c>
      <c r="BB34" t="e">
        <f t="shared" si="16"/>
        <v>#VALUE!</v>
      </c>
      <c r="BC34" t="e">
        <f>BB34*('Wet ref 2017'!$B$40+M34)</f>
        <v>#VALUE!</v>
      </c>
      <c r="BD34" s="175" t="e">
        <f t="shared" si="7"/>
        <v>#VALUE!</v>
      </c>
      <c r="BE34" s="175" t="e">
        <f>BD34*'Soil samples 2017'!AJ34/100</f>
        <v>#VALUE!</v>
      </c>
      <c r="BF34" s="174" t="e">
        <f t="shared" si="17"/>
        <v>#VALUE!</v>
      </c>
    </row>
    <row r="35" spans="1:58">
      <c r="A35" s="6" t="s">
        <v>112</v>
      </c>
      <c r="B35" s="6" t="s">
        <v>197</v>
      </c>
      <c r="C35" s="6" t="s">
        <v>13</v>
      </c>
      <c r="D35" s="6">
        <v>4</v>
      </c>
      <c r="E35" s="6">
        <v>5</v>
      </c>
      <c r="F35" s="67">
        <v>43018</v>
      </c>
      <c r="G35" s="24">
        <v>43015</v>
      </c>
      <c r="H35">
        <f>'Wet ref 2017'!B79</f>
        <v>18.228935219880693</v>
      </c>
      <c r="I35">
        <f>'Wet ref 2017'!C79</f>
        <v>16.28626646347174</v>
      </c>
      <c r="J35">
        <f>'Wet ref 2017'!D79</f>
        <v>10.062189909005426</v>
      </c>
      <c r="K35">
        <f>'Wet ref 2017'!E79</f>
        <v>1.9925359574616073</v>
      </c>
      <c r="L35">
        <f t="shared" si="9"/>
        <v>1958.0207557782549</v>
      </c>
      <c r="M35">
        <f>'Wet ref 2017'!$B$41*'Soil samples 2017'!AI35%</f>
        <v>4.2209693158408328</v>
      </c>
      <c r="N35">
        <f>'Wet ref 2017'!$B$41*'Soil samples 2017'!AH35%</f>
        <v>0.77903068415916721</v>
      </c>
      <c r="O35">
        <f t="shared" si="18"/>
        <v>18.228935219880693</v>
      </c>
      <c r="P35">
        <f t="shared" si="19"/>
        <v>1.8228935219880692E-2</v>
      </c>
      <c r="Q35">
        <f>P35*('Wet ref 2017'!$B$40+M35)</f>
        <v>0.53266715672058396</v>
      </c>
      <c r="R35" s="141">
        <f t="shared" si="20"/>
        <v>0.6837563237903892</v>
      </c>
      <c r="S35" s="141">
        <f>R35*'Soil samples 2017'!AJ35/100</f>
        <v>8.5439811937981659E-3</v>
      </c>
      <c r="T35" s="149">
        <f t="shared" si="21"/>
        <v>8.5439811937981659E-3</v>
      </c>
      <c r="U35" s="141"/>
      <c r="V35" s="141"/>
      <c r="W35" s="141"/>
      <c r="X35" s="141"/>
      <c r="Y35">
        <f t="shared" si="0"/>
        <v>16.28626646347174</v>
      </c>
      <c r="Z35">
        <f t="shared" si="10"/>
        <v>1.6286266463471741E-2</v>
      </c>
      <c r="AA35">
        <f>Z35*('Wet ref 2017'!$B$40+M35)</f>
        <v>0.47590049259871531</v>
      </c>
      <c r="AB35" s="175">
        <f t="shared" si="1"/>
        <v>0.61088799488350065</v>
      </c>
      <c r="AC35" s="175">
        <f>AB35*'Soil samples 2017'!AJ35/100</f>
        <v>7.6334439012833936E-3</v>
      </c>
      <c r="AD35" s="174">
        <f t="shared" si="11"/>
        <v>7.6334439012833944E-3</v>
      </c>
      <c r="AE35" s="175"/>
      <c r="AF35" s="175"/>
      <c r="AG35" s="175"/>
      <c r="AH35" s="175"/>
      <c r="AI35">
        <f t="shared" si="2"/>
        <v>10.062189909005426</v>
      </c>
      <c r="AJ35">
        <f t="shared" si="12"/>
        <v>1.0062189909005426E-2</v>
      </c>
      <c r="AK35">
        <f>AJ35*('Wet ref 2017'!$B$40+M35)</f>
        <v>0.29402694258121082</v>
      </c>
      <c r="AL35" s="175">
        <f t="shared" si="3"/>
        <v>0.3774266515555334</v>
      </c>
      <c r="AM35" s="175">
        <f>AL35*'Soil samples 2017'!AJ35/100</f>
        <v>4.7161921590026211E-3</v>
      </c>
      <c r="AN35" s="174">
        <f t="shared" si="13"/>
        <v>4.7161921590026212</v>
      </c>
      <c r="AO35" s="175"/>
      <c r="AP35" s="175"/>
      <c r="AQ35" s="175"/>
      <c r="AR35">
        <f t="shared" si="4"/>
        <v>1.9925359574616073</v>
      </c>
      <c r="AS35">
        <f t="shared" si="14"/>
        <v>1.9925359574616071E-3</v>
      </c>
      <c r="AT35">
        <f>AS35*('Wet ref 2017'!$B$40+M35)</f>
        <v>5.8223832073695157E-2</v>
      </c>
      <c r="AU35" s="175">
        <f t="shared" si="5"/>
        <v>7.4738817427375162E-2</v>
      </c>
      <c r="AV35" s="175">
        <f>AU35*'Soil samples 2017'!AJ35/100</f>
        <v>9.3391026646207033E-4</v>
      </c>
      <c r="AW35" s="174">
        <f t="shared" si="15"/>
        <v>0.93391026646207032</v>
      </c>
      <c r="AX35" s="175"/>
      <c r="AY35" s="175"/>
      <c r="AZ35" s="175"/>
      <c r="BA35">
        <f t="shared" si="6"/>
        <v>1958.0207557782549</v>
      </c>
      <c r="BB35">
        <f t="shared" si="16"/>
        <v>1.958020755778255</v>
      </c>
      <c r="BC35">
        <f>BB35*('Wet ref 2017'!$B$40+M35)</f>
        <v>57.215264424375867</v>
      </c>
      <c r="BD35" s="175">
        <f t="shared" si="7"/>
        <v>73.444173108701278</v>
      </c>
      <c r="BE35" s="175">
        <f>BD35*'Soil samples 2017'!AJ35/100</f>
        <v>0.91773284136698896</v>
      </c>
      <c r="BF35" s="174">
        <f t="shared" si="17"/>
        <v>0.91773284136698896</v>
      </c>
    </row>
    <row r="36" spans="1:58">
      <c r="A36" s="7" t="s">
        <v>120</v>
      </c>
      <c r="B36" s="7" t="s">
        <v>197</v>
      </c>
      <c r="C36" s="7" t="s">
        <v>13</v>
      </c>
      <c r="D36" s="7">
        <v>6</v>
      </c>
      <c r="E36" s="7">
        <v>5</v>
      </c>
      <c r="F36" s="59"/>
      <c r="G36" s="24"/>
      <c r="H36" t="s">
        <v>469</v>
      </c>
      <c r="I36" t="s">
        <v>469</v>
      </c>
      <c r="J36" t="s">
        <v>469</v>
      </c>
      <c r="K36" t="s">
        <v>469</v>
      </c>
      <c r="L36" t="s">
        <v>469</v>
      </c>
      <c r="M36" t="s">
        <v>469</v>
      </c>
      <c r="N36" t="s">
        <v>469</v>
      </c>
      <c r="O36" t="str">
        <f t="shared" si="18"/>
        <v>none</v>
      </c>
      <c r="P36" t="e">
        <f t="shared" si="19"/>
        <v>#VALUE!</v>
      </c>
      <c r="Q36" t="e">
        <f>P36*('Wet ref 2017'!$B$40+M36)</f>
        <v>#VALUE!</v>
      </c>
      <c r="R36" s="141" t="e">
        <f t="shared" si="20"/>
        <v>#VALUE!</v>
      </c>
      <c r="S36" s="141" t="e">
        <f>R36*'Soil samples 2017'!AJ36/100</f>
        <v>#VALUE!</v>
      </c>
      <c r="T36" s="149" t="e">
        <f t="shared" si="21"/>
        <v>#VALUE!</v>
      </c>
      <c r="U36" s="141"/>
      <c r="V36" s="141"/>
      <c r="W36" s="141"/>
      <c r="X36" s="141"/>
      <c r="Y36" t="str">
        <f t="shared" si="0"/>
        <v>none</v>
      </c>
      <c r="Z36" t="e">
        <f t="shared" si="10"/>
        <v>#VALUE!</v>
      </c>
      <c r="AA36" t="e">
        <f>Z36*('Wet ref 2017'!$B$40+M36)</f>
        <v>#VALUE!</v>
      </c>
      <c r="AB36" s="175" t="e">
        <f t="shared" si="1"/>
        <v>#VALUE!</v>
      </c>
      <c r="AC36" s="175" t="e">
        <f>AB36*'Soil samples 2017'!AJ36/100</f>
        <v>#VALUE!</v>
      </c>
      <c r="AD36" s="174" t="e">
        <f t="shared" si="11"/>
        <v>#VALUE!</v>
      </c>
      <c r="AE36" s="175"/>
      <c r="AF36" s="175"/>
      <c r="AG36" s="175"/>
      <c r="AH36" s="175"/>
      <c r="AI36" t="str">
        <f t="shared" si="2"/>
        <v>none</v>
      </c>
      <c r="AJ36" t="e">
        <f t="shared" si="12"/>
        <v>#VALUE!</v>
      </c>
      <c r="AK36" t="e">
        <f>AJ36*('Wet ref 2017'!$B$40+M36)</f>
        <v>#VALUE!</v>
      </c>
      <c r="AL36" s="175" t="e">
        <f t="shared" si="3"/>
        <v>#VALUE!</v>
      </c>
      <c r="AM36" s="175" t="e">
        <f>AL36*'Soil samples 2017'!AJ36/100</f>
        <v>#VALUE!</v>
      </c>
      <c r="AN36" s="174" t="e">
        <f t="shared" si="13"/>
        <v>#VALUE!</v>
      </c>
      <c r="AO36" s="175"/>
      <c r="AP36" s="175"/>
      <c r="AQ36" s="175"/>
      <c r="AR36" t="str">
        <f t="shared" si="4"/>
        <v>none</v>
      </c>
      <c r="AS36" t="e">
        <f t="shared" si="14"/>
        <v>#VALUE!</v>
      </c>
      <c r="AT36" t="e">
        <f>AS36*('Wet ref 2017'!$B$40+M36)</f>
        <v>#VALUE!</v>
      </c>
      <c r="AU36" s="175" t="e">
        <f t="shared" si="5"/>
        <v>#VALUE!</v>
      </c>
      <c r="AV36" s="175" t="e">
        <f>AU36*'Soil samples 2017'!AJ36/100</f>
        <v>#VALUE!</v>
      </c>
      <c r="AW36" s="174" t="e">
        <f t="shared" si="15"/>
        <v>#VALUE!</v>
      </c>
      <c r="AX36" s="175"/>
      <c r="AY36" s="175"/>
      <c r="AZ36" s="175"/>
      <c r="BA36" t="e">
        <f t="shared" si="6"/>
        <v>#VALUE!</v>
      </c>
      <c r="BB36" t="e">
        <f t="shared" si="16"/>
        <v>#VALUE!</v>
      </c>
      <c r="BC36" t="e">
        <f>BB36*('Wet ref 2017'!$B$40+M36)</f>
        <v>#VALUE!</v>
      </c>
      <c r="BD36" s="175" t="e">
        <f t="shared" si="7"/>
        <v>#VALUE!</v>
      </c>
      <c r="BE36" s="175" t="e">
        <f>BD36*'Soil samples 2017'!AJ36/100</f>
        <v>#VALUE!</v>
      </c>
      <c r="BF36" s="174" t="e">
        <f t="shared" si="17"/>
        <v>#VALUE!</v>
      </c>
    </row>
    <row r="37" spans="1:58">
      <c r="A37" s="6" t="s">
        <v>127</v>
      </c>
      <c r="B37" s="6" t="s">
        <v>198</v>
      </c>
      <c r="C37" s="6" t="s">
        <v>12</v>
      </c>
      <c r="D37" s="6">
        <v>2</v>
      </c>
      <c r="E37" s="6">
        <v>5</v>
      </c>
      <c r="F37" s="67">
        <v>43018</v>
      </c>
      <c r="G37" s="24">
        <v>43015</v>
      </c>
      <c r="H37">
        <f>'Wet ref 2017'!B80</f>
        <v>1069.1780224227346</v>
      </c>
      <c r="I37">
        <f>'Wet ref 2017'!C80</f>
        <v>19719.373416087023</v>
      </c>
      <c r="J37">
        <f>'Wet ref 2017'!D80</f>
        <v>183.03015054900126</v>
      </c>
      <c r="K37">
        <f>'Wet ref 2017'!E80</f>
        <v>38.495465634342054</v>
      </c>
      <c r="L37">
        <f t="shared" si="9"/>
        <v>17706.914195832294</v>
      </c>
      <c r="M37">
        <f>'Wet ref 2017'!$B$41*'Soil samples 2017'!AI37%</f>
        <v>2.3422632118284294</v>
      </c>
      <c r="N37">
        <f>'Wet ref 2017'!$B$41*'Soil samples 2017'!AH37%</f>
        <v>2.6577367881715706</v>
      </c>
      <c r="O37">
        <f t="shared" si="18"/>
        <v>1069.1780224227346</v>
      </c>
      <c r="P37">
        <f t="shared" si="19"/>
        <v>1.0691780224227345</v>
      </c>
      <c r="Q37">
        <f>P37*('Wet ref 2017'!$B$40+M37)</f>
        <v>29.233746909384607</v>
      </c>
      <c r="R37" s="141">
        <f t="shared" si="20"/>
        <v>10.999489129055702</v>
      </c>
      <c r="S37" s="141">
        <f>R37*'Soil samples 2017'!AJ37/100</f>
        <v>0.39640960809125531</v>
      </c>
      <c r="T37" s="149">
        <f t="shared" si="21"/>
        <v>0.39640960809125531</v>
      </c>
      <c r="U37" s="141"/>
      <c r="V37" s="141"/>
      <c r="W37" s="141"/>
      <c r="X37" s="141"/>
      <c r="Y37">
        <f t="shared" si="0"/>
        <v>19719.373416087023</v>
      </c>
      <c r="Z37">
        <f t="shared" si="10"/>
        <v>19.719373416087024</v>
      </c>
      <c r="AA37">
        <f>Z37*('Wet ref 2017'!$B$40+M37)</f>
        <v>539.17229831498378</v>
      </c>
      <c r="AB37" s="175">
        <f t="shared" si="1"/>
        <v>202.8689600545114</v>
      </c>
      <c r="AC37" s="175">
        <f>AB37*'Soil samples 2017'!AJ37/100</f>
        <v>7.311176365151181</v>
      </c>
      <c r="AD37" s="174">
        <f t="shared" si="11"/>
        <v>7.311176365151181</v>
      </c>
      <c r="AE37" s="175"/>
      <c r="AF37" s="175"/>
      <c r="AG37" s="175"/>
      <c r="AH37" s="175"/>
      <c r="AI37">
        <f t="shared" si="2"/>
        <v>183.03015054900126</v>
      </c>
      <c r="AJ37">
        <f t="shared" si="12"/>
        <v>0.18303015054900126</v>
      </c>
      <c r="AK37">
        <f>AJ37*('Wet ref 2017'!$B$40+M37)</f>
        <v>5.0044585520113767</v>
      </c>
      <c r="AL37" s="175">
        <f t="shared" si="3"/>
        <v>1.8829774920842588</v>
      </c>
      <c r="AM37" s="175">
        <f>AL37*'Soil samples 2017'!AJ37/100</f>
        <v>6.7860457965274276E-2</v>
      </c>
      <c r="AN37" s="174">
        <f t="shared" si="13"/>
        <v>67.860457965274279</v>
      </c>
      <c r="AO37" s="175"/>
      <c r="AP37" s="175"/>
      <c r="AQ37" s="175"/>
      <c r="AR37">
        <f t="shared" si="4"/>
        <v>38.495465634342054</v>
      </c>
      <c r="AS37">
        <f t="shared" si="14"/>
        <v>3.8495465634342051E-2</v>
      </c>
      <c r="AT37">
        <f>AS37*('Wet ref 2017'!$B$40+M37)</f>
        <v>1.0525531538360762</v>
      </c>
      <c r="AU37" s="175">
        <f t="shared" si="5"/>
        <v>0.39603363226958066</v>
      </c>
      <c r="AV37" s="175">
        <f>AU37*'Soil samples 2017'!AJ37/100</f>
        <v>1.4272620766017194E-2</v>
      </c>
      <c r="AW37" s="174">
        <f t="shared" si="15"/>
        <v>14.272620766017194</v>
      </c>
      <c r="AX37" s="175"/>
      <c r="AY37" s="175"/>
      <c r="AZ37" s="175"/>
      <c r="BA37">
        <f t="shared" si="6"/>
        <v>17706.914195832294</v>
      </c>
      <c r="BB37">
        <f t="shared" si="16"/>
        <v>17.706914195832294</v>
      </c>
      <c r="BC37">
        <f>BB37*('Wet ref 2017'!$B$40+M37)</f>
        <v>484.14710861170795</v>
      </c>
      <c r="BD37" s="175">
        <f t="shared" si="7"/>
        <v>182.16518308601363</v>
      </c>
      <c r="BE37" s="175">
        <f>BD37*'Soil samples 2017'!AJ37/100</f>
        <v>6.5650347927747612</v>
      </c>
      <c r="BF37" s="174">
        <f t="shared" si="17"/>
        <v>6.5650347927747612</v>
      </c>
    </row>
    <row r="38" spans="1:58">
      <c r="A38" s="6" t="s">
        <v>650</v>
      </c>
      <c r="B38" s="6" t="s">
        <v>198</v>
      </c>
      <c r="C38" s="6" t="s">
        <v>12</v>
      </c>
      <c r="D38" s="6">
        <v>2</v>
      </c>
      <c r="E38" s="6">
        <v>10</v>
      </c>
      <c r="F38" s="67">
        <v>43014</v>
      </c>
      <c r="G38" s="24">
        <v>43010</v>
      </c>
      <c r="H38">
        <f>'Wet ref 2017'!B81</f>
        <v>489.01225006744806</v>
      </c>
      <c r="I38">
        <f>'Wet ref 2017'!C81</f>
        <v>2607.4618058807341</v>
      </c>
      <c r="J38">
        <f>'Wet ref 2017'!D81</f>
        <v>110.22071907192702</v>
      </c>
      <c r="K38">
        <f>'Wet ref 2017'!E81</f>
        <v>24.899936723805048</v>
      </c>
      <c r="L38">
        <f t="shared" si="9"/>
        <v>21803.462667856864</v>
      </c>
      <c r="M38">
        <f>'Wet ref 2017'!$B$41*'Soil samples 2017'!AI38%</f>
        <v>3.0940710995630094</v>
      </c>
      <c r="N38">
        <f>'Wet ref 2017'!$B$41*'Soil samples 2017'!AH38%</f>
        <v>1.9059289004369908</v>
      </c>
      <c r="O38">
        <f t="shared" si="18"/>
        <v>489.01225006744806</v>
      </c>
      <c r="P38">
        <f t="shared" si="19"/>
        <v>0.48901225006744808</v>
      </c>
      <c r="Q38">
        <f>P38*('Wet ref 2017'!$B$40+M38)</f>
        <v>13.738344921952173</v>
      </c>
      <c r="R38" s="141">
        <f t="shared" si="20"/>
        <v>7.2082148073846035</v>
      </c>
      <c r="S38" s="141">
        <f>R38*'Soil samples 2017'!AJ38/100</f>
        <v>0.47342336601047236</v>
      </c>
      <c r="T38" s="149">
        <f t="shared" si="21"/>
        <v>0.47342336601047236</v>
      </c>
      <c r="U38" s="141"/>
      <c r="V38" s="141"/>
      <c r="W38" s="141"/>
      <c r="X38" s="141"/>
      <c r="Y38">
        <f t="shared" si="0"/>
        <v>2607.4618058807341</v>
      </c>
      <c r="Z38">
        <f t="shared" si="10"/>
        <v>2.607461805880734</v>
      </c>
      <c r="AA38">
        <f>Z38*('Wet ref 2017'!$B$40+M38)</f>
        <v>73.254217363808309</v>
      </c>
      <c r="AB38" s="175">
        <f t="shared" si="1"/>
        <v>38.43491609105282</v>
      </c>
      <c r="AC38" s="175">
        <f>AB38*'Soil samples 2017'!AJ38/100</f>
        <v>2.524340330356837</v>
      </c>
      <c r="AD38" s="174">
        <f t="shared" si="11"/>
        <v>2.524340330356837</v>
      </c>
      <c r="AE38" s="175"/>
      <c r="AF38" s="175"/>
      <c r="AG38" s="175"/>
      <c r="AH38" s="175"/>
      <c r="AI38">
        <f t="shared" si="2"/>
        <v>110.22071907192702</v>
      </c>
      <c r="AJ38">
        <f t="shared" si="12"/>
        <v>0.11022071907192701</v>
      </c>
      <c r="AK38">
        <f>AJ38*('Wet ref 2017'!$B$40+M38)</f>
        <v>3.096548718251678</v>
      </c>
      <c r="AL38" s="175">
        <f t="shared" si="3"/>
        <v>1.6246926721881925</v>
      </c>
      <c r="AM38" s="175">
        <f>AL38*'Soil samples 2017'!AJ38/100</f>
        <v>0.10670706883095293</v>
      </c>
      <c r="AN38" s="174">
        <f t="shared" si="13"/>
        <v>106.70706883095293</v>
      </c>
      <c r="AO38" s="175"/>
      <c r="AP38" s="175"/>
      <c r="AQ38" s="175"/>
      <c r="AR38">
        <f t="shared" si="4"/>
        <v>24.899936723805048</v>
      </c>
      <c r="AS38">
        <f t="shared" si="14"/>
        <v>2.4899936723805048E-2</v>
      </c>
      <c r="AT38">
        <f>AS38*('Wet ref 2017'!$B$40+M38)</f>
        <v>0.69954059269319901</v>
      </c>
      <c r="AU38" s="175">
        <f t="shared" si="5"/>
        <v>0.36703393947843937</v>
      </c>
      <c r="AV38" s="175">
        <f>AU38*'Soil samples 2017'!AJ38/100</f>
        <v>2.4106168824207665E-2</v>
      </c>
      <c r="AW38" s="174">
        <f t="shared" si="15"/>
        <v>24.106168824207664</v>
      </c>
      <c r="AX38" s="175"/>
      <c r="AY38" s="175"/>
      <c r="AZ38" s="175"/>
      <c r="BA38">
        <f t="shared" si="6"/>
        <v>21803.462667856864</v>
      </c>
      <c r="BB38">
        <f t="shared" si="16"/>
        <v>21.803462667856863</v>
      </c>
      <c r="BC38">
        <f>BB38*('Wet ref 2017'!$B$40+M38)</f>
        <v>612.54803040743855</v>
      </c>
      <c r="BD38" s="175">
        <f t="shared" si="7"/>
        <v>321.39080858000199</v>
      </c>
      <c r="BE38" s="175">
        <f>BD38*'Soil samples 2017'!AJ38/100</f>
        <v>21.108405127840356</v>
      </c>
      <c r="BF38" s="174">
        <f t="shared" si="17"/>
        <v>21.108405127840356</v>
      </c>
    </row>
    <row r="39" spans="1:58">
      <c r="A39" s="6" t="s">
        <v>1100</v>
      </c>
      <c r="B39" s="6" t="s">
        <v>198</v>
      </c>
      <c r="C39" s="6" t="s">
        <v>12</v>
      </c>
      <c r="D39" s="6">
        <v>2</v>
      </c>
      <c r="E39" s="6">
        <v>20</v>
      </c>
      <c r="F39" s="67">
        <v>43014</v>
      </c>
      <c r="G39" s="24">
        <v>43010</v>
      </c>
      <c r="H39">
        <f>'Wet ref 2017'!B82</f>
        <v>214.12990946970834</v>
      </c>
      <c r="I39">
        <f>'Wet ref 2017'!C82</f>
        <v>1129.6103368324862</v>
      </c>
      <c r="J39">
        <f>'Wet ref 2017'!D82</f>
        <v>32.132509548871198</v>
      </c>
      <c r="K39">
        <f>'Wet ref 2017'!E82</f>
        <v>8.5997490486857622</v>
      </c>
      <c r="L39">
        <f t="shared" si="9"/>
        <v>7256.0088023835688</v>
      </c>
      <c r="M39">
        <f>'Wet ref 2017'!$B$41*'Soil samples 2017'!AI39%</f>
        <v>2.4924846425303886</v>
      </c>
      <c r="N39">
        <f>'Wet ref 2017'!$B$41*'Soil samples 2017'!AH39%</f>
        <v>2.5075153574696114</v>
      </c>
      <c r="O39">
        <f t="shared" si="18"/>
        <v>214.12990946970834</v>
      </c>
      <c r="P39">
        <f t="shared" si="19"/>
        <v>0.21412990946970833</v>
      </c>
      <c r="Q39">
        <f>P39*('Wet ref 2017'!$B$40+M39)</f>
        <v>5.8869632476023792</v>
      </c>
      <c r="R39" s="141">
        <f t="shared" si="20"/>
        <v>2.3477276938965761</v>
      </c>
      <c r="S39" s="141">
        <f>R39*'Soil samples 2017'!AJ39/100</f>
        <v>0.63685168412562576</v>
      </c>
      <c r="T39" s="149">
        <f t="shared" si="21"/>
        <v>0.63685168412562576</v>
      </c>
      <c r="U39" s="141"/>
      <c r="V39" s="141"/>
      <c r="W39" s="141"/>
      <c r="X39" s="141"/>
      <c r="Y39">
        <f t="shared" si="0"/>
        <v>1129.6103368324862</v>
      </c>
      <c r="Z39">
        <f t="shared" si="10"/>
        <v>1.1296103368324861</v>
      </c>
      <c r="AA39">
        <f>Z39*('Wet ref 2017'!$B$40+M39)</f>
        <v>31.055794837410705</v>
      </c>
      <c r="AB39" s="175">
        <f t="shared" si="1"/>
        <v>12.385086593746642</v>
      </c>
      <c r="AC39" s="175">
        <f>AB39*'Soil samples 2017'!AJ39/100</f>
        <v>3.3596158855110918</v>
      </c>
      <c r="AD39" s="174">
        <f t="shared" si="11"/>
        <v>3.3596158855110918</v>
      </c>
      <c r="AE39" s="175"/>
      <c r="AF39" s="175"/>
      <c r="AG39" s="175"/>
      <c r="AH39" s="175"/>
      <c r="AI39">
        <f t="shared" si="2"/>
        <v>32.132509548871198</v>
      </c>
      <c r="AJ39">
        <f t="shared" si="12"/>
        <v>3.2132509548871195E-2</v>
      </c>
      <c r="AK39">
        <f>AJ39*('Wet ref 2017'!$B$40+M39)</f>
        <v>0.88340252529830243</v>
      </c>
      <c r="AL39" s="175">
        <f t="shared" si="3"/>
        <v>0.35230194011244792</v>
      </c>
      <c r="AM39" s="175">
        <f>AL39*'Soil samples 2017'!AJ39/100</f>
        <v>9.5566485186770411E-2</v>
      </c>
      <c r="AN39" s="174">
        <f t="shared" si="13"/>
        <v>95.566485186770407</v>
      </c>
      <c r="AO39" s="175"/>
      <c r="AP39" s="175"/>
      <c r="AQ39" s="175"/>
      <c r="AR39">
        <f t="shared" si="4"/>
        <v>8.5997490486857622</v>
      </c>
      <c r="AS39">
        <f t="shared" si="14"/>
        <v>8.5997490486857623E-3</v>
      </c>
      <c r="AT39">
        <f>AS39*('Wet ref 2017'!$B$40+M39)</f>
        <v>0.23642846865060865</v>
      </c>
      <c r="AU39" s="175">
        <f t="shared" si="5"/>
        <v>9.4287944417295128E-2</v>
      </c>
      <c r="AV39" s="175">
        <f>AU39*'Soil samples 2017'!AJ39/100</f>
        <v>2.5576831738622859E-2</v>
      </c>
      <c r="AW39" s="174">
        <f t="shared" si="15"/>
        <v>25.576831738622857</v>
      </c>
      <c r="AX39" s="175"/>
      <c r="AY39" s="175"/>
      <c r="AZ39" s="175"/>
      <c r="BA39">
        <f t="shared" si="6"/>
        <v>7256.0088023835688</v>
      </c>
      <c r="BB39">
        <f t="shared" si="16"/>
        <v>7.2560088023835689</v>
      </c>
      <c r="BC39">
        <f>BB39*('Wet ref 2017'!$B$40+M39)</f>
        <v>199.48571056559558</v>
      </c>
      <c r="BD39" s="175">
        <f t="shared" si="7"/>
        <v>79.555130129651914</v>
      </c>
      <c r="BE39" s="175">
        <f>BD39*'Soil samples 2017'!AJ39/100</f>
        <v>21.58036416898614</v>
      </c>
      <c r="BF39" s="174">
        <f t="shared" si="17"/>
        <v>21.58036416898614</v>
      </c>
    </row>
    <row r="40" spans="1:58">
      <c r="A40" s="6" t="s">
        <v>128</v>
      </c>
      <c r="B40" s="6" t="s">
        <v>198</v>
      </c>
      <c r="C40" s="6" t="s">
        <v>12</v>
      </c>
      <c r="D40" s="6">
        <v>4</v>
      </c>
      <c r="E40" s="6">
        <v>5</v>
      </c>
      <c r="F40" s="67">
        <v>43018</v>
      </c>
      <c r="G40" s="24">
        <v>43015</v>
      </c>
      <c r="H40">
        <f>'Wet ref 2017'!B83</f>
        <v>2723.7116445337087</v>
      </c>
      <c r="I40">
        <f>'Wet ref 2017'!C83</f>
        <v>11248.244974756723</v>
      </c>
      <c r="J40">
        <f>'Wet ref 2017'!D83</f>
        <v>167.82224236891153</v>
      </c>
      <c r="K40">
        <f>'Wet ref 2017'!E83</f>
        <v>38.225866022127676</v>
      </c>
      <c r="L40">
        <f t="shared" si="9"/>
        <v>24253.909402837242</v>
      </c>
      <c r="M40">
        <f>'Wet ref 2017'!$B$41*'Soil samples 2017'!AI40%</f>
        <v>3.2443617763310857</v>
      </c>
      <c r="N40">
        <f>'Wet ref 2017'!$B$41*'Soil samples 2017'!AH40%</f>
        <v>1.7556382236689141</v>
      </c>
      <c r="O40">
        <f t="shared" si="18"/>
        <v>2723.7116445337087</v>
      </c>
      <c r="P40">
        <f t="shared" si="19"/>
        <v>2.7237116445337088</v>
      </c>
      <c r="Q40">
        <f>P40*('Wet ref 2017'!$B$40+M40)</f>
        <v>76.929497062615766</v>
      </c>
      <c r="R40" s="141">
        <f t="shared" si="20"/>
        <v>43.818536202663282</v>
      </c>
      <c r="S40" s="141">
        <f>R40*'Soil samples 2017'!AJ40/100</f>
        <v>2.3878915888235936</v>
      </c>
      <c r="T40" s="149">
        <f t="shared" si="21"/>
        <v>2.3878915888235936</v>
      </c>
      <c r="U40" s="141"/>
      <c r="V40" s="141"/>
      <c r="W40" s="141"/>
      <c r="X40" s="141"/>
      <c r="Y40">
        <f t="shared" si="0"/>
        <v>11248.244974756723</v>
      </c>
      <c r="Z40">
        <f t="shared" si="10"/>
        <v>11.248244974756723</v>
      </c>
      <c r="AA40">
        <f>Z40*('Wet ref 2017'!$B$40+M40)</f>
        <v>317.699500415827</v>
      </c>
      <c r="AB40" s="175">
        <f t="shared" si="1"/>
        <v>180.95954857482081</v>
      </c>
      <c r="AC40" s="175">
        <f>AB40*'Soil samples 2017'!AJ40/100</f>
        <v>9.8613924929072709</v>
      </c>
      <c r="AD40" s="174">
        <f t="shared" si="11"/>
        <v>9.8613924929072709</v>
      </c>
      <c r="AE40" s="175"/>
      <c r="AF40" s="175"/>
      <c r="AG40" s="175"/>
      <c r="AH40" s="175"/>
      <c r="AI40">
        <f t="shared" si="2"/>
        <v>167.82224236891153</v>
      </c>
      <c r="AJ40">
        <f t="shared" si="12"/>
        <v>0.16782224236891152</v>
      </c>
      <c r="AK40">
        <f>AJ40*('Wet ref 2017'!$B$40+M40)</f>
        <v>4.7400321275826558</v>
      </c>
      <c r="AL40" s="175">
        <f t="shared" si="3"/>
        <v>2.699891164181301</v>
      </c>
      <c r="AM40" s="175">
        <f>AL40*'Soil samples 2017'!AJ40/100</f>
        <v>0.14713059724016564</v>
      </c>
      <c r="AN40" s="174">
        <f t="shared" si="13"/>
        <v>147.13059724016566</v>
      </c>
      <c r="AO40" s="175"/>
      <c r="AP40" s="175"/>
      <c r="AQ40" s="175"/>
      <c r="AR40">
        <f t="shared" si="4"/>
        <v>38.225866022127676</v>
      </c>
      <c r="AS40">
        <f t="shared" si="14"/>
        <v>3.8225866022127679E-2</v>
      </c>
      <c r="AT40">
        <f>AS40*('Wet ref 2017'!$B$40+M40)</f>
        <v>1.0796651891425362</v>
      </c>
      <c r="AU40" s="175">
        <f t="shared" si="5"/>
        <v>0.61497019977513556</v>
      </c>
      <c r="AV40" s="175">
        <f>AU40*'Soil samples 2017'!AJ40/100</f>
        <v>3.3512807470984327E-2</v>
      </c>
      <c r="AW40" s="174">
        <f t="shared" si="15"/>
        <v>33.51280747098432</v>
      </c>
      <c r="AX40" s="175"/>
      <c r="AY40" s="175"/>
      <c r="AZ40" s="175"/>
      <c r="BA40">
        <f t="shared" si="6"/>
        <v>24253.909402837242</v>
      </c>
      <c r="BB40">
        <f t="shared" si="16"/>
        <v>24.253909402837241</v>
      </c>
      <c r="BC40">
        <f>BB40*('Wet ref 2017'!$B$40+M40)</f>
        <v>685.03619166409328</v>
      </c>
      <c r="BD40" s="175">
        <f t="shared" si="7"/>
        <v>390.19211499765134</v>
      </c>
      <c r="BE40" s="175">
        <f>BD40*'Soil samples 2017'!AJ40/100</f>
        <v>21.263523389253454</v>
      </c>
      <c r="BF40" s="174">
        <f t="shared" si="17"/>
        <v>21.263523389253454</v>
      </c>
    </row>
    <row r="41" spans="1:58">
      <c r="A41" s="6" t="s">
        <v>132</v>
      </c>
      <c r="B41" s="6" t="s">
        <v>198</v>
      </c>
      <c r="C41" s="6" t="s">
        <v>12</v>
      </c>
      <c r="D41" s="6">
        <v>5</v>
      </c>
      <c r="E41" s="6">
        <v>5</v>
      </c>
      <c r="F41" s="67">
        <v>43018</v>
      </c>
      <c r="G41" s="24">
        <v>43015</v>
      </c>
      <c r="H41">
        <f>'Wet ref 2017'!B84</f>
        <v>6295.0914520818969</v>
      </c>
      <c r="I41">
        <f>'Wet ref 2017'!C84</f>
        <v>1501.891256658465</v>
      </c>
      <c r="J41">
        <f>'Wet ref 2017'!D84</f>
        <v>101.25936491291543</v>
      </c>
      <c r="K41">
        <f>'Wet ref 2017'!E84</f>
        <v>21.164826837691969</v>
      </c>
      <c r="L41">
        <f t="shared" si="9"/>
        <v>13367.844128951609</v>
      </c>
      <c r="M41">
        <f>'Wet ref 2017'!$B$41*'Soil samples 2017'!AI41%</f>
        <v>2.9649638769899624</v>
      </c>
      <c r="N41">
        <f>'Wet ref 2017'!$B$41*'Soil samples 2017'!AH41%</f>
        <v>2.0350361230100376</v>
      </c>
      <c r="O41">
        <f t="shared" si="18"/>
        <v>6295.0914520818969</v>
      </c>
      <c r="P41">
        <f t="shared" si="19"/>
        <v>6.2950914520818966</v>
      </c>
      <c r="Q41">
        <f>P41*('Wet ref 2017'!$B$40+M41)</f>
        <v>176.04200505981854</v>
      </c>
      <c r="R41" s="141">
        <f t="shared" si="20"/>
        <v>86.505592244443037</v>
      </c>
      <c r="S41" s="141">
        <f>R41*'Soil samples 2017'!AJ41/100</f>
        <v>2.4716297510398517</v>
      </c>
      <c r="T41" s="149">
        <f t="shared" si="21"/>
        <v>2.4716297510398517</v>
      </c>
      <c r="U41" s="141"/>
      <c r="V41" s="141"/>
      <c r="W41" s="141"/>
      <c r="X41" s="141"/>
      <c r="Y41">
        <f t="shared" si="0"/>
        <v>1501.891256658465</v>
      </c>
      <c r="Z41">
        <f t="shared" si="10"/>
        <v>1.501891256658465</v>
      </c>
      <c r="AA41">
        <f>Z41*('Wet ref 2017'!$B$40+M41)</f>
        <v>42.000334739621032</v>
      </c>
      <c r="AB41" s="175">
        <f t="shared" si="1"/>
        <v>20.638618776701623</v>
      </c>
      <c r="AC41" s="175">
        <f>AB41*'Soil samples 2017'!AJ41/100</f>
        <v>0.58968469974427928</v>
      </c>
      <c r="AD41" s="174">
        <f t="shared" si="11"/>
        <v>0.58968469974427928</v>
      </c>
      <c r="AE41" s="175"/>
      <c r="AF41" s="175"/>
      <c r="AG41" s="175"/>
      <c r="AH41" s="175"/>
      <c r="AI41">
        <f t="shared" si="2"/>
        <v>101.25936491291543</v>
      </c>
      <c r="AJ41">
        <f t="shared" si="12"/>
        <v>0.10125936491291543</v>
      </c>
      <c r="AK41">
        <f>AJ41*('Wet ref 2017'!$B$40+M41)</f>
        <v>2.8317144819966247</v>
      </c>
      <c r="AL41" s="175">
        <f t="shared" si="3"/>
        <v>1.3914811879644742</v>
      </c>
      <c r="AM41" s="175">
        <f>AL41*'Soil samples 2017'!AJ41/100</f>
        <v>3.9757271327232606E-2</v>
      </c>
      <c r="AN41" s="174">
        <f t="shared" si="13"/>
        <v>39.757271327232608</v>
      </c>
      <c r="AO41" s="175"/>
      <c r="AP41" s="175"/>
      <c r="AQ41" s="175"/>
      <c r="AR41">
        <f t="shared" si="4"/>
        <v>21.164826837691969</v>
      </c>
      <c r="AS41">
        <f t="shared" si="14"/>
        <v>2.1164826837691969E-2</v>
      </c>
      <c r="AT41">
        <f>AS41*('Wet ref 2017'!$B$40+M41)</f>
        <v>0.59187361797880367</v>
      </c>
      <c r="AU41" s="175">
        <f t="shared" si="5"/>
        <v>0.29084182402785008</v>
      </c>
      <c r="AV41" s="175">
        <f>AU41*'Soil samples 2017'!AJ41/100</f>
        <v>8.3099055964224022E-3</v>
      </c>
      <c r="AW41" s="174">
        <f t="shared" si="15"/>
        <v>8.3099055964224018</v>
      </c>
      <c r="AX41" s="175"/>
      <c r="AY41" s="175"/>
      <c r="AZ41" s="175"/>
      <c r="BA41">
        <f t="shared" si="6"/>
        <v>13367.844128951609</v>
      </c>
      <c r="BB41">
        <f t="shared" si="16"/>
        <v>13.367844128951608</v>
      </c>
      <c r="BC41">
        <f>BB41*('Wet ref 2017'!$B$40+M41)</f>
        <v>373.83127817936406</v>
      </c>
      <c r="BD41" s="175">
        <f t="shared" si="7"/>
        <v>183.69761300670544</v>
      </c>
      <c r="BE41" s="175">
        <f>BD41*'Soil samples 2017'!AJ41/100</f>
        <v>5.2485911456382714</v>
      </c>
      <c r="BF41" s="174">
        <f t="shared" si="17"/>
        <v>5.2485911456382714</v>
      </c>
    </row>
    <row r="42" spans="1:58">
      <c r="A42" s="7" t="s">
        <v>135</v>
      </c>
      <c r="B42" s="7" t="s">
        <v>198</v>
      </c>
      <c r="C42" s="7" t="s">
        <v>12</v>
      </c>
      <c r="D42" s="7">
        <v>6</v>
      </c>
      <c r="E42" s="7">
        <v>5</v>
      </c>
      <c r="F42" s="67">
        <v>43018</v>
      </c>
      <c r="G42" s="24">
        <v>43015</v>
      </c>
      <c r="H42">
        <f>'Wet ref 2017'!B85</f>
        <v>1523.4358568901948</v>
      </c>
      <c r="I42">
        <f>'Wet ref 2017'!C85</f>
        <v>9224.1851060388053</v>
      </c>
      <c r="J42">
        <f>'Wet ref 2017'!D85</f>
        <v>209.17267039576711</v>
      </c>
      <c r="K42">
        <f>'Wet ref 2017'!E85</f>
        <v>36.801842298123248</v>
      </c>
      <c r="L42">
        <f t="shared" si="9"/>
        <v>26054.221335194248</v>
      </c>
      <c r="M42">
        <f>'Wet ref 2017'!$B$41*'Soil samples 2017'!AI42%</f>
        <v>2.8765350149352802</v>
      </c>
      <c r="N42">
        <f>'Wet ref 2017'!$B$41*'Soil samples 2017'!AH42%</f>
        <v>2.1234649850647198</v>
      </c>
      <c r="O42">
        <f t="shared" si="18"/>
        <v>1523.4358568901948</v>
      </c>
      <c r="P42">
        <f t="shared" si="19"/>
        <v>1.5234358568901949</v>
      </c>
      <c r="Q42">
        <f>P42*('Wet ref 2017'!$B$40+M42)</f>
        <v>42.46811300760745</v>
      </c>
      <c r="R42" s="141">
        <f t="shared" si="20"/>
        <v>19.999441152222762</v>
      </c>
      <c r="S42" s="141">
        <f>R42*'Soil samples 2017'!AJ42/100</f>
        <v>0.86550014309503964</v>
      </c>
      <c r="T42" s="149">
        <f t="shared" si="21"/>
        <v>0.86550014309503964</v>
      </c>
      <c r="U42" s="141"/>
      <c r="V42" s="141"/>
      <c r="W42" s="141"/>
      <c r="X42" s="141"/>
      <c r="Y42">
        <f t="shared" si="0"/>
        <v>9224.1851060388053</v>
      </c>
      <c r="Z42">
        <f t="shared" si="10"/>
        <v>9.2241851060388047</v>
      </c>
      <c r="AA42">
        <f>Z42*('Wet ref 2017'!$B$40+M42)</f>
        <v>257.13831909273523</v>
      </c>
      <c r="AB42" s="175">
        <f t="shared" si="1"/>
        <v>121.09374107946408</v>
      </c>
      <c r="AC42" s="175">
        <f>AB42*'Soil samples 2017'!AJ42/100</f>
        <v>5.2404789431099434</v>
      </c>
      <c r="AD42" s="174">
        <f t="shared" si="11"/>
        <v>5.2404789431099434</v>
      </c>
      <c r="AE42" s="175"/>
      <c r="AF42" s="175"/>
      <c r="AG42" s="175"/>
      <c r="AH42" s="175"/>
      <c r="AI42">
        <f t="shared" si="2"/>
        <v>209.17267039576711</v>
      </c>
      <c r="AJ42">
        <f t="shared" si="12"/>
        <v>0.20917267039576712</v>
      </c>
      <c r="AK42">
        <f>AJ42*('Wet ref 2017'!$B$40+M42)</f>
        <v>5.8310092704551177</v>
      </c>
      <c r="AL42" s="175">
        <f t="shared" si="3"/>
        <v>2.7459879543421799</v>
      </c>
      <c r="AM42" s="175">
        <f>AL42*'Soil samples 2017'!AJ42/100</f>
        <v>0.11883596893187529</v>
      </c>
      <c r="AN42" s="174">
        <f t="shared" si="13"/>
        <v>118.83596893187529</v>
      </c>
      <c r="AO42" s="175"/>
      <c r="AP42" s="175"/>
      <c r="AQ42" s="175"/>
      <c r="AR42">
        <f t="shared" si="4"/>
        <v>36.801842298123248</v>
      </c>
      <c r="AS42">
        <f t="shared" si="14"/>
        <v>3.680184229812325E-2</v>
      </c>
      <c r="AT42">
        <f>AS42*('Wet ref 2017'!$B$40+M42)</f>
        <v>1.025907845437759</v>
      </c>
      <c r="AU42" s="175">
        <f t="shared" si="5"/>
        <v>0.48312915572115778</v>
      </c>
      <c r="AV42" s="175">
        <f>AU42*'Soil samples 2017'!AJ42/100</f>
        <v>2.0908001890021524E-2</v>
      </c>
      <c r="AW42" s="174">
        <f t="shared" si="15"/>
        <v>20.908001890021524</v>
      </c>
      <c r="AX42" s="175"/>
      <c r="AY42" s="175"/>
      <c r="AZ42" s="175"/>
      <c r="BA42">
        <f t="shared" si="6"/>
        <v>26054.221335194248</v>
      </c>
      <c r="BB42">
        <f t="shared" si="16"/>
        <v>26.054221335194249</v>
      </c>
      <c r="BC42">
        <f>BB42*('Wet ref 2017'!$B$40+M42)</f>
        <v>726.30141333741631</v>
      </c>
      <c r="BD42" s="175">
        <f t="shared" si="7"/>
        <v>342.03597348947096</v>
      </c>
      <c r="BE42" s="175">
        <f>BD42*'Soil samples 2017'!AJ42/100</f>
        <v>14.802022803816541</v>
      </c>
      <c r="BF42" s="174">
        <f t="shared" si="17"/>
        <v>14.802022803816541</v>
      </c>
    </row>
    <row r="43" spans="1:58">
      <c r="A43" s="6" t="s">
        <v>154</v>
      </c>
      <c r="B43" s="6" t="s">
        <v>548</v>
      </c>
      <c r="C43" s="6" t="s">
        <v>12</v>
      </c>
      <c r="D43" s="6">
        <v>1</v>
      </c>
      <c r="E43" s="6">
        <v>5</v>
      </c>
      <c r="F43" s="67">
        <v>43018</v>
      </c>
      <c r="G43" s="24">
        <v>43014</v>
      </c>
      <c r="H43">
        <f>'Wet ref 2017'!B86</f>
        <v>3652.7129035642556</v>
      </c>
      <c r="I43">
        <f>'Wet ref 2017'!C86</f>
        <v>509.30673636593247</v>
      </c>
      <c r="J43">
        <f>'Wet ref 2017'!D86</f>
        <v>15.868845759585144</v>
      </c>
      <c r="K43">
        <f>'Wet ref 2017'!E86</f>
        <v>11.500681327952032</v>
      </c>
      <c r="L43">
        <f t="shared" si="9"/>
        <v>7338.6616880218444</v>
      </c>
      <c r="M43">
        <f>'Wet ref 2017'!$B$41*'Soil samples 2017'!AI43%</f>
        <v>2.5685014061872247</v>
      </c>
      <c r="N43">
        <f>'Wet ref 2017'!$B$41*'Soil samples 2017'!AH43%</f>
        <v>2.4314985938127758</v>
      </c>
      <c r="O43">
        <f t="shared" si="18"/>
        <v>3652.7129035642556</v>
      </c>
      <c r="P43">
        <f t="shared" si="19"/>
        <v>3.6527129035642556</v>
      </c>
      <c r="Q43">
        <f>P43*('Wet ref 2017'!$B$40+M43)</f>
        <v>100.69982081830939</v>
      </c>
      <c r="R43" s="141">
        <f t="shared" si="20"/>
        <v>41.414714807794468</v>
      </c>
      <c r="S43" s="141">
        <f>R43*'Soil samples 2017'!AJ43/100</f>
        <v>2.8639029040727189</v>
      </c>
      <c r="T43" s="149">
        <f t="shared" si="21"/>
        <v>2.8639029040727189</v>
      </c>
      <c r="U43" s="141"/>
      <c r="V43" s="141"/>
      <c r="W43" s="141"/>
      <c r="X43" s="141"/>
      <c r="Y43">
        <f t="shared" si="0"/>
        <v>509.30673636593247</v>
      </c>
      <c r="Z43">
        <f t="shared" si="10"/>
        <v>0.50930673636593249</v>
      </c>
      <c r="AA43">
        <f>Z43*('Wet ref 2017'!$B$40+M43)</f>
        <v>14.040823477684835</v>
      </c>
      <c r="AB43" s="175">
        <f t="shared" si="1"/>
        <v>5.7745554586843291</v>
      </c>
      <c r="AC43" s="175">
        <f>AB43*'Soil samples 2017'!AJ43/100</f>
        <v>0.39932101970535672</v>
      </c>
      <c r="AD43" s="174">
        <f t="shared" si="11"/>
        <v>0.39932101970535672</v>
      </c>
      <c r="AE43" s="175"/>
      <c r="AF43" s="175"/>
      <c r="AG43" s="175"/>
      <c r="AH43" s="175"/>
      <c r="AI43">
        <f t="shared" si="2"/>
        <v>15.868845759585144</v>
      </c>
      <c r="AJ43">
        <f t="shared" si="12"/>
        <v>1.5868845759585144E-2</v>
      </c>
      <c r="AK43">
        <f>AJ43*('Wet ref 2017'!$B$40+M43)</f>
        <v>0.43748029663769122</v>
      </c>
      <c r="AL43" s="175">
        <f t="shared" si="3"/>
        <v>0.17992208498532941</v>
      </c>
      <c r="AM43" s="175">
        <f>AL43*'Soil samples 2017'!AJ43/100</f>
        <v>1.2441939636375935E-2</v>
      </c>
      <c r="AN43" s="174">
        <f t="shared" si="13"/>
        <v>12.441939636375935</v>
      </c>
      <c r="AO43" s="175"/>
      <c r="AP43" s="175"/>
      <c r="AQ43" s="175"/>
      <c r="AR43">
        <f t="shared" si="4"/>
        <v>11.500681327952032</v>
      </c>
      <c r="AS43">
        <f t="shared" si="14"/>
        <v>1.1500681327952032E-2</v>
      </c>
      <c r="AT43">
        <f>AS43*('Wet ref 2017'!$B$40+M43)</f>
        <v>0.31705654936175676</v>
      </c>
      <c r="AU43" s="175">
        <f t="shared" si="5"/>
        <v>0.13039553062812503</v>
      </c>
      <c r="AV43" s="175">
        <f>AU43*'Soil samples 2017'!AJ43/100</f>
        <v>9.0170882638483611E-3</v>
      </c>
      <c r="AW43" s="174">
        <f t="shared" si="15"/>
        <v>9.0170882638483612</v>
      </c>
      <c r="AX43" s="175"/>
      <c r="AY43" s="175"/>
      <c r="AZ43" s="175"/>
      <c r="BA43">
        <f t="shared" si="6"/>
        <v>7338.6616880218444</v>
      </c>
      <c r="BB43">
        <f t="shared" si="16"/>
        <v>7.338661688021844</v>
      </c>
      <c r="BC43">
        <f>BB43*('Wet ref 2017'!$B$40+M43)</f>
        <v>202.31590506576251</v>
      </c>
      <c r="BD43" s="175">
        <f t="shared" si="7"/>
        <v>83.20626036164623</v>
      </c>
      <c r="BE43" s="175">
        <f>BD43*'Soil samples 2017'!AJ43/100</f>
        <v>5.7538643400702858</v>
      </c>
      <c r="BF43" s="174">
        <f t="shared" si="17"/>
        <v>5.7538643400702858</v>
      </c>
    </row>
    <row r="44" spans="1:58">
      <c r="A44" s="6" t="s">
        <v>158</v>
      </c>
      <c r="B44" s="6" t="s">
        <v>548</v>
      </c>
      <c r="C44" s="6" t="s">
        <v>12</v>
      </c>
      <c r="D44" s="6">
        <v>2</v>
      </c>
      <c r="E44" s="6">
        <v>5</v>
      </c>
      <c r="F44" s="67">
        <v>43018</v>
      </c>
      <c r="G44" s="24">
        <v>43014</v>
      </c>
      <c r="H44">
        <f>'Wet ref 2017'!B87</f>
        <v>1109.1098878863277</v>
      </c>
      <c r="I44">
        <f>'Wet ref 2017'!C87</f>
        <v>9687.4468387012548</v>
      </c>
      <c r="J44">
        <f>'Wet ref 2017'!D87</f>
        <v>173.47807598960605</v>
      </c>
      <c r="K44">
        <f>'Wet ref 2017'!E87</f>
        <v>38.457036386881676</v>
      </c>
      <c r="L44">
        <f t="shared" si="9"/>
        <v>27660.479660294099</v>
      </c>
      <c r="M44">
        <f>'Wet ref 2017'!$B$41*'Soil samples 2017'!AI44%</f>
        <v>3.1414850917431196</v>
      </c>
      <c r="N44">
        <f>'Wet ref 2017'!$B$41*'Soil samples 2017'!AH44%</f>
        <v>1.8585149082568806</v>
      </c>
      <c r="O44">
        <f t="shared" si="18"/>
        <v>1109.1098878863277</v>
      </c>
      <c r="P44">
        <f t="shared" si="19"/>
        <v>1.1091098878863277</v>
      </c>
      <c r="Q44">
        <f>P44*('Wet ref 2017'!$B$40+M44)</f>
        <v>31.211999375057975</v>
      </c>
      <c r="R44" s="141">
        <f t="shared" si="20"/>
        <v>16.794053809518275</v>
      </c>
      <c r="S44" s="141">
        <f>R44*'Soil samples 2017'!AJ44/100</f>
        <v>0</v>
      </c>
      <c r="T44" s="149">
        <f t="shared" si="21"/>
        <v>0</v>
      </c>
      <c r="U44" s="141"/>
      <c r="V44" s="141"/>
      <c r="W44" s="141"/>
      <c r="X44" s="141"/>
      <c r="Y44">
        <f t="shared" si="0"/>
        <v>9687.4468387012548</v>
      </c>
      <c r="Z44">
        <f t="shared" si="10"/>
        <v>9.6874468387012556</v>
      </c>
      <c r="AA44">
        <f>Z44*('Wet ref 2017'!$B$40+M44)</f>
        <v>272.61914078836543</v>
      </c>
      <c r="AB44" s="175">
        <f t="shared" si="1"/>
        <v>146.68655041570671</v>
      </c>
      <c r="AC44" s="175">
        <f>AB44*'Soil samples 2017'!AJ44/100</f>
        <v>0</v>
      </c>
      <c r="AD44" s="174">
        <f t="shared" si="11"/>
        <v>0</v>
      </c>
      <c r="AE44" s="175"/>
      <c r="AF44" s="175"/>
      <c r="AG44" s="175"/>
      <c r="AH44" s="175"/>
      <c r="AI44">
        <f t="shared" si="2"/>
        <v>173.47807598960605</v>
      </c>
      <c r="AJ44">
        <f t="shared" si="12"/>
        <v>0.17347807598960605</v>
      </c>
      <c r="AK44">
        <f>AJ44*('Wet ref 2017'!$B$40+M44)</f>
        <v>4.8819306892057792</v>
      </c>
      <c r="AL44" s="175">
        <f t="shared" si="3"/>
        <v>2.6267912447280768</v>
      </c>
      <c r="AM44" s="175">
        <f>AL44*'Soil samples 2017'!AJ44/100</f>
        <v>0</v>
      </c>
      <c r="AN44" s="174">
        <f t="shared" si="13"/>
        <v>0</v>
      </c>
      <c r="AO44" s="175"/>
      <c r="AP44" s="175"/>
      <c r="AQ44" s="175"/>
      <c r="AR44">
        <f t="shared" si="4"/>
        <v>38.457036386881676</v>
      </c>
      <c r="AS44">
        <f t="shared" si="14"/>
        <v>3.8457036386881673E-2</v>
      </c>
      <c r="AT44">
        <f>AS44*('Wet ref 2017'!$B$40+M44)</f>
        <v>1.0822381161540533</v>
      </c>
      <c r="AU44" s="175">
        <f t="shared" si="5"/>
        <v>0.58231338976403213</v>
      </c>
      <c r="AV44" s="175">
        <f>AU44*'Soil samples 2017'!AJ44/100</f>
        <v>0</v>
      </c>
      <c r="AW44" s="174">
        <f t="shared" si="15"/>
        <v>0</v>
      </c>
      <c r="AX44" s="175"/>
      <c r="AY44" s="175"/>
      <c r="AZ44" s="175"/>
      <c r="BA44">
        <f t="shared" si="6"/>
        <v>27660.479660294099</v>
      </c>
      <c r="BB44">
        <f t="shared" si="16"/>
        <v>27.660479660294097</v>
      </c>
      <c r="BC44">
        <f>BB44*('Wet ref 2017'!$B$40+M44)</f>
        <v>778.40697599063014</v>
      </c>
      <c r="BD44" s="175">
        <f t="shared" si="7"/>
        <v>418.83278553880729</v>
      </c>
      <c r="BE44" s="175">
        <f>BD44*'Soil samples 2017'!AJ44/100</f>
        <v>0</v>
      </c>
      <c r="BF44" s="174">
        <f t="shared" si="17"/>
        <v>0</v>
      </c>
    </row>
    <row r="45" spans="1:58">
      <c r="A45" s="6" t="s">
        <v>162</v>
      </c>
      <c r="B45" s="6" t="s">
        <v>548</v>
      </c>
      <c r="C45" s="6" t="s">
        <v>12</v>
      </c>
      <c r="D45" s="6">
        <v>3</v>
      </c>
      <c r="E45" s="6">
        <v>5</v>
      </c>
      <c r="F45" s="67">
        <v>43018</v>
      </c>
      <c r="G45" s="24">
        <v>43014</v>
      </c>
      <c r="H45">
        <f>'Wet ref 2017'!B88</f>
        <v>245.26393626907281</v>
      </c>
      <c r="I45">
        <f>'Wet ref 2017'!C88</f>
        <v>14546.501641735558</v>
      </c>
      <c r="J45">
        <f>'Wet ref 2017'!D88</f>
        <v>273.02074771382979</v>
      </c>
      <c r="K45">
        <f>'Wet ref 2017'!E88</f>
        <v>41.816323699711901</v>
      </c>
      <c r="L45">
        <f t="shared" si="9"/>
        <v>27024.558121707269</v>
      </c>
      <c r="M45">
        <f>'Wet ref 2017'!$B$41*'Soil samples 2017'!AI45%</f>
        <v>2.3312693498452015</v>
      </c>
      <c r="N45">
        <f>'Wet ref 2017'!$B$41*'Soil samples 2017'!AH45%</f>
        <v>2.6687306501547985</v>
      </c>
      <c r="O45">
        <f t="shared" si="18"/>
        <v>245.26393626907281</v>
      </c>
      <c r="P45">
        <f t="shared" si="19"/>
        <v>0.24526393626907281</v>
      </c>
      <c r="Q45">
        <f>P45*('Wet ref 2017'!$B$40+M45)</f>
        <v>6.7033747039732967</v>
      </c>
      <c r="R45" s="141">
        <f t="shared" si="20"/>
        <v>2.5118213797950988</v>
      </c>
      <c r="S45" s="141">
        <f>R45*'Soil samples 2017'!AJ45/100</f>
        <v>3.8745505788965663E-2</v>
      </c>
      <c r="T45" s="149">
        <f t="shared" si="21"/>
        <v>3.8745505788965663E-2</v>
      </c>
      <c r="U45" s="141"/>
      <c r="V45" s="141"/>
      <c r="W45" s="141"/>
      <c r="X45" s="141"/>
      <c r="Y45">
        <f t="shared" si="0"/>
        <v>14546.501641735558</v>
      </c>
      <c r="Z45">
        <f t="shared" si="10"/>
        <v>14.546501641735558</v>
      </c>
      <c r="AA45">
        <f>Z45*('Wet ref 2017'!$B$40+M45)</f>
        <v>397.57435446823996</v>
      </c>
      <c r="AB45" s="175">
        <f t="shared" si="1"/>
        <v>148.97507713833124</v>
      </c>
      <c r="AC45" s="175">
        <f>AB45*'Soil samples 2017'!AJ45/100</f>
        <v>2.2979797688264276</v>
      </c>
      <c r="AD45" s="174">
        <f t="shared" si="11"/>
        <v>2.2979797688264276</v>
      </c>
      <c r="AE45" s="175"/>
      <c r="AF45" s="175"/>
      <c r="AG45" s="175"/>
      <c r="AH45" s="175"/>
      <c r="AI45">
        <f t="shared" si="2"/>
        <v>273.02074771382979</v>
      </c>
      <c r="AJ45">
        <f t="shared" si="12"/>
        <v>0.27302074771382978</v>
      </c>
      <c r="AK45">
        <f>AJ45*('Wet ref 2017'!$B$40+M45)</f>
        <v>7.4620035938628151</v>
      </c>
      <c r="AL45" s="175">
        <f t="shared" si="3"/>
        <v>2.7960871935240017</v>
      </c>
      <c r="AM45" s="175">
        <f>AL45*'Soil samples 2017'!AJ45/100</f>
        <v>4.313038077252708E-2</v>
      </c>
      <c r="AN45" s="174">
        <f t="shared" si="13"/>
        <v>43.130380772527076</v>
      </c>
      <c r="AO45" s="175"/>
      <c r="AP45" s="175"/>
      <c r="AQ45" s="175"/>
      <c r="AR45">
        <f t="shared" si="4"/>
        <v>41.816323699711901</v>
      </c>
      <c r="AS45">
        <f t="shared" si="14"/>
        <v>4.1816323699711902E-2</v>
      </c>
      <c r="AT45">
        <f>AS45*('Wet ref 2017'!$B$40+M45)</f>
        <v>1.1428932062571413</v>
      </c>
      <c r="AU45" s="175">
        <f t="shared" si="5"/>
        <v>0.4282534867993697</v>
      </c>
      <c r="AV45" s="175">
        <f>AU45*'Soil samples 2017'!AJ45/100</f>
        <v>6.6059227321662774E-3</v>
      </c>
      <c r="AW45" s="174">
        <f t="shared" si="15"/>
        <v>6.6059227321662775</v>
      </c>
      <c r="AX45" s="175"/>
      <c r="AY45" s="175"/>
      <c r="AZ45" s="175"/>
      <c r="BA45">
        <f t="shared" si="6"/>
        <v>27024.558121707269</v>
      </c>
      <c r="BB45">
        <f t="shared" si="16"/>
        <v>27.024558121707269</v>
      </c>
      <c r="BC45">
        <f>BB45*('Wet ref 2017'!$B$40+M45)</f>
        <v>738.6154770849281</v>
      </c>
      <c r="BD45" s="175">
        <f t="shared" si="7"/>
        <v>276.7665882812434</v>
      </c>
      <c r="BE45" s="175">
        <f>BD45*'Soil samples 2017'!AJ45/100</f>
        <v>4.2691974575508853</v>
      </c>
      <c r="BF45" s="174">
        <f t="shared" si="17"/>
        <v>4.2691974575508853</v>
      </c>
    </row>
    <row r="46" spans="1:58">
      <c r="A46" s="6" t="s">
        <v>163</v>
      </c>
      <c r="B46" s="6" t="s">
        <v>548</v>
      </c>
      <c r="C46" s="6" t="s">
        <v>12</v>
      </c>
      <c r="D46" s="6">
        <v>3</v>
      </c>
      <c r="E46" s="6">
        <v>10</v>
      </c>
      <c r="F46" s="67">
        <v>43018</v>
      </c>
      <c r="G46" s="24">
        <v>43014</v>
      </c>
      <c r="H46">
        <f>'Wet ref 2017'!B89</f>
        <v>469.90196498696014</v>
      </c>
      <c r="I46">
        <f>'Wet ref 2017'!C89</f>
        <v>7671.7588280533855</v>
      </c>
      <c r="J46">
        <f>'Wet ref 2017'!D89</f>
        <v>201.25450332679475</v>
      </c>
      <c r="K46">
        <f>'Wet ref 2017'!E89</f>
        <v>32.593899189209502</v>
      </c>
      <c r="L46">
        <f t="shared" si="9"/>
        <v>24452.238396169156</v>
      </c>
      <c r="M46">
        <f>'Wet ref 2017'!$B$41*'Soil samples 2017'!AI46%</f>
        <v>3.5504405682431219</v>
      </c>
      <c r="N46">
        <f>'Wet ref 2017'!$B$41*'Soil samples 2017'!AH46%</f>
        <v>1.4495594317568783</v>
      </c>
      <c r="O46">
        <f t="shared" si="18"/>
        <v>469.90196498696014</v>
      </c>
      <c r="P46">
        <f t="shared" si="19"/>
        <v>0.46990196498696013</v>
      </c>
      <c r="Q46">
        <f>P46*('Wet ref 2017'!$B$40+M46)</f>
        <v>13.415908124260866</v>
      </c>
      <c r="R46" s="141">
        <f t="shared" si="20"/>
        <v>9.2551625206568264</v>
      </c>
      <c r="S46" s="141">
        <f>R46*'Soil samples 2017'!AJ46/100</f>
        <v>5.6883450446866074E-2</v>
      </c>
      <c r="T46" s="149">
        <f t="shared" si="21"/>
        <v>5.6883450446866074E-2</v>
      </c>
      <c r="U46" s="141"/>
      <c r="V46" s="141"/>
      <c r="W46" s="141"/>
      <c r="X46" s="141"/>
      <c r="Y46">
        <f t="shared" si="0"/>
        <v>7671.7588280533855</v>
      </c>
      <c r="Z46">
        <f t="shared" si="10"/>
        <v>7.6717588280533855</v>
      </c>
      <c r="AA46">
        <f>Z46*('Wet ref 2017'!$B$40+M46)</f>
        <v>219.03209447423268</v>
      </c>
      <c r="AB46" s="175">
        <f t="shared" si="1"/>
        <v>151.10252789619253</v>
      </c>
      <c r="AC46" s="175">
        <f>AB46*'Soil samples 2017'!AJ46/100</f>
        <v>0.9286960805707466</v>
      </c>
      <c r="AD46" s="174">
        <f t="shared" si="11"/>
        <v>0.9286960805707466</v>
      </c>
      <c r="AE46" s="175"/>
      <c r="AF46" s="175"/>
      <c r="AG46" s="175"/>
      <c r="AH46" s="175"/>
      <c r="AI46">
        <f t="shared" si="2"/>
        <v>201.25450332679475</v>
      </c>
      <c r="AJ46">
        <f t="shared" si="12"/>
        <v>0.20125450332679476</v>
      </c>
      <c r="AK46">
        <f>AJ46*('Wet ref 2017'!$B$40+M46)</f>
        <v>5.7459047363229416</v>
      </c>
      <c r="AL46" s="175">
        <f t="shared" si="3"/>
        <v>3.9638973128261852</v>
      </c>
      <c r="AM46" s="175">
        <f>AL46*'Soil samples 2017'!AJ46/100</f>
        <v>2.4362636082009271E-2</v>
      </c>
      <c r="AN46" s="174">
        <f t="shared" si="13"/>
        <v>24.362636082009271</v>
      </c>
      <c r="AO46" s="175"/>
      <c r="AP46" s="175"/>
      <c r="AQ46" s="175"/>
      <c r="AR46">
        <f t="shared" si="4"/>
        <v>32.593899189209502</v>
      </c>
      <c r="AS46">
        <f t="shared" si="14"/>
        <v>3.2593899189209505E-2</v>
      </c>
      <c r="AT46">
        <f>AS46*('Wet ref 2017'!$B$40+M46)</f>
        <v>0.93057018168883365</v>
      </c>
      <c r="AU46" s="175">
        <f t="shared" si="5"/>
        <v>0.64196759463734077</v>
      </c>
      <c r="AV46" s="175">
        <f>AU46*'Soil samples 2017'!AJ46/100</f>
        <v>3.9456175703606548E-3</v>
      </c>
      <c r="AW46" s="174">
        <f t="shared" si="15"/>
        <v>3.9456175703606546</v>
      </c>
      <c r="AX46" s="175"/>
      <c r="AY46" s="175"/>
      <c r="AZ46" s="175"/>
      <c r="BA46">
        <f t="shared" si="6"/>
        <v>24452.238396169156</v>
      </c>
      <c r="BB46">
        <f t="shared" si="16"/>
        <v>24.452238396169157</v>
      </c>
      <c r="BC46">
        <f>BB46*('Wet ref 2017'!$B$40+M46)</f>
        <v>698.12217909034007</v>
      </c>
      <c r="BD46" s="175">
        <f t="shared" si="7"/>
        <v>481.60990422049139</v>
      </c>
      <c r="BE46" s="175">
        <f>BD46*'Soil samples 2017'!AJ46/100</f>
        <v>2.9600380393430417</v>
      </c>
      <c r="BF46" s="174">
        <f t="shared" si="17"/>
        <v>2.9600380393430417</v>
      </c>
    </row>
    <row r="47" spans="1:58">
      <c r="A47" s="6" t="s">
        <v>170</v>
      </c>
      <c r="B47" s="6" t="s">
        <v>548</v>
      </c>
      <c r="C47" s="6" t="s">
        <v>12</v>
      </c>
      <c r="D47" s="6">
        <v>5</v>
      </c>
      <c r="E47" s="6">
        <v>5</v>
      </c>
      <c r="F47" s="67">
        <v>43018</v>
      </c>
      <c r="G47" s="24">
        <v>43014</v>
      </c>
      <c r="H47">
        <f>'Wet ref 2017'!B90</f>
        <v>2574.8162939536551</v>
      </c>
      <c r="I47">
        <f>'Wet ref 2017'!C90</f>
        <v>14584.730043051215</v>
      </c>
      <c r="J47">
        <f>'Wet ref 2017'!D90</f>
        <v>222.11824512757903</v>
      </c>
      <c r="K47">
        <f>'Wet ref 2017'!E90</f>
        <v>42.309717164783869</v>
      </c>
      <c r="L47">
        <f t="shared" si="9"/>
        <v>25150.170827778999</v>
      </c>
      <c r="M47">
        <f>'Wet ref 2017'!$B$41*'Soil samples 2017'!AI47%</f>
        <v>2.8489326765188832</v>
      </c>
      <c r="N47">
        <f>'Wet ref 2017'!$B$41*'Soil samples 2017'!AH47%</f>
        <v>2.1510673234811164</v>
      </c>
      <c r="O47">
        <f t="shared" si="18"/>
        <v>2574.8162939536551</v>
      </c>
      <c r="P47">
        <f t="shared" si="19"/>
        <v>2.574816293953655</v>
      </c>
      <c r="Q47">
        <f>P47*('Wet ref 2017'!$B$40+M47)</f>
        <v>71.705885624719201</v>
      </c>
      <c r="R47" s="141">
        <f t="shared" si="20"/>
        <v>33.335026217903817</v>
      </c>
      <c r="S47" s="141">
        <f>R47*'Soil samples 2017'!AJ47/100</f>
        <v>0.51915061192296708</v>
      </c>
      <c r="T47" s="149">
        <f t="shared" si="21"/>
        <v>0.51915061192296708</v>
      </c>
      <c r="U47" s="141"/>
      <c r="V47" s="141"/>
      <c r="W47" s="141"/>
      <c r="X47" s="141"/>
      <c r="Y47">
        <f t="shared" si="0"/>
        <v>14584.730043051215</v>
      </c>
      <c r="Z47">
        <f t="shared" si="10"/>
        <v>14.584730043051215</v>
      </c>
      <c r="AA47">
        <f>Z47*('Wet ref 2017'!$B$40+M47)</f>
        <v>406.16916507413566</v>
      </c>
      <c r="AB47" s="175">
        <f t="shared" si="1"/>
        <v>188.82215383980812</v>
      </c>
      <c r="AC47" s="175">
        <f>AB47*'Soil samples 2017'!AJ47/100</f>
        <v>2.9406647551367424</v>
      </c>
      <c r="AD47" s="174">
        <f t="shared" si="11"/>
        <v>2.9406647551367424</v>
      </c>
      <c r="AE47" s="175"/>
      <c r="AF47" s="175"/>
      <c r="AG47" s="175"/>
      <c r="AH47" s="175"/>
      <c r="AI47">
        <f t="shared" si="2"/>
        <v>222.11824512757903</v>
      </c>
      <c r="AJ47">
        <f t="shared" si="12"/>
        <v>0.22211824512757902</v>
      </c>
      <c r="AK47">
        <f>AJ47*('Wet ref 2017'!$B$40+M47)</f>
        <v>6.1857560547844672</v>
      </c>
      <c r="AL47" s="175">
        <f t="shared" si="3"/>
        <v>2.8756682727967489</v>
      </c>
      <c r="AM47" s="175">
        <f>AL47*'Soil samples 2017'!AJ47/100</f>
        <v>4.4784873836639545E-2</v>
      </c>
      <c r="AN47" s="174">
        <f t="shared" si="13"/>
        <v>44.784873836639548</v>
      </c>
      <c r="AO47" s="175"/>
      <c r="AP47" s="175"/>
      <c r="AQ47" s="175"/>
      <c r="AR47">
        <f t="shared" si="4"/>
        <v>42.309717164783869</v>
      </c>
      <c r="AS47">
        <f t="shared" si="14"/>
        <v>4.2309717164783871E-2</v>
      </c>
      <c r="AT47">
        <f>AS47*('Wet ref 2017'!$B$40+M47)</f>
        <v>1.1782804648846215</v>
      </c>
      <c r="AU47" s="175">
        <f t="shared" si="5"/>
        <v>0.54776549856086609</v>
      </c>
      <c r="AV47" s="175">
        <f>AU47*'Soil samples 2017'!AJ47/100</f>
        <v>8.5307505657646592E-3</v>
      </c>
      <c r="AW47" s="174">
        <f t="shared" si="15"/>
        <v>8.5307505657646594</v>
      </c>
      <c r="AX47" s="175"/>
      <c r="AY47" s="175"/>
      <c r="AZ47" s="175"/>
      <c r="BA47">
        <f t="shared" si="6"/>
        <v>25150.170827778999</v>
      </c>
      <c r="BB47">
        <f t="shared" si="16"/>
        <v>25.150170827779</v>
      </c>
      <c r="BC47">
        <f>BB47*('Wet ref 2017'!$B$40+M47)</f>
        <v>700.40541418576663</v>
      </c>
      <c r="BD47" s="175">
        <f t="shared" si="7"/>
        <v>325.60831850315412</v>
      </c>
      <c r="BE47" s="175">
        <f>BD47*'Soil samples 2017'!AJ47/100</f>
        <v>5.0709351987049498</v>
      </c>
      <c r="BF47" s="174">
        <f t="shared" si="17"/>
        <v>5.0709351987049498</v>
      </c>
    </row>
    <row r="48" spans="1:58">
      <c r="A48" s="7" t="s">
        <v>174</v>
      </c>
      <c r="B48" s="7" t="s">
        <v>548</v>
      </c>
      <c r="C48" s="7" t="s">
        <v>12</v>
      </c>
      <c r="D48" s="7">
        <v>6</v>
      </c>
      <c r="E48" s="7">
        <v>5</v>
      </c>
      <c r="F48" s="67">
        <v>43018</v>
      </c>
      <c r="G48" s="24">
        <v>43014</v>
      </c>
      <c r="H48">
        <f>'Wet ref 2017'!B91</f>
        <v>5546.9543376600013</v>
      </c>
      <c r="I48">
        <f>'Wet ref 2017'!C91</f>
        <v>15979.282943261505</v>
      </c>
      <c r="J48">
        <f>'Wet ref 2017'!D91</f>
        <v>129.6139441313307</v>
      </c>
      <c r="K48">
        <f>'Wet ref 2017'!E91</f>
        <v>43.069616866113662</v>
      </c>
      <c r="L48">
        <f t="shared" si="9"/>
        <v>21543.379585192153</v>
      </c>
      <c r="M48">
        <f>'Wet ref 2017'!$B$41*'Soil samples 2017'!AI48%</f>
        <v>3.2262246828789687</v>
      </c>
      <c r="N48">
        <f>'Wet ref 2017'!$B$41*'Soil samples 2017'!AH48%</f>
        <v>1.7737753171210315</v>
      </c>
      <c r="O48">
        <f t="shared" si="18"/>
        <v>5546.9543376600013</v>
      </c>
      <c r="P48">
        <f t="shared" si="19"/>
        <v>5.5469543376600017</v>
      </c>
      <c r="Q48">
        <f>P48*('Wet ref 2017'!$B$40+M48)</f>
        <v>156.5695794404613</v>
      </c>
      <c r="R48" s="141">
        <f t="shared" si="20"/>
        <v>88.269116121530715</v>
      </c>
      <c r="S48" s="141">
        <f>R48*'Soil samples 2017'!AJ48/100</f>
        <v>0.99891391683014319</v>
      </c>
      <c r="T48" s="149">
        <f t="shared" si="21"/>
        <v>0.9989139168301433</v>
      </c>
      <c r="U48" s="141"/>
      <c r="V48" s="141"/>
      <c r="W48" s="141"/>
      <c r="X48" s="141"/>
      <c r="Y48">
        <f t="shared" si="0"/>
        <v>15979.282943261505</v>
      </c>
      <c r="Z48">
        <f t="shared" si="10"/>
        <v>15.979282943261506</v>
      </c>
      <c r="AA48">
        <f>Z48*('Wet ref 2017'!$B$40+M48)</f>
        <v>451.0348306277948</v>
      </c>
      <c r="AB48" s="175">
        <f t="shared" si="1"/>
        <v>254.27957322117757</v>
      </c>
      <c r="AC48" s="175">
        <f>AB48*'Soil samples 2017'!AJ48/100</f>
        <v>2.8776022194053308</v>
      </c>
      <c r="AD48" s="174">
        <f t="shared" si="11"/>
        <v>2.8776022194053308</v>
      </c>
      <c r="AE48" s="175"/>
      <c r="AF48" s="175"/>
      <c r="AG48" s="175"/>
      <c r="AH48" s="175"/>
      <c r="AI48">
        <f t="shared" si="2"/>
        <v>129.6139441313307</v>
      </c>
      <c r="AJ48">
        <f t="shared" si="12"/>
        <v>0.12961394413133071</v>
      </c>
      <c r="AK48">
        <f>AJ48*('Wet ref 2017'!$B$40+M48)</f>
        <v>3.6585123090850624</v>
      </c>
      <c r="AL48" s="175">
        <f t="shared" si="3"/>
        <v>2.0625567814434911</v>
      </c>
      <c r="AM48" s="175">
        <f>AL48*'Soil samples 2017'!AJ48/100</f>
        <v>2.3341308531962701E-2</v>
      </c>
      <c r="AN48" s="174">
        <f t="shared" si="13"/>
        <v>23.341308531962699</v>
      </c>
      <c r="AO48" s="175"/>
      <c r="AP48" s="175"/>
      <c r="AQ48" s="175"/>
      <c r="AR48">
        <f t="shared" si="4"/>
        <v>43.069616866113662</v>
      </c>
      <c r="AS48">
        <f t="shared" si="14"/>
        <v>4.3069616866113665E-2</v>
      </c>
      <c r="AT48">
        <f>AS48*('Wet ref 2017'!$B$40+M48)</f>
        <v>1.2156926826684378</v>
      </c>
      <c r="AU48" s="175">
        <f t="shared" si="5"/>
        <v>0.68537016550754404</v>
      </c>
      <c r="AV48" s="175">
        <f>AU48*'Soil samples 2017'!AJ48/100</f>
        <v>7.756119315424634E-3</v>
      </c>
      <c r="AW48" s="174">
        <f t="shared" si="15"/>
        <v>7.7561193154246348</v>
      </c>
      <c r="AX48" s="175"/>
      <c r="AY48" s="175"/>
      <c r="AZ48" s="175"/>
      <c r="BA48">
        <f t="shared" si="6"/>
        <v>21543.379585192153</v>
      </c>
      <c r="BB48">
        <f t="shared" si="16"/>
        <v>21.543379585192152</v>
      </c>
      <c r="BC48">
        <f>BB48*('Wet ref 2017'!$B$40+M48)</f>
        <v>608.08827260018154</v>
      </c>
      <c r="BD48" s="175">
        <f t="shared" si="7"/>
        <v>342.82147616483564</v>
      </c>
      <c r="BE48" s="175">
        <f>BD48*'Soil samples 2017'!AJ48/100</f>
        <v>3.8796031791891585</v>
      </c>
      <c r="BF48" s="174">
        <f t="shared" si="17"/>
        <v>3.8796031791891585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242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P4" sqref="P4"/>
    </sheetView>
  </sheetViews>
  <sheetFormatPr baseColWidth="10" defaultColWidth="8.83203125" defaultRowHeight="16"/>
  <cols>
    <col min="6" max="6" width="11.33203125" style="104" customWidth="1"/>
    <col min="7" max="7" width="10" style="104" bestFit="1" customWidth="1"/>
    <col min="8" max="8" width="9.83203125" style="104" bestFit="1" customWidth="1"/>
    <col min="9" max="9" width="8.83203125" style="104"/>
    <col min="10" max="10" width="10.33203125" style="104" bestFit="1" customWidth="1"/>
    <col min="12" max="12" width="8.83203125" style="158"/>
  </cols>
  <sheetData>
    <row r="1" spans="1:29" ht="19">
      <c r="A1" s="19" t="s">
        <v>1124</v>
      </c>
      <c r="B1" s="19"/>
      <c r="C1" s="19"/>
      <c r="D1" s="19"/>
      <c r="E1" s="21"/>
      <c r="F1" s="220"/>
      <c r="G1" s="220"/>
      <c r="H1" s="220"/>
      <c r="I1" s="220"/>
      <c r="J1" s="220"/>
      <c r="M1" s="224" t="s">
        <v>1125</v>
      </c>
    </row>
    <row r="2" spans="1:29">
      <c r="A2" s="9"/>
      <c r="B2" s="9"/>
      <c r="C2" s="9"/>
      <c r="D2" s="9"/>
      <c r="E2" s="23"/>
      <c r="F2" s="221"/>
      <c r="G2" s="221"/>
      <c r="H2" s="221"/>
      <c r="I2" s="221"/>
      <c r="J2" s="221"/>
      <c r="M2" t="s">
        <v>1126</v>
      </c>
    </row>
    <row r="3" spans="1:29">
      <c r="A3" s="1" t="s">
        <v>10</v>
      </c>
      <c r="B3" s="1" t="s">
        <v>8</v>
      </c>
      <c r="C3" s="1" t="s">
        <v>11</v>
      </c>
      <c r="D3" s="1" t="s">
        <v>212</v>
      </c>
      <c r="E3" s="2" t="s">
        <v>20</v>
      </c>
      <c r="F3" s="222" t="s">
        <v>879</v>
      </c>
      <c r="G3" s="222" t="s">
        <v>1026</v>
      </c>
      <c r="H3" s="222" t="s">
        <v>1219</v>
      </c>
      <c r="I3" s="222" t="s">
        <v>1218</v>
      </c>
      <c r="J3" s="222" t="s">
        <v>1033</v>
      </c>
      <c r="L3" s="259" t="s">
        <v>1236</v>
      </c>
      <c r="M3" s="209" t="s">
        <v>1206</v>
      </c>
      <c r="N3" s="209"/>
      <c r="Q3" s="61" t="s">
        <v>1241</v>
      </c>
      <c r="R3" s="61" t="s">
        <v>1242</v>
      </c>
      <c r="S3" s="222" t="s">
        <v>1244</v>
      </c>
      <c r="T3" s="222" t="s">
        <v>1245</v>
      </c>
      <c r="U3" s="222" t="s">
        <v>1246</v>
      </c>
    </row>
    <row r="4" spans="1:29" s="224" customFormat="1">
      <c r="A4" s="224" t="s">
        <v>0</v>
      </c>
      <c r="B4" s="224" t="s">
        <v>9</v>
      </c>
      <c r="C4" s="224" t="s">
        <v>12</v>
      </c>
      <c r="D4" s="223">
        <v>1</v>
      </c>
      <c r="E4" s="224">
        <v>5</v>
      </c>
      <c r="F4" s="229">
        <f>'Wet analysis 2017'!T4</f>
        <v>3.4079166226777726</v>
      </c>
      <c r="G4" s="229">
        <f>'Wet analysis 2017'!AD4</f>
        <v>4.7204513671776178</v>
      </c>
      <c r="H4" s="229">
        <f>'Wet analysis 2017'!AN4</f>
        <v>18.164639090069645</v>
      </c>
      <c r="I4" s="229">
        <f>'Wet analysis 2017'!AW4</f>
        <v>14.747958608439182</v>
      </c>
      <c r="J4" s="229">
        <f>'Wet analysis 2017'!BF4</f>
        <v>6.6195906185837909</v>
      </c>
      <c r="K4" s="59"/>
      <c r="L4" s="261">
        <f>'Soil samples 2017'!X4</f>
        <v>5.758</v>
      </c>
      <c r="M4" s="59"/>
      <c r="N4" s="59"/>
      <c r="O4" s="59"/>
      <c r="P4" s="59"/>
      <c r="Q4" s="59">
        <f>F4*0.05</f>
        <v>0.17039583113388865</v>
      </c>
      <c r="R4" s="59">
        <f>G4*0.05</f>
        <v>0.23602256835888091</v>
      </c>
      <c r="S4" s="59">
        <f t="shared" ref="S4:U4" si="0">H4*0.05</f>
        <v>0.90823195450348226</v>
      </c>
      <c r="T4" s="59">
        <f t="shared" si="0"/>
        <v>0.73739793042195911</v>
      </c>
      <c r="U4" s="59">
        <f t="shared" si="0"/>
        <v>0.33097953092918958</v>
      </c>
      <c r="V4" s="59"/>
      <c r="W4" s="59"/>
      <c r="X4" s="59"/>
      <c r="Y4" s="59"/>
      <c r="Z4" s="59"/>
      <c r="AA4" s="59"/>
      <c r="AB4" s="59"/>
      <c r="AC4" s="59"/>
    </row>
    <row r="5" spans="1:29" s="224" customFormat="1">
      <c r="A5" s="224" t="s">
        <v>642</v>
      </c>
      <c r="B5" s="224" t="s">
        <v>9</v>
      </c>
      <c r="C5" s="224" t="s">
        <v>12</v>
      </c>
      <c r="D5" s="223">
        <v>1</v>
      </c>
      <c r="E5" s="224">
        <v>10</v>
      </c>
      <c r="F5" s="229">
        <f>'Wet analysis 2017'!T5</f>
        <v>1.2700612957342274</v>
      </c>
      <c r="G5" s="229">
        <f>'Wet analysis 2017'!AD5</f>
        <v>3.8859327340480316</v>
      </c>
      <c r="H5" s="229">
        <f>'Wet analysis 2017'!AN5</f>
        <v>31.69954349342899</v>
      </c>
      <c r="I5" s="229">
        <f>'Wet analysis 2017'!AW5</f>
        <v>15.168795073546963</v>
      </c>
      <c r="J5" s="229">
        <f>'Wet analysis 2017'!BF5</f>
        <v>10.012801043764702</v>
      </c>
      <c r="K5" s="59"/>
      <c r="L5" s="262">
        <f>AVERAGE(L9,L13,L17,L21,L25)</f>
        <v>5.5456000000000003</v>
      </c>
      <c r="M5" s="59"/>
      <c r="N5" s="59"/>
      <c r="O5" s="59"/>
      <c r="P5" s="59"/>
      <c r="Q5" s="59">
        <f t="shared" ref="Q5:Q68" si="1">F5*0.05</f>
        <v>6.3503064786711375E-2</v>
      </c>
      <c r="R5" s="59">
        <f t="shared" ref="R5:R68" si="2">G5*0.05</f>
        <v>0.1942966367024016</v>
      </c>
      <c r="S5" s="59">
        <f t="shared" ref="S5:S68" si="3">H5*0.05</f>
        <v>1.5849771746714496</v>
      </c>
      <c r="T5" s="59">
        <f t="shared" ref="T5:T68" si="4">I5*0.05</f>
        <v>0.75843975367734817</v>
      </c>
      <c r="U5" s="59">
        <f t="shared" ref="U5:U68" si="5">J5*0.05</f>
        <v>0.50064005218823515</v>
      </c>
      <c r="V5" s="59"/>
      <c r="W5" s="59"/>
      <c r="X5" s="59"/>
      <c r="Y5" s="59"/>
      <c r="Z5" s="59"/>
      <c r="AA5" s="59"/>
      <c r="AB5" s="59"/>
      <c r="AC5" s="59"/>
    </row>
    <row r="6" spans="1:29">
      <c r="A6" t="s">
        <v>1</v>
      </c>
      <c r="B6" t="s">
        <v>9</v>
      </c>
      <c r="C6" t="s">
        <v>12</v>
      </c>
      <c r="D6" s="8">
        <v>1</v>
      </c>
      <c r="E6">
        <v>20</v>
      </c>
      <c r="F6" s="104">
        <f>'Wet analysis 2016'!T5</f>
        <v>0.67291525325252977</v>
      </c>
      <c r="G6" s="104">
        <f>'Wet analysis 2016'!AD5</f>
        <v>1.2621678123156379</v>
      </c>
      <c r="H6" s="104">
        <f>'Wet analysis 2016'!AN5</f>
        <v>224.84858218582485</v>
      </c>
      <c r="I6" s="104">
        <f>'Wet analysis 2016'!AW5</f>
        <v>13.32692758497716</v>
      </c>
      <c r="J6" s="104">
        <f>'Wet analysis 2016'!BF5</f>
        <v>11.391844519408991</v>
      </c>
      <c r="K6" s="59"/>
      <c r="L6" s="260">
        <f>'Soil samples'!X5</f>
        <v>4.16</v>
      </c>
      <c r="M6" s="59"/>
      <c r="N6" s="59"/>
      <c r="O6" s="59"/>
      <c r="P6" s="59"/>
      <c r="Q6" s="59">
        <f t="shared" si="1"/>
        <v>3.3645762662626491E-2</v>
      </c>
      <c r="R6" s="59">
        <f t="shared" si="2"/>
        <v>6.3108390615781898E-2</v>
      </c>
      <c r="S6" s="59">
        <f t="shared" si="3"/>
        <v>11.242429109291244</v>
      </c>
      <c r="T6" s="59">
        <f t="shared" si="4"/>
        <v>0.66634637924885798</v>
      </c>
      <c r="U6" s="59">
        <f t="shared" si="5"/>
        <v>0.56959222597044956</v>
      </c>
      <c r="V6" s="59"/>
      <c r="W6" s="59"/>
      <c r="X6" s="59"/>
      <c r="Y6" s="59"/>
      <c r="Z6" s="59"/>
      <c r="AA6" s="59"/>
      <c r="AB6" s="59"/>
      <c r="AC6" s="59"/>
    </row>
    <row r="7" spans="1:29">
      <c r="A7" t="s">
        <v>2</v>
      </c>
      <c r="B7" t="s">
        <v>9</v>
      </c>
      <c r="C7" t="s">
        <v>12</v>
      </c>
      <c r="D7" s="8">
        <v>1</v>
      </c>
      <c r="E7">
        <v>30</v>
      </c>
      <c r="F7" s="104">
        <f>'Wet analysis 2016'!T6</f>
        <v>0.45568819018422529</v>
      </c>
      <c r="G7" s="104">
        <f>'Wet analysis 2016'!AD6</f>
        <v>0.64592539355851042</v>
      </c>
      <c r="H7" s="104">
        <f>'Wet analysis 2016'!AN6</f>
        <v>234.05483330513349</v>
      </c>
      <c r="I7" s="104">
        <f>'Wet analysis 2016'!AW6</f>
        <v>5.5667639838096745</v>
      </c>
      <c r="J7" s="104">
        <f>'Wet analysis 2016'!BF6</f>
        <v>4.4651504000669373</v>
      </c>
      <c r="K7" s="59"/>
      <c r="L7" s="260">
        <f>'Soil samples'!X6</f>
        <v>4.5439999999999996</v>
      </c>
      <c r="M7" s="59"/>
      <c r="N7" s="59"/>
      <c r="O7" s="59"/>
      <c r="P7" s="59"/>
      <c r="Q7" s="59">
        <f t="shared" si="1"/>
        <v>2.2784409509211265E-2</v>
      </c>
      <c r="R7" s="59">
        <f t="shared" si="2"/>
        <v>3.2296269677925524E-2</v>
      </c>
      <c r="S7" s="59">
        <f t="shared" si="3"/>
        <v>11.702741665256674</v>
      </c>
      <c r="T7" s="59">
        <f t="shared" si="4"/>
        <v>0.27833819919048375</v>
      </c>
      <c r="U7" s="59">
        <f t="shared" si="5"/>
        <v>0.22325752000334687</v>
      </c>
      <c r="V7" s="59"/>
      <c r="W7" s="59"/>
      <c r="X7" s="59"/>
      <c r="Y7" s="59"/>
      <c r="Z7" s="59"/>
      <c r="AA7" s="59"/>
      <c r="AB7" s="59"/>
      <c r="AC7" s="59"/>
    </row>
    <row r="8" spans="1:29" s="224" customFormat="1">
      <c r="A8" s="224" t="s">
        <v>3</v>
      </c>
      <c r="B8" s="224" t="s">
        <v>9</v>
      </c>
      <c r="C8" s="224" t="s">
        <v>12</v>
      </c>
      <c r="D8" s="223">
        <v>2</v>
      </c>
      <c r="E8" s="224">
        <v>5</v>
      </c>
      <c r="F8" s="229">
        <f>'Wet analysis 2017'!T6</f>
        <v>0.12933949789606358</v>
      </c>
      <c r="G8" s="229">
        <f>'Wet analysis 2017'!AD6</f>
        <v>0.36918320571004265</v>
      </c>
      <c r="H8" s="229">
        <f>'Wet analysis 2017'!AN6</f>
        <v>9.327984687356313</v>
      </c>
      <c r="I8" s="229">
        <f>'Wet analysis 2017'!AW6</f>
        <v>2.2523107315101898</v>
      </c>
      <c r="J8" s="229">
        <f>'Wet analysis 2017'!BF6</f>
        <v>1.7537880279040836</v>
      </c>
      <c r="K8" s="59"/>
      <c r="L8" s="261">
        <f>'Soil samples 2017'!X6</f>
        <v>5.2690000000000001</v>
      </c>
      <c r="M8" s="59"/>
      <c r="N8" s="59"/>
      <c r="O8" s="59"/>
      <c r="P8" s="59"/>
      <c r="Q8" s="59">
        <f t="shared" si="1"/>
        <v>6.4669748948031798E-3</v>
      </c>
      <c r="R8" s="59">
        <f t="shared" si="2"/>
        <v>1.8459160285502135E-2</v>
      </c>
      <c r="S8" s="59">
        <f t="shared" si="3"/>
        <v>0.46639923436781566</v>
      </c>
      <c r="T8" s="59">
        <f t="shared" si="4"/>
        <v>0.11261553657550949</v>
      </c>
      <c r="U8" s="59">
        <f t="shared" si="5"/>
        <v>8.7689401395204189E-2</v>
      </c>
      <c r="V8" s="59"/>
      <c r="W8" s="59"/>
      <c r="X8" s="59"/>
      <c r="Y8" s="59"/>
      <c r="Z8" s="59"/>
      <c r="AA8" s="59"/>
      <c r="AB8" s="59"/>
      <c r="AC8" s="59"/>
    </row>
    <row r="9" spans="1:29" s="224" customFormat="1">
      <c r="A9" s="224" t="s">
        <v>643</v>
      </c>
      <c r="B9" s="224" t="s">
        <v>9</v>
      </c>
      <c r="C9" s="224" t="s">
        <v>12</v>
      </c>
      <c r="D9" s="223">
        <v>2</v>
      </c>
      <c r="E9" s="224">
        <v>10</v>
      </c>
      <c r="F9" s="229">
        <f>'Wet analysis 2017'!T7</f>
        <v>2.2736951779226988</v>
      </c>
      <c r="G9" s="229">
        <f>'Wet analysis 2017'!AD7</f>
        <v>3.9868402548436381</v>
      </c>
      <c r="H9" s="229">
        <f>'Wet analysis 2017'!AN7</f>
        <v>63.197680885843525</v>
      </c>
      <c r="I9" s="229">
        <f>'Wet analysis 2017'!AW7</f>
        <v>21.0303078379814</v>
      </c>
      <c r="J9" s="229">
        <f>'Wet analysis 2017'!BF7</f>
        <v>14.769772405215058</v>
      </c>
      <c r="K9" s="59"/>
      <c r="L9" s="261">
        <f>'Soil samples 2017'!X7</f>
        <v>5.7060000000000004</v>
      </c>
      <c r="M9" s="59"/>
      <c r="N9" s="59"/>
      <c r="O9" s="59"/>
      <c r="P9" s="59"/>
      <c r="Q9" s="59">
        <f t="shared" si="1"/>
        <v>0.11368475889613494</v>
      </c>
      <c r="R9" s="59">
        <f t="shared" si="2"/>
        <v>0.19934201274218191</v>
      </c>
      <c r="S9" s="59">
        <f t="shared" si="3"/>
        <v>3.1598840442921765</v>
      </c>
      <c r="T9" s="59">
        <f t="shared" si="4"/>
        <v>1.0515153918990701</v>
      </c>
      <c r="U9" s="59">
        <f t="shared" si="5"/>
        <v>0.7384886202607529</v>
      </c>
      <c r="V9" s="59"/>
      <c r="W9" s="59"/>
      <c r="X9" s="59"/>
      <c r="Y9" s="59"/>
      <c r="Z9" s="59"/>
      <c r="AA9" s="59"/>
      <c r="AB9" s="59"/>
      <c r="AC9" s="59"/>
    </row>
    <row r="10" spans="1:29">
      <c r="A10" t="s">
        <v>21</v>
      </c>
      <c r="B10" t="s">
        <v>9</v>
      </c>
      <c r="C10" t="s">
        <v>12</v>
      </c>
      <c r="D10" s="8">
        <v>2</v>
      </c>
      <c r="E10">
        <v>20</v>
      </c>
      <c r="F10" s="104">
        <f>'Wet analysis 2016'!T8</f>
        <v>0.71662895299337381</v>
      </c>
      <c r="G10" s="104">
        <f>'Wet analysis 2016'!AD8</f>
        <v>2.6677848901371948</v>
      </c>
      <c r="H10" s="104">
        <f>'Wet analysis 2016'!AN8</f>
        <v>362.12718408754017</v>
      </c>
      <c r="I10" s="104">
        <f>'Wet analysis 2016'!AW8</f>
        <v>16.88829126539796</v>
      </c>
      <c r="J10" s="104">
        <f>'Wet analysis 2016'!BF8</f>
        <v>13.50387742226739</v>
      </c>
      <c r="K10" s="59"/>
      <c r="L10" s="260">
        <f>'Soil samples'!X8</f>
        <v>5.6289999999999996</v>
      </c>
      <c r="M10" s="59"/>
      <c r="N10" s="59"/>
      <c r="O10" s="59"/>
      <c r="P10" s="59"/>
      <c r="Q10" s="59">
        <f t="shared" si="1"/>
        <v>3.5831447649668689E-2</v>
      </c>
      <c r="R10" s="59">
        <f t="shared" si="2"/>
        <v>0.13338924450685974</v>
      </c>
      <c r="S10" s="59">
        <f t="shared" si="3"/>
        <v>18.106359204377011</v>
      </c>
      <c r="T10" s="59">
        <f t="shared" si="4"/>
        <v>0.84441456326989806</v>
      </c>
      <c r="U10" s="59">
        <f t="shared" si="5"/>
        <v>0.67519387111336959</v>
      </c>
      <c r="V10" s="59"/>
      <c r="W10" s="59"/>
      <c r="X10" s="59"/>
      <c r="Y10" s="59"/>
      <c r="Z10" s="59"/>
      <c r="AA10" s="59"/>
      <c r="AB10" s="59"/>
      <c r="AC10" s="59"/>
    </row>
    <row r="11" spans="1:29">
      <c r="A11" t="s">
        <v>22</v>
      </c>
      <c r="B11" t="s">
        <v>9</v>
      </c>
      <c r="C11" t="s">
        <v>12</v>
      </c>
      <c r="D11" s="8">
        <v>2</v>
      </c>
      <c r="E11">
        <v>30</v>
      </c>
      <c r="F11" s="104">
        <f>'Wet analysis 2016'!T9</f>
        <v>0.20144551925029938</v>
      </c>
      <c r="G11" s="104">
        <f>'Wet analysis 2016'!AD9</f>
        <v>1.1990859172720796</v>
      </c>
      <c r="H11" s="104">
        <f>'Wet analysis 2016'!AN9</f>
        <v>317.82891273075273</v>
      </c>
      <c r="I11" s="104">
        <f>'Wet analysis 2016'!AW9</f>
        <v>9.5580194024504888</v>
      </c>
      <c r="J11" s="104">
        <f>'Wet analysis 2016'!BF9</f>
        <v>8.1574879659281105</v>
      </c>
      <c r="K11" s="59"/>
      <c r="L11" s="260">
        <f>'Soil samples'!X9</f>
        <v>5.7830000000000004</v>
      </c>
      <c r="M11" s="59"/>
      <c r="N11" s="59"/>
      <c r="O11" s="59"/>
      <c r="P11" s="59"/>
      <c r="Q11" s="59">
        <f t="shared" si="1"/>
        <v>1.0072275962514969E-2</v>
      </c>
      <c r="R11" s="59">
        <f t="shared" si="2"/>
        <v>5.9954295863603985E-2</v>
      </c>
      <c r="S11" s="59">
        <f t="shared" si="3"/>
        <v>15.891445636537638</v>
      </c>
      <c r="T11" s="59">
        <f t="shared" si="4"/>
        <v>0.47790097012252447</v>
      </c>
      <c r="U11" s="59">
        <f t="shared" si="5"/>
        <v>0.40787439829640554</v>
      </c>
      <c r="V11" s="59"/>
      <c r="W11" s="59"/>
      <c r="X11" s="59"/>
      <c r="Y11" s="59"/>
      <c r="Z11" s="59"/>
      <c r="AA11" s="59"/>
      <c r="AB11" s="59"/>
      <c r="AC11" s="59"/>
    </row>
    <row r="12" spans="1:29" s="224" customFormat="1">
      <c r="A12" s="224" t="s">
        <v>23</v>
      </c>
      <c r="B12" s="224" t="s">
        <v>9</v>
      </c>
      <c r="C12" s="224" t="s">
        <v>12</v>
      </c>
      <c r="D12" s="223">
        <v>3</v>
      </c>
      <c r="E12" s="224">
        <v>5</v>
      </c>
      <c r="F12" s="229">
        <f>'Wet analysis 2017'!T8</f>
        <v>0.7723849547957482</v>
      </c>
      <c r="G12" s="229">
        <f>'Wet analysis 2017'!AD8</f>
        <v>6.8754947121511467</v>
      </c>
      <c r="H12" s="229">
        <f>'Wet analysis 2017'!AN8</f>
        <v>52.110347412240444</v>
      </c>
      <c r="I12" s="229">
        <f>'Wet analysis 2017'!AW8</f>
        <v>21.433831829012718</v>
      </c>
      <c r="J12" s="229">
        <f>'Wet analysis 2017'!BF8</f>
        <v>13.785952162065819</v>
      </c>
      <c r="K12" s="59"/>
      <c r="L12" s="261">
        <f>'Soil samples 2017'!X8</f>
        <v>5.7</v>
      </c>
      <c r="M12" s="59"/>
      <c r="N12" s="59"/>
      <c r="O12" s="59"/>
      <c r="P12" s="59"/>
      <c r="Q12" s="59">
        <f t="shared" si="1"/>
        <v>3.8619247739787414E-2</v>
      </c>
      <c r="R12" s="59">
        <f t="shared" si="2"/>
        <v>0.34377473560755734</v>
      </c>
      <c r="S12" s="59">
        <f t="shared" si="3"/>
        <v>2.6055173706120223</v>
      </c>
      <c r="T12" s="59">
        <f t="shared" si="4"/>
        <v>1.071691591450636</v>
      </c>
      <c r="U12" s="59">
        <f t="shared" si="5"/>
        <v>0.68929760810329099</v>
      </c>
      <c r="V12" s="59"/>
      <c r="W12" s="59"/>
      <c r="X12" s="59"/>
      <c r="Y12" s="59"/>
      <c r="Z12" s="59"/>
      <c r="AA12" s="59"/>
      <c r="AB12" s="59"/>
      <c r="AC12" s="59"/>
    </row>
    <row r="13" spans="1:29" s="224" customFormat="1">
      <c r="A13" s="224" t="s">
        <v>1089</v>
      </c>
      <c r="B13" s="224" t="s">
        <v>9</v>
      </c>
      <c r="C13" s="224" t="s">
        <v>12</v>
      </c>
      <c r="D13" s="223">
        <v>3</v>
      </c>
      <c r="E13" s="224">
        <v>10</v>
      </c>
      <c r="F13" s="229">
        <f>'Wet analysis 2017'!T9</f>
        <v>0.69987305652572773</v>
      </c>
      <c r="G13" s="229">
        <f>'Wet analysis 2017'!AD9</f>
        <v>3.969904766237089</v>
      </c>
      <c r="H13" s="229">
        <f>'Wet analysis 2017'!AN9</f>
        <v>89.773737045420916</v>
      </c>
      <c r="I13" s="229">
        <f>'Wet analysis 2017'!AW9</f>
        <v>16.43607348413202</v>
      </c>
      <c r="J13" s="229">
        <f>'Wet analysis 2017'!BF9</f>
        <v>11.766295661369204</v>
      </c>
      <c r="K13" s="59"/>
      <c r="L13" s="261">
        <f>'Soil samples 2017'!X9</f>
        <v>5.8150000000000004</v>
      </c>
      <c r="M13" s="59"/>
      <c r="N13" s="59"/>
      <c r="O13" s="59"/>
      <c r="P13" s="59"/>
      <c r="Q13" s="59">
        <f t="shared" si="1"/>
        <v>3.4993652826286387E-2</v>
      </c>
      <c r="R13" s="59">
        <f t="shared" si="2"/>
        <v>0.19849523831185445</v>
      </c>
      <c r="S13" s="59">
        <f t="shared" si="3"/>
        <v>4.4886868522710461</v>
      </c>
      <c r="T13" s="59">
        <f t="shared" si="4"/>
        <v>0.82180367420660105</v>
      </c>
      <c r="U13" s="59">
        <f t="shared" si="5"/>
        <v>0.58831478306846019</v>
      </c>
      <c r="V13" s="59"/>
      <c r="W13" s="59"/>
      <c r="X13" s="59"/>
      <c r="Y13" s="59"/>
      <c r="Z13" s="59"/>
      <c r="AA13" s="59"/>
      <c r="AB13" s="59"/>
      <c r="AC13" s="59"/>
    </row>
    <row r="14" spans="1:29">
      <c r="A14" t="s">
        <v>14</v>
      </c>
      <c r="B14" t="s">
        <v>9</v>
      </c>
      <c r="C14" t="s">
        <v>12</v>
      </c>
      <c r="D14" s="8">
        <v>3</v>
      </c>
      <c r="E14">
        <v>20</v>
      </c>
      <c r="F14" s="104">
        <f>'Wet analysis 2016'!T11</f>
        <v>2.497946110922757</v>
      </c>
      <c r="G14" s="104">
        <f>'Wet analysis 2016'!AD11</f>
        <v>3.0536614904182828</v>
      </c>
      <c r="H14" s="104">
        <f>'Wet analysis 2016'!AN11</f>
        <v>310.86353156085278</v>
      </c>
      <c r="I14" s="104">
        <f>'Wet analysis 2016'!AW11</f>
        <v>17.858240651100783</v>
      </c>
      <c r="J14" s="104">
        <f>'Wet analysis 2016'!BF11</f>
        <v>12.306633049759744</v>
      </c>
      <c r="K14" s="59"/>
      <c r="L14" s="260">
        <f>'Soil samples'!X11</f>
        <v>5.9770000000000003</v>
      </c>
      <c r="M14" s="59"/>
      <c r="N14" s="59"/>
      <c r="O14" s="59"/>
      <c r="P14" s="59"/>
      <c r="Q14" s="59">
        <f t="shared" si="1"/>
        <v>0.12489730554613786</v>
      </c>
      <c r="R14" s="59">
        <f t="shared" si="2"/>
        <v>0.15268307452091415</v>
      </c>
      <c r="S14" s="59">
        <f t="shared" si="3"/>
        <v>15.54317657804264</v>
      </c>
      <c r="T14" s="59">
        <f t="shared" si="4"/>
        <v>0.89291203255503915</v>
      </c>
      <c r="U14" s="59">
        <f t="shared" si="5"/>
        <v>0.61533165248798727</v>
      </c>
      <c r="V14" s="59"/>
      <c r="W14" s="59"/>
      <c r="X14" s="59"/>
      <c r="Y14" s="59"/>
      <c r="Z14" s="59"/>
      <c r="AA14" s="59"/>
      <c r="AB14" s="59"/>
      <c r="AC14" s="59"/>
    </row>
    <row r="15" spans="1:29">
      <c r="A15" t="s">
        <v>15</v>
      </c>
      <c r="B15" t="s">
        <v>9</v>
      </c>
      <c r="C15" t="s">
        <v>12</v>
      </c>
      <c r="D15" s="8">
        <v>3</v>
      </c>
      <c r="E15">
        <v>30</v>
      </c>
      <c r="F15" s="104">
        <f>'Wet analysis 2016'!T12</f>
        <v>3.8619985201242777</v>
      </c>
      <c r="G15" s="104">
        <f>'Wet analysis 2016'!AD12</f>
        <v>2.6971517148646957</v>
      </c>
      <c r="H15" s="104">
        <f>'Wet analysis 2016'!AN12</f>
        <v>225.29780938951791</v>
      </c>
      <c r="I15" s="104">
        <f>'Wet analysis 2016'!AW12</f>
        <v>16.266500733243276</v>
      </c>
      <c r="J15" s="104">
        <f>'Wet analysis 2016'!BF12</f>
        <v>9.7073504982543035</v>
      </c>
      <c r="K15" s="59"/>
      <c r="L15" s="260">
        <f>'Soil samples'!X12</f>
        <v>6.3579999999999997</v>
      </c>
      <c r="M15" s="59"/>
      <c r="N15" s="59"/>
      <c r="O15" s="59"/>
      <c r="P15" s="59"/>
      <c r="Q15" s="59">
        <f t="shared" si="1"/>
        <v>0.1930999260062139</v>
      </c>
      <c r="R15" s="59">
        <f t="shared" si="2"/>
        <v>0.13485758574323478</v>
      </c>
      <c r="S15" s="59">
        <f t="shared" si="3"/>
        <v>11.264890469475896</v>
      </c>
      <c r="T15" s="59">
        <f t="shared" si="4"/>
        <v>0.81332503666216382</v>
      </c>
      <c r="U15" s="59">
        <f t="shared" si="5"/>
        <v>0.48536752491271518</v>
      </c>
      <c r="V15" s="59"/>
      <c r="W15" s="59"/>
      <c r="X15" s="59"/>
      <c r="Y15" s="59"/>
      <c r="Z15" s="59"/>
      <c r="AA15" s="59"/>
      <c r="AB15" s="59"/>
      <c r="AC15" s="59"/>
    </row>
    <row r="16" spans="1:29" s="224" customFormat="1">
      <c r="A16" s="224" t="s">
        <v>16</v>
      </c>
      <c r="B16" s="224" t="s">
        <v>9</v>
      </c>
      <c r="C16" s="224" t="s">
        <v>12</v>
      </c>
      <c r="D16" s="223">
        <v>4</v>
      </c>
      <c r="E16" s="224">
        <v>5</v>
      </c>
      <c r="F16" s="229">
        <f>'Wet analysis 2017'!T10</f>
        <v>0.73602870471147563</v>
      </c>
      <c r="G16" s="229">
        <f>'Wet analysis 2017'!AD10</f>
        <v>6.4343802605357325</v>
      </c>
      <c r="H16" s="229">
        <f>'Wet analysis 2017'!AN10</f>
        <v>105.28321149595175</v>
      </c>
      <c r="I16" s="229">
        <f>'Wet analysis 2017'!AW10</f>
        <v>21.957879977648442</v>
      </c>
      <c r="J16" s="229">
        <f>'Wet analysis 2017'!BF10</f>
        <v>14.787471012401237</v>
      </c>
      <c r="K16" s="59"/>
      <c r="L16" s="261">
        <f>'Soil samples 2017'!X10</f>
        <v>5.3890000000000002</v>
      </c>
      <c r="M16" s="59"/>
      <c r="N16" s="59"/>
      <c r="O16" s="59"/>
      <c r="P16" s="59"/>
      <c r="Q16" s="59">
        <f t="shared" si="1"/>
        <v>3.6801435235573783E-2</v>
      </c>
      <c r="R16" s="59">
        <f t="shared" si="2"/>
        <v>0.32171901302678663</v>
      </c>
      <c r="S16" s="59">
        <f t="shared" si="3"/>
        <v>5.2641605747975877</v>
      </c>
      <c r="T16" s="59">
        <f t="shared" si="4"/>
        <v>1.0978939988824221</v>
      </c>
      <c r="U16" s="59">
        <f t="shared" si="5"/>
        <v>0.73937355062006194</v>
      </c>
      <c r="V16" s="59"/>
      <c r="W16" s="59"/>
      <c r="X16" s="59"/>
      <c r="Y16" s="59"/>
      <c r="Z16" s="59"/>
      <c r="AA16" s="59"/>
      <c r="AB16" s="59"/>
      <c r="AC16" s="59"/>
    </row>
    <row r="17" spans="1:29" s="224" customFormat="1">
      <c r="A17" s="224" t="s">
        <v>1090</v>
      </c>
      <c r="B17" s="224" t="s">
        <v>9</v>
      </c>
      <c r="C17" s="224" t="s">
        <v>12</v>
      </c>
      <c r="D17" s="223">
        <v>4</v>
      </c>
      <c r="E17" s="224">
        <v>10</v>
      </c>
      <c r="F17" s="229">
        <f>'Wet analysis 2017'!T11</f>
        <v>0.38698476390320513</v>
      </c>
      <c r="G17" s="229">
        <f>'Wet analysis 2017'!AD11</f>
        <v>0.71370295509893356</v>
      </c>
      <c r="H17" s="229">
        <f>'Wet analysis 2017'!AN11</f>
        <v>117.90025259696296</v>
      </c>
      <c r="I17" s="229">
        <f>'Wet analysis 2017'!AW11</f>
        <v>14.431056038596589</v>
      </c>
      <c r="J17" s="229">
        <f>'Wet analysis 2017'!BF11</f>
        <v>13.330368319594449</v>
      </c>
      <c r="K17" s="59"/>
      <c r="L17" s="261">
        <f>'Soil samples 2017'!X11</f>
        <v>5.3049999999999997</v>
      </c>
      <c r="M17" s="59"/>
      <c r="N17" s="59"/>
      <c r="O17" s="59"/>
      <c r="P17" s="59"/>
      <c r="Q17" s="59">
        <f t="shared" si="1"/>
        <v>1.9349238195160257E-2</v>
      </c>
      <c r="R17" s="59">
        <f t="shared" si="2"/>
        <v>3.5685147754946682E-2</v>
      </c>
      <c r="S17" s="59">
        <f t="shared" si="3"/>
        <v>5.8950126298481482</v>
      </c>
      <c r="T17" s="59">
        <f t="shared" si="4"/>
        <v>0.72155280192982951</v>
      </c>
      <c r="U17" s="59">
        <f t="shared" si="5"/>
        <v>0.6665184159797225</v>
      </c>
      <c r="V17" s="59"/>
      <c r="W17" s="59"/>
      <c r="X17" s="59"/>
      <c r="Y17" s="59"/>
      <c r="Z17" s="59"/>
      <c r="AA17" s="59"/>
      <c r="AB17" s="59"/>
      <c r="AC17" s="59"/>
    </row>
    <row r="18" spans="1:29">
      <c r="A18" t="s">
        <v>24</v>
      </c>
      <c r="B18" t="s">
        <v>9</v>
      </c>
      <c r="C18" t="s">
        <v>12</v>
      </c>
      <c r="D18" s="8">
        <v>4</v>
      </c>
      <c r="E18">
        <v>20</v>
      </c>
      <c r="F18" s="104">
        <f>'Wet analysis 2016'!T14</f>
        <v>0.92407955014222309</v>
      </c>
      <c r="G18" s="104">
        <f>'Wet analysis 2016'!AD14</f>
        <v>0.50823399196819874</v>
      </c>
      <c r="H18" s="104">
        <f>'Wet analysis 2016'!AN14</f>
        <v>377.94534786285652</v>
      </c>
      <c r="I18" s="104">
        <f>'Wet analysis 2016'!AW14</f>
        <v>28.567817749549533</v>
      </c>
      <c r="J18" s="104">
        <f>'Wet analysis 2016'!BF14</f>
        <v>27.135504207439109</v>
      </c>
      <c r="K18" s="59"/>
      <c r="L18" s="260">
        <f>'Soil samples'!X14</f>
        <v>6.0609999999999999</v>
      </c>
      <c r="M18" s="59"/>
      <c r="N18" s="59"/>
      <c r="O18" s="59"/>
      <c r="P18" s="59"/>
      <c r="Q18" s="59">
        <f t="shared" si="1"/>
        <v>4.6203977507111159E-2</v>
      </c>
      <c r="R18" s="59">
        <f t="shared" si="2"/>
        <v>2.5411699598409939E-2</v>
      </c>
      <c r="S18" s="59">
        <f t="shared" si="3"/>
        <v>18.897267393142826</v>
      </c>
      <c r="T18" s="59">
        <f t="shared" si="4"/>
        <v>1.4283908874774767</v>
      </c>
      <c r="U18" s="59">
        <f t="shared" si="5"/>
        <v>1.3567752103719555</v>
      </c>
      <c r="V18" s="59"/>
      <c r="W18" s="59"/>
      <c r="X18" s="59"/>
      <c r="Y18" s="59"/>
      <c r="Z18" s="59"/>
      <c r="AA18" s="59"/>
      <c r="AB18" s="59"/>
      <c r="AC18" s="59"/>
    </row>
    <row r="19" spans="1:29">
      <c r="A19" t="s">
        <v>25</v>
      </c>
      <c r="B19" t="s">
        <v>9</v>
      </c>
      <c r="C19" t="s">
        <v>12</v>
      </c>
      <c r="D19" s="8">
        <v>4</v>
      </c>
      <c r="E19">
        <v>30</v>
      </c>
      <c r="F19" s="104">
        <f>'Wet analysis 2016'!T15</f>
        <v>0.7401031341008647</v>
      </c>
      <c r="G19" s="104">
        <f>'Wet analysis 2016'!AD15</f>
        <v>0.82728839315196268</v>
      </c>
      <c r="H19" s="104">
        <f>'Wet analysis 2016'!AN15</f>
        <v>486.67828224450966</v>
      </c>
      <c r="I19" s="104">
        <f>'Wet analysis 2016'!AW15</f>
        <v>45.171505426511594</v>
      </c>
      <c r="J19" s="104">
        <f>'Wet analysis 2016'!BF15</f>
        <v>43.60411389925877</v>
      </c>
      <c r="K19" s="59"/>
      <c r="L19" s="260">
        <f>'Soil samples'!X15</f>
        <v>6.1550000000000002</v>
      </c>
      <c r="M19" s="59"/>
      <c r="N19" s="59"/>
      <c r="O19" s="59"/>
      <c r="P19" s="59"/>
      <c r="Q19" s="59">
        <f t="shared" si="1"/>
        <v>3.7005156705043236E-2</v>
      </c>
      <c r="R19" s="59">
        <f t="shared" si="2"/>
        <v>4.1364419657598135E-2</v>
      </c>
      <c r="S19" s="59">
        <f t="shared" si="3"/>
        <v>24.333914112225486</v>
      </c>
      <c r="T19" s="59">
        <f t="shared" si="4"/>
        <v>2.2585752713255798</v>
      </c>
      <c r="U19" s="59">
        <f t="shared" si="5"/>
        <v>2.1802056949629387</v>
      </c>
      <c r="V19" s="59"/>
      <c r="W19" s="59"/>
      <c r="X19" s="59"/>
      <c r="Y19" s="59"/>
      <c r="Z19" s="59"/>
      <c r="AA19" s="59"/>
      <c r="AB19" s="59"/>
      <c r="AC19" s="59"/>
    </row>
    <row r="20" spans="1:29" s="224" customFormat="1">
      <c r="A20" s="224" t="s">
        <v>26</v>
      </c>
      <c r="B20" s="224" t="s">
        <v>9</v>
      </c>
      <c r="C20" s="224" t="s">
        <v>12</v>
      </c>
      <c r="D20" s="223">
        <v>5</v>
      </c>
      <c r="E20" s="224">
        <v>5</v>
      </c>
      <c r="F20" s="229">
        <f>'Wet analysis 2017'!T12</f>
        <v>3.0384790203022756</v>
      </c>
      <c r="G20" s="229">
        <f>'Wet analysis 2017'!AD12</f>
        <v>4.8731237436937285</v>
      </c>
      <c r="H20" s="229">
        <f>'Wet analysis 2017'!AN12</f>
        <v>0</v>
      </c>
      <c r="I20" s="229">
        <f>'Wet analysis 2017'!AW12</f>
        <v>27.354819077392776</v>
      </c>
      <c r="J20" s="229">
        <f>'Wet analysis 2017'!BF12</f>
        <v>19.443216313396771</v>
      </c>
      <c r="K20" s="59"/>
      <c r="L20" s="261">
        <f>'Soil samples 2017'!X12</f>
        <v>5.8730000000000002</v>
      </c>
      <c r="M20" s="59"/>
      <c r="N20" s="59"/>
      <c r="O20" s="59"/>
      <c r="P20" s="59"/>
      <c r="Q20" s="59">
        <f t="shared" si="1"/>
        <v>0.1519239510151138</v>
      </c>
      <c r="R20" s="59">
        <f t="shared" si="2"/>
        <v>0.24365618718468643</v>
      </c>
      <c r="S20" s="59">
        <f t="shared" si="3"/>
        <v>0</v>
      </c>
      <c r="T20" s="59">
        <f t="shared" si="4"/>
        <v>1.3677409538696388</v>
      </c>
      <c r="U20" s="59">
        <f t="shared" si="5"/>
        <v>0.97216081566983858</v>
      </c>
      <c r="V20" s="59"/>
      <c r="W20" s="59"/>
      <c r="X20" s="59"/>
      <c r="Y20" s="59"/>
      <c r="Z20" s="59"/>
      <c r="AA20" s="59"/>
      <c r="AB20" s="59"/>
      <c r="AC20" s="59"/>
    </row>
    <row r="21" spans="1:29" s="224" customFormat="1">
      <c r="A21" s="224" t="s">
        <v>1091</v>
      </c>
      <c r="B21" s="224" t="s">
        <v>9</v>
      </c>
      <c r="C21" s="224" t="s">
        <v>12</v>
      </c>
      <c r="D21" s="223">
        <v>5</v>
      </c>
      <c r="E21" s="224">
        <v>10</v>
      </c>
      <c r="F21" s="229">
        <f>'Wet analysis 2017'!T13</f>
        <v>1.681614587390837</v>
      </c>
      <c r="G21" s="229">
        <f>'Wet analysis 2017'!AD13</f>
        <v>3.6992527195417635</v>
      </c>
      <c r="H21" s="229">
        <f>'Wet analysis 2017'!AN13</f>
        <v>118.95779148214538</v>
      </c>
      <c r="I21" s="229">
        <f>'Wet analysis 2017'!AW13</f>
        <v>28.781740925009732</v>
      </c>
      <c r="J21" s="229">
        <f>'Wet analysis 2017'!BF13</f>
        <v>23.400873618077132</v>
      </c>
      <c r="K21" s="59"/>
      <c r="L21" s="261">
        <f>'Soil samples 2017'!X13</f>
        <v>5.8609999999999998</v>
      </c>
      <c r="M21" s="59"/>
      <c r="N21" s="59"/>
      <c r="O21" s="59"/>
      <c r="P21" s="59"/>
      <c r="Q21" s="59">
        <f t="shared" si="1"/>
        <v>8.4080729369541862E-2</v>
      </c>
      <c r="R21" s="59">
        <f t="shared" si="2"/>
        <v>0.18496263597708817</v>
      </c>
      <c r="S21" s="59">
        <f t="shared" si="3"/>
        <v>5.9478895741072693</v>
      </c>
      <c r="T21" s="59">
        <f t="shared" si="4"/>
        <v>1.4390870462504868</v>
      </c>
      <c r="U21" s="59">
        <f t="shared" si="5"/>
        <v>1.1700436809038566</v>
      </c>
      <c r="V21" s="59"/>
      <c r="W21" s="59"/>
      <c r="X21" s="59"/>
      <c r="Y21" s="59"/>
      <c r="Z21" s="59"/>
      <c r="AA21" s="59"/>
      <c r="AB21" s="59"/>
      <c r="AC21" s="59"/>
    </row>
    <row r="22" spans="1:29" s="31" customFormat="1">
      <c r="A22" t="s">
        <v>27</v>
      </c>
      <c r="B22" t="s">
        <v>9</v>
      </c>
      <c r="C22" t="s">
        <v>12</v>
      </c>
      <c r="D22" s="8">
        <v>5</v>
      </c>
      <c r="E22">
        <v>20</v>
      </c>
      <c r="F22" s="104">
        <f>'Wet analysis 2016'!T17</f>
        <v>1.4150441015158364</v>
      </c>
      <c r="G22" s="104">
        <f>'Wet analysis 2016'!AD17</f>
        <v>1.1945576988257438</v>
      </c>
      <c r="H22" s="104">
        <f>'Wet analysis 2016'!AN17</f>
        <v>197.69375894324298</v>
      </c>
      <c r="I22" s="104">
        <f>'Wet analysis 2016'!AW17</f>
        <v>16.478116269743257</v>
      </c>
      <c r="J22" s="104">
        <f>'Wet analysis 2016'!BF17</f>
        <v>13.86851446940168</v>
      </c>
      <c r="K22" s="200"/>
      <c r="L22" s="260">
        <f>'Soil samples'!X17</f>
        <v>6.2549999999999999</v>
      </c>
      <c r="M22" s="200"/>
      <c r="N22" s="200"/>
      <c r="O22" s="59"/>
      <c r="P22" s="200"/>
      <c r="Q22" s="59">
        <f t="shared" si="1"/>
        <v>7.0752205075791816E-2</v>
      </c>
      <c r="R22" s="59">
        <f t="shared" si="2"/>
        <v>5.9727884941287196E-2</v>
      </c>
      <c r="S22" s="59">
        <f t="shared" si="3"/>
        <v>9.8846879471621492</v>
      </c>
      <c r="T22" s="59">
        <f t="shared" si="4"/>
        <v>0.82390581348716285</v>
      </c>
      <c r="U22" s="59">
        <f t="shared" si="5"/>
        <v>0.69342572347008402</v>
      </c>
      <c r="V22" s="200"/>
      <c r="W22" s="200"/>
      <c r="X22" s="200"/>
      <c r="Y22" s="200"/>
      <c r="Z22" s="200"/>
      <c r="AA22" s="200"/>
      <c r="AB22" s="200"/>
      <c r="AC22" s="200"/>
    </row>
    <row r="23" spans="1:29" s="31" customFormat="1">
      <c r="A23" t="s">
        <v>28</v>
      </c>
      <c r="B23" t="s">
        <v>9</v>
      </c>
      <c r="C23" t="s">
        <v>12</v>
      </c>
      <c r="D23" s="8">
        <v>5</v>
      </c>
      <c r="E23">
        <v>30</v>
      </c>
      <c r="F23" s="104">
        <f>'Wet analysis 2016'!T18</f>
        <v>1.6077661322820775</v>
      </c>
      <c r="G23" s="104">
        <f>'Wet analysis 2016'!AD18</f>
        <v>0.845070678187966</v>
      </c>
      <c r="H23" s="104">
        <f>'Wet analysis 2016'!AN18</f>
        <v>377.16080461402743</v>
      </c>
      <c r="I23" s="104">
        <f>'Wet analysis 2016'!AW18</f>
        <v>33.586590890052896</v>
      </c>
      <c r="J23" s="104">
        <f>'Wet analysis 2016'!BF18</f>
        <v>31.133754079582857</v>
      </c>
      <c r="K23" s="200"/>
      <c r="L23" s="260">
        <f>'Soil samples'!X18</f>
        <v>7.1349999999999998</v>
      </c>
      <c r="M23" s="200"/>
      <c r="N23" s="200"/>
      <c r="O23" s="59"/>
      <c r="P23" s="200"/>
      <c r="Q23" s="59">
        <f t="shared" si="1"/>
        <v>8.0388306614103885E-2</v>
      </c>
      <c r="R23" s="59">
        <f t="shared" si="2"/>
        <v>4.2253533909398303E-2</v>
      </c>
      <c r="S23" s="59">
        <f t="shared" si="3"/>
        <v>18.858040230701373</v>
      </c>
      <c r="T23" s="59">
        <f t="shared" si="4"/>
        <v>1.6793295445026448</v>
      </c>
      <c r="U23" s="59">
        <f t="shared" si="5"/>
        <v>1.5566877039791429</v>
      </c>
      <c r="V23" s="200"/>
      <c r="W23" s="200"/>
      <c r="X23" s="200"/>
      <c r="Y23" s="200"/>
      <c r="Z23" s="200"/>
      <c r="AA23" s="200"/>
      <c r="AB23" s="200"/>
      <c r="AC23" s="200"/>
    </row>
    <row r="24" spans="1:29" s="227" customFormat="1">
      <c r="A24" s="224" t="s">
        <v>17</v>
      </c>
      <c r="B24" s="224" t="s">
        <v>9</v>
      </c>
      <c r="C24" s="224" t="s">
        <v>12</v>
      </c>
      <c r="D24" s="223">
        <v>6</v>
      </c>
      <c r="E24" s="224">
        <v>5</v>
      </c>
      <c r="F24" s="229">
        <f>'Wet analysis 2017'!T14</f>
        <v>0.19476937966919641</v>
      </c>
      <c r="G24" s="229">
        <f>'Wet analysis 2017'!AD14</f>
        <v>5.2162395037588911E-2</v>
      </c>
      <c r="H24" s="229">
        <f>'Wet analysis 2017'!AN14</f>
        <v>2.5451808348311347</v>
      </c>
      <c r="I24" s="229">
        <f>'Wet analysis 2017'!AW14</f>
        <v>0.65893045029731845</v>
      </c>
      <c r="J24" s="229">
        <f>'Wet analysis 2017'!BF14</f>
        <v>0.41199867559053316</v>
      </c>
      <c r="K24" s="200"/>
      <c r="L24" s="261">
        <f>'Soil samples 2017'!X14</f>
        <v>5.7290000000000001</v>
      </c>
      <c r="M24" s="200"/>
      <c r="N24" s="200"/>
      <c r="O24" s="59"/>
      <c r="P24" s="200"/>
      <c r="Q24" s="59">
        <f t="shared" si="1"/>
        <v>9.7384689834598206E-3</v>
      </c>
      <c r="R24" s="59">
        <f t="shared" si="2"/>
        <v>2.6081197518794457E-3</v>
      </c>
      <c r="S24" s="59">
        <f t="shared" si="3"/>
        <v>0.12725904174155675</v>
      </c>
      <c r="T24" s="59">
        <f t="shared" si="4"/>
        <v>3.2946522514865927E-2</v>
      </c>
      <c r="U24" s="59">
        <f t="shared" si="5"/>
        <v>2.0599933779526659E-2</v>
      </c>
      <c r="V24" s="200"/>
      <c r="W24" s="200"/>
      <c r="X24" s="200"/>
      <c r="Y24" s="200"/>
      <c r="Z24" s="200"/>
      <c r="AA24" s="200"/>
      <c r="AB24" s="200"/>
      <c r="AC24" s="200"/>
    </row>
    <row r="25" spans="1:29" s="227" customFormat="1">
      <c r="A25" s="224" t="s">
        <v>1092</v>
      </c>
      <c r="B25" s="224" t="s">
        <v>9</v>
      </c>
      <c r="C25" s="224" t="s">
        <v>12</v>
      </c>
      <c r="D25" s="223">
        <v>6</v>
      </c>
      <c r="E25" s="224">
        <v>10</v>
      </c>
      <c r="F25" s="229">
        <f>'Wet analysis 2017'!T15</f>
        <v>0.39996799922881121</v>
      </c>
      <c r="G25" s="229">
        <f>'Wet analysis 2017'!AD15</f>
        <v>0.47040290170186316</v>
      </c>
      <c r="H25" s="229">
        <f>'Wet analysis 2017'!AN15</f>
        <v>30.384469654422368</v>
      </c>
      <c r="I25" s="229">
        <f>'Wet analysis 2017'!AW15</f>
        <v>5.3786784542819541</v>
      </c>
      <c r="J25" s="229">
        <f>'Wet analysis 2017'!BF15</f>
        <v>4.5083075533512798</v>
      </c>
      <c r="K25" s="200"/>
      <c r="L25" s="261">
        <f>'Soil samples 2017'!X15</f>
        <v>5.0410000000000004</v>
      </c>
      <c r="M25" s="200"/>
      <c r="N25" s="200"/>
      <c r="O25" s="59"/>
      <c r="P25" s="200"/>
      <c r="Q25" s="59">
        <f t="shared" si="1"/>
        <v>1.9998399961440563E-2</v>
      </c>
      <c r="R25" s="59">
        <f t="shared" si="2"/>
        <v>2.3520145085093161E-2</v>
      </c>
      <c r="S25" s="59">
        <f t="shared" si="3"/>
        <v>1.5192234827211184</v>
      </c>
      <c r="T25" s="59">
        <f t="shared" si="4"/>
        <v>0.26893392271409772</v>
      </c>
      <c r="U25" s="59">
        <f t="shared" si="5"/>
        <v>0.225415377667564</v>
      </c>
      <c r="V25" s="200"/>
      <c r="W25" s="200"/>
      <c r="X25" s="200"/>
      <c r="Y25" s="200"/>
      <c r="Z25" s="200"/>
      <c r="AA25" s="200"/>
      <c r="AB25" s="200"/>
      <c r="AC25" s="200"/>
    </row>
    <row r="26" spans="1:29" s="31" customFormat="1">
      <c r="A26" t="s">
        <v>18</v>
      </c>
      <c r="B26" t="s">
        <v>9</v>
      </c>
      <c r="C26" t="s">
        <v>12</v>
      </c>
      <c r="D26" s="8">
        <v>6</v>
      </c>
      <c r="E26">
        <v>20</v>
      </c>
      <c r="F26" s="104">
        <f>'Wet analysis 2016'!T20</f>
        <v>0.27369953800394492</v>
      </c>
      <c r="G26" s="104">
        <f>'Wet analysis 2016'!AD20</f>
        <v>2.2273850102077692</v>
      </c>
      <c r="H26" s="104">
        <f>'Wet analysis 2016'!AN20</f>
        <v>387.60708173626779</v>
      </c>
      <c r="I26" s="104">
        <f>'Wet analysis 2016'!AW20</f>
        <v>37.026950853052185</v>
      </c>
      <c r="J26" s="104">
        <f>'Wet analysis 2016'!BF20</f>
        <v>34.525866304840463</v>
      </c>
      <c r="K26" s="200"/>
      <c r="L26" s="260">
        <f>'Soil samples'!X20</f>
        <v>5.5250000000000004</v>
      </c>
      <c r="M26" s="200"/>
      <c r="N26" s="200"/>
      <c r="O26" s="59"/>
      <c r="P26" s="200"/>
      <c r="Q26" s="59">
        <f t="shared" si="1"/>
        <v>1.3684976900197246E-2</v>
      </c>
      <c r="R26" s="59">
        <f t="shared" si="2"/>
        <v>0.11136925051038847</v>
      </c>
      <c r="S26" s="59">
        <f t="shared" si="3"/>
        <v>19.380354086813391</v>
      </c>
      <c r="T26" s="59">
        <f t="shared" si="4"/>
        <v>1.8513475426526094</v>
      </c>
      <c r="U26" s="59">
        <f t="shared" si="5"/>
        <v>1.7262933152420232</v>
      </c>
      <c r="V26" s="200"/>
      <c r="W26" s="200"/>
      <c r="X26" s="200"/>
      <c r="Y26" s="200"/>
      <c r="Z26" s="200"/>
      <c r="AA26" s="200"/>
      <c r="AB26" s="200"/>
      <c r="AC26" s="200"/>
    </row>
    <row r="27" spans="1:29" s="31" customFormat="1">
      <c r="A27" t="s">
        <v>19</v>
      </c>
      <c r="B27" t="s">
        <v>9</v>
      </c>
      <c r="C27" t="s">
        <v>12</v>
      </c>
      <c r="D27" s="8">
        <v>6</v>
      </c>
      <c r="E27">
        <v>30</v>
      </c>
      <c r="F27" s="104">
        <f>'Wet analysis 2016'!T21</f>
        <v>0.19657853008436599</v>
      </c>
      <c r="G27" s="104">
        <f>'Wet analysis 2016'!AD21</f>
        <v>0.75998508722854508</v>
      </c>
      <c r="H27" s="104">
        <f>'Wet analysis 2016'!AN21</f>
        <v>301.51290191693181</v>
      </c>
      <c r="I27" s="104">
        <f>'Wet analysis 2016'!AW21</f>
        <v>31.501940954417364</v>
      </c>
      <c r="J27" s="104">
        <f>'Wet analysis 2016'!BF21</f>
        <v>30.545377337104455</v>
      </c>
      <c r="K27" s="200"/>
      <c r="L27" s="260">
        <f>'Soil samples'!X21</f>
        <v>5.8090000000000002</v>
      </c>
      <c r="M27" s="200"/>
      <c r="N27" s="200"/>
      <c r="O27" s="59"/>
      <c r="P27" s="200"/>
      <c r="Q27" s="59">
        <f t="shared" si="1"/>
        <v>9.8289265042183008E-3</v>
      </c>
      <c r="R27" s="59">
        <f t="shared" si="2"/>
        <v>3.7999254361427259E-2</v>
      </c>
      <c r="S27" s="59">
        <f t="shared" si="3"/>
        <v>15.075645095846591</v>
      </c>
      <c r="T27" s="59">
        <f t="shared" si="4"/>
        <v>1.5750970477208683</v>
      </c>
      <c r="U27" s="59">
        <f t="shared" si="5"/>
        <v>1.5272688668552228</v>
      </c>
      <c r="V27" s="200"/>
      <c r="W27" s="200"/>
      <c r="X27" s="200"/>
      <c r="Y27" s="200"/>
      <c r="Z27" s="200"/>
      <c r="AA27" s="200"/>
      <c r="AB27" s="200"/>
      <c r="AC27" s="200"/>
    </row>
    <row r="28" spans="1:29" s="227" customFormat="1">
      <c r="A28" s="224" t="s">
        <v>4</v>
      </c>
      <c r="B28" s="224" t="s">
        <v>9</v>
      </c>
      <c r="C28" s="224" t="s">
        <v>13</v>
      </c>
      <c r="D28" s="223">
        <v>1</v>
      </c>
      <c r="E28" s="224">
        <v>5</v>
      </c>
      <c r="F28" s="229">
        <f>'Wet analysis 2017'!T16</f>
        <v>0.94489239010543813</v>
      </c>
      <c r="G28" s="229">
        <f>'Wet analysis 2017'!AD16</f>
        <v>2.1127336878534164</v>
      </c>
      <c r="H28" s="229">
        <f>'Wet analysis 2017'!AN16</f>
        <v>15.953301571278239</v>
      </c>
      <c r="I28" s="229">
        <f>'Wet analysis 2017'!AW16</f>
        <v>13.193179373216884</v>
      </c>
      <c r="J28" s="229">
        <f>'Wet analysis 2017'!BF16</f>
        <v>10.135553295258029</v>
      </c>
      <c r="K28" s="200"/>
      <c r="L28" s="261">
        <f>'Soil samples 2017'!X16</f>
        <v>6.891</v>
      </c>
      <c r="M28" s="200"/>
      <c r="N28" s="200"/>
      <c r="O28" s="59"/>
      <c r="P28" s="200"/>
      <c r="Q28" s="59">
        <f t="shared" si="1"/>
        <v>4.7244619505271909E-2</v>
      </c>
      <c r="R28" s="59">
        <f t="shared" si="2"/>
        <v>0.10563668439267082</v>
      </c>
      <c r="S28" s="59">
        <f t="shared" si="3"/>
        <v>0.797665078563912</v>
      </c>
      <c r="T28" s="59">
        <f t="shared" si="4"/>
        <v>0.65965896866084428</v>
      </c>
      <c r="U28" s="59">
        <f t="shared" si="5"/>
        <v>0.50677766476290154</v>
      </c>
      <c r="V28" s="200"/>
      <c r="W28" s="200"/>
      <c r="X28" s="200"/>
      <c r="Y28" s="200"/>
      <c r="Z28" s="200"/>
      <c r="AA28" s="200"/>
      <c r="AB28" s="200"/>
      <c r="AC28" s="200"/>
    </row>
    <row r="29" spans="1:29" s="227" customFormat="1">
      <c r="A29" s="224" t="s">
        <v>640</v>
      </c>
      <c r="B29" s="224" t="s">
        <v>9</v>
      </c>
      <c r="C29" s="224" t="s">
        <v>13</v>
      </c>
      <c r="D29" s="223">
        <v>1</v>
      </c>
      <c r="E29" s="224">
        <v>10</v>
      </c>
      <c r="F29" s="229">
        <f>'Wet analysis 2017'!T17</f>
        <v>0.94645509686718288</v>
      </c>
      <c r="G29" s="229">
        <f>'Wet analysis 2017'!AD17</f>
        <v>2.3662609360698634</v>
      </c>
      <c r="H29" s="229">
        <f>'Wet analysis 2017'!AN17</f>
        <v>65.335714022535313</v>
      </c>
      <c r="I29" s="229">
        <f>'Wet analysis 2017'!AW17</f>
        <v>30.757539478837568</v>
      </c>
      <c r="J29" s="229">
        <f>'Wet analysis 2017'!BF17</f>
        <v>27.444823445900528</v>
      </c>
      <c r="K29" s="200"/>
      <c r="L29" s="261">
        <f>'Soil samples 2017'!X17</f>
        <v>7.39</v>
      </c>
      <c r="M29" s="200"/>
      <c r="N29" s="200"/>
      <c r="O29" s="59"/>
      <c r="P29" s="200"/>
      <c r="Q29" s="59">
        <f t="shared" si="1"/>
        <v>4.7322754843359148E-2</v>
      </c>
      <c r="R29" s="59">
        <f t="shared" si="2"/>
        <v>0.11831304680349318</v>
      </c>
      <c r="S29" s="59">
        <f t="shared" si="3"/>
        <v>3.266785701126766</v>
      </c>
      <c r="T29" s="59">
        <f t="shared" si="4"/>
        <v>1.5378769739418785</v>
      </c>
      <c r="U29" s="59">
        <f t="shared" si="5"/>
        <v>1.3722411722950265</v>
      </c>
      <c r="V29" s="200"/>
      <c r="W29" s="200"/>
      <c r="X29" s="200"/>
      <c r="Y29" s="200"/>
      <c r="Z29" s="200"/>
      <c r="AA29" s="200"/>
      <c r="AB29" s="200"/>
      <c r="AC29" s="200"/>
    </row>
    <row r="30" spans="1:29" s="31" customFormat="1">
      <c r="A30" t="s">
        <v>5</v>
      </c>
      <c r="B30" t="s">
        <v>9</v>
      </c>
      <c r="C30" t="s">
        <v>13</v>
      </c>
      <c r="D30" s="8">
        <v>1</v>
      </c>
      <c r="E30">
        <v>20</v>
      </c>
      <c r="F30" s="104">
        <f>'Wet analysis 2016'!T23</f>
        <v>0.33034252918913792</v>
      </c>
      <c r="G30" s="104">
        <f>'Wet analysis 2016'!AD23</f>
        <v>0.74908851942674493</v>
      </c>
      <c r="H30" s="104">
        <f>'Wet analysis 2016'!AN23</f>
        <v>331.42953125428039</v>
      </c>
      <c r="I30" s="104">
        <f>'Wet analysis 2016'!AW23</f>
        <v>67.183358134101837</v>
      </c>
      <c r="J30" s="104">
        <f>'Wet analysis 2016'!BF23</f>
        <v>66.103927085485964</v>
      </c>
      <c r="K30" s="200"/>
      <c r="L30" s="260">
        <f>'Soil samples'!X23</f>
        <v>5.4749999999999996</v>
      </c>
      <c r="M30" s="200"/>
      <c r="N30" s="200"/>
      <c r="O30" s="59"/>
      <c r="P30" s="200"/>
      <c r="Q30" s="59">
        <f t="shared" si="1"/>
        <v>1.6517126459456896E-2</v>
      </c>
      <c r="R30" s="59">
        <f t="shared" si="2"/>
        <v>3.7454425971337246E-2</v>
      </c>
      <c r="S30" s="59">
        <f t="shared" si="3"/>
        <v>16.571476562714022</v>
      </c>
      <c r="T30" s="59">
        <f t="shared" si="4"/>
        <v>3.3591679067050921</v>
      </c>
      <c r="U30" s="59">
        <f t="shared" si="5"/>
        <v>3.3051963542742984</v>
      </c>
      <c r="V30" s="200"/>
      <c r="W30" s="200"/>
      <c r="X30" s="200"/>
      <c r="Y30" s="200"/>
      <c r="Z30" s="200"/>
      <c r="AA30" s="200"/>
      <c r="AB30" s="200"/>
      <c r="AC30" s="200"/>
    </row>
    <row r="31" spans="1:29" s="31" customFormat="1">
      <c r="A31" t="s">
        <v>6</v>
      </c>
      <c r="B31" t="s">
        <v>9</v>
      </c>
      <c r="C31" t="s">
        <v>13</v>
      </c>
      <c r="D31" s="8">
        <v>1</v>
      </c>
      <c r="E31">
        <v>30</v>
      </c>
      <c r="F31" s="104">
        <f>'Wet analysis 2016'!T24</f>
        <v>0.29013822984811549</v>
      </c>
      <c r="G31" s="104">
        <f>'Wet analysis 2016'!AD24</f>
        <v>0.23375703980941431</v>
      </c>
      <c r="H31" s="104">
        <f>'Wet analysis 2016'!AN24</f>
        <v>225.78634320064836</v>
      </c>
      <c r="I31" s="104">
        <f>'Wet analysis 2016'!AW24</f>
        <v>26.002295578365128</v>
      </c>
      <c r="J31" s="104">
        <f>'Wet analysis 2016'!BF24</f>
        <v>25.478400308707592</v>
      </c>
      <c r="K31" s="200"/>
      <c r="L31" s="260">
        <f>'Soil samples'!X24</f>
        <v>6.9770000000000003</v>
      </c>
      <c r="M31" s="200"/>
      <c r="N31" s="200"/>
      <c r="O31" s="59"/>
      <c r="P31" s="200"/>
      <c r="Q31" s="59">
        <f t="shared" si="1"/>
        <v>1.4506911492405775E-2</v>
      </c>
      <c r="R31" s="59">
        <f t="shared" si="2"/>
        <v>1.1687851990470717E-2</v>
      </c>
      <c r="S31" s="59">
        <f t="shared" si="3"/>
        <v>11.289317160032418</v>
      </c>
      <c r="T31" s="59">
        <f t="shared" si="4"/>
        <v>1.3001147789182566</v>
      </c>
      <c r="U31" s="59">
        <f t="shared" si="5"/>
        <v>1.2739200154353796</v>
      </c>
      <c r="V31" s="200"/>
      <c r="W31" s="200"/>
      <c r="X31" s="200"/>
      <c r="Y31" s="200"/>
      <c r="Z31" s="200"/>
      <c r="AA31" s="200"/>
      <c r="AB31" s="200"/>
      <c r="AC31" s="200"/>
    </row>
    <row r="32" spans="1:29" s="227" customFormat="1">
      <c r="A32" s="224" t="s">
        <v>7</v>
      </c>
      <c r="B32" s="224" t="s">
        <v>9</v>
      </c>
      <c r="C32" s="224" t="s">
        <v>13</v>
      </c>
      <c r="D32" s="223">
        <v>2</v>
      </c>
      <c r="E32" s="224">
        <v>5</v>
      </c>
      <c r="F32" s="229">
        <f>'Wet analysis 2017'!T18</f>
        <v>8.7046952976688866E-2</v>
      </c>
      <c r="G32" s="229">
        <f>'Wet analysis 2017'!AD18</f>
        <v>5.5829438808924889</v>
      </c>
      <c r="H32" s="229">
        <f>'Wet analysis 2017'!AN18</f>
        <v>75.53790969526753</v>
      </c>
      <c r="I32" s="229">
        <f>'Wet analysis 2017'!AW18</f>
        <v>19.897406241245999</v>
      </c>
      <c r="J32" s="229">
        <f>'Wet analysis 2017'!BF18</f>
        <v>14.227415407376821</v>
      </c>
      <c r="K32" s="200"/>
      <c r="L32" s="261">
        <f>'Soil samples 2017'!X18</f>
        <v>4.9870000000000001</v>
      </c>
      <c r="M32" s="200"/>
      <c r="N32" s="200"/>
      <c r="O32" s="59"/>
      <c r="P32" s="200"/>
      <c r="Q32" s="59">
        <f t="shared" si="1"/>
        <v>4.3523476488344431E-3</v>
      </c>
      <c r="R32" s="59">
        <f t="shared" si="2"/>
        <v>0.27914719404462446</v>
      </c>
      <c r="S32" s="59">
        <f t="shared" si="3"/>
        <v>3.7768954847633767</v>
      </c>
      <c r="T32" s="59">
        <f t="shared" si="4"/>
        <v>0.99487031206230003</v>
      </c>
      <c r="U32" s="59">
        <f t="shared" si="5"/>
        <v>0.71137077036884111</v>
      </c>
      <c r="V32" s="200"/>
      <c r="W32" s="200"/>
      <c r="X32" s="200"/>
      <c r="Y32" s="200"/>
      <c r="Z32" s="200"/>
      <c r="AA32" s="200"/>
      <c r="AB32" s="200"/>
      <c r="AC32" s="200"/>
    </row>
    <row r="33" spans="1:29" s="227" customFormat="1">
      <c r="A33" s="224" t="s">
        <v>641</v>
      </c>
      <c r="B33" s="224" t="s">
        <v>9</v>
      </c>
      <c r="C33" s="224" t="s">
        <v>13</v>
      </c>
      <c r="D33" s="223">
        <v>2</v>
      </c>
      <c r="E33" s="224">
        <v>10</v>
      </c>
      <c r="F33" s="229">
        <f>'Wet analysis 2017'!T19</f>
        <v>0.57069004976890625</v>
      </c>
      <c r="G33" s="229">
        <f>'Wet analysis 2017'!AD19</f>
        <v>1.2771339612161368</v>
      </c>
      <c r="H33" s="229">
        <f>'Wet analysis 2017'!AN19</f>
        <v>135.56053849364901</v>
      </c>
      <c r="I33" s="229">
        <f>'Wet analysis 2017'!AW19</f>
        <v>12.157998144774762</v>
      </c>
      <c r="J33" s="229">
        <f>'Wet analysis 2017'!BF19</f>
        <v>10.310174133789722</v>
      </c>
      <c r="K33" s="200"/>
      <c r="L33" s="261">
        <f>'Soil samples 2017'!X19</f>
        <v>4.3979999999999997</v>
      </c>
      <c r="M33" s="200"/>
      <c r="N33" s="200"/>
      <c r="O33" s="59"/>
      <c r="P33" s="200"/>
      <c r="Q33" s="59">
        <f t="shared" si="1"/>
        <v>2.8534502488445315E-2</v>
      </c>
      <c r="R33" s="59">
        <f t="shared" si="2"/>
        <v>6.3856698060806835E-2</v>
      </c>
      <c r="S33" s="59">
        <f t="shared" si="3"/>
        <v>6.7780269246824503</v>
      </c>
      <c r="T33" s="59">
        <f t="shared" si="4"/>
        <v>0.6078999072387381</v>
      </c>
      <c r="U33" s="59">
        <f t="shared" si="5"/>
        <v>0.51550870668948612</v>
      </c>
      <c r="V33" s="200"/>
      <c r="W33" s="200"/>
      <c r="X33" s="200"/>
      <c r="Y33" s="200"/>
      <c r="Z33" s="200"/>
      <c r="AA33" s="200"/>
      <c r="AB33" s="200"/>
      <c r="AC33" s="200"/>
    </row>
    <row r="34" spans="1:29" s="31" customFormat="1">
      <c r="A34" t="s">
        <v>29</v>
      </c>
      <c r="B34" t="s">
        <v>9</v>
      </c>
      <c r="C34" t="s">
        <v>13</v>
      </c>
      <c r="D34" s="8">
        <v>2</v>
      </c>
      <c r="E34">
        <v>20</v>
      </c>
      <c r="F34" s="104">
        <f>'Wet analysis 2016'!T26</f>
        <v>4.0710986978940739E-2</v>
      </c>
      <c r="G34" s="104">
        <f>'Wet analysis 2016'!AD26</f>
        <v>0.25366517549020978</v>
      </c>
      <c r="H34" s="104">
        <f>'Wet analysis 2016'!AN26</f>
        <v>102.31008438390583</v>
      </c>
      <c r="I34" s="104">
        <f>'Wet analysis 2016'!AW26</f>
        <v>2.5695230251330208</v>
      </c>
      <c r="J34" s="104">
        <f>'Wet analysis 2016'!BF26</f>
        <v>2.2751468626638696</v>
      </c>
      <c r="K34" s="200"/>
      <c r="L34" s="260">
        <f>'Soil samples'!X26</f>
        <v>5.1909999999999998</v>
      </c>
      <c r="M34" s="200"/>
      <c r="N34" s="200"/>
      <c r="O34" s="59"/>
      <c r="P34" s="200"/>
      <c r="Q34" s="59">
        <f t="shared" si="1"/>
        <v>2.0355493489470368E-3</v>
      </c>
      <c r="R34" s="59">
        <f t="shared" si="2"/>
        <v>1.268325877451049E-2</v>
      </c>
      <c r="S34" s="59">
        <f t="shared" si="3"/>
        <v>5.1155042191952917</v>
      </c>
      <c r="T34" s="59">
        <f t="shared" si="4"/>
        <v>0.12847615125665104</v>
      </c>
      <c r="U34" s="59">
        <f t="shared" si="5"/>
        <v>0.11375734313319348</v>
      </c>
      <c r="V34" s="200"/>
      <c r="W34" s="200"/>
      <c r="X34" s="200"/>
      <c r="Y34" s="200"/>
      <c r="Z34" s="200"/>
      <c r="AA34" s="200"/>
      <c r="AB34" s="200"/>
      <c r="AC34" s="200"/>
    </row>
    <row r="35" spans="1:29" s="31" customFormat="1">
      <c r="A35" t="s">
        <v>30</v>
      </c>
      <c r="B35" t="s">
        <v>9</v>
      </c>
      <c r="C35" t="s">
        <v>13</v>
      </c>
      <c r="D35" s="8">
        <v>2</v>
      </c>
      <c r="E35">
        <v>30</v>
      </c>
      <c r="F35" s="104">
        <f>'Wet analysis 2016'!T27</f>
        <v>2.6941783679271355E-2</v>
      </c>
      <c r="G35" s="104">
        <f>'Wet analysis 2016'!AD27</f>
        <v>0.26885515511920483</v>
      </c>
      <c r="H35" s="104">
        <f>'Wet analysis 2016'!AN27</f>
        <v>84.887675585889596</v>
      </c>
      <c r="I35" s="104">
        <f>'Wet analysis 2016'!AW27</f>
        <v>0</v>
      </c>
      <c r="J35" s="104">
        <f>'Wet analysis 2016'!BF27</f>
        <v>0</v>
      </c>
      <c r="K35" s="200"/>
      <c r="L35" s="260">
        <f>'Soil samples'!X27</f>
        <v>5.3019999999999996</v>
      </c>
      <c r="M35" s="200"/>
      <c r="N35" s="200"/>
      <c r="O35" s="59"/>
      <c r="P35" s="200"/>
      <c r="Q35" s="59">
        <f t="shared" si="1"/>
        <v>1.3470891839635678E-3</v>
      </c>
      <c r="R35" s="59">
        <f t="shared" si="2"/>
        <v>1.3442757755960242E-2</v>
      </c>
      <c r="S35" s="59">
        <f t="shared" si="3"/>
        <v>4.2443837792944796</v>
      </c>
      <c r="T35" s="59">
        <f t="shared" si="4"/>
        <v>0</v>
      </c>
      <c r="U35" s="59">
        <f t="shared" si="5"/>
        <v>0</v>
      </c>
      <c r="V35" s="200"/>
      <c r="W35" s="200"/>
      <c r="X35" s="200"/>
      <c r="Y35" s="200"/>
      <c r="Z35" s="200"/>
      <c r="AA35" s="200"/>
      <c r="AB35" s="200"/>
      <c r="AC35" s="200"/>
    </row>
    <row r="36" spans="1:29" s="227" customFormat="1">
      <c r="A36" s="224" t="s">
        <v>31</v>
      </c>
      <c r="B36" s="224" t="s">
        <v>9</v>
      </c>
      <c r="C36" s="224" t="s">
        <v>13</v>
      </c>
      <c r="D36" s="223">
        <v>3</v>
      </c>
      <c r="E36" s="224">
        <v>5</v>
      </c>
      <c r="F36" s="229">
        <f>'Wet analysis 2017'!T20</f>
        <v>3.096395152942415</v>
      </c>
      <c r="G36" s="229">
        <f>'Wet analysis 2017'!AD20</f>
        <v>3.2496539061116789</v>
      </c>
      <c r="H36" s="229">
        <f>'Wet analysis 2017'!AN20</f>
        <v>120.51467655329452</v>
      </c>
      <c r="I36" s="229">
        <f>'Wet analysis 2017'!AW20</f>
        <v>32.835598092304807</v>
      </c>
      <c r="J36" s="229">
        <f>'Wet analysis 2017'!BF20</f>
        <v>26.489549033250718</v>
      </c>
      <c r="K36" s="200"/>
      <c r="L36" s="261">
        <f>'Soil samples 2017'!X20</f>
        <v>5.0739999999999998</v>
      </c>
      <c r="M36" s="200"/>
      <c r="N36" s="200"/>
      <c r="O36" s="59"/>
      <c r="P36" s="200"/>
      <c r="Q36" s="59">
        <f t="shared" si="1"/>
        <v>0.15481975764712075</v>
      </c>
      <c r="R36" s="59">
        <f t="shared" si="2"/>
        <v>0.16248269530558396</v>
      </c>
      <c r="S36" s="59">
        <f t="shared" si="3"/>
        <v>6.0257338276647268</v>
      </c>
      <c r="T36" s="59">
        <f t="shared" si="4"/>
        <v>1.6417799046152404</v>
      </c>
      <c r="U36" s="59">
        <f t="shared" si="5"/>
        <v>1.3244774516625359</v>
      </c>
      <c r="V36" s="200"/>
      <c r="W36" s="200"/>
      <c r="X36" s="200"/>
      <c r="Y36" s="200"/>
      <c r="Z36" s="200"/>
      <c r="AA36" s="200"/>
      <c r="AB36" s="200"/>
      <c r="AC36" s="200"/>
    </row>
    <row r="37" spans="1:29" s="227" customFormat="1">
      <c r="A37" s="224" t="s">
        <v>1093</v>
      </c>
      <c r="B37" s="224" t="s">
        <v>9</v>
      </c>
      <c r="C37" s="224" t="s">
        <v>13</v>
      </c>
      <c r="D37" s="223">
        <v>3</v>
      </c>
      <c r="E37" s="224">
        <v>10</v>
      </c>
      <c r="F37" s="229">
        <f>'Wet analysis 2017'!T21</f>
        <v>2.3469205154941117</v>
      </c>
      <c r="G37" s="229">
        <f>'Wet analysis 2017'!AD21</f>
        <v>0.80619679178107007</v>
      </c>
      <c r="H37" s="229">
        <f>'Wet analysis 2017'!AN21</f>
        <v>96.59815329706538</v>
      </c>
      <c r="I37" s="229">
        <f>'Wet analysis 2017'!AW21</f>
        <v>20.482786217307023</v>
      </c>
      <c r="J37" s="229">
        <f>'Wet analysis 2017'!BF21</f>
        <v>17.329668910031842</v>
      </c>
      <c r="K37" s="200"/>
      <c r="L37" s="261">
        <f>'Soil samples 2017'!X21</f>
        <v>5.5209999999999999</v>
      </c>
      <c r="M37" s="200"/>
      <c r="N37" s="200"/>
      <c r="O37" s="59"/>
      <c r="P37" s="200"/>
      <c r="Q37" s="59">
        <f t="shared" si="1"/>
        <v>0.1173460257747056</v>
      </c>
      <c r="R37" s="59">
        <f t="shared" si="2"/>
        <v>4.0309839589053507E-2</v>
      </c>
      <c r="S37" s="59">
        <f t="shared" si="3"/>
        <v>4.8299076648532697</v>
      </c>
      <c r="T37" s="59">
        <f t="shared" si="4"/>
        <v>1.0241393108653511</v>
      </c>
      <c r="U37" s="59">
        <f t="shared" si="5"/>
        <v>0.86648344550159218</v>
      </c>
      <c r="V37" s="200"/>
      <c r="W37" s="200"/>
      <c r="X37" s="200"/>
      <c r="Y37" s="200"/>
      <c r="Z37" s="200"/>
      <c r="AA37" s="200"/>
      <c r="AB37" s="200"/>
      <c r="AC37" s="200"/>
    </row>
    <row r="38" spans="1:29" s="31" customFormat="1">
      <c r="A38" t="s">
        <v>32</v>
      </c>
      <c r="B38" t="s">
        <v>9</v>
      </c>
      <c r="C38" t="s">
        <v>13</v>
      </c>
      <c r="D38" s="8">
        <v>3</v>
      </c>
      <c r="E38">
        <v>20</v>
      </c>
      <c r="F38" s="104">
        <f>'Wet analysis 2016'!T29</f>
        <v>0.21632972628391095</v>
      </c>
      <c r="G38" s="104">
        <f>'Wet analysis 2016'!AD29</f>
        <v>0</v>
      </c>
      <c r="H38" s="104">
        <f>'Wet analysis 2016'!AN29</f>
        <v>130.93973684486917</v>
      </c>
      <c r="I38" s="104">
        <f>'Wet analysis 2016'!AW29</f>
        <v>2.6599834527919177</v>
      </c>
      <c r="J38" s="104">
        <f>'Wet analysis 2016'!BF29</f>
        <v>2.4436537265080069</v>
      </c>
      <c r="K38" s="200"/>
      <c r="L38" s="260">
        <f>'Soil samples'!X29</f>
        <v>5.5270000000000001</v>
      </c>
      <c r="M38" s="200"/>
      <c r="N38" s="200"/>
      <c r="O38" s="59"/>
      <c r="P38" s="200"/>
      <c r="Q38" s="59">
        <f t="shared" si="1"/>
        <v>1.0816486314195548E-2</v>
      </c>
      <c r="R38" s="59">
        <f t="shared" si="2"/>
        <v>0</v>
      </c>
      <c r="S38" s="59">
        <f t="shared" si="3"/>
        <v>6.5469868422434594</v>
      </c>
      <c r="T38" s="59">
        <f t="shared" si="4"/>
        <v>0.1329991726395959</v>
      </c>
      <c r="U38" s="59">
        <f t="shared" si="5"/>
        <v>0.12218268632540036</v>
      </c>
      <c r="V38" s="200"/>
      <c r="W38" s="200"/>
      <c r="X38" s="200"/>
      <c r="Y38" s="200"/>
      <c r="Z38" s="200"/>
      <c r="AA38" s="200"/>
      <c r="AB38" s="200"/>
      <c r="AC38" s="200"/>
    </row>
    <row r="39" spans="1:29" s="31" customFormat="1">
      <c r="A39" t="s">
        <v>33</v>
      </c>
      <c r="B39" t="s">
        <v>9</v>
      </c>
      <c r="C39" t="s">
        <v>13</v>
      </c>
      <c r="D39" s="8">
        <v>3</v>
      </c>
      <c r="E39">
        <v>30</v>
      </c>
      <c r="F39" s="104">
        <f>'Wet analysis 2016'!T30</f>
        <v>5.5597728589162954E-2</v>
      </c>
      <c r="G39" s="104">
        <f>'Wet analysis 2016'!AD30</f>
        <v>0</v>
      </c>
      <c r="H39" s="104">
        <f>'Wet analysis 2016'!AN30</f>
        <v>115.11258453679935</v>
      </c>
      <c r="I39" s="104">
        <f>'Wet analysis 2016'!AW30</f>
        <v>1.5446808873039202</v>
      </c>
      <c r="J39" s="104">
        <f>'Wet analysis 2016'!BF30</f>
        <v>1.489083158714757</v>
      </c>
      <c r="K39" s="200"/>
      <c r="L39" s="260">
        <f>'Soil samples'!X30</f>
        <v>5.7060000000000004</v>
      </c>
      <c r="M39" s="200"/>
      <c r="N39" s="200"/>
      <c r="O39" s="59"/>
      <c r="P39" s="200"/>
      <c r="Q39" s="59">
        <f t="shared" si="1"/>
        <v>2.7798864294581479E-3</v>
      </c>
      <c r="R39" s="59">
        <f t="shared" si="2"/>
        <v>0</v>
      </c>
      <c r="S39" s="59">
        <f t="shared" si="3"/>
        <v>5.755629226839968</v>
      </c>
      <c r="T39" s="59">
        <f t="shared" si="4"/>
        <v>7.7234044365196014E-2</v>
      </c>
      <c r="U39" s="59">
        <f t="shared" si="5"/>
        <v>7.4454157935737855E-2</v>
      </c>
      <c r="V39" s="200"/>
      <c r="W39" s="200"/>
      <c r="X39" s="200"/>
      <c r="Y39" s="200"/>
      <c r="Z39" s="200"/>
      <c r="AA39" s="200"/>
      <c r="AB39" s="200"/>
      <c r="AC39" s="200"/>
    </row>
    <row r="40" spans="1:29" s="227" customFormat="1">
      <c r="A40" s="224" t="s">
        <v>34</v>
      </c>
      <c r="B40" s="224" t="s">
        <v>9</v>
      </c>
      <c r="C40" s="224" t="s">
        <v>13</v>
      </c>
      <c r="D40" s="223">
        <v>4</v>
      </c>
      <c r="E40" s="224">
        <v>5</v>
      </c>
      <c r="F40" s="229">
        <f>'Wet analysis 2017'!T22</f>
        <v>0.7079270705772277</v>
      </c>
      <c r="G40" s="229">
        <f>'Wet analysis 2017'!AD22</f>
        <v>5.3785279917727635</v>
      </c>
      <c r="H40" s="229">
        <f>'Wet analysis 2017'!AN22</f>
        <v>183.23055001412681</v>
      </c>
      <c r="I40" s="229">
        <f>'Wet analysis 2017'!AW22</f>
        <v>39.906512001729951</v>
      </c>
      <c r="J40" s="229">
        <f>'Wet analysis 2017'!BF22</f>
        <v>33.82005693937996</v>
      </c>
      <c r="K40" s="200"/>
      <c r="L40" s="261">
        <f>'Soil samples 2017'!X22</f>
        <v>5.2939999999999996</v>
      </c>
      <c r="M40" s="200"/>
      <c r="N40" s="200"/>
      <c r="O40" s="59"/>
      <c r="P40" s="200"/>
      <c r="Q40" s="59">
        <f t="shared" si="1"/>
        <v>3.5396353528861384E-2</v>
      </c>
      <c r="R40" s="59">
        <f t="shared" si="2"/>
        <v>0.26892639958863818</v>
      </c>
      <c r="S40" s="59">
        <f t="shared" si="3"/>
        <v>9.1615275007063399</v>
      </c>
      <c r="T40" s="59">
        <f t="shared" si="4"/>
        <v>1.9953256000864976</v>
      </c>
      <c r="U40" s="59">
        <f t="shared" si="5"/>
        <v>1.6910028469689982</v>
      </c>
      <c r="V40" s="200"/>
      <c r="W40" s="200"/>
      <c r="X40" s="200"/>
      <c r="Y40" s="200"/>
      <c r="Z40" s="200"/>
      <c r="AA40" s="200"/>
      <c r="AB40" s="200"/>
      <c r="AC40" s="200"/>
    </row>
    <row r="41" spans="1:29" s="227" customFormat="1">
      <c r="A41" s="224" t="s">
        <v>1094</v>
      </c>
      <c r="B41" s="224" t="s">
        <v>9</v>
      </c>
      <c r="C41" s="224" t="s">
        <v>13</v>
      </c>
      <c r="D41" s="223">
        <v>4</v>
      </c>
      <c r="E41" s="224">
        <v>10</v>
      </c>
      <c r="F41" s="229">
        <f>'Wet analysis 2017'!T23</f>
        <v>0.7161697236796738</v>
      </c>
      <c r="G41" s="229">
        <f>'Wet analysis 2017'!AD23</f>
        <v>0.7561495249551009</v>
      </c>
      <c r="H41" s="229">
        <f>'Wet analysis 2017'!AN23</f>
        <v>111.67739102235068</v>
      </c>
      <c r="I41" s="229">
        <f>'Wet analysis 2017'!AW23</f>
        <v>16.160058325102522</v>
      </c>
      <c r="J41" s="229">
        <f>'Wet analysis 2017'!BF23</f>
        <v>14.687739076467743</v>
      </c>
      <c r="K41" s="200"/>
      <c r="L41" s="261">
        <f>'Soil samples 2017'!X23</f>
        <v>5.5179999999999998</v>
      </c>
      <c r="M41" s="200"/>
      <c r="N41" s="200"/>
      <c r="O41" s="59"/>
      <c r="P41" s="200"/>
      <c r="Q41" s="59">
        <f t="shared" si="1"/>
        <v>3.580848618398369E-2</v>
      </c>
      <c r="R41" s="59">
        <f t="shared" si="2"/>
        <v>3.7807476247755045E-2</v>
      </c>
      <c r="S41" s="59">
        <f t="shared" si="3"/>
        <v>5.5838695511175338</v>
      </c>
      <c r="T41" s="59">
        <f t="shared" si="4"/>
        <v>0.8080029162551261</v>
      </c>
      <c r="U41" s="59">
        <f t="shared" si="5"/>
        <v>0.73438695382338715</v>
      </c>
      <c r="V41" s="200"/>
      <c r="W41" s="200"/>
      <c r="X41" s="200"/>
      <c r="Y41" s="200"/>
      <c r="Z41" s="200"/>
      <c r="AA41" s="200"/>
      <c r="AB41" s="200"/>
      <c r="AC41" s="200"/>
    </row>
    <row r="42" spans="1:29" s="31" customFormat="1">
      <c r="A42" t="s">
        <v>35</v>
      </c>
      <c r="B42" t="s">
        <v>9</v>
      </c>
      <c r="C42" t="s">
        <v>13</v>
      </c>
      <c r="D42" s="8">
        <v>4</v>
      </c>
      <c r="E42">
        <v>20</v>
      </c>
      <c r="F42" s="104">
        <f>'Wet analysis 2016'!T32</f>
        <v>0.63604716587359733</v>
      </c>
      <c r="G42" s="104">
        <f>'Wet analysis 2016'!AD32</f>
        <v>0.6529222560354242</v>
      </c>
      <c r="H42" s="104">
        <f>'Wet analysis 2016'!AN32</f>
        <v>151.17589218202892</v>
      </c>
      <c r="I42" s="104">
        <f>'Wet analysis 2016'!AW32</f>
        <v>3.0628322422006424</v>
      </c>
      <c r="J42" s="104">
        <f>'Wet analysis 2016'!BF32</f>
        <v>1.7738628202916207</v>
      </c>
      <c r="K42" s="200"/>
      <c r="L42" s="260">
        <f>'Soil samples'!X32</f>
        <v>5.53</v>
      </c>
      <c r="M42" s="200"/>
      <c r="N42" s="200"/>
      <c r="O42" s="59"/>
      <c r="P42" s="200"/>
      <c r="Q42" s="59">
        <f t="shared" si="1"/>
        <v>3.1802358293679868E-2</v>
      </c>
      <c r="R42" s="59">
        <f t="shared" si="2"/>
        <v>3.264611280177121E-2</v>
      </c>
      <c r="S42" s="59">
        <f t="shared" si="3"/>
        <v>7.5587946091014464</v>
      </c>
      <c r="T42" s="59">
        <f t="shared" si="4"/>
        <v>0.15314161211003213</v>
      </c>
      <c r="U42" s="59">
        <f t="shared" si="5"/>
        <v>8.8693141014581034E-2</v>
      </c>
      <c r="V42" s="200"/>
      <c r="W42" s="200"/>
      <c r="X42" s="200"/>
      <c r="Y42" s="200"/>
      <c r="Z42" s="200"/>
      <c r="AA42" s="200"/>
      <c r="AB42" s="200"/>
      <c r="AC42" s="200"/>
    </row>
    <row r="43" spans="1:29" s="230" customFormat="1">
      <c r="A43" s="59" t="s">
        <v>36</v>
      </c>
      <c r="B43" s="59" t="s">
        <v>9</v>
      </c>
      <c r="C43" s="59" t="s">
        <v>13</v>
      </c>
      <c r="D43" s="6">
        <v>4</v>
      </c>
      <c r="E43" s="59">
        <v>30</v>
      </c>
      <c r="F43" s="135">
        <f>'Wet analysis 2016'!T33</f>
        <v>0.16482653566173883</v>
      </c>
      <c r="G43" s="135">
        <f>'Wet analysis 2016'!AD33</f>
        <v>0.2381505892798059</v>
      </c>
      <c r="H43" s="135">
        <f>'Wet analysis 2016'!AN33</f>
        <v>122.5689011088934</v>
      </c>
      <c r="I43" s="135">
        <f>'Wet analysis 2016'!AW33</f>
        <v>4.67300924974161</v>
      </c>
      <c r="J43" s="135">
        <f>'Wet analysis 2016'!BF33</f>
        <v>4.270032124800065</v>
      </c>
      <c r="L43" s="260">
        <f>'Soil samples'!X33</f>
        <v>5.7069999999999999</v>
      </c>
      <c r="O43" s="59"/>
      <c r="Q43" s="59">
        <f t="shared" si="1"/>
        <v>8.241326783086941E-3</v>
      </c>
      <c r="R43" s="59">
        <f t="shared" si="2"/>
        <v>1.1907529463990296E-2</v>
      </c>
      <c r="S43" s="59">
        <f t="shared" si="3"/>
        <v>6.1284450554446703</v>
      </c>
      <c r="T43" s="59">
        <f t="shared" si="4"/>
        <v>0.23365046248708052</v>
      </c>
      <c r="U43" s="59">
        <f t="shared" si="5"/>
        <v>0.21350160624000325</v>
      </c>
    </row>
    <row r="44" spans="1:29" s="228" customFormat="1">
      <c r="A44" s="224" t="s">
        <v>37</v>
      </c>
      <c r="B44" s="224" t="s">
        <v>9</v>
      </c>
      <c r="C44" s="224" t="s">
        <v>13</v>
      </c>
      <c r="D44" s="223">
        <v>5</v>
      </c>
      <c r="E44" s="224">
        <v>5</v>
      </c>
      <c r="F44" s="229">
        <f>'Wet analysis 2017'!T24</f>
        <v>0.25078269503728712</v>
      </c>
      <c r="G44" s="229">
        <f>'Wet analysis 2017'!AD24</f>
        <v>8.1422616087532749</v>
      </c>
      <c r="H44" s="229">
        <f>'Wet analysis 2017'!AN24</f>
        <v>62.594754518669227</v>
      </c>
      <c r="I44" s="229">
        <f>'Wet analysis 2017'!AW24</f>
        <v>21.850811763344328</v>
      </c>
      <c r="J44" s="229">
        <f>'Wet analysis 2017'!BF24</f>
        <v>13.457767459553768</v>
      </c>
      <c r="K44" s="230"/>
      <c r="L44" s="261">
        <f>'Soil samples 2017'!X24</f>
        <v>6.6669999999999998</v>
      </c>
      <c r="M44" s="230"/>
      <c r="N44" s="230"/>
      <c r="O44" s="59"/>
      <c r="P44" s="230"/>
      <c r="Q44" s="59">
        <f t="shared" si="1"/>
        <v>1.2539134751864356E-2</v>
      </c>
      <c r="R44" s="59">
        <f t="shared" si="2"/>
        <v>0.40711308043766375</v>
      </c>
      <c r="S44" s="59">
        <f t="shared" si="3"/>
        <v>3.1297377259334613</v>
      </c>
      <c r="T44" s="59">
        <f t="shared" si="4"/>
        <v>1.0925405881672166</v>
      </c>
      <c r="U44" s="59">
        <f t="shared" si="5"/>
        <v>0.67288837297768844</v>
      </c>
      <c r="V44" s="230"/>
      <c r="W44" s="230"/>
      <c r="X44" s="230"/>
      <c r="Y44" s="230"/>
      <c r="Z44" s="230"/>
      <c r="AA44" s="230"/>
      <c r="AB44" s="230"/>
      <c r="AC44" s="230"/>
    </row>
    <row r="45" spans="1:29" s="228" customFormat="1">
      <c r="A45" s="224" t="s">
        <v>38</v>
      </c>
      <c r="B45" s="224" t="s">
        <v>9</v>
      </c>
      <c r="C45" s="224" t="s">
        <v>13</v>
      </c>
      <c r="D45" s="223">
        <v>5</v>
      </c>
      <c r="E45" s="224">
        <v>10</v>
      </c>
      <c r="F45" s="229">
        <f>'Wet analysis 2017'!T25</f>
        <v>0.30115715265467985</v>
      </c>
      <c r="G45" s="229">
        <f>'Wet analysis 2017'!AD25</f>
        <v>4.5591579944528231</v>
      </c>
      <c r="H45" s="229">
        <f>'Wet analysis 2017'!AN25</f>
        <v>86.29668628344487</v>
      </c>
      <c r="I45" s="229">
        <f>'Wet analysis 2017'!AW25</f>
        <v>26.958015476479023</v>
      </c>
      <c r="J45" s="229">
        <f>'Wet analysis 2017'!BF25</f>
        <v>22.097700329371524</v>
      </c>
      <c r="K45" s="230"/>
      <c r="L45" s="261">
        <f>'Soil samples 2017'!X25</f>
        <v>6.516</v>
      </c>
      <c r="M45" s="230"/>
      <c r="N45" s="230"/>
      <c r="O45" s="59"/>
      <c r="P45" s="230"/>
      <c r="Q45" s="59">
        <f t="shared" si="1"/>
        <v>1.5057857632733993E-2</v>
      </c>
      <c r="R45" s="59">
        <f t="shared" si="2"/>
        <v>0.22795789972264116</v>
      </c>
      <c r="S45" s="59">
        <f t="shared" si="3"/>
        <v>4.3148343141722441</v>
      </c>
      <c r="T45" s="59">
        <f t="shared" si="4"/>
        <v>1.3479007738239512</v>
      </c>
      <c r="U45" s="59">
        <f t="shared" si="5"/>
        <v>1.1048850164685762</v>
      </c>
      <c r="V45" s="230"/>
      <c r="W45" s="230"/>
      <c r="X45" s="230"/>
      <c r="Y45" s="230"/>
      <c r="Z45" s="230"/>
      <c r="AA45" s="230"/>
      <c r="AB45" s="230"/>
      <c r="AC45" s="230"/>
    </row>
    <row r="46" spans="1:29" s="52" customFormat="1">
      <c r="A46" t="s">
        <v>1115</v>
      </c>
      <c r="B46" t="s">
        <v>9</v>
      </c>
      <c r="C46" t="s">
        <v>13</v>
      </c>
      <c r="D46" s="6">
        <v>5</v>
      </c>
      <c r="E46">
        <v>20</v>
      </c>
      <c r="F46" s="104">
        <f>'Wet analysis 2016'!T35</f>
        <v>9.4679443768907579E-2</v>
      </c>
      <c r="G46" s="104">
        <f>'Wet analysis 2016'!AD35</f>
        <v>1.2891595904448201</v>
      </c>
      <c r="H46" s="104">
        <f>'Wet analysis 2016'!AN35</f>
        <v>238.50671123164591</v>
      </c>
      <c r="I46" s="104">
        <f>'Wet analysis 2016'!AW35</f>
        <v>17.659009369499778</v>
      </c>
      <c r="J46" s="104">
        <f>'Wet analysis 2016'!BF35</f>
        <v>16.275170335286049</v>
      </c>
      <c r="K46" s="230"/>
      <c r="L46" s="260">
        <f>'Soil samples'!X35</f>
        <v>5.452</v>
      </c>
      <c r="M46" s="230"/>
      <c r="N46" s="230"/>
      <c r="O46" s="59"/>
      <c r="P46" s="230"/>
      <c r="Q46" s="59">
        <f t="shared" si="1"/>
        <v>4.7339721884453794E-3</v>
      </c>
      <c r="R46" s="59">
        <f t="shared" si="2"/>
        <v>6.4457979522241013E-2</v>
      </c>
      <c r="S46" s="59">
        <f t="shared" si="3"/>
        <v>11.925335561582296</v>
      </c>
      <c r="T46" s="59">
        <f t="shared" si="4"/>
        <v>0.88295046847498893</v>
      </c>
      <c r="U46" s="59">
        <f t="shared" si="5"/>
        <v>0.81375851676430244</v>
      </c>
      <c r="V46" s="230"/>
      <c r="W46" s="230"/>
      <c r="X46" s="230"/>
      <c r="Y46" s="230"/>
      <c r="Z46" s="230"/>
      <c r="AA46" s="230"/>
      <c r="AB46" s="230"/>
      <c r="AC46" s="230"/>
    </row>
    <row r="47" spans="1:29" s="228" customFormat="1">
      <c r="A47" s="224" t="s">
        <v>39</v>
      </c>
      <c r="B47" s="224" t="s">
        <v>9</v>
      </c>
      <c r="C47" s="224" t="s">
        <v>13</v>
      </c>
      <c r="D47" s="223">
        <v>6</v>
      </c>
      <c r="E47" s="224">
        <v>5</v>
      </c>
      <c r="F47" s="229">
        <f>'Wet analysis 2017'!T26</f>
        <v>1.8253247488087865</v>
      </c>
      <c r="G47" s="229">
        <f>'Wet analysis 2017'!AD26</f>
        <v>5.8799371258598478</v>
      </c>
      <c r="H47" s="229">
        <f>'Wet analysis 2017'!AN26</f>
        <v>20.027256939664781</v>
      </c>
      <c r="I47" s="229">
        <f>'Wet analysis 2017'!AW26</f>
        <v>14.178366566053834</v>
      </c>
      <c r="J47" s="229">
        <f>'Wet analysis 2017'!BF26</f>
        <v>6.4731046913851973</v>
      </c>
      <c r="K47" s="230"/>
      <c r="L47" s="261">
        <f>'Soil samples 2017'!X26</f>
        <v>6.5819999999999999</v>
      </c>
      <c r="M47" s="230"/>
      <c r="N47" s="230"/>
      <c r="O47" s="59"/>
      <c r="P47" s="230"/>
      <c r="Q47" s="59">
        <f t="shared" si="1"/>
        <v>9.1266237440439324E-2</v>
      </c>
      <c r="R47" s="59">
        <f t="shared" si="2"/>
        <v>0.29399685629299238</v>
      </c>
      <c r="S47" s="59">
        <f t="shared" si="3"/>
        <v>1.0013628469832392</v>
      </c>
      <c r="T47" s="59">
        <f t="shared" si="4"/>
        <v>0.70891832830269175</v>
      </c>
      <c r="U47" s="59">
        <f t="shared" si="5"/>
        <v>0.32365523456925988</v>
      </c>
      <c r="V47" s="230"/>
      <c r="W47" s="230"/>
      <c r="X47" s="230"/>
      <c r="Y47" s="230"/>
      <c r="Z47" s="230"/>
      <c r="AA47" s="230"/>
      <c r="AB47" s="230"/>
      <c r="AC47" s="230"/>
    </row>
    <row r="48" spans="1:29" s="228" customFormat="1">
      <c r="A48" s="224" t="s">
        <v>1095</v>
      </c>
      <c r="B48" s="224" t="s">
        <v>9</v>
      </c>
      <c r="C48" s="224" t="s">
        <v>13</v>
      </c>
      <c r="D48" s="223">
        <v>6</v>
      </c>
      <c r="E48" s="224">
        <v>10</v>
      </c>
      <c r="F48" s="229">
        <f>'Wet analysis 2017'!T27</f>
        <v>0.93927059362547083</v>
      </c>
      <c r="G48" s="229">
        <f>'Wet analysis 2017'!AD27</f>
        <v>9.416090479595745</v>
      </c>
      <c r="H48" s="229">
        <f>'Wet analysis 2017'!AN27</f>
        <v>6.2323820243699313</v>
      </c>
      <c r="I48" s="229">
        <f>'Wet analysis 2017'!AW27</f>
        <v>10.215141123777562</v>
      </c>
      <c r="J48" s="229">
        <f>'Wet analysis 2017'!BF27</f>
        <v>0</v>
      </c>
      <c r="K48" s="230"/>
      <c r="L48" s="261">
        <f>'Soil samples 2017'!X27</f>
        <v>6.4580000000000002</v>
      </c>
      <c r="M48" s="230"/>
      <c r="N48" s="230"/>
      <c r="O48" s="59"/>
      <c r="P48" s="230"/>
      <c r="Q48" s="59">
        <f t="shared" si="1"/>
        <v>4.6963529681273541E-2</v>
      </c>
      <c r="R48" s="59">
        <f t="shared" si="2"/>
        <v>0.47080452397978728</v>
      </c>
      <c r="S48" s="59">
        <f t="shared" si="3"/>
        <v>0.31161910121849656</v>
      </c>
      <c r="T48" s="59">
        <f t="shared" si="4"/>
        <v>0.51075705618887812</v>
      </c>
      <c r="U48" s="59">
        <f t="shared" si="5"/>
        <v>0</v>
      </c>
      <c r="V48" s="230"/>
      <c r="W48" s="230"/>
      <c r="X48" s="230"/>
      <c r="Y48" s="230"/>
      <c r="Z48" s="230"/>
      <c r="AA48" s="230"/>
      <c r="AB48" s="230"/>
      <c r="AC48" s="230"/>
    </row>
    <row r="49" spans="1:29" s="52" customFormat="1">
      <c r="A49" t="s">
        <v>40</v>
      </c>
      <c r="B49" t="s">
        <v>9</v>
      </c>
      <c r="C49" t="s">
        <v>13</v>
      </c>
      <c r="D49" s="8">
        <v>6</v>
      </c>
      <c r="E49">
        <v>20</v>
      </c>
      <c r="F49" s="104">
        <f>'Wet analysis 2016'!T37</f>
        <v>0.5034215054085851</v>
      </c>
      <c r="G49" s="104">
        <f>'Wet analysis 2016'!AD37</f>
        <v>0.95947731714102857</v>
      </c>
      <c r="H49" s="104">
        <f>'Wet analysis 2016'!AN37</f>
        <v>81.495632855469523</v>
      </c>
      <c r="I49" s="104">
        <f>'Wet analysis 2016'!AW37</f>
        <v>15.084531936534725</v>
      </c>
      <c r="J49" s="104">
        <f>'Wet analysis 2016'!BF37</f>
        <v>13.621633113985109</v>
      </c>
      <c r="K49" s="230"/>
      <c r="L49" s="260">
        <f>'Soil samples'!X37</f>
        <v>7.4370000000000003</v>
      </c>
      <c r="M49" s="230"/>
      <c r="N49" s="230"/>
      <c r="O49" s="59"/>
      <c r="P49" s="230"/>
      <c r="Q49" s="59">
        <f t="shared" si="1"/>
        <v>2.5171075270429256E-2</v>
      </c>
      <c r="R49" s="59">
        <f t="shared" si="2"/>
        <v>4.7973865857051434E-2</v>
      </c>
      <c r="S49" s="59">
        <f t="shared" si="3"/>
        <v>4.074781642773476</v>
      </c>
      <c r="T49" s="59">
        <f t="shared" si="4"/>
        <v>0.75422659682673632</v>
      </c>
      <c r="U49" s="59">
        <f t="shared" si="5"/>
        <v>0.68108165569925549</v>
      </c>
      <c r="V49" s="230"/>
      <c r="W49" s="230"/>
      <c r="X49" s="230"/>
      <c r="Y49" s="230"/>
      <c r="Z49" s="230"/>
      <c r="AA49" s="230"/>
      <c r="AB49" s="230"/>
      <c r="AC49" s="230"/>
    </row>
    <row r="50" spans="1:29" s="52" customFormat="1">
      <c r="A50" s="4" t="s">
        <v>41</v>
      </c>
      <c r="B50" t="s">
        <v>9</v>
      </c>
      <c r="C50" t="s">
        <v>13</v>
      </c>
      <c r="D50" s="4">
        <v>6</v>
      </c>
      <c r="E50" s="4">
        <v>30</v>
      </c>
      <c r="F50" s="55">
        <f>'Wet analysis 2016'!T38</f>
        <v>0.43955026138714859</v>
      </c>
      <c r="G50" s="55">
        <f>'Wet analysis 2016'!AD38</f>
        <v>0.49630420448299017</v>
      </c>
      <c r="H50" s="55">
        <f>'Wet analysis 2016'!AN38</f>
        <v>59.552819953445074</v>
      </c>
      <c r="I50" s="55">
        <f>'Wet analysis 2016'!AW38</f>
        <v>2.1576058039961912</v>
      </c>
      <c r="J50" s="55">
        <f>'Wet analysis 2016'!BF38</f>
        <v>1.2217513381260523</v>
      </c>
      <c r="K50" s="230"/>
      <c r="L50" s="260">
        <f>'Soil samples'!X38</f>
        <v>8.1669999999999998</v>
      </c>
      <c r="M50" s="230"/>
      <c r="N50" s="230"/>
      <c r="O50" s="59"/>
      <c r="P50" s="230"/>
      <c r="Q50" s="59">
        <f t="shared" si="1"/>
        <v>2.197751306935743E-2</v>
      </c>
      <c r="R50" s="59">
        <f t="shared" si="2"/>
        <v>2.4815210224149509E-2</v>
      </c>
      <c r="S50" s="59">
        <f t="shared" si="3"/>
        <v>2.9776409976722538</v>
      </c>
      <c r="T50" s="59">
        <f t="shared" si="4"/>
        <v>0.10788029019980956</v>
      </c>
      <c r="U50" s="59">
        <f t="shared" si="5"/>
        <v>6.1087566906302619E-2</v>
      </c>
      <c r="V50" s="230"/>
      <c r="W50" s="230"/>
      <c r="X50" s="230"/>
      <c r="Y50" s="230"/>
      <c r="Z50" s="230"/>
      <c r="AA50" s="230"/>
      <c r="AB50" s="230"/>
      <c r="AC50" s="230"/>
    </row>
    <row r="51" spans="1:29" s="52" customFormat="1">
      <c r="A51" s="6" t="s">
        <v>43</v>
      </c>
      <c r="B51" s="6" t="s">
        <v>196</v>
      </c>
      <c r="C51" t="s">
        <v>12</v>
      </c>
      <c r="D51" s="8">
        <v>1</v>
      </c>
      <c r="E51" s="3">
        <v>5</v>
      </c>
      <c r="F51" s="55">
        <f>'Wet analysis 2016'!T39</f>
        <v>1.6134042173015244</v>
      </c>
      <c r="G51" s="55">
        <f>'Wet analysis 2016'!AD39</f>
        <v>2.2630841080755646</v>
      </c>
      <c r="H51" s="55">
        <f>'Wet analysis 2016'!AN39</f>
        <v>2360.6766387633302</v>
      </c>
      <c r="I51" s="55">
        <f>'Wet analysis 2016'!AW39</f>
        <v>62.195532251260055</v>
      </c>
      <c r="J51" s="55">
        <f>'Wet analysis 2016'!BF39</f>
        <v>58.319043925882937</v>
      </c>
      <c r="K51" s="230"/>
      <c r="L51" s="262">
        <f>AVERAGE(L55,L59,L63,L68)</f>
        <v>5.5474999999999994</v>
      </c>
      <c r="M51" s="230"/>
      <c r="N51" s="230"/>
      <c r="O51" s="59"/>
      <c r="P51" s="230"/>
      <c r="Q51" s="59">
        <f t="shared" si="1"/>
        <v>8.0670210865076225E-2</v>
      </c>
      <c r="R51" s="59">
        <f t="shared" si="2"/>
        <v>0.11315420540377824</v>
      </c>
      <c r="S51" s="59">
        <f t="shared" si="3"/>
        <v>118.03383193816651</v>
      </c>
      <c r="T51" s="59">
        <f t="shared" si="4"/>
        <v>3.1097766125630031</v>
      </c>
      <c r="U51" s="59">
        <f t="shared" si="5"/>
        <v>2.915952196294147</v>
      </c>
      <c r="V51" s="230"/>
      <c r="W51" s="230"/>
      <c r="X51" s="230"/>
      <c r="Y51" s="230"/>
      <c r="Z51" s="230"/>
      <c r="AA51" s="230"/>
      <c r="AB51" s="230"/>
      <c r="AC51" s="230"/>
    </row>
    <row r="52" spans="1:29" s="52" customFormat="1">
      <c r="A52" s="6" t="s">
        <v>44</v>
      </c>
      <c r="B52" s="6" t="s">
        <v>196</v>
      </c>
      <c r="C52" t="s">
        <v>12</v>
      </c>
      <c r="D52" s="8">
        <v>1</v>
      </c>
      <c r="E52" s="3">
        <v>10</v>
      </c>
      <c r="F52" s="55">
        <f>'Wet analysis 2016'!T40</f>
        <v>1.056148459323766</v>
      </c>
      <c r="G52" s="55">
        <f>'Wet analysis 2016'!AD40</f>
        <v>1.3204378813680049</v>
      </c>
      <c r="H52" s="55">
        <f>'Wet analysis 2016'!AN40</f>
        <v>298.44837213204886</v>
      </c>
      <c r="I52" s="55">
        <f>'Wet analysis 2016'!AW40</f>
        <v>60.752940774377066</v>
      </c>
      <c r="J52" s="55">
        <f>'Wet analysis 2016'!BF40</f>
        <v>58.376354433685293</v>
      </c>
      <c r="K52" s="230"/>
      <c r="L52" s="260">
        <f>'Soil samples'!X40</f>
        <v>5.149</v>
      </c>
      <c r="M52" s="230"/>
      <c r="N52" s="230"/>
      <c r="O52" s="59"/>
      <c r="P52" s="230"/>
      <c r="Q52" s="59">
        <f t="shared" si="1"/>
        <v>5.2807422966188303E-2</v>
      </c>
      <c r="R52" s="59">
        <f t="shared" si="2"/>
        <v>6.6021894068400241E-2</v>
      </c>
      <c r="S52" s="59">
        <f t="shared" si="3"/>
        <v>14.922418606602443</v>
      </c>
      <c r="T52" s="59">
        <f t="shared" si="4"/>
        <v>3.0376470387188537</v>
      </c>
      <c r="U52" s="59">
        <f t="shared" si="5"/>
        <v>2.918817721684265</v>
      </c>
      <c r="V52" s="230"/>
      <c r="W52" s="230"/>
      <c r="X52" s="230"/>
      <c r="Y52" s="230"/>
      <c r="Z52" s="230"/>
      <c r="AA52" s="230"/>
      <c r="AB52" s="230"/>
      <c r="AC52" s="230"/>
    </row>
    <row r="53" spans="1:29" s="52" customFormat="1">
      <c r="A53" s="6" t="s">
        <v>45</v>
      </c>
      <c r="B53" s="6" t="s">
        <v>196</v>
      </c>
      <c r="C53" t="s">
        <v>12</v>
      </c>
      <c r="D53" s="8">
        <v>1</v>
      </c>
      <c r="E53" s="3">
        <v>20</v>
      </c>
      <c r="F53" s="55">
        <f>'Wet analysis 2016'!T41</f>
        <v>2.4684184666399442</v>
      </c>
      <c r="G53" s="55">
        <f>'Wet analysis 2016'!AD41</f>
        <v>2.2038763624458704</v>
      </c>
      <c r="H53" s="55">
        <f>'Wet analysis 2016'!AN41</f>
        <v>420.08416147809515</v>
      </c>
      <c r="I53" s="55">
        <f>'Wet analysis 2016'!AW41</f>
        <v>55.953809748598133</v>
      </c>
      <c r="J53" s="55">
        <f>'Wet analysis 2016'!BF41</f>
        <v>51.281514919512318</v>
      </c>
      <c r="K53" s="230"/>
      <c r="L53" s="260">
        <f>'Soil samples'!X41</f>
        <v>6.1459999999999999</v>
      </c>
      <c r="M53" s="230"/>
      <c r="N53" s="230"/>
      <c r="O53" s="59"/>
      <c r="P53" s="230"/>
      <c r="Q53" s="59">
        <f t="shared" si="1"/>
        <v>0.12342092333199722</v>
      </c>
      <c r="R53" s="59">
        <f t="shared" si="2"/>
        <v>0.11019381812229352</v>
      </c>
      <c r="S53" s="59">
        <f t="shared" si="3"/>
        <v>21.00420807390476</v>
      </c>
      <c r="T53" s="59">
        <f t="shared" si="4"/>
        <v>2.7976904874299069</v>
      </c>
      <c r="U53" s="59">
        <f t="shared" si="5"/>
        <v>2.5640757459756163</v>
      </c>
      <c r="V53" s="230"/>
      <c r="W53" s="230"/>
      <c r="X53" s="230"/>
      <c r="Y53" s="230"/>
      <c r="Z53" s="230"/>
      <c r="AA53" s="230"/>
      <c r="AB53" s="230"/>
      <c r="AC53" s="230"/>
    </row>
    <row r="54" spans="1:29" s="52" customFormat="1">
      <c r="A54" s="6" t="s">
        <v>46</v>
      </c>
      <c r="B54" s="6" t="s">
        <v>196</v>
      </c>
      <c r="C54" t="s">
        <v>12</v>
      </c>
      <c r="D54" s="8">
        <v>1</v>
      </c>
      <c r="E54" s="3">
        <v>30</v>
      </c>
      <c r="F54" s="55">
        <f>'Wet analysis 2016'!T42</f>
        <v>1.8312648184262545</v>
      </c>
      <c r="G54" s="55">
        <f>'Wet analysis 2016'!AD42</f>
        <v>1.2864162568557851</v>
      </c>
      <c r="H54" s="55">
        <f>'Wet analysis 2016'!AN42</f>
        <v>561.85687012292146</v>
      </c>
      <c r="I54" s="55">
        <f>'Wet analysis 2016'!AW42</f>
        <v>88.660069951389204</v>
      </c>
      <c r="J54" s="55">
        <f>'Wet analysis 2016'!BF42</f>
        <v>85.54238887610714</v>
      </c>
      <c r="K54" s="230"/>
      <c r="L54" s="260">
        <f>'Soil samples'!X42</f>
        <v>6.157</v>
      </c>
      <c r="M54" s="230"/>
      <c r="N54" s="230"/>
      <c r="O54" s="59"/>
      <c r="P54" s="230"/>
      <c r="Q54" s="59">
        <f t="shared" si="1"/>
        <v>9.1563240921312739E-2</v>
      </c>
      <c r="R54" s="59">
        <f t="shared" si="2"/>
        <v>6.432081284278926E-2</v>
      </c>
      <c r="S54" s="59">
        <f t="shared" si="3"/>
        <v>28.092843506146075</v>
      </c>
      <c r="T54" s="59">
        <f t="shared" si="4"/>
        <v>4.4330034975694605</v>
      </c>
      <c r="U54" s="59">
        <f t="shared" si="5"/>
        <v>4.2771194438053568</v>
      </c>
      <c r="V54" s="230"/>
      <c r="W54" s="230"/>
      <c r="X54" s="230"/>
      <c r="Y54" s="230"/>
      <c r="Z54" s="230"/>
      <c r="AA54" s="230"/>
      <c r="AB54" s="230"/>
      <c r="AC54" s="230"/>
    </row>
    <row r="55" spans="1:29" s="52" customFormat="1">
      <c r="A55" s="6" t="s">
        <v>47</v>
      </c>
      <c r="B55" s="6" t="s">
        <v>196</v>
      </c>
      <c r="C55" t="s">
        <v>12</v>
      </c>
      <c r="D55" s="8">
        <v>2</v>
      </c>
      <c r="E55" s="3">
        <v>5</v>
      </c>
      <c r="F55" s="55">
        <f>'Wet analysis 2016'!T43</f>
        <v>2.1526047467446863</v>
      </c>
      <c r="G55" s="55">
        <f>'Wet analysis 2016'!AD43</f>
        <v>4.2072507150214546</v>
      </c>
      <c r="H55" s="55">
        <f>'Wet analysis 2016'!AN43</f>
        <v>243.80489158212401</v>
      </c>
      <c r="I55" s="55">
        <f>'Wet analysis 2016'!AW43</f>
        <v>30.646548912999343</v>
      </c>
      <c r="J55" s="55">
        <f>'Wet analysis 2016'!BF43</f>
        <v>24.286693451233202</v>
      </c>
      <c r="K55" s="230"/>
      <c r="L55" s="260">
        <f>'Soil samples'!X43</f>
        <v>4.8680000000000003</v>
      </c>
      <c r="M55" s="230"/>
      <c r="N55" s="230"/>
      <c r="O55" s="59"/>
      <c r="P55" s="230"/>
      <c r="Q55" s="59">
        <f t="shared" si="1"/>
        <v>0.10763023733723431</v>
      </c>
      <c r="R55" s="59">
        <f t="shared" si="2"/>
        <v>0.21036253575107275</v>
      </c>
      <c r="S55" s="59">
        <f t="shared" si="3"/>
        <v>12.190244579106201</v>
      </c>
      <c r="T55" s="59">
        <f t="shared" si="4"/>
        <v>1.5323274456499671</v>
      </c>
      <c r="U55" s="59">
        <f t="shared" si="5"/>
        <v>1.2143346725616602</v>
      </c>
      <c r="V55" s="230"/>
      <c r="W55" s="230"/>
      <c r="X55" s="230"/>
      <c r="Y55" s="230"/>
      <c r="Z55" s="230"/>
      <c r="AA55" s="230"/>
      <c r="AB55" s="230"/>
      <c r="AC55" s="230"/>
    </row>
    <row r="56" spans="1:29" s="52" customFormat="1">
      <c r="A56" s="6" t="s">
        <v>48</v>
      </c>
      <c r="B56" s="6" t="s">
        <v>196</v>
      </c>
      <c r="C56" t="s">
        <v>12</v>
      </c>
      <c r="D56" s="8">
        <v>2</v>
      </c>
      <c r="E56" s="3">
        <v>10</v>
      </c>
      <c r="F56" s="55">
        <f>'Wet analysis 2016'!T44</f>
        <v>1.6907095877219143</v>
      </c>
      <c r="G56" s="55">
        <f>'Wet analysis 2016'!AD44</f>
        <v>1.2224083364173104</v>
      </c>
      <c r="H56" s="55">
        <f>'Wet analysis 2016'!AN44</f>
        <v>232.82097188633495</v>
      </c>
      <c r="I56" s="55">
        <f>'Wet analysis 2016'!AW44</f>
        <v>19.111297779188362</v>
      </c>
      <c r="J56" s="55">
        <f>'Wet analysis 2016'!BF44</f>
        <v>16.19817985504914</v>
      </c>
      <c r="K56" s="230"/>
      <c r="L56" s="260">
        <f>'Soil samples'!X44</f>
        <v>6.5019999999999998</v>
      </c>
      <c r="M56" s="230"/>
      <c r="N56" s="230"/>
      <c r="O56" s="59"/>
      <c r="P56" s="230"/>
      <c r="Q56" s="59">
        <f t="shared" si="1"/>
        <v>8.4535479386095722E-2</v>
      </c>
      <c r="R56" s="59">
        <f t="shared" si="2"/>
        <v>6.1120416820865525E-2</v>
      </c>
      <c r="S56" s="59">
        <f t="shared" si="3"/>
        <v>11.641048594316748</v>
      </c>
      <c r="T56" s="59">
        <f t="shared" si="4"/>
        <v>0.95556488895941816</v>
      </c>
      <c r="U56" s="59">
        <f t="shared" si="5"/>
        <v>0.80990899275245709</v>
      </c>
      <c r="V56" s="230"/>
      <c r="W56" s="230"/>
      <c r="X56" s="230"/>
      <c r="Y56" s="230"/>
      <c r="Z56" s="230"/>
      <c r="AA56" s="230"/>
      <c r="AB56" s="230"/>
      <c r="AC56" s="230"/>
    </row>
    <row r="57" spans="1:29" s="52" customFormat="1">
      <c r="A57" s="6" t="s">
        <v>49</v>
      </c>
      <c r="B57" s="6" t="s">
        <v>196</v>
      </c>
      <c r="C57" t="s">
        <v>12</v>
      </c>
      <c r="D57" s="8">
        <v>2</v>
      </c>
      <c r="E57" s="3">
        <v>20</v>
      </c>
      <c r="F57" s="55">
        <f>'Wet analysis 2016'!T45</f>
        <v>2.1751362492396327</v>
      </c>
      <c r="G57" s="55">
        <f>'Wet analysis 2016'!AD45</f>
        <v>1.0927949558378851</v>
      </c>
      <c r="H57" s="55">
        <f>'Wet analysis 2016'!AN45</f>
        <v>242.01713894114621</v>
      </c>
      <c r="I57" s="55">
        <f>'Wet analysis 2016'!AW45</f>
        <v>19.361685073032493</v>
      </c>
      <c r="J57" s="55">
        <f>'Wet analysis 2016'!BF45</f>
        <v>16.09375386795498</v>
      </c>
      <c r="K57" s="230"/>
      <c r="L57" s="260">
        <f>'Soil samples'!X45</f>
        <v>6.4669999999999996</v>
      </c>
      <c r="M57" s="230"/>
      <c r="N57" s="230"/>
      <c r="O57" s="59"/>
      <c r="P57" s="230"/>
      <c r="Q57" s="59">
        <f t="shared" si="1"/>
        <v>0.10875681246198164</v>
      </c>
      <c r="R57" s="59">
        <f t="shared" si="2"/>
        <v>5.4639747791894261E-2</v>
      </c>
      <c r="S57" s="59">
        <f t="shared" si="3"/>
        <v>12.100856947057311</v>
      </c>
      <c r="T57" s="59">
        <f t="shared" si="4"/>
        <v>0.96808425365162476</v>
      </c>
      <c r="U57" s="59">
        <f t="shared" si="5"/>
        <v>0.80468769339774904</v>
      </c>
      <c r="V57" s="230"/>
      <c r="W57" s="230"/>
      <c r="X57" s="230"/>
      <c r="Y57" s="230"/>
      <c r="Z57" s="230"/>
      <c r="AA57" s="230"/>
      <c r="AB57" s="230"/>
      <c r="AC57" s="230"/>
    </row>
    <row r="58" spans="1:29" s="52" customFormat="1">
      <c r="A58" s="6" t="s">
        <v>50</v>
      </c>
      <c r="B58" s="6" t="s">
        <v>196</v>
      </c>
      <c r="C58" t="s">
        <v>12</v>
      </c>
      <c r="D58" s="8">
        <v>2</v>
      </c>
      <c r="E58" s="3">
        <v>30</v>
      </c>
      <c r="F58" s="55">
        <f>'Wet analysis 2016'!T46</f>
        <v>1.9067499382196009</v>
      </c>
      <c r="G58" s="55">
        <f>'Wet analysis 2016'!AD46</f>
        <v>0.977255674282836</v>
      </c>
      <c r="H58" s="55">
        <f>'Wet analysis 2016'!AN46</f>
        <v>291.71501336723389</v>
      </c>
      <c r="I58" s="55">
        <f>'Wet analysis 2016'!AW46</f>
        <v>23.634284979706795</v>
      </c>
      <c r="J58" s="55">
        <f>'Wet analysis 2016'!BF46</f>
        <v>20.750279367204367</v>
      </c>
      <c r="K58" s="230"/>
      <c r="L58" s="260">
        <f>'Soil samples'!X46</f>
        <v>6.5350000000000001</v>
      </c>
      <c r="M58" s="230"/>
      <c r="N58" s="230"/>
      <c r="O58" s="59"/>
      <c r="P58" s="230"/>
      <c r="Q58" s="59">
        <f t="shared" si="1"/>
        <v>9.5337496910980049E-2</v>
      </c>
      <c r="R58" s="59">
        <f t="shared" si="2"/>
        <v>4.8862783714141801E-2</v>
      </c>
      <c r="S58" s="59">
        <f t="shared" si="3"/>
        <v>14.585750668361696</v>
      </c>
      <c r="T58" s="59">
        <f t="shared" si="4"/>
        <v>1.1817142489853398</v>
      </c>
      <c r="U58" s="59">
        <f t="shared" si="5"/>
        <v>1.0375139683602184</v>
      </c>
      <c r="V58" s="230"/>
      <c r="W58" s="230"/>
      <c r="X58" s="230"/>
      <c r="Y58" s="230"/>
      <c r="Z58" s="230"/>
      <c r="AA58" s="230"/>
      <c r="AB58" s="230"/>
      <c r="AC58" s="230"/>
    </row>
    <row r="59" spans="1:29" s="228" customFormat="1">
      <c r="A59" s="223" t="s">
        <v>51</v>
      </c>
      <c r="B59" s="223" t="s">
        <v>196</v>
      </c>
      <c r="C59" s="224" t="s">
        <v>12</v>
      </c>
      <c r="D59" s="223">
        <v>3</v>
      </c>
      <c r="E59" s="225">
        <v>5</v>
      </c>
      <c r="F59" s="226">
        <f>'Wet analysis 2017'!T28</f>
        <v>0.70935553198455703</v>
      </c>
      <c r="G59" s="226">
        <f>'Wet analysis 2017'!AD28</f>
        <v>8.0158689529619203</v>
      </c>
      <c r="H59" s="226">
        <f>'Wet analysis 2017'!AN28</f>
        <v>56.328325329719178</v>
      </c>
      <c r="I59" s="226">
        <f>'Wet analysis 2017'!AW28</f>
        <v>17.032388553526189</v>
      </c>
      <c r="J59" s="226">
        <f>'Wet analysis 2017'!BF28</f>
        <v>8.3071640685797128</v>
      </c>
      <c r="K59" s="230"/>
      <c r="L59" s="261">
        <f>'Soil samples 2017'!X28</f>
        <v>5.7469999999999999</v>
      </c>
      <c r="M59" s="230"/>
      <c r="N59" s="230"/>
      <c r="O59" s="59"/>
      <c r="P59" s="230"/>
      <c r="Q59" s="59">
        <f t="shared" si="1"/>
        <v>3.5467776599227854E-2</v>
      </c>
      <c r="R59" s="59">
        <f t="shared" si="2"/>
        <v>0.40079344764809605</v>
      </c>
      <c r="S59" s="59">
        <f t="shared" si="3"/>
        <v>2.8164162664859589</v>
      </c>
      <c r="T59" s="59">
        <f t="shared" si="4"/>
        <v>0.85161942767630949</v>
      </c>
      <c r="U59" s="59">
        <f t="shared" si="5"/>
        <v>0.41535820342898566</v>
      </c>
      <c r="V59" s="230"/>
      <c r="W59" s="230"/>
      <c r="X59" s="230"/>
      <c r="Y59" s="230"/>
      <c r="Z59" s="230"/>
      <c r="AA59" s="230"/>
      <c r="AB59" s="230"/>
      <c r="AC59" s="230"/>
    </row>
    <row r="60" spans="1:29" s="228" customFormat="1">
      <c r="A60" s="223" t="s">
        <v>1096</v>
      </c>
      <c r="B60" s="223" t="s">
        <v>196</v>
      </c>
      <c r="C60" s="224" t="s">
        <v>12</v>
      </c>
      <c r="D60" s="223">
        <v>3</v>
      </c>
      <c r="E60" s="225">
        <v>10</v>
      </c>
      <c r="F60" s="226">
        <f>'Wet analysis 2017'!T29</f>
        <v>0.31345428683354881</v>
      </c>
      <c r="G60" s="226">
        <f>'Wet analysis 2017'!AD29</f>
        <v>5.1157677944565565</v>
      </c>
      <c r="H60" s="226">
        <f>'Wet analysis 2017'!AN29</f>
        <v>78.704973909904197</v>
      </c>
      <c r="I60" s="226">
        <f>'Wet analysis 2017'!AW29</f>
        <v>19.658691581911565</v>
      </c>
      <c r="J60" s="226">
        <f>'Wet analysis 2017'!BF29</f>
        <v>14.229469500621455</v>
      </c>
      <c r="K60" s="230"/>
      <c r="L60" s="261">
        <f>'Soil samples 2017'!X29</f>
        <v>5.8689999999999998</v>
      </c>
      <c r="M60" s="230"/>
      <c r="N60" s="230"/>
      <c r="O60" s="59"/>
      <c r="P60" s="230"/>
      <c r="Q60" s="59">
        <f t="shared" si="1"/>
        <v>1.5672714341677441E-2</v>
      </c>
      <c r="R60" s="59">
        <f t="shared" si="2"/>
        <v>0.25578838972282786</v>
      </c>
      <c r="S60" s="59">
        <f t="shared" si="3"/>
        <v>3.9352486954952099</v>
      </c>
      <c r="T60" s="59">
        <f t="shared" si="4"/>
        <v>0.98293457909557835</v>
      </c>
      <c r="U60" s="59">
        <f t="shared" si="5"/>
        <v>0.71147347503107283</v>
      </c>
      <c r="V60" s="230"/>
      <c r="W60" s="230"/>
      <c r="X60" s="230"/>
      <c r="Y60" s="230"/>
      <c r="Z60" s="230"/>
      <c r="AA60" s="230"/>
      <c r="AB60" s="230"/>
      <c r="AC60" s="230"/>
    </row>
    <row r="61" spans="1:29" s="228" customFormat="1">
      <c r="A61" s="223" t="s">
        <v>1097</v>
      </c>
      <c r="B61" s="223" t="s">
        <v>196</v>
      </c>
      <c r="C61" s="224" t="s">
        <v>12</v>
      </c>
      <c r="D61" s="223">
        <v>3</v>
      </c>
      <c r="E61" s="225">
        <v>20</v>
      </c>
      <c r="F61" s="226">
        <f>'Wet analysis 2017'!T30</f>
        <v>1.0844769922256554</v>
      </c>
      <c r="G61" s="226">
        <f>'Wet analysis 2017'!AD30</f>
        <v>2.2155558698074014</v>
      </c>
      <c r="H61" s="226">
        <f>'Wet analysis 2017'!AN30</f>
        <v>84.152721408736952</v>
      </c>
      <c r="I61" s="226">
        <f>'Wet analysis 2017'!AW30</f>
        <v>16.077715157688225</v>
      </c>
      <c r="J61" s="226">
        <f>'Wet analysis 2017'!BF30</f>
        <v>12.777682295655172</v>
      </c>
      <c r="K61" s="230"/>
      <c r="L61" s="261">
        <f>'Soil samples 2017'!X30</f>
        <v>6.41</v>
      </c>
      <c r="M61" s="230"/>
      <c r="N61" s="230"/>
      <c r="O61" s="59"/>
      <c r="P61" s="230"/>
      <c r="Q61" s="59">
        <f t="shared" si="1"/>
        <v>5.4223849611282772E-2</v>
      </c>
      <c r="R61" s="59">
        <f t="shared" si="2"/>
        <v>0.11077779349037008</v>
      </c>
      <c r="S61" s="59">
        <f t="shared" si="3"/>
        <v>4.2076360704368474</v>
      </c>
      <c r="T61" s="59">
        <f t="shared" si="4"/>
        <v>0.8038857578844113</v>
      </c>
      <c r="U61" s="59">
        <f t="shared" si="5"/>
        <v>0.63888411478275864</v>
      </c>
      <c r="V61" s="230"/>
      <c r="W61" s="230"/>
      <c r="X61" s="230"/>
      <c r="Y61" s="230"/>
      <c r="Z61" s="230"/>
      <c r="AA61" s="230"/>
      <c r="AB61" s="230"/>
      <c r="AC61" s="230"/>
    </row>
    <row r="62" spans="1:29" s="228" customFormat="1">
      <c r="A62" s="223" t="s">
        <v>1098</v>
      </c>
      <c r="B62" s="223" t="s">
        <v>196</v>
      </c>
      <c r="C62" s="224" t="s">
        <v>12</v>
      </c>
      <c r="D62" s="223">
        <v>3</v>
      </c>
      <c r="E62" s="225">
        <v>30</v>
      </c>
      <c r="F62" s="226">
        <f>'Wet analysis 2017'!T31</f>
        <v>1.1140996642691623</v>
      </c>
      <c r="G62" s="226">
        <f>'Wet analysis 2017'!AD31</f>
        <v>1.2899455529128709</v>
      </c>
      <c r="H62" s="226">
        <f>'Wet analysis 2017'!AN31</f>
        <v>54.566073969464476</v>
      </c>
      <c r="I62" s="226">
        <f>'Wet analysis 2017'!AW31</f>
        <v>9.6062255620353252</v>
      </c>
      <c r="J62" s="226">
        <f>'Wet analysis 2017'!BF31</f>
        <v>7.2021803448532955</v>
      </c>
      <c r="K62" s="230"/>
      <c r="L62" s="261">
        <f>'Soil samples 2017'!X31</f>
        <v>6.306</v>
      </c>
      <c r="M62" s="230"/>
      <c r="N62" s="230"/>
      <c r="O62" s="59"/>
      <c r="P62" s="230"/>
      <c r="Q62" s="59">
        <f t="shared" si="1"/>
        <v>5.5704983213458119E-2</v>
      </c>
      <c r="R62" s="59">
        <f t="shared" si="2"/>
        <v>6.4497277645643544E-2</v>
      </c>
      <c r="S62" s="59">
        <f t="shared" si="3"/>
        <v>2.7283036984732241</v>
      </c>
      <c r="T62" s="59">
        <f t="shared" si="4"/>
        <v>0.48031127810176627</v>
      </c>
      <c r="U62" s="59">
        <f t="shared" si="5"/>
        <v>0.36010901724266481</v>
      </c>
      <c r="V62" s="230"/>
      <c r="W62" s="230"/>
      <c r="X62" s="230"/>
      <c r="Y62" s="230"/>
      <c r="Z62" s="230"/>
      <c r="AA62" s="230"/>
      <c r="AB62" s="230"/>
      <c r="AC62" s="230"/>
    </row>
    <row r="63" spans="1:29" s="52" customFormat="1">
      <c r="A63" s="6" t="s">
        <v>52</v>
      </c>
      <c r="B63" s="6" t="s">
        <v>196</v>
      </c>
      <c r="C63" t="s">
        <v>12</v>
      </c>
      <c r="D63" s="8">
        <v>4</v>
      </c>
      <c r="E63" s="3">
        <v>5</v>
      </c>
      <c r="F63" s="55">
        <f>'Wet analysis 2016'!T48</f>
        <v>0.44953439446525062</v>
      </c>
      <c r="G63" s="55">
        <f>'Wet analysis 2016'!AD48</f>
        <v>5.6133674128845703</v>
      </c>
      <c r="H63" s="55">
        <f>'Wet analysis 2016'!AN48</f>
        <v>161.31358573552936</v>
      </c>
      <c r="I63" s="55">
        <f>'Wet analysis 2016'!AW48</f>
        <v>23.40015565667348</v>
      </c>
      <c r="J63" s="55">
        <f>'Wet analysis 2016'!BF48</f>
        <v>17.337253849323659</v>
      </c>
      <c r="K63" s="230"/>
      <c r="L63" s="260">
        <f>'Soil samples'!X48</f>
        <v>6.1449999999999996</v>
      </c>
      <c r="M63" s="230"/>
      <c r="N63" s="230"/>
      <c r="O63" s="59"/>
      <c r="P63" s="230"/>
      <c r="Q63" s="59">
        <f t="shared" si="1"/>
        <v>2.2476719723262532E-2</v>
      </c>
      <c r="R63" s="59">
        <f t="shared" si="2"/>
        <v>0.2806683706442285</v>
      </c>
      <c r="S63" s="59">
        <f t="shared" si="3"/>
        <v>8.0656792867764686</v>
      </c>
      <c r="T63" s="59">
        <f t="shared" si="4"/>
        <v>1.1700077828336741</v>
      </c>
      <c r="U63" s="59">
        <f t="shared" si="5"/>
        <v>0.86686269246618297</v>
      </c>
      <c r="V63" s="230"/>
      <c r="W63" s="230"/>
      <c r="X63" s="230"/>
      <c r="Y63" s="230"/>
      <c r="Z63" s="230"/>
      <c r="AA63" s="230"/>
      <c r="AB63" s="230"/>
      <c r="AC63" s="230"/>
    </row>
    <row r="64" spans="1:29" s="52" customFormat="1">
      <c r="A64" s="6" t="s">
        <v>53</v>
      </c>
      <c r="B64" s="6" t="s">
        <v>196</v>
      </c>
      <c r="C64" t="s">
        <v>12</v>
      </c>
      <c r="D64" s="8">
        <v>4</v>
      </c>
      <c r="E64" s="3">
        <v>10</v>
      </c>
      <c r="F64" s="55">
        <f>'Wet analysis 2016'!T49</f>
        <v>1.9539862917552879</v>
      </c>
      <c r="G64" s="55">
        <f>'Wet analysis 2016'!AD49</f>
        <v>3.5070993699454691</v>
      </c>
      <c r="H64" s="55">
        <f>'Wet analysis 2016'!AN49</f>
        <v>183.52166285745042</v>
      </c>
      <c r="I64" s="55">
        <f>'Wet analysis 2016'!AW49</f>
        <v>12.688266702448573</v>
      </c>
      <c r="J64" s="55">
        <f>'Wet analysis 2016'!BF49</f>
        <v>7.2271810407478139</v>
      </c>
      <c r="K64" s="230"/>
      <c r="L64" s="260">
        <f>'Soil samples'!X49</f>
        <v>6.6630000000000003</v>
      </c>
      <c r="M64" s="230"/>
      <c r="N64" s="230"/>
      <c r="O64" s="59"/>
      <c r="P64" s="230"/>
      <c r="Q64" s="59">
        <f t="shared" si="1"/>
        <v>9.7699314587764402E-2</v>
      </c>
      <c r="R64" s="59">
        <f t="shared" si="2"/>
        <v>0.17535496849727347</v>
      </c>
      <c r="S64" s="59">
        <f t="shared" si="3"/>
        <v>9.1760831428725211</v>
      </c>
      <c r="T64" s="59">
        <f t="shared" si="4"/>
        <v>0.6344133351224287</v>
      </c>
      <c r="U64" s="59">
        <f t="shared" si="5"/>
        <v>0.36135905203739072</v>
      </c>
      <c r="V64" s="230"/>
      <c r="W64" s="230"/>
      <c r="X64" s="230"/>
      <c r="Y64" s="230"/>
      <c r="Z64" s="230"/>
      <c r="AA64" s="230"/>
      <c r="AB64" s="230"/>
      <c r="AC64" s="230"/>
    </row>
    <row r="65" spans="1:29" s="52" customFormat="1">
      <c r="A65" s="6" t="s">
        <v>54</v>
      </c>
      <c r="B65" s="6" t="s">
        <v>196</v>
      </c>
      <c r="C65" t="s">
        <v>12</v>
      </c>
      <c r="D65" s="8">
        <v>4</v>
      </c>
      <c r="E65" s="3">
        <v>20</v>
      </c>
      <c r="F65" s="55">
        <f>'Wet analysis 2016'!T50</f>
        <v>3.3216441176425091</v>
      </c>
      <c r="G65" s="55">
        <f>'Wet analysis 2016'!AD50</f>
        <v>3.4840314282464457</v>
      </c>
      <c r="H65" s="55">
        <f>'Wet analysis 2016'!AN50</f>
        <v>225.04267774018749</v>
      </c>
      <c r="I65" s="55">
        <f>'Wet analysis 2016'!AW50</f>
        <v>14.479817804219595</v>
      </c>
      <c r="J65" s="55">
        <f>'Wet analysis 2016'!BF50</f>
        <v>7.6741422583306438</v>
      </c>
      <c r="K65" s="230"/>
      <c r="L65" s="260">
        <f>'Soil samples'!X50</f>
        <v>6.6029999999999998</v>
      </c>
      <c r="M65" s="230"/>
      <c r="N65" s="230"/>
      <c r="O65" s="59"/>
      <c r="P65" s="230"/>
      <c r="Q65" s="59">
        <f t="shared" si="1"/>
        <v>0.16608220588212547</v>
      </c>
      <c r="R65" s="59">
        <f t="shared" si="2"/>
        <v>0.17420157141232229</v>
      </c>
      <c r="S65" s="59">
        <f t="shared" si="3"/>
        <v>11.252133887009375</v>
      </c>
      <c r="T65" s="59">
        <f t="shared" si="4"/>
        <v>0.72399089021097973</v>
      </c>
      <c r="U65" s="59">
        <f t="shared" si="5"/>
        <v>0.3837071129165322</v>
      </c>
      <c r="V65" s="230"/>
      <c r="W65" s="230"/>
      <c r="X65" s="230"/>
      <c r="Y65" s="230"/>
      <c r="Z65" s="230"/>
      <c r="AA65" s="230"/>
      <c r="AB65" s="230"/>
      <c r="AC65" s="230"/>
    </row>
    <row r="66" spans="1:29" s="52" customFormat="1">
      <c r="A66" s="6" t="s">
        <v>55</v>
      </c>
      <c r="B66" s="6" t="s">
        <v>196</v>
      </c>
      <c r="C66" t="s">
        <v>12</v>
      </c>
      <c r="D66" s="8">
        <v>5</v>
      </c>
      <c r="E66" s="3">
        <v>5</v>
      </c>
      <c r="F66" s="55">
        <f>'Wet analysis 2016'!T51</f>
        <v>0.21488094423609808</v>
      </c>
      <c r="G66" s="55">
        <f>'Wet analysis 2016'!AD51</f>
        <v>2.8354978652743386</v>
      </c>
      <c r="H66" s="55">
        <f>'Wet analysis 2016'!AN51</f>
        <v>157.86659499358413</v>
      </c>
      <c r="I66" s="55">
        <f>'Wet analysis 2016'!AW51</f>
        <v>18.493038759176354</v>
      </c>
      <c r="J66" s="55">
        <f>'Wet analysis 2016'!BF51</f>
        <v>15.442659949665915</v>
      </c>
      <c r="K66" s="230"/>
      <c r="L66" s="262">
        <f>AVERAGE(L55,L59,L63,L68)</f>
        <v>5.5474999999999994</v>
      </c>
      <c r="M66" s="230"/>
      <c r="N66" s="230"/>
      <c r="O66" s="59"/>
      <c r="P66" s="230"/>
      <c r="Q66" s="59">
        <f t="shared" si="1"/>
        <v>1.0744047211804905E-2</v>
      </c>
      <c r="R66" s="59">
        <f t="shared" si="2"/>
        <v>0.14177489326371692</v>
      </c>
      <c r="S66" s="59">
        <f t="shared" si="3"/>
        <v>7.8933297496792072</v>
      </c>
      <c r="T66" s="59">
        <f t="shared" si="4"/>
        <v>0.92465193795881773</v>
      </c>
      <c r="U66" s="59">
        <f t="shared" si="5"/>
        <v>0.77213299748329578</v>
      </c>
      <c r="V66" s="230"/>
      <c r="W66" s="230"/>
      <c r="X66" s="230"/>
      <c r="Y66" s="230"/>
      <c r="Z66" s="230"/>
      <c r="AA66" s="230"/>
      <c r="AB66" s="230"/>
      <c r="AC66" s="230"/>
    </row>
    <row r="67" spans="1:29" s="52" customFormat="1">
      <c r="A67" s="6" t="s">
        <v>56</v>
      </c>
      <c r="B67" s="6" t="s">
        <v>196</v>
      </c>
      <c r="C67" t="s">
        <v>12</v>
      </c>
      <c r="D67" s="8">
        <v>5</v>
      </c>
      <c r="E67" s="3">
        <v>10</v>
      </c>
      <c r="F67" s="55">
        <f>'Wet analysis 2016'!T52</f>
        <v>2.0559399285985878</v>
      </c>
      <c r="G67" s="55">
        <f>'Wet analysis 2016'!AD52</f>
        <v>6.5964112946865257</v>
      </c>
      <c r="H67" s="55">
        <f>'Wet analysis 2016'!AN52</f>
        <v>182.11638298460025</v>
      </c>
      <c r="I67" s="55">
        <f>'Wet analysis 2016'!AW52</f>
        <v>20.104367584799167</v>
      </c>
      <c r="J67" s="55">
        <f>'Wet analysis 2016'!BF52</f>
        <v>11.452016361514051</v>
      </c>
      <c r="K67" s="230"/>
      <c r="L67" s="260">
        <f>'Soil samples'!X52</f>
        <v>6.1379999999999999</v>
      </c>
      <c r="M67" s="230"/>
      <c r="N67" s="230"/>
      <c r="O67" s="59"/>
      <c r="P67" s="230"/>
      <c r="Q67" s="59">
        <f t="shared" si="1"/>
        <v>0.1027969964299294</v>
      </c>
      <c r="R67" s="59">
        <f t="shared" si="2"/>
        <v>0.3298205647343263</v>
      </c>
      <c r="S67" s="59">
        <f t="shared" si="3"/>
        <v>9.1058191492300136</v>
      </c>
      <c r="T67" s="59">
        <f t="shared" si="4"/>
        <v>1.0052183792399585</v>
      </c>
      <c r="U67" s="59">
        <f t="shared" si="5"/>
        <v>0.57260081807570262</v>
      </c>
      <c r="V67" s="230"/>
      <c r="W67" s="230"/>
      <c r="X67" s="230"/>
      <c r="Y67" s="230"/>
      <c r="Z67" s="230"/>
      <c r="AA67" s="230"/>
      <c r="AB67" s="230"/>
      <c r="AC67" s="230"/>
    </row>
    <row r="68" spans="1:29" s="52" customFormat="1">
      <c r="A68" s="6" t="s">
        <v>57</v>
      </c>
      <c r="B68" s="6" t="s">
        <v>196</v>
      </c>
      <c r="C68" t="s">
        <v>12</v>
      </c>
      <c r="D68" s="8">
        <v>6</v>
      </c>
      <c r="E68" s="3">
        <v>5</v>
      </c>
      <c r="F68" s="55">
        <f>'Wet analysis 2016'!T53</f>
        <v>1.7561194808592824</v>
      </c>
      <c r="G68" s="55">
        <f>'Wet analysis 2016'!AD53</f>
        <v>3.2394520150083816</v>
      </c>
      <c r="H68" s="55">
        <f>'Wet analysis 2016'!AN53</f>
        <v>505.02248050274801</v>
      </c>
      <c r="I68" s="55">
        <f>'Wet analysis 2016'!AW53</f>
        <v>38.159057227765459</v>
      </c>
      <c r="J68" s="55">
        <f>'Wet analysis 2016'!BF53</f>
        <v>33.163485731897794</v>
      </c>
      <c r="K68" s="230"/>
      <c r="L68" s="260">
        <f>'Soil samples'!X53</f>
        <v>5.43</v>
      </c>
      <c r="M68" s="230"/>
      <c r="N68" s="230"/>
      <c r="O68" s="59"/>
      <c r="P68" s="230"/>
      <c r="Q68" s="59">
        <f t="shared" si="1"/>
        <v>8.7805974042964127E-2</v>
      </c>
      <c r="R68" s="59">
        <f t="shared" si="2"/>
        <v>0.16197260075041908</v>
      </c>
      <c r="S68" s="59">
        <f t="shared" si="3"/>
        <v>25.251124025137401</v>
      </c>
      <c r="T68" s="59">
        <f t="shared" si="4"/>
        <v>1.907952861388273</v>
      </c>
      <c r="U68" s="59">
        <f t="shared" si="5"/>
        <v>1.6581742865948899</v>
      </c>
      <c r="V68" s="230"/>
      <c r="W68" s="230"/>
      <c r="X68" s="230"/>
      <c r="Y68" s="230"/>
      <c r="Z68" s="230"/>
      <c r="AA68" s="230"/>
      <c r="AB68" s="230"/>
      <c r="AC68" s="230"/>
    </row>
    <row r="69" spans="1:29" s="52" customFormat="1">
      <c r="A69" s="6" t="s">
        <v>58</v>
      </c>
      <c r="B69" s="6" t="s">
        <v>196</v>
      </c>
      <c r="C69" t="s">
        <v>12</v>
      </c>
      <c r="D69" s="8">
        <v>6</v>
      </c>
      <c r="E69" s="3">
        <v>10</v>
      </c>
      <c r="F69" s="55">
        <f>'Wet analysis 2016'!T54</f>
        <v>0.391337556258612</v>
      </c>
      <c r="G69" s="55">
        <f>'Wet analysis 2016'!AD54</f>
        <v>1.1632218452424257</v>
      </c>
      <c r="H69" s="55">
        <f>'Wet analysis 2016'!AN54</f>
        <v>461.39504109357023</v>
      </c>
      <c r="I69" s="55">
        <f>'Wet analysis 2016'!AW54</f>
        <v>19.125930855330715</v>
      </c>
      <c r="J69" s="55">
        <f>'Wet analysis 2016'!BF54</f>
        <v>17.571371453829681</v>
      </c>
      <c r="K69" s="230"/>
      <c r="L69" s="260">
        <f>'Soil samples'!X54</f>
        <v>5.3840000000000003</v>
      </c>
      <c r="M69" s="230"/>
      <c r="N69" s="230"/>
      <c r="O69" s="59"/>
      <c r="P69" s="230"/>
      <c r="Q69" s="59">
        <f t="shared" ref="Q69:Q132" si="6">F69*0.05</f>
        <v>1.9566877812930601E-2</v>
      </c>
      <c r="R69" s="59">
        <f t="shared" ref="R69:R132" si="7">G69*0.05</f>
        <v>5.8161092262121288E-2</v>
      </c>
      <c r="S69" s="59">
        <f t="shared" ref="S69:S132" si="8">H69*0.05</f>
        <v>23.069752054678514</v>
      </c>
      <c r="T69" s="59">
        <f t="shared" ref="T69:T132" si="9">I69*0.05</f>
        <v>0.95629654276653575</v>
      </c>
      <c r="U69" s="59">
        <f t="shared" ref="U69:U132" si="10">J69*0.05</f>
        <v>0.87856857269148403</v>
      </c>
      <c r="V69" s="230"/>
      <c r="W69" s="230"/>
      <c r="X69" s="230"/>
      <c r="Y69" s="230"/>
      <c r="Z69" s="230"/>
      <c r="AA69" s="230"/>
      <c r="AB69" s="230"/>
      <c r="AC69" s="230"/>
    </row>
    <row r="70" spans="1:29" s="52" customFormat="1">
      <c r="A70" s="6" t="s">
        <v>59</v>
      </c>
      <c r="B70" s="6" t="s">
        <v>196</v>
      </c>
      <c r="C70" t="s">
        <v>12</v>
      </c>
      <c r="D70" s="8">
        <v>6</v>
      </c>
      <c r="E70" s="3">
        <v>20</v>
      </c>
      <c r="F70" s="55">
        <f>'Wet analysis 2016'!T55</f>
        <v>1.7306503197255858</v>
      </c>
      <c r="G70" s="55">
        <f>'Wet analysis 2016'!AD55</f>
        <v>1.7899690204027041</v>
      </c>
      <c r="H70" s="55">
        <f>'Wet analysis 2016'!AN55</f>
        <v>710.10429370554107</v>
      </c>
      <c r="I70" s="55">
        <f>'Wet analysis 2016'!AW55</f>
        <v>24.881585026718458</v>
      </c>
      <c r="J70" s="55">
        <f>'Wet analysis 2016'!BF55</f>
        <v>21.360965686590163</v>
      </c>
      <c r="K70" s="230"/>
      <c r="L70" s="260">
        <f>'Soil samples'!X55</f>
        <v>5.2050000000000001</v>
      </c>
      <c r="M70" s="230"/>
      <c r="N70" s="230"/>
      <c r="O70" s="59"/>
      <c r="P70" s="230"/>
      <c r="Q70" s="59">
        <f t="shared" si="6"/>
        <v>8.6532515986279299E-2</v>
      </c>
      <c r="R70" s="59">
        <f t="shared" si="7"/>
        <v>8.9498451020135206E-2</v>
      </c>
      <c r="S70" s="59">
        <f t="shared" si="8"/>
        <v>35.505214685277053</v>
      </c>
      <c r="T70" s="59">
        <f t="shared" si="9"/>
        <v>1.2440792513359229</v>
      </c>
      <c r="U70" s="59">
        <f t="shared" si="10"/>
        <v>1.0680482843295083</v>
      </c>
      <c r="V70" s="230"/>
      <c r="W70" s="230"/>
      <c r="X70" s="230"/>
      <c r="Y70" s="230"/>
      <c r="Z70" s="230"/>
      <c r="AA70" s="230"/>
      <c r="AB70" s="230"/>
      <c r="AC70" s="230"/>
    </row>
    <row r="71" spans="1:29" s="52" customFormat="1">
      <c r="A71" s="6" t="s">
        <v>60</v>
      </c>
      <c r="B71" s="6" t="s">
        <v>196</v>
      </c>
      <c r="C71" t="s">
        <v>13</v>
      </c>
      <c r="D71" s="8">
        <v>1</v>
      </c>
      <c r="E71" s="3">
        <v>5</v>
      </c>
      <c r="F71" s="55">
        <f>'Wet analysis 2016'!T56</f>
        <v>0.1092908772236913</v>
      </c>
      <c r="G71" s="55">
        <f>'Wet analysis 2016'!AD56</f>
        <v>1.2274854278781309</v>
      </c>
      <c r="H71" s="55">
        <f>'Wet analysis 2016'!AN56</f>
        <v>318.33012184174839</v>
      </c>
      <c r="I71" s="55">
        <f>'Wet analysis 2016'!AW56</f>
        <v>17.365827332354591</v>
      </c>
      <c r="J71" s="55">
        <f>'Wet analysis 2016'!BF56</f>
        <v>16.029051027252766</v>
      </c>
      <c r="K71" s="230"/>
      <c r="L71" s="260">
        <f>'Soil samples'!X56</f>
        <v>5.9359999999999999</v>
      </c>
      <c r="M71" s="230"/>
      <c r="N71" s="230"/>
      <c r="O71" s="59"/>
      <c r="P71" s="230"/>
      <c r="Q71" s="59">
        <f t="shared" si="6"/>
        <v>5.4645438611845652E-3</v>
      </c>
      <c r="R71" s="59">
        <f t="shared" si="7"/>
        <v>6.1374271393906547E-2</v>
      </c>
      <c r="S71" s="59">
        <f t="shared" si="8"/>
        <v>15.91650609208742</v>
      </c>
      <c r="T71" s="59">
        <f t="shared" si="9"/>
        <v>0.86829136661772965</v>
      </c>
      <c r="U71" s="59">
        <f t="shared" si="10"/>
        <v>0.80145255136263838</v>
      </c>
      <c r="V71" s="230"/>
      <c r="W71" s="230"/>
      <c r="X71" s="230"/>
      <c r="Y71" s="230"/>
      <c r="Z71" s="230"/>
      <c r="AA71" s="230"/>
      <c r="AB71" s="230"/>
      <c r="AC71" s="230"/>
    </row>
    <row r="72" spans="1:29" s="52" customFormat="1">
      <c r="A72" s="6" t="s">
        <v>61</v>
      </c>
      <c r="B72" s="6" t="s">
        <v>196</v>
      </c>
      <c r="C72" t="s">
        <v>13</v>
      </c>
      <c r="D72" s="8">
        <v>1</v>
      </c>
      <c r="E72" s="3">
        <v>10</v>
      </c>
      <c r="F72" s="55">
        <f>'Wet analysis 2016'!T57</f>
        <v>7.0895916830144637E-2</v>
      </c>
      <c r="G72" s="55">
        <f>'Wet analysis 2016'!AD57</f>
        <v>1.5645284518964311E-2</v>
      </c>
      <c r="H72" s="55">
        <f>'Wet analysis 2016'!AN57</f>
        <v>167.7013462348396</v>
      </c>
      <c r="I72" s="55">
        <f>'Wet analysis 2016'!AW57</f>
        <v>4.3480688405532453</v>
      </c>
      <c r="J72" s="55">
        <f>'Wet analysis 2016'!BF57</f>
        <v>4.261527639204135</v>
      </c>
      <c r="K72" s="230"/>
      <c r="L72" s="260">
        <f>'Soil samples'!X57</f>
        <v>6.1840000000000002</v>
      </c>
      <c r="M72" s="230"/>
      <c r="N72" s="230"/>
      <c r="O72" s="59"/>
      <c r="P72" s="230"/>
      <c r="Q72" s="59">
        <f t="shared" si="6"/>
        <v>3.5447958415072318E-3</v>
      </c>
      <c r="R72" s="59">
        <f t="shared" si="7"/>
        <v>7.8226422594821561E-4</v>
      </c>
      <c r="S72" s="59">
        <f t="shared" si="8"/>
        <v>8.3850673117419809</v>
      </c>
      <c r="T72" s="59">
        <f t="shared" si="9"/>
        <v>0.21740344202766226</v>
      </c>
      <c r="U72" s="59">
        <f t="shared" si="10"/>
        <v>0.21307638196020676</v>
      </c>
      <c r="V72" s="230"/>
      <c r="W72" s="230"/>
      <c r="X72" s="230"/>
      <c r="Y72" s="230"/>
      <c r="Z72" s="230"/>
      <c r="AA72" s="230"/>
      <c r="AB72" s="230"/>
      <c r="AC72" s="230"/>
    </row>
    <row r="73" spans="1:29" s="52" customFormat="1">
      <c r="A73" s="6" t="s">
        <v>62</v>
      </c>
      <c r="B73" s="6" t="s">
        <v>196</v>
      </c>
      <c r="C73" t="s">
        <v>13</v>
      </c>
      <c r="D73" s="8">
        <v>1</v>
      </c>
      <c r="E73" s="3">
        <v>20</v>
      </c>
      <c r="F73" s="55">
        <f>'Wet analysis 2016'!T58</f>
        <v>4.2734350601901422E-2</v>
      </c>
      <c r="G73" s="55">
        <f>'Wet analysis 2016'!AD58</f>
        <v>0.23563063513892718</v>
      </c>
      <c r="H73" s="55">
        <f>'Wet analysis 2016'!AN58</f>
        <v>60.416326239108713</v>
      </c>
      <c r="I73" s="55">
        <f>'Wet analysis 2016'!AW58</f>
        <v>4.2222423107896949</v>
      </c>
      <c r="J73" s="55">
        <f>'Wet analysis 2016'!BF58</f>
        <v>3.9438773250488675</v>
      </c>
      <c r="K73" s="230"/>
      <c r="L73" s="260">
        <f>'Soil samples'!X58</f>
        <v>6.23</v>
      </c>
      <c r="M73" s="230"/>
      <c r="N73" s="230"/>
      <c r="O73" s="59"/>
      <c r="P73" s="230"/>
      <c r="Q73" s="59">
        <f t="shared" si="6"/>
        <v>2.1367175300950714E-3</v>
      </c>
      <c r="R73" s="59">
        <f t="shared" si="7"/>
        <v>1.1781531756946359E-2</v>
      </c>
      <c r="S73" s="59">
        <f t="shared" si="8"/>
        <v>3.0208163119554357</v>
      </c>
      <c r="T73" s="59">
        <f t="shared" si="9"/>
        <v>0.21111211553948475</v>
      </c>
      <c r="U73" s="59">
        <f t="shared" si="10"/>
        <v>0.19719386625244339</v>
      </c>
      <c r="V73" s="230"/>
      <c r="W73" s="230"/>
      <c r="X73" s="230"/>
      <c r="Y73" s="230"/>
      <c r="Z73" s="230"/>
      <c r="AA73" s="230"/>
      <c r="AB73" s="230"/>
      <c r="AC73" s="230"/>
    </row>
    <row r="74" spans="1:29" s="52" customFormat="1">
      <c r="A74" s="6" t="s">
        <v>63</v>
      </c>
      <c r="B74" s="6" t="s">
        <v>196</v>
      </c>
      <c r="C74" t="s">
        <v>13</v>
      </c>
      <c r="D74" s="8">
        <v>2</v>
      </c>
      <c r="E74" s="3">
        <v>5</v>
      </c>
      <c r="F74" s="55">
        <f>'Wet analysis 2016'!T59</f>
        <v>2.3187575007571196E-2</v>
      </c>
      <c r="G74" s="55">
        <f>'Wet analysis 2016'!AD59</f>
        <v>0.68592525704467822</v>
      </c>
      <c r="H74" s="55">
        <f>'Wet analysis 2016'!AN59</f>
        <v>113.32138379326531</v>
      </c>
      <c r="I74" s="55">
        <f>'Wet analysis 2016'!AW59</f>
        <v>5.3068318148359159</v>
      </c>
      <c r="J74" s="55">
        <f>'Wet analysis 2016'!BF59</f>
        <v>4.5977189827836664</v>
      </c>
      <c r="K74" s="230"/>
      <c r="L74" s="261">
        <f>'Soil samples 2017'!X32</f>
        <v>5.532</v>
      </c>
      <c r="M74" s="230"/>
      <c r="N74" s="230"/>
      <c r="O74" s="59"/>
      <c r="P74" s="230"/>
      <c r="Q74" s="59">
        <f t="shared" si="6"/>
        <v>1.1593787503785598E-3</v>
      </c>
      <c r="R74" s="59">
        <f t="shared" si="7"/>
        <v>3.4296262852233909E-2</v>
      </c>
      <c r="S74" s="59">
        <f t="shared" si="8"/>
        <v>5.6660691896632658</v>
      </c>
      <c r="T74" s="59">
        <f t="shared" si="9"/>
        <v>0.26534159074179581</v>
      </c>
      <c r="U74" s="59">
        <f t="shared" si="10"/>
        <v>0.22988594913918334</v>
      </c>
      <c r="V74" s="230"/>
      <c r="W74" s="230"/>
      <c r="X74" s="230"/>
      <c r="Y74" s="230"/>
      <c r="Z74" s="230"/>
      <c r="AA74" s="230"/>
      <c r="AB74" s="230"/>
      <c r="AC74" s="230"/>
    </row>
    <row r="75" spans="1:29" s="52" customFormat="1">
      <c r="A75" s="6" t="s">
        <v>64</v>
      </c>
      <c r="B75" s="6" t="s">
        <v>196</v>
      </c>
      <c r="C75" t="s">
        <v>13</v>
      </c>
      <c r="D75" s="8">
        <v>2</v>
      </c>
      <c r="E75" s="3">
        <v>10</v>
      </c>
      <c r="F75" s="55">
        <f>'Wet analysis 2016'!T60</f>
        <v>1.6799988032076382E-2</v>
      </c>
      <c r="G75" s="55">
        <f>'Wet analysis 2016'!AD60</f>
        <v>0.2914419006852953</v>
      </c>
      <c r="H75" s="55">
        <f>'Wet analysis 2016'!AN60</f>
        <v>276.18886828962962</v>
      </c>
      <c r="I75" s="55">
        <f>'Wet analysis 2016'!AW60</f>
        <v>1.2736093481500037</v>
      </c>
      <c r="J75" s="55">
        <f>'Wet analysis 2016'!BF60</f>
        <v>0.96536745943263147</v>
      </c>
      <c r="K75" s="230"/>
      <c r="L75" s="260">
        <f>'Soil samples'!X60</f>
        <v>5.4039999999999999</v>
      </c>
      <c r="M75" s="230"/>
      <c r="N75" s="230"/>
      <c r="O75" s="59"/>
      <c r="P75" s="230"/>
      <c r="Q75" s="59">
        <f t="shared" si="6"/>
        <v>8.3999940160381912E-4</v>
      </c>
      <c r="R75" s="59">
        <f t="shared" si="7"/>
        <v>1.4572095034264765E-2</v>
      </c>
      <c r="S75" s="59">
        <f t="shared" si="8"/>
        <v>13.809443414481482</v>
      </c>
      <c r="T75" s="59">
        <f t="shared" si="9"/>
        <v>6.3680467407500191E-2</v>
      </c>
      <c r="U75" s="59">
        <f t="shared" si="10"/>
        <v>4.8268372971631578E-2</v>
      </c>
      <c r="V75" s="230"/>
      <c r="W75" s="230"/>
      <c r="X75" s="230"/>
      <c r="Y75" s="230"/>
      <c r="Z75" s="230"/>
      <c r="AA75" s="230"/>
      <c r="AB75" s="230"/>
      <c r="AC75" s="230"/>
    </row>
    <row r="76" spans="1:29" s="52" customFormat="1">
      <c r="A76" s="6" t="s">
        <v>65</v>
      </c>
      <c r="B76" s="6" t="s">
        <v>196</v>
      </c>
      <c r="C76" t="s">
        <v>13</v>
      </c>
      <c r="D76" s="8">
        <v>2</v>
      </c>
      <c r="E76" s="3">
        <v>20</v>
      </c>
      <c r="F76" s="55">
        <f>'Wet analysis 2016'!T61</f>
        <v>1.0359826767329081E-2</v>
      </c>
      <c r="G76" s="55">
        <f>'Wet analysis 2016'!AD61</f>
        <v>4.3809961443423813E-2</v>
      </c>
      <c r="H76" s="55">
        <f>'Wet analysis 2016'!AN61</f>
        <v>84.471694211306044</v>
      </c>
      <c r="I76" s="55">
        <f>'Wet analysis 2016'!AW61</f>
        <v>1.0770411307477827</v>
      </c>
      <c r="J76" s="55">
        <f>'Wet analysis 2016'!BF61</f>
        <v>1.0228713425370297</v>
      </c>
      <c r="K76" s="230"/>
      <c r="L76" s="260">
        <f>'Soil samples'!X61</f>
        <v>6.0910000000000002</v>
      </c>
      <c r="M76" s="230"/>
      <c r="N76" s="230"/>
      <c r="O76" s="59"/>
      <c r="P76" s="230"/>
      <c r="Q76" s="59">
        <f t="shared" si="6"/>
        <v>5.1799133836645409E-4</v>
      </c>
      <c r="R76" s="59">
        <f t="shared" si="7"/>
        <v>2.1904980721711908E-3</v>
      </c>
      <c r="S76" s="59">
        <f t="shared" si="8"/>
        <v>4.2235847105653024</v>
      </c>
      <c r="T76" s="59">
        <f t="shared" si="9"/>
        <v>5.3852056537389142E-2</v>
      </c>
      <c r="U76" s="59">
        <f t="shared" si="10"/>
        <v>5.1143567126851489E-2</v>
      </c>
      <c r="V76" s="230"/>
      <c r="W76" s="230"/>
      <c r="X76" s="230"/>
      <c r="Y76" s="230"/>
      <c r="Z76" s="230"/>
      <c r="AA76" s="230"/>
      <c r="AB76" s="230"/>
      <c r="AC76" s="230"/>
    </row>
    <row r="77" spans="1:29" s="52" customFormat="1">
      <c r="A77" s="6" t="s">
        <v>66</v>
      </c>
      <c r="B77" s="6" t="s">
        <v>196</v>
      </c>
      <c r="C77" t="s">
        <v>13</v>
      </c>
      <c r="D77" s="8">
        <v>3</v>
      </c>
      <c r="E77" s="3">
        <v>5</v>
      </c>
      <c r="F77" s="55">
        <f>'Wet analysis 2016'!T62</f>
        <v>0.10637139624707062</v>
      </c>
      <c r="G77" s="55">
        <f>'Wet analysis 2016'!AD62</f>
        <v>4.57447401036291</v>
      </c>
      <c r="H77" s="55">
        <f>'Wet analysis 2016'!AN62</f>
        <v>257.82865929001804</v>
      </c>
      <c r="I77" s="55">
        <f>'Wet analysis 2016'!AW62</f>
        <v>19.75467701336207</v>
      </c>
      <c r="J77" s="55">
        <f>'Wet analysis 2016'!BF62</f>
        <v>15.073831606752087</v>
      </c>
      <c r="K77" s="230"/>
      <c r="L77" s="261">
        <f>'Soil samples 2017'!X33</f>
        <v>6.0540000000000003</v>
      </c>
      <c r="M77" s="230"/>
      <c r="N77" s="230"/>
      <c r="O77" s="59"/>
      <c r="P77" s="230"/>
      <c r="Q77" s="59">
        <f t="shared" si="6"/>
        <v>5.3185698123535312E-3</v>
      </c>
      <c r="R77" s="59">
        <f t="shared" si="7"/>
        <v>0.2287237005181455</v>
      </c>
      <c r="S77" s="59">
        <f t="shared" si="8"/>
        <v>12.891432964500902</v>
      </c>
      <c r="T77" s="59">
        <f t="shared" si="9"/>
        <v>0.98773385066810349</v>
      </c>
      <c r="U77" s="59">
        <f t="shared" si="10"/>
        <v>0.75369158033760442</v>
      </c>
      <c r="V77" s="230"/>
      <c r="W77" s="230"/>
      <c r="X77" s="230"/>
      <c r="Y77" s="230"/>
      <c r="Z77" s="230"/>
      <c r="AA77" s="230"/>
      <c r="AB77" s="230"/>
      <c r="AC77" s="230"/>
    </row>
    <row r="78" spans="1:29" s="52" customFormat="1">
      <c r="A78" s="6" t="s">
        <v>67</v>
      </c>
      <c r="B78" s="6" t="s">
        <v>196</v>
      </c>
      <c r="C78" t="s">
        <v>13</v>
      </c>
      <c r="D78" s="8">
        <v>3</v>
      </c>
      <c r="E78" s="3">
        <v>10</v>
      </c>
      <c r="F78" s="55">
        <f>'Wet analysis 2016'!T63</f>
        <v>0.28687516250701317</v>
      </c>
      <c r="G78" s="55">
        <f>'Wet analysis 2016'!AD63</f>
        <v>0</v>
      </c>
      <c r="H78" s="55">
        <f>'Wet analysis 2016'!AN63</f>
        <v>369.82115466013585</v>
      </c>
      <c r="I78" s="55">
        <f>'Wet analysis 2016'!AW63</f>
        <v>31.143939732747128</v>
      </c>
      <c r="J78" s="55">
        <f>'Wet analysis 2016'!BF63</f>
        <v>30.857064570240126</v>
      </c>
      <c r="K78" s="230"/>
      <c r="L78" s="260">
        <f>'Soil samples'!X63</f>
        <v>5.1619999999999999</v>
      </c>
      <c r="M78" s="230"/>
      <c r="N78" s="230"/>
      <c r="O78" s="59"/>
      <c r="P78" s="230"/>
      <c r="Q78" s="59">
        <f t="shared" si="6"/>
        <v>1.4343758125350659E-2</v>
      </c>
      <c r="R78" s="59">
        <f t="shared" si="7"/>
        <v>0</v>
      </c>
      <c r="S78" s="59">
        <f t="shared" si="8"/>
        <v>18.491057733006794</v>
      </c>
      <c r="T78" s="59">
        <f t="shared" si="9"/>
        <v>1.5571969866373565</v>
      </c>
      <c r="U78" s="59">
        <f t="shared" si="10"/>
        <v>1.5428532285120065</v>
      </c>
      <c r="V78" s="230"/>
      <c r="W78" s="230"/>
      <c r="X78" s="230"/>
      <c r="Y78" s="230"/>
      <c r="Z78" s="230"/>
      <c r="AA78" s="230"/>
      <c r="AB78" s="230"/>
      <c r="AC78" s="230"/>
    </row>
    <row r="79" spans="1:29" s="52" customFormat="1">
      <c r="A79" s="6" t="s">
        <v>68</v>
      </c>
      <c r="B79" s="6" t="s">
        <v>196</v>
      </c>
      <c r="C79" t="s">
        <v>13</v>
      </c>
      <c r="D79" s="8">
        <v>3</v>
      </c>
      <c r="E79" s="3">
        <v>20</v>
      </c>
      <c r="F79" s="55">
        <f>'Wet analysis 2016'!T64</f>
        <v>0.38150342048559066</v>
      </c>
      <c r="G79" s="55">
        <f>'Wet analysis 2016'!AD64</f>
        <v>1.7730066910108819</v>
      </c>
      <c r="H79" s="55">
        <f>'Wet analysis 2016'!AN64</f>
        <v>420.78655944724909</v>
      </c>
      <c r="I79" s="55">
        <f>'Wet analysis 2016'!AW64</f>
        <v>43.402993738898225</v>
      </c>
      <c r="J79" s="55">
        <f>'Wet analysis 2016'!BF64</f>
        <v>41.248483627401747</v>
      </c>
      <c r="K79" s="230"/>
      <c r="L79" s="260">
        <f>'Soil samples'!X64</f>
        <v>5.1059999999999999</v>
      </c>
      <c r="M79" s="230"/>
      <c r="N79" s="230"/>
      <c r="O79" s="59"/>
      <c r="P79" s="230"/>
      <c r="Q79" s="59">
        <f t="shared" si="6"/>
        <v>1.9075171024279535E-2</v>
      </c>
      <c r="R79" s="59">
        <f t="shared" si="7"/>
        <v>8.8650334550544108E-2</v>
      </c>
      <c r="S79" s="59">
        <f t="shared" si="8"/>
        <v>21.039327972362457</v>
      </c>
      <c r="T79" s="59">
        <f t="shared" si="9"/>
        <v>2.1701496869449115</v>
      </c>
      <c r="U79" s="59">
        <f t="shared" si="10"/>
        <v>2.0624241813700874</v>
      </c>
      <c r="V79" s="230"/>
      <c r="W79" s="230"/>
      <c r="X79" s="230"/>
      <c r="Y79" s="230"/>
      <c r="Z79" s="230"/>
      <c r="AA79" s="230"/>
      <c r="AB79" s="230"/>
      <c r="AC79" s="230"/>
    </row>
    <row r="80" spans="1:29" s="52" customFormat="1">
      <c r="A80" s="6" t="s">
        <v>69</v>
      </c>
      <c r="B80" s="6" t="s">
        <v>196</v>
      </c>
      <c r="C80" t="s">
        <v>13</v>
      </c>
      <c r="D80" s="8">
        <v>4</v>
      </c>
      <c r="E80" s="3">
        <v>30</v>
      </c>
      <c r="F80" s="55">
        <f>'Wet analysis 2016'!T65</f>
        <v>0.16938982704880753</v>
      </c>
      <c r="G80" s="55">
        <f>'Wet analysis 2016'!AD65</f>
        <v>1.2450079821153885</v>
      </c>
      <c r="H80" s="55">
        <f>'Wet analysis 2016'!AN65</f>
        <v>223.52641400105429</v>
      </c>
      <c r="I80" s="55">
        <f>'Wet analysis 2016'!AW65</f>
        <v>18.063348877288803</v>
      </c>
      <c r="J80" s="55">
        <f>'Wet analysis 2016'!BF65</f>
        <v>16.64895106812461</v>
      </c>
      <c r="K80" s="230"/>
      <c r="L80" s="260">
        <f>'Soil samples'!X65</f>
        <v>5.351</v>
      </c>
      <c r="M80" s="230"/>
      <c r="N80" s="230"/>
      <c r="O80" s="59"/>
      <c r="P80" s="230"/>
      <c r="Q80" s="59">
        <f t="shared" si="6"/>
        <v>8.4694913524403764E-3</v>
      </c>
      <c r="R80" s="59">
        <f t="shared" si="7"/>
        <v>6.2250399105769433E-2</v>
      </c>
      <c r="S80" s="59">
        <f t="shared" si="8"/>
        <v>11.176320700052715</v>
      </c>
      <c r="T80" s="59">
        <f t="shared" si="9"/>
        <v>0.90316744386444014</v>
      </c>
      <c r="U80" s="59">
        <f t="shared" si="10"/>
        <v>0.83244755340623056</v>
      </c>
      <c r="V80" s="230"/>
      <c r="W80" s="230"/>
      <c r="X80" s="230"/>
      <c r="Y80" s="230"/>
      <c r="Z80" s="230"/>
      <c r="AA80" s="230"/>
      <c r="AB80" s="230"/>
      <c r="AC80" s="230"/>
    </row>
    <row r="81" spans="1:29" s="52" customFormat="1">
      <c r="A81" s="6" t="s">
        <v>70</v>
      </c>
      <c r="B81" s="6" t="s">
        <v>196</v>
      </c>
      <c r="C81" t="s">
        <v>13</v>
      </c>
      <c r="D81" s="8">
        <v>4</v>
      </c>
      <c r="E81" s="3">
        <v>10</v>
      </c>
      <c r="F81" s="55">
        <f>'Wet analysis 2016'!T66</f>
        <v>9.5494463900511861E-2</v>
      </c>
      <c r="G81" s="55">
        <f>'Wet analysis 2016'!AD66</f>
        <v>2.5512057075684509</v>
      </c>
      <c r="H81" s="55">
        <f>'Wet analysis 2016'!AN66</f>
        <v>189.08583506362359</v>
      </c>
      <c r="I81" s="55">
        <f>'Wet analysis 2016'!AW66</f>
        <v>19.867319733985159</v>
      </c>
      <c r="J81" s="55">
        <f>'Wet analysis 2016'!BF66</f>
        <v>17.220619562516198</v>
      </c>
      <c r="K81" s="230"/>
      <c r="L81" s="260">
        <f>'Soil samples'!X66</f>
        <v>4.9009999999999998</v>
      </c>
      <c r="M81" s="230"/>
      <c r="N81" s="230"/>
      <c r="O81" s="59"/>
      <c r="P81" s="230"/>
      <c r="Q81" s="59">
        <f t="shared" si="6"/>
        <v>4.7747231950255936E-3</v>
      </c>
      <c r="R81" s="59">
        <f t="shared" si="7"/>
        <v>0.12756028537842254</v>
      </c>
      <c r="S81" s="59">
        <f t="shared" si="8"/>
        <v>9.4542917531811792</v>
      </c>
      <c r="T81" s="59">
        <f t="shared" si="9"/>
        <v>0.99336598669925802</v>
      </c>
      <c r="U81" s="59">
        <f t="shared" si="10"/>
        <v>0.86103097812580998</v>
      </c>
      <c r="V81" s="230"/>
      <c r="W81" s="230"/>
      <c r="X81" s="230"/>
      <c r="Y81" s="230"/>
      <c r="Z81" s="230"/>
      <c r="AA81" s="230"/>
      <c r="AB81" s="230"/>
      <c r="AC81" s="230"/>
    </row>
    <row r="82" spans="1:29" s="52" customFormat="1">
      <c r="A82" s="6" t="s">
        <v>71</v>
      </c>
      <c r="B82" s="6" t="s">
        <v>196</v>
      </c>
      <c r="C82" t="s">
        <v>13</v>
      </c>
      <c r="D82" s="8">
        <v>4</v>
      </c>
      <c r="E82" s="3">
        <v>20</v>
      </c>
      <c r="F82" s="55">
        <f>'Wet analysis 2016'!T67</f>
        <v>0.11052325165254526</v>
      </c>
      <c r="G82" s="55">
        <f>'Wet analysis 2016'!AD67</f>
        <v>1.1628775750249996</v>
      </c>
      <c r="H82" s="55">
        <f>'Wet analysis 2016'!AN67</f>
        <v>214.46358642838916</v>
      </c>
      <c r="I82" s="55">
        <f>'Wet analysis 2016'!AW67</f>
        <v>13.760994844727458</v>
      </c>
      <c r="J82" s="55">
        <f>'Wet analysis 2016'!BF67</f>
        <v>12.487594018049913</v>
      </c>
      <c r="K82" s="230"/>
      <c r="L82" s="260">
        <f>'Soil samples'!X67</f>
        <v>5.1520000000000001</v>
      </c>
      <c r="M82" s="230"/>
      <c r="N82" s="230"/>
      <c r="O82" s="59"/>
      <c r="P82" s="230"/>
      <c r="Q82" s="59">
        <f t="shared" si="6"/>
        <v>5.5261625826272635E-3</v>
      </c>
      <c r="R82" s="59">
        <f t="shared" si="7"/>
        <v>5.8143878751249982E-2</v>
      </c>
      <c r="S82" s="59">
        <f t="shared" si="8"/>
        <v>10.723179321419458</v>
      </c>
      <c r="T82" s="59">
        <f t="shared" si="9"/>
        <v>0.68804974223637294</v>
      </c>
      <c r="U82" s="59">
        <f t="shared" si="10"/>
        <v>0.62437970090249573</v>
      </c>
      <c r="V82" s="230"/>
      <c r="W82" s="230"/>
      <c r="X82" s="230"/>
      <c r="Y82" s="230"/>
      <c r="Z82" s="230"/>
      <c r="AA82" s="230"/>
      <c r="AB82" s="230"/>
      <c r="AC82" s="230"/>
    </row>
    <row r="83" spans="1:29" s="52" customFormat="1">
      <c r="A83" s="6" t="s">
        <v>72</v>
      </c>
      <c r="B83" s="6" t="s">
        <v>196</v>
      </c>
      <c r="C83" t="s">
        <v>13</v>
      </c>
      <c r="D83" s="8">
        <v>4</v>
      </c>
      <c r="E83" s="3">
        <v>5</v>
      </c>
      <c r="F83" s="55">
        <f>'Wet analysis 2016'!T68</f>
        <v>0.10617886434478335</v>
      </c>
      <c r="G83" s="55">
        <f>'Wet analysis 2016'!AD68</f>
        <v>5.2714438242755675</v>
      </c>
      <c r="H83" s="55">
        <f>'Wet analysis 2016'!AN68</f>
        <v>145.54417674587091</v>
      </c>
      <c r="I83" s="55">
        <f>'Wet analysis 2016'!AW68</f>
        <v>23.924466047324348</v>
      </c>
      <c r="J83" s="55">
        <f>'Wet analysis 2016'!BF68</f>
        <v>18.546843358703995</v>
      </c>
      <c r="K83" s="230"/>
      <c r="L83" s="262">
        <f>AVERAGE(L84,L88,L77,L74,L71)</f>
        <v>5.9489999999999998</v>
      </c>
      <c r="M83" s="230"/>
      <c r="N83" s="230"/>
      <c r="O83" s="59"/>
      <c r="P83" s="230"/>
      <c r="Q83" s="59">
        <f t="shared" si="6"/>
        <v>5.3089432172391676E-3</v>
      </c>
      <c r="R83" s="59">
        <f t="shared" si="7"/>
        <v>0.2635721912137784</v>
      </c>
      <c r="S83" s="59">
        <f t="shared" si="8"/>
        <v>7.2772088372935464</v>
      </c>
      <c r="T83" s="59">
        <f t="shared" si="9"/>
        <v>1.1962233023662174</v>
      </c>
      <c r="U83" s="59">
        <f t="shared" si="10"/>
        <v>0.92734216793519986</v>
      </c>
      <c r="V83" s="230"/>
      <c r="W83" s="230"/>
      <c r="X83" s="230"/>
      <c r="Y83" s="230"/>
      <c r="Z83" s="230"/>
      <c r="AA83" s="230"/>
      <c r="AB83" s="230"/>
      <c r="AC83" s="230"/>
    </row>
    <row r="84" spans="1:29" s="52" customFormat="1">
      <c r="A84" s="6" t="s">
        <v>73</v>
      </c>
      <c r="B84" s="6" t="s">
        <v>196</v>
      </c>
      <c r="C84" t="s">
        <v>13</v>
      </c>
      <c r="D84" s="8">
        <v>5</v>
      </c>
      <c r="E84" s="3">
        <v>5</v>
      </c>
      <c r="F84" s="55">
        <f>'Wet analysis 2016'!T69</f>
        <v>0.18174045094121363</v>
      </c>
      <c r="G84" s="55">
        <f>'Wet analysis 2016'!AD69</f>
        <v>4.7087225336856413</v>
      </c>
      <c r="H84" s="55">
        <f>'Wet analysis 2016'!AN69</f>
        <v>224.28227312469295</v>
      </c>
      <c r="I84" s="55">
        <f>'Wet analysis 2016'!AW69</f>
        <v>32.613955439921739</v>
      </c>
      <c r="J84" s="55">
        <f>'Wet analysis 2016'!BF69</f>
        <v>27.723492455294878</v>
      </c>
      <c r="K84" s="230"/>
      <c r="L84" s="260">
        <f>'Soil samples'!X69</f>
        <v>5.4080000000000004</v>
      </c>
      <c r="M84" s="230"/>
      <c r="N84" s="230"/>
      <c r="O84" s="59"/>
      <c r="P84" s="230"/>
      <c r="Q84" s="59">
        <f t="shared" si="6"/>
        <v>9.0870225470606816E-3</v>
      </c>
      <c r="R84" s="59">
        <f t="shared" si="7"/>
        <v>0.23543612668428207</v>
      </c>
      <c r="S84" s="59">
        <f t="shared" si="8"/>
        <v>11.214113656234648</v>
      </c>
      <c r="T84" s="59">
        <f t="shared" si="9"/>
        <v>1.6306977719960871</v>
      </c>
      <c r="U84" s="59">
        <f t="shared" si="10"/>
        <v>1.386174622764744</v>
      </c>
      <c r="V84" s="230"/>
      <c r="W84" s="230"/>
      <c r="X84" s="230"/>
      <c r="Y84" s="230"/>
      <c r="Z84" s="230"/>
      <c r="AA84" s="230"/>
      <c r="AB84" s="230"/>
      <c r="AC84" s="230"/>
    </row>
    <row r="85" spans="1:29" s="52" customFormat="1">
      <c r="A85" s="6" t="s">
        <v>74</v>
      </c>
      <c r="B85" s="6" t="s">
        <v>196</v>
      </c>
      <c r="C85" t="s">
        <v>13</v>
      </c>
      <c r="D85" s="8">
        <v>5</v>
      </c>
      <c r="E85" s="3">
        <v>10</v>
      </c>
      <c r="F85" s="55">
        <f>'Wet analysis 2016'!T70</f>
        <v>0.21785496334807719</v>
      </c>
      <c r="G85" s="55">
        <f>'Wet analysis 2016'!AD70</f>
        <v>3.0309249744501727</v>
      </c>
      <c r="H85" s="55">
        <f>'Wet analysis 2016'!AN70</f>
        <v>224.12057870064348</v>
      </c>
      <c r="I85" s="55">
        <f>'Wet analysis 2016'!AW70</f>
        <v>30.525039194754182</v>
      </c>
      <c r="J85" s="55">
        <f>'Wet analysis 2016'!BF70</f>
        <v>27.276259256955935</v>
      </c>
      <c r="K85" s="230"/>
      <c r="L85" s="260">
        <f>'Soil samples'!X70</f>
        <v>5.6310000000000002</v>
      </c>
      <c r="M85" s="230"/>
      <c r="N85" s="230"/>
      <c r="O85" s="59"/>
      <c r="P85" s="230"/>
      <c r="Q85" s="59">
        <f t="shared" si="6"/>
        <v>1.0892748167403861E-2</v>
      </c>
      <c r="R85" s="59">
        <f t="shared" si="7"/>
        <v>0.15154624872250866</v>
      </c>
      <c r="S85" s="59">
        <f t="shared" si="8"/>
        <v>11.206028935032174</v>
      </c>
      <c r="T85" s="59">
        <f t="shared" si="9"/>
        <v>1.5262519597377091</v>
      </c>
      <c r="U85" s="59">
        <f t="shared" si="10"/>
        <v>1.3638129628477969</v>
      </c>
      <c r="V85" s="230"/>
      <c r="W85" s="230"/>
      <c r="X85" s="230"/>
      <c r="Y85" s="230"/>
      <c r="Z85" s="230"/>
      <c r="AA85" s="230"/>
      <c r="AB85" s="230"/>
      <c r="AC85" s="230"/>
    </row>
    <row r="86" spans="1:29" s="52" customFormat="1">
      <c r="A86" s="6" t="s">
        <v>75</v>
      </c>
      <c r="B86" s="6" t="s">
        <v>196</v>
      </c>
      <c r="C86" t="s">
        <v>13</v>
      </c>
      <c r="D86" s="8">
        <v>5</v>
      </c>
      <c r="E86" s="3">
        <v>20</v>
      </c>
      <c r="F86" s="55">
        <f>'Wet analysis 2016'!T71</f>
        <v>0.17790058204681317</v>
      </c>
      <c r="G86" s="55">
        <f>'Wet analysis 2016'!AD71</f>
        <v>2.5481521392874025</v>
      </c>
      <c r="H86" s="55">
        <f>'Wet analysis 2016'!AN71</f>
        <v>233.68929695782415</v>
      </c>
      <c r="I86" s="55">
        <f>'Wet analysis 2016'!AW71</f>
        <v>26.691810616592946</v>
      </c>
      <c r="J86" s="55">
        <f>'Wet analysis 2016'!BF71</f>
        <v>23.965757895258733</v>
      </c>
      <c r="K86" s="230"/>
      <c r="L86" s="260">
        <f>'Soil samples'!X71</f>
        <v>5.5880000000000001</v>
      </c>
      <c r="M86" s="230"/>
      <c r="N86" s="230"/>
      <c r="O86" s="59"/>
      <c r="P86" s="230"/>
      <c r="Q86" s="59">
        <f t="shared" si="6"/>
        <v>8.895029102340659E-3</v>
      </c>
      <c r="R86" s="59">
        <f t="shared" si="7"/>
        <v>0.12740760696437012</v>
      </c>
      <c r="S86" s="59">
        <f t="shared" si="8"/>
        <v>11.684464847891208</v>
      </c>
      <c r="T86" s="59">
        <f t="shared" si="9"/>
        <v>1.3345905308296473</v>
      </c>
      <c r="U86" s="59">
        <f t="shared" si="10"/>
        <v>1.1982878947629367</v>
      </c>
      <c r="V86" s="230"/>
      <c r="W86" s="230"/>
      <c r="X86" s="230"/>
      <c r="Y86" s="230"/>
      <c r="Z86" s="230"/>
      <c r="AA86" s="230"/>
      <c r="AB86" s="230"/>
      <c r="AC86" s="230"/>
    </row>
    <row r="87" spans="1:29" s="52" customFormat="1">
      <c r="A87" s="6" t="s">
        <v>76</v>
      </c>
      <c r="B87" s="6" t="s">
        <v>196</v>
      </c>
      <c r="C87" t="s">
        <v>13</v>
      </c>
      <c r="D87" s="8">
        <v>5</v>
      </c>
      <c r="E87" s="3">
        <v>30</v>
      </c>
      <c r="F87" s="55">
        <f>'Wet analysis 2016'!T72</f>
        <v>6.3752271582773024E-2</v>
      </c>
      <c r="G87" s="55">
        <f>'Wet analysis 2016'!AD72</f>
        <v>9.2387611571542308E-2</v>
      </c>
      <c r="H87" s="55">
        <f>'Wet analysis 2016'!AN72</f>
        <v>10.930780672731368</v>
      </c>
      <c r="I87" s="55">
        <f>'Wet analysis 2016'!AW72</f>
        <v>0</v>
      </c>
      <c r="J87" s="55">
        <f>'Wet analysis 2016'!BF72</f>
        <v>0</v>
      </c>
      <c r="K87" s="230"/>
      <c r="L87" s="260">
        <f>'Soil samples'!X72</f>
        <v>5.5679999999999996</v>
      </c>
      <c r="M87" s="230"/>
      <c r="N87" s="230"/>
      <c r="O87" s="59"/>
      <c r="P87" s="230"/>
      <c r="Q87" s="59">
        <f t="shared" si="6"/>
        <v>3.1876135791386513E-3</v>
      </c>
      <c r="R87" s="59">
        <f t="shared" si="7"/>
        <v>4.6193805785771152E-3</v>
      </c>
      <c r="S87" s="59">
        <f t="shared" si="8"/>
        <v>0.54653903363656842</v>
      </c>
      <c r="T87" s="59">
        <f t="shared" si="9"/>
        <v>0</v>
      </c>
      <c r="U87" s="59">
        <f t="shared" si="10"/>
        <v>0</v>
      </c>
      <c r="V87" s="230"/>
      <c r="W87" s="230"/>
      <c r="X87" s="230"/>
      <c r="Y87" s="230"/>
      <c r="Z87" s="230"/>
      <c r="AA87" s="230"/>
      <c r="AB87" s="230"/>
      <c r="AC87" s="230"/>
    </row>
    <row r="88" spans="1:29" s="52" customFormat="1">
      <c r="A88" s="6" t="s">
        <v>77</v>
      </c>
      <c r="B88" s="6" t="s">
        <v>196</v>
      </c>
      <c r="C88" t="s">
        <v>13</v>
      </c>
      <c r="D88" s="8">
        <v>6</v>
      </c>
      <c r="E88" s="3">
        <v>5</v>
      </c>
      <c r="F88" s="55">
        <f>'Wet analysis 2016'!T73</f>
        <v>1.7119555355310578E-2</v>
      </c>
      <c r="G88" s="55">
        <f>'Wet analysis 2016'!AD73</f>
        <v>0.56992512683726415</v>
      </c>
      <c r="H88" s="55">
        <f>'Wet analysis 2016'!AN73</f>
        <v>52.176670406511228</v>
      </c>
      <c r="I88" s="55">
        <f>'Wet analysis 2016'!AW73</f>
        <v>0</v>
      </c>
      <c r="J88" s="55">
        <f>'Wet analysis 2016'!BF73</f>
        <v>0</v>
      </c>
      <c r="K88" s="230"/>
      <c r="L88" s="260">
        <f>'Soil samples'!X73</f>
        <v>6.8150000000000004</v>
      </c>
      <c r="M88" s="230"/>
      <c r="N88" s="230"/>
      <c r="O88" s="59"/>
      <c r="P88" s="230"/>
      <c r="Q88" s="59">
        <f t="shared" si="6"/>
        <v>8.5597776776552895E-4</v>
      </c>
      <c r="R88" s="59">
        <f t="shared" si="7"/>
        <v>2.8496256341863209E-2</v>
      </c>
      <c r="S88" s="59">
        <f t="shared" si="8"/>
        <v>2.6088335203255615</v>
      </c>
      <c r="T88" s="59">
        <f t="shared" si="9"/>
        <v>0</v>
      </c>
      <c r="U88" s="59">
        <f t="shared" si="10"/>
        <v>0</v>
      </c>
      <c r="V88" s="230"/>
      <c r="W88" s="230"/>
      <c r="X88" s="230"/>
      <c r="Y88" s="230"/>
      <c r="Z88" s="230"/>
      <c r="AA88" s="230"/>
      <c r="AB88" s="230"/>
      <c r="AC88" s="230"/>
    </row>
    <row r="89" spans="1:29" s="52" customFormat="1">
      <c r="A89" s="6" t="s">
        <v>78</v>
      </c>
      <c r="B89" s="6" t="s">
        <v>196</v>
      </c>
      <c r="C89" t="s">
        <v>13</v>
      </c>
      <c r="D89" s="8">
        <v>6</v>
      </c>
      <c r="E89" s="3">
        <v>10</v>
      </c>
      <c r="F89" s="55">
        <f>'Wet analysis 2016'!T74</f>
        <v>1.1640986158176136E-3</v>
      </c>
      <c r="G89" s="55">
        <f>'Wet analysis 2016'!AD74</f>
        <v>8.998652107721769E-2</v>
      </c>
      <c r="H89" s="55">
        <f>'Wet analysis 2016'!AN74</f>
        <v>12.934897096900732</v>
      </c>
      <c r="I89" s="55">
        <f>'Wet analysis 2016'!AW74</f>
        <v>0</v>
      </c>
      <c r="J89" s="55">
        <f>'Wet analysis 2016'!BF74</f>
        <v>0</v>
      </c>
      <c r="K89" s="230"/>
      <c r="L89" s="260">
        <f>'Soil samples'!X74</f>
        <v>7.1369999999999996</v>
      </c>
      <c r="M89" s="230"/>
      <c r="N89" s="230"/>
      <c r="O89" s="59"/>
      <c r="P89" s="230"/>
      <c r="Q89" s="59">
        <f t="shared" si="6"/>
        <v>5.8204930790880685E-5</v>
      </c>
      <c r="R89" s="59">
        <f t="shared" si="7"/>
        <v>4.499326053860885E-3</v>
      </c>
      <c r="S89" s="59">
        <f t="shared" si="8"/>
        <v>0.64674485484503663</v>
      </c>
      <c r="T89" s="59">
        <f t="shared" si="9"/>
        <v>0</v>
      </c>
      <c r="U89" s="59">
        <f t="shared" si="10"/>
        <v>0</v>
      </c>
      <c r="V89" s="230"/>
      <c r="W89" s="230"/>
      <c r="X89" s="230"/>
      <c r="Y89" s="230"/>
      <c r="Z89" s="230"/>
      <c r="AA89" s="230"/>
      <c r="AB89" s="230"/>
      <c r="AC89" s="230"/>
    </row>
    <row r="90" spans="1:29" s="52" customFormat="1">
      <c r="A90" s="6" t="s">
        <v>79</v>
      </c>
      <c r="B90" s="6" t="s">
        <v>196</v>
      </c>
      <c r="C90" t="s">
        <v>13</v>
      </c>
      <c r="D90" s="8">
        <v>6</v>
      </c>
      <c r="E90" s="3">
        <v>20</v>
      </c>
      <c r="F90" s="55">
        <f>'Wet analysis 2016'!T75</f>
        <v>1.6637126918280454E-2</v>
      </c>
      <c r="G90" s="55">
        <f>'Wet analysis 2016'!AD75</f>
        <v>2.8953437532404772E-2</v>
      </c>
      <c r="H90" s="55">
        <f>'Wet analysis 2016'!AN75</f>
        <v>18.440868693406006</v>
      </c>
      <c r="I90" s="55">
        <f>'Wet analysis 2016'!AW75</f>
        <v>0</v>
      </c>
      <c r="J90" s="55">
        <f>'Wet analysis 2016'!BF75</f>
        <v>0</v>
      </c>
      <c r="K90" s="230"/>
      <c r="L90" s="260">
        <f>'Soil samples'!X75</f>
        <v>7.2850000000000001</v>
      </c>
      <c r="M90" s="230"/>
      <c r="N90" s="230"/>
      <c r="O90" s="59"/>
      <c r="P90" s="230"/>
      <c r="Q90" s="59">
        <f t="shared" si="6"/>
        <v>8.3185634591402275E-4</v>
      </c>
      <c r="R90" s="59">
        <f t="shared" si="7"/>
        <v>1.4476718766202386E-3</v>
      </c>
      <c r="S90" s="59">
        <f t="shared" si="8"/>
        <v>0.92204343467030037</v>
      </c>
      <c r="T90" s="59">
        <f t="shared" si="9"/>
        <v>0</v>
      </c>
      <c r="U90" s="59">
        <f t="shared" si="10"/>
        <v>0</v>
      </c>
      <c r="V90" s="230"/>
      <c r="W90" s="230"/>
      <c r="X90" s="230"/>
      <c r="Y90" s="230"/>
      <c r="Z90" s="230"/>
      <c r="AA90" s="230"/>
      <c r="AB90" s="230"/>
      <c r="AC90" s="230"/>
    </row>
    <row r="91" spans="1:29" s="52" customFormat="1">
      <c r="A91" s="7" t="s">
        <v>80</v>
      </c>
      <c r="B91" s="7" t="s">
        <v>196</v>
      </c>
      <c r="C91" s="4" t="s">
        <v>13</v>
      </c>
      <c r="D91" s="4">
        <v>6</v>
      </c>
      <c r="E91" s="5">
        <v>30</v>
      </c>
      <c r="F91" s="55">
        <f>'Wet analysis 2016'!T76</f>
        <v>3.0683113947265972E-2</v>
      </c>
      <c r="G91" s="55">
        <f>'Wet analysis 2016'!AD76</f>
        <v>0.13577632778755291</v>
      </c>
      <c r="H91" s="55">
        <f>'Wet analysis 2016'!AN76</f>
        <v>34.440570177882734</v>
      </c>
      <c r="I91" s="55">
        <f>'Wet analysis 2016'!AW76</f>
        <v>0</v>
      </c>
      <c r="J91" s="55">
        <f>'Wet analysis 2016'!BF76</f>
        <v>0</v>
      </c>
      <c r="K91" s="230"/>
      <c r="L91" s="260">
        <f>'Soil samples'!X76</f>
        <v>7.1769999999999996</v>
      </c>
      <c r="M91" s="230"/>
      <c r="N91" s="230"/>
      <c r="O91" s="59"/>
      <c r="P91" s="230"/>
      <c r="Q91" s="59">
        <f t="shared" si="6"/>
        <v>1.5341556973632988E-3</v>
      </c>
      <c r="R91" s="59">
        <f t="shared" si="7"/>
        <v>6.788816389377646E-3</v>
      </c>
      <c r="S91" s="59">
        <f t="shared" si="8"/>
        <v>1.7220285088941367</v>
      </c>
      <c r="T91" s="59">
        <f t="shared" si="9"/>
        <v>0</v>
      </c>
      <c r="U91" s="59">
        <f t="shared" si="10"/>
        <v>0</v>
      </c>
      <c r="V91" s="230"/>
      <c r="W91" s="230"/>
      <c r="X91" s="230"/>
      <c r="Y91" s="230"/>
      <c r="Z91" s="230"/>
      <c r="AA91" s="230"/>
      <c r="AB91" s="230"/>
      <c r="AC91" s="230"/>
    </row>
    <row r="92" spans="1:29" s="52" customFormat="1">
      <c r="A92" s="6" t="s">
        <v>81</v>
      </c>
      <c r="B92" s="6" t="s">
        <v>197</v>
      </c>
      <c r="C92" t="s">
        <v>12</v>
      </c>
      <c r="D92" s="8">
        <v>1</v>
      </c>
      <c r="E92" s="3">
        <v>5</v>
      </c>
      <c r="F92" s="55">
        <f>'Wet analysis 2016'!T77</f>
        <v>0.89712554609519857</v>
      </c>
      <c r="G92" s="55">
        <f>'Wet analysis 2016'!AD77</f>
        <v>4.8969388027958978</v>
      </c>
      <c r="H92" s="55">
        <f>'Wet analysis 2016'!AN77</f>
        <v>64.557002032433005</v>
      </c>
      <c r="I92" s="55">
        <f>'Wet analysis 2016'!AW77</f>
        <v>14.531767005418796</v>
      </c>
      <c r="J92" s="55">
        <f>'Wet analysis 2016'!BF77</f>
        <v>8.7377026565277003</v>
      </c>
      <c r="K92" s="230"/>
      <c r="L92" s="260">
        <f>'Soil samples'!X77</f>
        <v>4.6719999999999997</v>
      </c>
      <c r="M92" s="230"/>
      <c r="N92" s="230"/>
      <c r="O92" s="59"/>
      <c r="P92" s="230"/>
      <c r="Q92" s="59">
        <f t="shared" si="6"/>
        <v>4.4856277304759933E-2</v>
      </c>
      <c r="R92" s="59">
        <f t="shared" si="7"/>
        <v>0.24484694013979491</v>
      </c>
      <c r="S92" s="59">
        <f t="shared" si="8"/>
        <v>3.2278501016216503</v>
      </c>
      <c r="T92" s="59">
        <f t="shared" si="9"/>
        <v>0.72658835027093982</v>
      </c>
      <c r="U92" s="59">
        <f t="shared" si="10"/>
        <v>0.43688513282638503</v>
      </c>
      <c r="V92" s="230"/>
      <c r="W92" s="230"/>
      <c r="X92" s="230"/>
      <c r="Y92" s="230"/>
      <c r="Z92" s="230"/>
      <c r="AA92" s="230"/>
      <c r="AB92" s="230"/>
      <c r="AC92" s="230"/>
    </row>
    <row r="93" spans="1:29" s="52" customFormat="1">
      <c r="A93" s="6" t="s">
        <v>82</v>
      </c>
      <c r="B93" s="6" t="s">
        <v>197</v>
      </c>
      <c r="C93" t="s">
        <v>12</v>
      </c>
      <c r="D93" s="8">
        <v>1</v>
      </c>
      <c r="E93" s="3">
        <v>10</v>
      </c>
      <c r="F93" s="55">
        <f>'Wet analysis 2016'!T78</f>
        <v>0.85174810132577561</v>
      </c>
      <c r="G93" s="55">
        <f>'Wet analysis 2016'!AD78</f>
        <v>3.8822447210375155</v>
      </c>
      <c r="H93" s="55">
        <f>'Wet analysis 2016'!AN78</f>
        <v>78.945213209034918</v>
      </c>
      <c r="I93" s="55">
        <f>'Wet analysis 2016'!AW78</f>
        <v>15.597643826397645</v>
      </c>
      <c r="J93" s="55">
        <f>'Wet analysis 2016'!BF78</f>
        <v>10.863651004034352</v>
      </c>
      <c r="K93" s="230"/>
      <c r="L93" s="260">
        <f>'Soil samples'!X78</f>
        <v>6.5960000000000001</v>
      </c>
      <c r="M93" s="230"/>
      <c r="N93" s="230"/>
      <c r="O93" s="59"/>
      <c r="P93" s="230"/>
      <c r="Q93" s="59">
        <f t="shared" si="6"/>
        <v>4.2587405066288782E-2</v>
      </c>
      <c r="R93" s="59">
        <f t="shared" si="7"/>
        <v>0.19411223605187578</v>
      </c>
      <c r="S93" s="59">
        <f t="shared" si="8"/>
        <v>3.9472606604517462</v>
      </c>
      <c r="T93" s="59">
        <f t="shared" si="9"/>
        <v>0.77988219131988235</v>
      </c>
      <c r="U93" s="59">
        <f t="shared" si="10"/>
        <v>0.54318255020171768</v>
      </c>
      <c r="V93" s="230"/>
      <c r="W93" s="230"/>
      <c r="X93" s="230"/>
      <c r="Y93" s="230"/>
      <c r="Z93" s="230"/>
      <c r="AA93" s="230"/>
      <c r="AB93" s="230"/>
      <c r="AC93" s="230"/>
    </row>
    <row r="94" spans="1:29" s="52" customFormat="1">
      <c r="A94" s="6" t="s">
        <v>83</v>
      </c>
      <c r="B94" s="6" t="s">
        <v>197</v>
      </c>
      <c r="C94" t="s">
        <v>12</v>
      </c>
      <c r="D94" s="8">
        <v>1</v>
      </c>
      <c r="E94" s="3">
        <v>20</v>
      </c>
      <c r="F94" s="55">
        <f>'Wet analysis 2016'!T79</f>
        <v>1.4251697437684394</v>
      </c>
      <c r="G94" s="55">
        <f>'Wet analysis 2016'!AD79</f>
        <v>5.7753739131551143</v>
      </c>
      <c r="H94" s="55">
        <f>'Wet analysis 2016'!AN79</f>
        <v>159.25824841460823</v>
      </c>
      <c r="I94" s="55">
        <f>'Wet analysis 2016'!AW79</f>
        <v>26.924096792818244</v>
      </c>
      <c r="J94" s="55">
        <f>'Wet analysis 2016'!BF79</f>
        <v>19.723553135894687</v>
      </c>
      <c r="K94" s="230"/>
      <c r="L94" s="260">
        <f>'Soil samples'!X79</f>
        <v>5.0890000000000004</v>
      </c>
      <c r="M94" s="230"/>
      <c r="N94" s="230"/>
      <c r="O94" s="59"/>
      <c r="P94" s="230"/>
      <c r="Q94" s="59">
        <f t="shared" si="6"/>
        <v>7.1258487188421968E-2</v>
      </c>
      <c r="R94" s="59">
        <f t="shared" si="7"/>
        <v>0.2887686956577557</v>
      </c>
      <c r="S94" s="59">
        <f t="shared" si="8"/>
        <v>7.9629124207304116</v>
      </c>
      <c r="T94" s="59">
        <f t="shared" si="9"/>
        <v>1.3462048396409123</v>
      </c>
      <c r="U94" s="59">
        <f t="shared" si="10"/>
        <v>0.98617765679473435</v>
      </c>
      <c r="V94" s="230"/>
      <c r="W94" s="230"/>
      <c r="X94" s="230"/>
      <c r="Y94" s="230"/>
      <c r="Z94" s="230"/>
      <c r="AA94" s="230"/>
      <c r="AB94" s="230"/>
      <c r="AC94" s="230"/>
    </row>
    <row r="95" spans="1:29" s="52" customFormat="1">
      <c r="A95" s="6" t="s">
        <v>84</v>
      </c>
      <c r="B95" s="6" t="s">
        <v>197</v>
      </c>
      <c r="C95" t="s">
        <v>12</v>
      </c>
      <c r="D95" s="8">
        <v>2</v>
      </c>
      <c r="E95" s="3">
        <v>5</v>
      </c>
      <c r="F95" s="55">
        <f>'Wet analysis 2016'!T80</f>
        <v>1.4664359204038095</v>
      </c>
      <c r="G95" s="55">
        <f>'Wet analysis 2016'!AD80</f>
        <v>2.4590281368268556</v>
      </c>
      <c r="H95" s="55">
        <f>'Wet analysis 2016'!AN80</f>
        <v>214.07414124569516</v>
      </c>
      <c r="I95" s="55">
        <f>'Wet analysis 2016'!AW80</f>
        <v>15.808721711197611</v>
      </c>
      <c r="J95" s="55">
        <f>'Wet analysis 2016'!BF80</f>
        <v>11.88325765396695</v>
      </c>
      <c r="K95" s="230"/>
      <c r="L95" s="260">
        <f>'Soil samples'!X80</f>
        <v>4.7370000000000001</v>
      </c>
      <c r="M95" s="230"/>
      <c r="N95" s="230"/>
      <c r="O95" s="59"/>
      <c r="P95" s="230"/>
      <c r="Q95" s="59">
        <f t="shared" si="6"/>
        <v>7.3321796020190483E-2</v>
      </c>
      <c r="R95" s="59">
        <f t="shared" si="7"/>
        <v>0.12295140684134279</v>
      </c>
      <c r="S95" s="59">
        <f t="shared" si="8"/>
        <v>10.703707062284758</v>
      </c>
      <c r="T95" s="59">
        <f t="shared" si="9"/>
        <v>0.79043608555988065</v>
      </c>
      <c r="U95" s="59">
        <f t="shared" si="10"/>
        <v>0.59416288269834749</v>
      </c>
      <c r="V95" s="230"/>
      <c r="W95" s="230"/>
      <c r="X95" s="230"/>
      <c r="Y95" s="230"/>
      <c r="Z95" s="230"/>
      <c r="AA95" s="230"/>
      <c r="AB95" s="230"/>
      <c r="AC95" s="230"/>
    </row>
    <row r="96" spans="1:29" s="52" customFormat="1">
      <c r="A96" s="6" t="s">
        <v>85</v>
      </c>
      <c r="B96" s="6" t="s">
        <v>197</v>
      </c>
      <c r="C96" t="s">
        <v>12</v>
      </c>
      <c r="D96" s="8">
        <v>2</v>
      </c>
      <c r="E96" s="3">
        <v>10</v>
      </c>
      <c r="F96" s="55">
        <f>'Wet analysis 2016'!T81</f>
        <v>1.4752356933279993</v>
      </c>
      <c r="G96" s="55">
        <f>'Wet analysis 2016'!AD81</f>
        <v>2.0386456712785868</v>
      </c>
      <c r="H96" s="55">
        <f>'Wet analysis 2016'!AN81</f>
        <v>186.34613246165</v>
      </c>
      <c r="I96" s="55">
        <f>'Wet analysis 2016'!AW81</f>
        <v>22.029283617852247</v>
      </c>
      <c r="J96" s="55">
        <f>'Wet analysis 2016'!BF81</f>
        <v>18.515402253245664</v>
      </c>
      <c r="K96" s="230"/>
      <c r="L96" s="260">
        <f>'Soil samples'!X81</f>
        <v>4.7279999999999998</v>
      </c>
      <c r="M96" s="230"/>
      <c r="N96" s="230"/>
      <c r="O96" s="59"/>
      <c r="P96" s="230"/>
      <c r="Q96" s="59">
        <f t="shared" si="6"/>
        <v>7.3761784666399974E-2</v>
      </c>
      <c r="R96" s="59">
        <f t="shared" si="7"/>
        <v>0.10193228356392935</v>
      </c>
      <c r="S96" s="59">
        <f t="shared" si="8"/>
        <v>9.3173066230824997</v>
      </c>
      <c r="T96" s="59">
        <f t="shared" si="9"/>
        <v>1.1014641808926124</v>
      </c>
      <c r="U96" s="59">
        <f t="shared" si="10"/>
        <v>0.92577011266228326</v>
      </c>
      <c r="V96" s="230"/>
      <c r="W96" s="230"/>
      <c r="X96" s="230"/>
      <c r="Y96" s="230"/>
      <c r="Z96" s="230"/>
      <c r="AA96" s="230"/>
      <c r="AB96" s="230"/>
      <c r="AC96" s="230"/>
    </row>
    <row r="97" spans="1:29" s="52" customFormat="1">
      <c r="A97" s="6" t="s">
        <v>86</v>
      </c>
      <c r="B97" s="6" t="s">
        <v>197</v>
      </c>
      <c r="C97" t="s">
        <v>12</v>
      </c>
      <c r="D97" s="8">
        <v>2</v>
      </c>
      <c r="E97" s="3">
        <v>20</v>
      </c>
      <c r="F97" s="55">
        <f>'Wet analysis 2016'!T82</f>
        <v>0.52019677433413225</v>
      </c>
      <c r="G97" s="55">
        <f>'Wet analysis 2016'!AD82</f>
        <v>1.092728898212977</v>
      </c>
      <c r="H97" s="55">
        <f>'Wet analysis 2016'!AN82</f>
        <v>273.158931378202</v>
      </c>
      <c r="I97" s="55">
        <f>'Wet analysis 2016'!AW82</f>
        <v>21.138159634898546</v>
      </c>
      <c r="J97" s="55">
        <f>'Wet analysis 2016'!BF82</f>
        <v>19.525233962351432</v>
      </c>
      <c r="K97" s="230"/>
      <c r="L97" s="260">
        <f>'Soil samples'!X82</f>
        <v>4.726</v>
      </c>
      <c r="M97" s="230"/>
      <c r="N97" s="230"/>
      <c r="O97" s="59"/>
      <c r="P97" s="230"/>
      <c r="Q97" s="59">
        <f t="shared" si="6"/>
        <v>2.6009838716706615E-2</v>
      </c>
      <c r="R97" s="59">
        <f t="shared" si="7"/>
        <v>5.4636444910648854E-2</v>
      </c>
      <c r="S97" s="59">
        <f t="shared" si="8"/>
        <v>13.6579465689101</v>
      </c>
      <c r="T97" s="59">
        <f t="shared" si="9"/>
        <v>1.0569079817449274</v>
      </c>
      <c r="U97" s="59">
        <f t="shared" si="10"/>
        <v>0.97626169811757169</v>
      </c>
      <c r="V97" s="230"/>
      <c r="W97" s="230"/>
      <c r="X97" s="230"/>
      <c r="Y97" s="230"/>
      <c r="Z97" s="230"/>
      <c r="AA97" s="230"/>
      <c r="AB97" s="230"/>
      <c r="AC97" s="230"/>
    </row>
    <row r="98" spans="1:29" s="52" customFormat="1">
      <c r="A98" s="6" t="s">
        <v>87</v>
      </c>
      <c r="B98" s="6" t="s">
        <v>197</v>
      </c>
      <c r="C98" t="s">
        <v>12</v>
      </c>
      <c r="D98" s="8">
        <v>3</v>
      </c>
      <c r="E98" s="3">
        <v>5</v>
      </c>
      <c r="F98" s="55">
        <f>'Wet analysis 2016'!T83</f>
        <v>3.1287888020809178</v>
      </c>
      <c r="G98" s="55">
        <f>'Wet analysis 2016'!AD83</f>
        <v>5.6527181088961784</v>
      </c>
      <c r="H98" s="55">
        <f>'Wet analysis 2016'!AN83</f>
        <v>72.857204906993559</v>
      </c>
      <c r="I98" s="55">
        <f>'Wet analysis 2016'!AW83</f>
        <v>16.636381588823639</v>
      </c>
      <c r="J98" s="55">
        <f>'Wet analysis 2016'!BF83</f>
        <v>7.854874677846543</v>
      </c>
      <c r="K98" s="230"/>
      <c r="L98" s="260">
        <f>'Soil samples'!X83</f>
        <v>4.8899999999999997</v>
      </c>
      <c r="M98" s="230"/>
      <c r="N98" s="230"/>
      <c r="O98" s="59"/>
      <c r="P98" s="230"/>
      <c r="Q98" s="59">
        <f t="shared" si="6"/>
        <v>0.1564394401040459</v>
      </c>
      <c r="R98" s="59">
        <f t="shared" si="7"/>
        <v>0.28263590544480893</v>
      </c>
      <c r="S98" s="59">
        <f t="shared" si="8"/>
        <v>3.6428602453496781</v>
      </c>
      <c r="T98" s="59">
        <f t="shared" si="9"/>
        <v>0.83181907944118194</v>
      </c>
      <c r="U98" s="59">
        <f t="shared" si="10"/>
        <v>0.3927437338923272</v>
      </c>
      <c r="V98" s="230"/>
      <c r="W98" s="230"/>
      <c r="X98" s="230"/>
      <c r="Y98" s="230"/>
      <c r="Z98" s="230"/>
      <c r="AA98" s="230"/>
      <c r="AB98" s="230"/>
      <c r="AC98" s="230"/>
    </row>
    <row r="99" spans="1:29" s="52" customFormat="1">
      <c r="A99" s="6" t="s">
        <v>88</v>
      </c>
      <c r="B99" s="6" t="s">
        <v>197</v>
      </c>
      <c r="C99" t="s">
        <v>12</v>
      </c>
      <c r="D99" s="8">
        <v>3</v>
      </c>
      <c r="E99" s="3">
        <v>10</v>
      </c>
      <c r="F99" s="55">
        <f>'Wet analysis 2016'!T84</f>
        <v>2.7296731197903203</v>
      </c>
      <c r="G99" s="55">
        <f>'Wet analysis 2016'!AD84</f>
        <v>2.0304220393359897</v>
      </c>
      <c r="H99" s="55">
        <f>'Wet analysis 2016'!AN84</f>
        <v>89.693927329504248</v>
      </c>
      <c r="I99" s="55">
        <f>'Wet analysis 2016'!AW84</f>
        <v>2.5561696475252655</v>
      </c>
      <c r="J99" s="55">
        <f>'Wet analysis 2016'!BF84</f>
        <v>0</v>
      </c>
      <c r="K99" s="230"/>
      <c r="L99" s="260">
        <f>'Soil samples'!X84</f>
        <v>6.4870000000000001</v>
      </c>
      <c r="M99" s="230"/>
      <c r="N99" s="230"/>
      <c r="O99" s="59"/>
      <c r="P99" s="230"/>
      <c r="Q99" s="59">
        <f t="shared" si="6"/>
        <v>0.13648365598951603</v>
      </c>
      <c r="R99" s="59">
        <f t="shared" si="7"/>
        <v>0.10152110196679949</v>
      </c>
      <c r="S99" s="59">
        <f t="shared" si="8"/>
        <v>4.4846963664752124</v>
      </c>
      <c r="T99" s="59">
        <f t="shared" si="9"/>
        <v>0.12780848237626327</v>
      </c>
      <c r="U99" s="59">
        <f t="shared" si="10"/>
        <v>0</v>
      </c>
      <c r="V99" s="230"/>
      <c r="W99" s="230"/>
      <c r="X99" s="230"/>
      <c r="Y99" s="230"/>
      <c r="Z99" s="230"/>
      <c r="AA99" s="230"/>
      <c r="AB99" s="230"/>
      <c r="AC99" s="230"/>
    </row>
    <row r="100" spans="1:29" s="52" customFormat="1">
      <c r="A100" s="6" t="s">
        <v>89</v>
      </c>
      <c r="B100" s="6" t="s">
        <v>197</v>
      </c>
      <c r="C100" t="s">
        <v>12</v>
      </c>
      <c r="D100" s="8">
        <v>3</v>
      </c>
      <c r="E100" s="3">
        <v>20</v>
      </c>
      <c r="F100" s="55">
        <f>'Wet analysis 2016'!T85</f>
        <v>4.0057302275142321</v>
      </c>
      <c r="G100" s="55">
        <f>'Wet analysis 2016'!AD85</f>
        <v>4.1498238007863275</v>
      </c>
      <c r="H100" s="55">
        <f>'Wet analysis 2016'!AN85</f>
        <v>81.662484146440335</v>
      </c>
      <c r="I100" s="55">
        <f>'Wet analysis 2016'!AW85</f>
        <v>14.290782898663263</v>
      </c>
      <c r="J100" s="55">
        <f>'Wet analysis 2016'!BF85</f>
        <v>6.1352288703626989</v>
      </c>
      <c r="K100" s="230"/>
      <c r="L100" s="260">
        <f>'Soil samples'!X85</f>
        <v>6.157</v>
      </c>
      <c r="M100" s="230"/>
      <c r="N100" s="230"/>
      <c r="O100" s="59"/>
      <c r="P100" s="230"/>
      <c r="Q100" s="59">
        <f t="shared" si="6"/>
        <v>0.20028651137571163</v>
      </c>
      <c r="R100" s="59">
        <f t="shared" si="7"/>
        <v>0.20749119003931638</v>
      </c>
      <c r="S100" s="59">
        <f t="shared" si="8"/>
        <v>4.0831242073220171</v>
      </c>
      <c r="T100" s="59">
        <f t="shared" si="9"/>
        <v>0.71453914493316317</v>
      </c>
      <c r="U100" s="59">
        <f t="shared" si="10"/>
        <v>0.30676144351813495</v>
      </c>
      <c r="V100" s="230"/>
      <c r="W100" s="230"/>
      <c r="X100" s="230"/>
      <c r="Y100" s="230"/>
      <c r="Z100" s="230"/>
      <c r="AA100" s="230"/>
      <c r="AB100" s="230"/>
      <c r="AC100" s="230"/>
    </row>
    <row r="101" spans="1:29" s="52" customFormat="1">
      <c r="A101" s="6" t="s">
        <v>90</v>
      </c>
      <c r="B101" s="6" t="s">
        <v>197</v>
      </c>
      <c r="C101" t="s">
        <v>12</v>
      </c>
      <c r="D101" s="8">
        <v>3</v>
      </c>
      <c r="E101" s="3">
        <v>30</v>
      </c>
      <c r="F101" s="55">
        <f>'Wet analysis 2016'!T86</f>
        <v>3.4098395068320717</v>
      </c>
      <c r="G101" s="55">
        <f>'Wet analysis 2016'!AD86</f>
        <v>0.77495769459709773</v>
      </c>
      <c r="H101" s="55">
        <f>'Wet analysis 2016'!AN86</f>
        <v>59.837732434112915</v>
      </c>
      <c r="I101" s="55">
        <f>'Wet analysis 2016'!AW86</f>
        <v>0.75177262634715214</v>
      </c>
      <c r="J101" s="55">
        <f>'Wet analysis 2016'!BF86</f>
        <v>0</v>
      </c>
      <c r="K101" s="230"/>
      <c r="L101" s="260">
        <f>'Soil samples'!X86</f>
        <v>6.6840000000000002</v>
      </c>
      <c r="M101" s="230"/>
      <c r="N101" s="230"/>
      <c r="O101" s="59"/>
      <c r="P101" s="230"/>
      <c r="Q101" s="59">
        <f t="shared" si="6"/>
        <v>0.1704919753416036</v>
      </c>
      <c r="R101" s="59">
        <f t="shared" si="7"/>
        <v>3.8747884729854888E-2</v>
      </c>
      <c r="S101" s="59">
        <f t="shared" si="8"/>
        <v>2.9918866217056461</v>
      </c>
      <c r="T101" s="59">
        <f t="shared" si="9"/>
        <v>3.758863131735761E-2</v>
      </c>
      <c r="U101" s="59">
        <f t="shared" si="10"/>
        <v>0</v>
      </c>
      <c r="V101" s="230"/>
      <c r="W101" s="230"/>
      <c r="X101" s="230"/>
      <c r="Y101" s="230"/>
      <c r="Z101" s="230"/>
      <c r="AA101" s="230"/>
      <c r="AB101" s="230"/>
      <c r="AC101" s="230"/>
    </row>
    <row r="102" spans="1:29" s="52" customFormat="1">
      <c r="A102" s="6" t="s">
        <v>91</v>
      </c>
      <c r="B102" s="6" t="s">
        <v>197</v>
      </c>
      <c r="C102" t="s">
        <v>12</v>
      </c>
      <c r="D102" s="8">
        <v>4</v>
      </c>
      <c r="E102" s="3">
        <v>5</v>
      </c>
      <c r="F102" s="55">
        <f>'Wet analysis 2016'!T87</f>
        <v>0.44202883527567283</v>
      </c>
      <c r="G102" s="55">
        <f>'Wet analysis 2016'!AD87</f>
        <v>0.12779871841123591</v>
      </c>
      <c r="H102" s="55">
        <f>'Wet analysis 2016'!AN87</f>
        <v>132.04422107787855</v>
      </c>
      <c r="I102" s="55">
        <f>'Wet analysis 2016'!AW87</f>
        <v>11.681334862718995</v>
      </c>
      <c r="J102" s="55">
        <f>'Wet analysis 2016'!BF87</f>
        <v>11.11150730903209</v>
      </c>
      <c r="K102" s="230"/>
      <c r="L102" s="260">
        <f>'Soil samples'!X87</f>
        <v>6.4630000000000001</v>
      </c>
      <c r="M102" s="230"/>
      <c r="N102" s="230"/>
      <c r="O102" s="59"/>
      <c r="P102" s="230"/>
      <c r="Q102" s="59">
        <f t="shared" si="6"/>
        <v>2.2101441763783643E-2</v>
      </c>
      <c r="R102" s="59">
        <f t="shared" si="7"/>
        <v>6.3899359205617963E-3</v>
      </c>
      <c r="S102" s="59">
        <f t="shared" si="8"/>
        <v>6.602211053893928</v>
      </c>
      <c r="T102" s="59">
        <f t="shared" si="9"/>
        <v>0.58406674313594975</v>
      </c>
      <c r="U102" s="59">
        <f t="shared" si="10"/>
        <v>0.55557536545160457</v>
      </c>
      <c r="V102" s="230"/>
      <c r="W102" s="230"/>
      <c r="X102" s="230"/>
      <c r="Y102" s="230"/>
      <c r="Z102" s="230"/>
      <c r="AA102" s="230"/>
      <c r="AB102" s="230"/>
      <c r="AC102" s="230"/>
    </row>
    <row r="103" spans="1:29" s="52" customFormat="1">
      <c r="A103" s="6" t="s">
        <v>92</v>
      </c>
      <c r="B103" s="6" t="s">
        <v>197</v>
      </c>
      <c r="C103" t="s">
        <v>12</v>
      </c>
      <c r="D103" s="8">
        <v>4</v>
      </c>
      <c r="E103" s="3">
        <v>10</v>
      </c>
      <c r="F103" s="55">
        <f>'Wet analysis 2016'!T88</f>
        <v>0.53963316480883861</v>
      </c>
      <c r="G103" s="55">
        <f>'Wet analysis 2016'!AD88</f>
        <v>0</v>
      </c>
      <c r="H103" s="55">
        <f>'Wet analysis 2016'!AN88</f>
        <v>180.28578289329187</v>
      </c>
      <c r="I103" s="55">
        <f>'Wet analysis 2016'!AW88</f>
        <v>15.988534505008099</v>
      </c>
      <c r="J103" s="55">
        <f>'Wet analysis 2016'!BF88</f>
        <v>15.448901340199257</v>
      </c>
      <c r="K103" s="230"/>
      <c r="L103" s="260">
        <f>'Soil samples'!X88</f>
        <v>6.9050000000000002</v>
      </c>
      <c r="M103" s="230"/>
      <c r="N103" s="230"/>
      <c r="O103" s="59"/>
      <c r="P103" s="230"/>
      <c r="Q103" s="59">
        <f t="shared" si="6"/>
        <v>2.6981658240441932E-2</v>
      </c>
      <c r="R103" s="59">
        <f t="shared" si="7"/>
        <v>0</v>
      </c>
      <c r="S103" s="59">
        <f t="shared" si="8"/>
        <v>9.014289144664593</v>
      </c>
      <c r="T103" s="59">
        <f t="shared" si="9"/>
        <v>0.79942672525040503</v>
      </c>
      <c r="U103" s="59">
        <f t="shared" si="10"/>
        <v>0.77244506700996285</v>
      </c>
      <c r="V103" s="230"/>
      <c r="W103" s="230"/>
      <c r="X103" s="230"/>
      <c r="Y103" s="230"/>
      <c r="Z103" s="230"/>
      <c r="AA103" s="230"/>
      <c r="AB103" s="230"/>
      <c r="AC103" s="230"/>
    </row>
    <row r="104" spans="1:29" s="52" customFormat="1">
      <c r="A104" s="6" t="s">
        <v>93</v>
      </c>
      <c r="B104" s="6" t="s">
        <v>197</v>
      </c>
      <c r="C104" t="s">
        <v>12</v>
      </c>
      <c r="D104" s="8">
        <v>4</v>
      </c>
      <c r="E104" s="3">
        <v>20</v>
      </c>
      <c r="F104" s="55">
        <f>'Wet analysis 2016'!T89</f>
        <v>0.30044589160664686</v>
      </c>
      <c r="G104" s="55">
        <f>'Wet analysis 2016'!AD89</f>
        <v>0</v>
      </c>
      <c r="H104" s="55">
        <f>'Wet analysis 2016'!AN89</f>
        <v>133.48838466930562</v>
      </c>
      <c r="I104" s="55">
        <f>'Wet analysis 2016'!AW89</f>
        <v>10.709218542740105</v>
      </c>
      <c r="J104" s="55">
        <f>'Wet analysis 2016'!BF89</f>
        <v>10.408772651133456</v>
      </c>
      <c r="K104" s="230"/>
      <c r="L104" s="260">
        <f>'Soil samples'!X89</f>
        <v>6.93</v>
      </c>
      <c r="M104" s="230"/>
      <c r="N104" s="230"/>
      <c r="O104" s="59"/>
      <c r="P104" s="230"/>
      <c r="Q104" s="59">
        <f t="shared" si="6"/>
        <v>1.5022294580332343E-2</v>
      </c>
      <c r="R104" s="59">
        <f t="shared" si="7"/>
        <v>0</v>
      </c>
      <c r="S104" s="59">
        <f t="shared" si="8"/>
        <v>6.6744192334652812</v>
      </c>
      <c r="T104" s="59">
        <f t="shared" si="9"/>
        <v>0.53546092713700533</v>
      </c>
      <c r="U104" s="59">
        <f t="shared" si="10"/>
        <v>0.52043863255667278</v>
      </c>
      <c r="V104" s="230"/>
      <c r="W104" s="230"/>
      <c r="X104" s="230"/>
      <c r="Y104" s="230"/>
      <c r="Z104" s="230"/>
      <c r="AA104" s="230"/>
      <c r="AB104" s="230"/>
      <c r="AC104" s="230"/>
    </row>
    <row r="105" spans="1:29" s="52" customFormat="1">
      <c r="A105" s="6" t="s">
        <v>94</v>
      </c>
      <c r="B105" s="6" t="s">
        <v>197</v>
      </c>
      <c r="C105" t="s">
        <v>12</v>
      </c>
      <c r="D105" s="8">
        <v>5</v>
      </c>
      <c r="E105" s="3">
        <v>5</v>
      </c>
      <c r="F105" s="55">
        <f>'Wet analysis 2016'!T90</f>
        <v>3.372357410993605</v>
      </c>
      <c r="G105" s="55">
        <f>'Wet analysis 2016'!AD90</f>
        <v>8.1875411300606462</v>
      </c>
      <c r="H105" s="55">
        <f>'Wet analysis 2016'!AN90</f>
        <v>277.54998408288822</v>
      </c>
      <c r="I105" s="55">
        <f>'Wet analysis 2016'!AW90</f>
        <v>28.449695038683636</v>
      </c>
      <c r="J105" s="55">
        <f>'Wet analysis 2016'!BF90</f>
        <v>16.889796497629384</v>
      </c>
      <c r="K105" s="230"/>
      <c r="L105" s="260">
        <f>'Soil samples'!X90</f>
        <v>5.7220000000000004</v>
      </c>
      <c r="M105" s="230"/>
      <c r="N105" s="230"/>
      <c r="O105" s="59"/>
      <c r="P105" s="230"/>
      <c r="Q105" s="59">
        <f t="shared" si="6"/>
        <v>0.16861787054968025</v>
      </c>
      <c r="R105" s="59">
        <f t="shared" si="7"/>
        <v>0.40937705650303235</v>
      </c>
      <c r="S105" s="59">
        <f t="shared" si="8"/>
        <v>13.877499204144412</v>
      </c>
      <c r="T105" s="59">
        <f t="shared" si="9"/>
        <v>1.4224847519341819</v>
      </c>
      <c r="U105" s="59">
        <f t="shared" si="10"/>
        <v>0.84448982488146918</v>
      </c>
      <c r="V105" s="230"/>
      <c r="W105" s="230"/>
      <c r="X105" s="230"/>
      <c r="Y105" s="230"/>
      <c r="Z105" s="230"/>
      <c r="AA105" s="230"/>
      <c r="AB105" s="230"/>
      <c r="AC105" s="230"/>
    </row>
    <row r="106" spans="1:29" s="52" customFormat="1">
      <c r="A106" s="6" t="s">
        <v>95</v>
      </c>
      <c r="B106" s="6" t="s">
        <v>197</v>
      </c>
      <c r="C106" t="s">
        <v>12</v>
      </c>
      <c r="D106" s="8">
        <v>5</v>
      </c>
      <c r="E106" s="3">
        <v>10</v>
      </c>
      <c r="F106" s="55">
        <f>'Wet analysis 2016'!T91</f>
        <v>1.6727443443888541</v>
      </c>
      <c r="G106" s="55">
        <f>'Wet analysis 2016'!AD91</f>
        <v>6.686311211250878</v>
      </c>
      <c r="H106" s="55">
        <f>'Wet analysis 2016'!AN91</f>
        <v>164.78411747650065</v>
      </c>
      <c r="I106" s="55">
        <f>'Wet analysis 2016'!AW91</f>
        <v>20.682938972454757</v>
      </c>
      <c r="J106" s="55">
        <f>'Wet analysis 2016'!BF91</f>
        <v>12.323883416815022</v>
      </c>
      <c r="K106" s="230"/>
      <c r="L106" s="260">
        <f>'Soil samples'!X91</f>
        <v>6.0970000000000004</v>
      </c>
      <c r="M106" s="230"/>
      <c r="N106" s="230"/>
      <c r="O106" s="59"/>
      <c r="P106" s="230"/>
      <c r="Q106" s="59">
        <f t="shared" si="6"/>
        <v>8.3637217219442714E-2</v>
      </c>
      <c r="R106" s="59">
        <f t="shared" si="7"/>
        <v>0.33431556056254391</v>
      </c>
      <c r="S106" s="59">
        <f t="shared" si="8"/>
        <v>8.2392058738250338</v>
      </c>
      <c r="T106" s="59">
        <f t="shared" si="9"/>
        <v>1.0341469486227379</v>
      </c>
      <c r="U106" s="59">
        <f t="shared" si="10"/>
        <v>0.61619417084075112</v>
      </c>
      <c r="V106" s="230"/>
      <c r="W106" s="230"/>
      <c r="X106" s="230"/>
      <c r="Y106" s="230"/>
      <c r="Z106" s="230"/>
      <c r="AA106" s="230"/>
      <c r="AB106" s="230"/>
      <c r="AC106" s="230"/>
    </row>
    <row r="107" spans="1:29" s="52" customFormat="1">
      <c r="A107" s="6" t="s">
        <v>96</v>
      </c>
      <c r="B107" s="6" t="s">
        <v>197</v>
      </c>
      <c r="C107" t="s">
        <v>12</v>
      </c>
      <c r="D107" s="8">
        <v>5</v>
      </c>
      <c r="E107" s="3">
        <v>20</v>
      </c>
      <c r="F107" s="55">
        <f>'Wet analysis 2016'!T92</f>
        <v>1.3961179748005734</v>
      </c>
      <c r="G107" s="55">
        <f>'Wet analysis 2016'!AD92</f>
        <v>3.673558262672568</v>
      </c>
      <c r="H107" s="55">
        <f>'Wet analysis 2016'!AN92</f>
        <v>108.91254698260249</v>
      </c>
      <c r="I107" s="55">
        <f>'Wet analysis 2016'!AW92</f>
        <v>13.642569226386685</v>
      </c>
      <c r="J107" s="55">
        <f>'Wet analysis 2016'!BF92</f>
        <v>8.5728929889135408</v>
      </c>
      <c r="K107" s="230"/>
      <c r="L107" s="260">
        <f>'Soil samples'!X92</f>
        <v>6.4349999999999996</v>
      </c>
      <c r="M107" s="230"/>
      <c r="N107" s="230"/>
      <c r="O107" s="59"/>
      <c r="P107" s="230"/>
      <c r="Q107" s="59">
        <f t="shared" si="6"/>
        <v>6.9805898740028668E-2</v>
      </c>
      <c r="R107" s="59">
        <f t="shared" si="7"/>
        <v>0.18367791313362841</v>
      </c>
      <c r="S107" s="59">
        <f t="shared" si="8"/>
        <v>5.4456273491301248</v>
      </c>
      <c r="T107" s="59">
        <f t="shared" si="9"/>
        <v>0.68212846131933436</v>
      </c>
      <c r="U107" s="59">
        <f t="shared" si="10"/>
        <v>0.42864464944567704</v>
      </c>
      <c r="V107" s="230"/>
      <c r="W107" s="230"/>
      <c r="X107" s="230"/>
      <c r="Y107" s="230"/>
      <c r="Z107" s="230"/>
      <c r="AA107" s="230"/>
      <c r="AB107" s="230"/>
      <c r="AC107" s="230"/>
    </row>
    <row r="108" spans="1:29" s="52" customFormat="1">
      <c r="A108" s="6" t="s">
        <v>97</v>
      </c>
      <c r="B108" s="6" t="s">
        <v>197</v>
      </c>
      <c r="C108" t="s">
        <v>12</v>
      </c>
      <c r="D108" s="8">
        <v>6</v>
      </c>
      <c r="E108" s="3">
        <v>5</v>
      </c>
      <c r="F108" s="55">
        <f>'Wet analysis 2016'!T93</f>
        <v>4.2449438167181004</v>
      </c>
      <c r="G108" s="55">
        <f>'Wet analysis 2016'!AD93</f>
        <v>6.4480147742151699</v>
      </c>
      <c r="H108" s="55">
        <f>'Wet analysis 2016'!AN93</f>
        <v>201.71202936005486</v>
      </c>
      <c r="I108" s="55">
        <f>'Wet analysis 2016'!AW93</f>
        <v>35.375414758945723</v>
      </c>
      <c r="J108" s="55">
        <f>'Wet analysis 2016'!BF93</f>
        <v>24.68245616801245</v>
      </c>
      <c r="K108" s="230"/>
      <c r="L108" s="260">
        <f>'Soil samples'!X93</f>
        <v>4.78</v>
      </c>
      <c r="M108" s="230"/>
      <c r="N108" s="230"/>
      <c r="O108" s="59"/>
      <c r="P108" s="230"/>
      <c r="Q108" s="59">
        <f t="shared" si="6"/>
        <v>0.21224719083590504</v>
      </c>
      <c r="R108" s="59">
        <f t="shared" si="7"/>
        <v>0.32240073871075853</v>
      </c>
      <c r="S108" s="59">
        <f t="shared" si="8"/>
        <v>10.085601468002743</v>
      </c>
      <c r="T108" s="59">
        <f t="shared" si="9"/>
        <v>1.7687707379472863</v>
      </c>
      <c r="U108" s="59">
        <f t="shared" si="10"/>
        <v>1.2341228084006226</v>
      </c>
      <c r="V108" s="230"/>
      <c r="W108" s="230"/>
      <c r="X108" s="230"/>
      <c r="Y108" s="230"/>
      <c r="Z108" s="230"/>
      <c r="AA108" s="230"/>
      <c r="AB108" s="230"/>
      <c r="AC108" s="230"/>
    </row>
    <row r="109" spans="1:29" s="52" customFormat="1">
      <c r="A109" s="6" t="s">
        <v>98</v>
      </c>
      <c r="B109" s="6" t="s">
        <v>197</v>
      </c>
      <c r="C109" t="s">
        <v>12</v>
      </c>
      <c r="D109" s="8">
        <v>6</v>
      </c>
      <c r="E109" s="3">
        <v>10</v>
      </c>
      <c r="F109" s="55">
        <f>'Wet analysis 2016'!T94</f>
        <v>3.3780081766469698</v>
      </c>
      <c r="G109" s="55">
        <f>'Wet analysis 2016'!AD94</f>
        <v>3.9632920777148457</v>
      </c>
      <c r="H109" s="55">
        <f>'Wet analysis 2016'!AN94</f>
        <v>571.01608527960434</v>
      </c>
      <c r="I109" s="55">
        <f>'Wet analysis 2016'!AW94</f>
        <v>29.854712594777435</v>
      </c>
      <c r="J109" s="55">
        <f>'Wet analysis 2016'!BF94</f>
        <v>22.513412340415616</v>
      </c>
      <c r="K109" s="230"/>
      <c r="L109" s="260">
        <f>'Soil samples'!X94</f>
        <v>5.2089999999999996</v>
      </c>
      <c r="M109" s="230"/>
      <c r="N109" s="230"/>
      <c r="O109" s="59"/>
      <c r="P109" s="230"/>
      <c r="Q109" s="59">
        <f t="shared" si="6"/>
        <v>0.1689004088323485</v>
      </c>
      <c r="R109" s="59">
        <f t="shared" si="7"/>
        <v>0.19816460388574231</v>
      </c>
      <c r="S109" s="59">
        <f t="shared" si="8"/>
        <v>28.550804263980218</v>
      </c>
      <c r="T109" s="59">
        <f t="shared" si="9"/>
        <v>1.4927356297388719</v>
      </c>
      <c r="U109" s="59">
        <f t="shared" si="10"/>
        <v>1.1256706170207809</v>
      </c>
      <c r="V109" s="230"/>
      <c r="W109" s="230"/>
      <c r="X109" s="230"/>
      <c r="Y109" s="230"/>
      <c r="Z109" s="230"/>
      <c r="AA109" s="230"/>
      <c r="AB109" s="230"/>
      <c r="AC109" s="230"/>
    </row>
    <row r="110" spans="1:29" s="52" customFormat="1">
      <c r="A110" s="6" t="s">
        <v>99</v>
      </c>
      <c r="B110" s="6" t="s">
        <v>197</v>
      </c>
      <c r="C110" t="s">
        <v>12</v>
      </c>
      <c r="D110" s="8">
        <v>6</v>
      </c>
      <c r="E110" s="3">
        <v>20</v>
      </c>
      <c r="F110" s="55">
        <f>'Wet analysis 2016'!T95</f>
        <v>1.0495482682253614</v>
      </c>
      <c r="G110" s="55">
        <f>'Wet analysis 2016'!AD95</f>
        <v>0.96467615609703838</v>
      </c>
      <c r="H110" s="55">
        <f>'Wet analysis 2016'!AN95</f>
        <v>206.46559928078912</v>
      </c>
      <c r="I110" s="55">
        <f>'Wet analysis 2016'!AW95</f>
        <v>21.839822389842961</v>
      </c>
      <c r="J110" s="55">
        <f>'Wet analysis 2016'!BF95</f>
        <v>19.825597965520561</v>
      </c>
      <c r="K110" s="230"/>
      <c r="L110" s="260">
        <f>'Soil samples'!X95</f>
        <v>5.4189999999999996</v>
      </c>
      <c r="M110" s="230"/>
      <c r="N110" s="230"/>
      <c r="O110" s="59"/>
      <c r="P110" s="230"/>
      <c r="Q110" s="59">
        <f t="shared" si="6"/>
        <v>5.2477413411268076E-2</v>
      </c>
      <c r="R110" s="59">
        <f t="shared" si="7"/>
        <v>4.8233807804851925E-2</v>
      </c>
      <c r="S110" s="59">
        <f t="shared" si="8"/>
        <v>10.323279964039457</v>
      </c>
      <c r="T110" s="59">
        <f t="shared" si="9"/>
        <v>1.0919911194921481</v>
      </c>
      <c r="U110" s="59">
        <f t="shared" si="10"/>
        <v>0.99127989827602814</v>
      </c>
      <c r="V110" s="230"/>
      <c r="W110" s="230"/>
      <c r="X110" s="230"/>
      <c r="Y110" s="230"/>
      <c r="Z110" s="230"/>
      <c r="AA110" s="230"/>
      <c r="AB110" s="230"/>
      <c r="AC110" s="230"/>
    </row>
    <row r="111" spans="1:29" s="52" customFormat="1">
      <c r="A111" s="6" t="s">
        <v>100</v>
      </c>
      <c r="B111" s="6" t="s">
        <v>197</v>
      </c>
      <c r="C111" t="s">
        <v>12</v>
      </c>
      <c r="D111" s="8">
        <v>6</v>
      </c>
      <c r="E111" s="3">
        <v>30</v>
      </c>
      <c r="F111" s="55">
        <f>'Wet analysis 2016'!T96</f>
        <v>1.2689616197686622</v>
      </c>
      <c r="G111" s="55">
        <f>'Wet analysis 2016'!AD96</f>
        <v>0</v>
      </c>
      <c r="H111" s="55">
        <f>'Wet analysis 2016'!AN96</f>
        <v>408.51738878224882</v>
      </c>
      <c r="I111" s="55">
        <f>'Wet analysis 2016'!AW96</f>
        <v>25.525429916787459</v>
      </c>
      <c r="J111" s="55">
        <f>'Wet analysis 2016'!BF96</f>
        <v>24.256468297018799</v>
      </c>
      <c r="K111" s="230"/>
      <c r="L111" s="260">
        <f>'Soil samples'!X96</f>
        <v>6.05</v>
      </c>
      <c r="M111" s="230"/>
      <c r="N111" s="230"/>
      <c r="O111" s="59"/>
      <c r="P111" s="230"/>
      <c r="Q111" s="59">
        <f t="shared" si="6"/>
        <v>6.3448080988433117E-2</v>
      </c>
      <c r="R111" s="59">
        <f t="shared" si="7"/>
        <v>0</v>
      </c>
      <c r="S111" s="59">
        <f t="shared" si="8"/>
        <v>20.425869439112443</v>
      </c>
      <c r="T111" s="59">
        <f t="shared" si="9"/>
        <v>1.276271495839373</v>
      </c>
      <c r="U111" s="59">
        <f t="shared" si="10"/>
        <v>1.21282341485094</v>
      </c>
      <c r="V111" s="230"/>
      <c r="W111" s="230"/>
      <c r="X111" s="230"/>
      <c r="Y111" s="230"/>
      <c r="Z111" s="230"/>
      <c r="AA111" s="230"/>
      <c r="AB111" s="230"/>
      <c r="AC111" s="230"/>
    </row>
    <row r="112" spans="1:29" s="52" customFormat="1">
      <c r="A112" s="6" t="s">
        <v>101</v>
      </c>
      <c r="B112" s="6" t="s">
        <v>197</v>
      </c>
      <c r="C112" t="s">
        <v>13</v>
      </c>
      <c r="D112" s="8">
        <v>1</v>
      </c>
      <c r="E112" s="3">
        <v>5</v>
      </c>
      <c r="F112" s="55">
        <f>'Wet analysis 2016'!T97</f>
        <v>6.7423653100178893E-2</v>
      </c>
      <c r="G112" s="55">
        <f>'Wet analysis 2016'!AD97</f>
        <v>0.65825130218392292</v>
      </c>
      <c r="H112" s="55">
        <f>'Wet analysis 2016'!AN97</f>
        <v>67.025668953897494</v>
      </c>
      <c r="I112" s="55">
        <f>'Wet analysis 2016'!AW97</f>
        <v>7.4092752597167832</v>
      </c>
      <c r="J112" s="55">
        <f>'Wet analysis 2016'!BF97</f>
        <v>6.6836003044326819</v>
      </c>
      <c r="K112" s="230"/>
      <c r="L112" s="261">
        <f>'Soil samples 2017'!X34</f>
        <v>5.4720000000000004</v>
      </c>
      <c r="M112" s="230"/>
      <c r="N112" s="230"/>
      <c r="O112" s="59"/>
      <c r="P112" s="230"/>
      <c r="Q112" s="59">
        <f t="shared" si="6"/>
        <v>3.371182655008945E-3</v>
      </c>
      <c r="R112" s="59">
        <f t="shared" si="7"/>
        <v>3.291256510919615E-2</v>
      </c>
      <c r="S112" s="59">
        <f t="shared" si="8"/>
        <v>3.351283447694875</v>
      </c>
      <c r="T112" s="59">
        <f t="shared" si="9"/>
        <v>0.37046376298583916</v>
      </c>
      <c r="U112" s="59">
        <f t="shared" si="10"/>
        <v>0.3341800152216341</v>
      </c>
      <c r="V112" s="230"/>
      <c r="W112" s="230"/>
      <c r="X112" s="230"/>
      <c r="Y112" s="230"/>
      <c r="Z112" s="230"/>
      <c r="AA112" s="230"/>
      <c r="AB112" s="230"/>
      <c r="AC112" s="230"/>
    </row>
    <row r="113" spans="1:29" s="52" customFormat="1">
      <c r="A113" s="6" t="s">
        <v>102</v>
      </c>
      <c r="B113" s="6" t="s">
        <v>197</v>
      </c>
      <c r="C113" t="s">
        <v>13</v>
      </c>
      <c r="D113" s="8">
        <v>1</v>
      </c>
      <c r="E113" s="3">
        <v>10</v>
      </c>
      <c r="F113" s="55">
        <f>'Wet analysis 2016'!T98</f>
        <v>9.0843118149925045E-2</v>
      </c>
      <c r="G113" s="55">
        <f>'Wet analysis 2016'!AD98</f>
        <v>0.25183576093181997</v>
      </c>
      <c r="H113" s="55">
        <f>'Wet analysis 2016'!AN98</f>
        <v>136.75682848081019</v>
      </c>
      <c r="I113" s="55">
        <f>'Wet analysis 2016'!AW98</f>
        <v>13.137651736482299</v>
      </c>
      <c r="J113" s="55">
        <f>'Wet analysis 2016'!BF98</f>
        <v>12.79497285740055</v>
      </c>
      <c r="K113" s="230"/>
      <c r="L113" s="260">
        <f>'Soil samples'!X98</f>
        <v>4.899</v>
      </c>
      <c r="M113" s="230"/>
      <c r="N113" s="230"/>
      <c r="O113" s="59"/>
      <c r="P113" s="230"/>
      <c r="Q113" s="59">
        <f t="shared" si="6"/>
        <v>4.5421559074962526E-3</v>
      </c>
      <c r="R113" s="59">
        <f t="shared" si="7"/>
        <v>1.2591788046591E-2</v>
      </c>
      <c r="S113" s="59">
        <f t="shared" si="8"/>
        <v>6.8378414240405094</v>
      </c>
      <c r="T113" s="59">
        <f t="shared" si="9"/>
        <v>0.65688258682411504</v>
      </c>
      <c r="U113" s="59">
        <f t="shared" si="10"/>
        <v>0.63974864287002753</v>
      </c>
      <c r="V113" s="230"/>
      <c r="W113" s="230"/>
      <c r="X113" s="230"/>
      <c r="Y113" s="230"/>
      <c r="Z113" s="230"/>
      <c r="AA113" s="230"/>
      <c r="AB113" s="230"/>
      <c r="AC113" s="230"/>
    </row>
    <row r="114" spans="1:29" s="52" customFormat="1">
      <c r="A114" s="6" t="s">
        <v>103</v>
      </c>
      <c r="B114" s="6" t="s">
        <v>197</v>
      </c>
      <c r="C114" t="s">
        <v>13</v>
      </c>
      <c r="D114" s="8">
        <v>1</v>
      </c>
      <c r="E114" s="3">
        <v>20</v>
      </c>
      <c r="F114" s="55">
        <f>'Wet analysis 2016'!T99</f>
        <v>7.4368597437247802E-2</v>
      </c>
      <c r="G114" s="55">
        <f>'Wet analysis 2016'!AD99</f>
        <v>0.12178780912765864</v>
      </c>
      <c r="H114" s="55">
        <f>'Wet analysis 2016'!AN99</f>
        <v>226.35431483222504</v>
      </c>
      <c r="I114" s="55">
        <f>'Wet analysis 2016'!AW99</f>
        <v>3.8990766689411402</v>
      </c>
      <c r="J114" s="55">
        <f>'Wet analysis 2016'!BF99</f>
        <v>3.702920262376233</v>
      </c>
      <c r="K114" s="230"/>
      <c r="L114" s="260">
        <f>'Soil samples'!X99</f>
        <v>4.9020000000000001</v>
      </c>
      <c r="M114" s="230"/>
      <c r="N114" s="230"/>
      <c r="O114" s="59"/>
      <c r="P114" s="230"/>
      <c r="Q114" s="59">
        <f t="shared" si="6"/>
        <v>3.7184298718623901E-3</v>
      </c>
      <c r="R114" s="59">
        <f t="shared" si="7"/>
        <v>6.0893904563829324E-3</v>
      </c>
      <c r="S114" s="59">
        <f t="shared" si="8"/>
        <v>11.317715741611252</v>
      </c>
      <c r="T114" s="59">
        <f t="shared" si="9"/>
        <v>0.19495383344705702</v>
      </c>
      <c r="U114" s="59">
        <f t="shared" si="10"/>
        <v>0.18514601311881165</v>
      </c>
      <c r="V114" s="230"/>
      <c r="W114" s="230"/>
      <c r="X114" s="230"/>
      <c r="Y114" s="230"/>
      <c r="Z114" s="230"/>
      <c r="AA114" s="230"/>
      <c r="AB114" s="230"/>
      <c r="AC114" s="230"/>
    </row>
    <row r="115" spans="1:29" s="52" customFormat="1">
      <c r="A115" s="6" t="s">
        <v>104</v>
      </c>
      <c r="B115" s="6" t="s">
        <v>197</v>
      </c>
      <c r="C115" t="s">
        <v>13</v>
      </c>
      <c r="D115" s="8">
        <v>2</v>
      </c>
      <c r="E115" s="3">
        <v>5</v>
      </c>
      <c r="F115" s="55">
        <f>'Wet analysis 2016'!T100</f>
        <v>9.4206433058784289E-2</v>
      </c>
      <c r="G115" s="55">
        <f>'Wet analysis 2016'!AD100</f>
        <v>0.52193552309794122</v>
      </c>
      <c r="H115" s="55">
        <f>'Wet analysis 2016'!AN100</f>
        <v>119.40740116367982</v>
      </c>
      <c r="I115" s="55">
        <f>'Wet analysis 2016'!AW100</f>
        <v>9.2422341126348613</v>
      </c>
      <c r="J115" s="55">
        <f>'Wet analysis 2016'!BF100</f>
        <v>8.6260921564781352</v>
      </c>
      <c r="K115" s="230"/>
      <c r="L115" s="262">
        <f>AVERAGE(L112,L119,L123,L127,L131)</f>
        <v>5.3482000000000003</v>
      </c>
      <c r="M115" s="230"/>
      <c r="N115" s="230"/>
      <c r="O115" s="59"/>
      <c r="P115" s="230"/>
      <c r="Q115" s="59">
        <f t="shared" si="6"/>
        <v>4.7103216529392148E-3</v>
      </c>
      <c r="R115" s="59">
        <f t="shared" si="7"/>
        <v>2.6096776154897063E-2</v>
      </c>
      <c r="S115" s="59">
        <f t="shared" si="8"/>
        <v>5.9703700581839918</v>
      </c>
      <c r="T115" s="59">
        <f t="shared" si="9"/>
        <v>0.46211170563174309</v>
      </c>
      <c r="U115" s="59">
        <f t="shared" si="10"/>
        <v>0.43130460782390678</v>
      </c>
      <c r="V115" s="230"/>
      <c r="W115" s="230"/>
      <c r="X115" s="230"/>
      <c r="Y115" s="230"/>
      <c r="Z115" s="230"/>
      <c r="AA115" s="230"/>
      <c r="AB115" s="230"/>
      <c r="AC115" s="230"/>
    </row>
    <row r="116" spans="1:29" s="52" customFormat="1">
      <c r="A116" s="6" t="s">
        <v>105</v>
      </c>
      <c r="B116" s="6" t="s">
        <v>197</v>
      </c>
      <c r="C116" t="s">
        <v>13</v>
      </c>
      <c r="D116" s="8">
        <v>2</v>
      </c>
      <c r="E116" s="3">
        <v>10</v>
      </c>
      <c r="F116" s="55">
        <f>'Wet analysis 2016'!T101</f>
        <v>0.13431833065907722</v>
      </c>
      <c r="G116" s="55">
        <f>'Wet analysis 2016'!AD101</f>
        <v>0.60476140698409053</v>
      </c>
      <c r="H116" s="55">
        <f>'Wet analysis 2016'!AN101</f>
        <v>170.10677751075673</v>
      </c>
      <c r="I116" s="55">
        <f>'Wet analysis 2016'!AW101</f>
        <v>11.258237223024159</v>
      </c>
      <c r="J116" s="55">
        <f>'Wet analysis 2016'!BF101</f>
        <v>10.519157485380992</v>
      </c>
      <c r="K116" s="230"/>
      <c r="L116" s="260">
        <f>'Soil samples'!X101</f>
        <v>4.6479999999999997</v>
      </c>
      <c r="M116" s="230"/>
      <c r="N116" s="230"/>
      <c r="O116" s="59"/>
      <c r="P116" s="230"/>
      <c r="Q116" s="59">
        <f t="shared" si="6"/>
        <v>6.7159165329538613E-3</v>
      </c>
      <c r="R116" s="59">
        <f t="shared" si="7"/>
        <v>3.0238070349204529E-2</v>
      </c>
      <c r="S116" s="59">
        <f t="shared" si="8"/>
        <v>8.5053388755378361</v>
      </c>
      <c r="T116" s="59">
        <f t="shared" si="9"/>
        <v>0.56291186115120795</v>
      </c>
      <c r="U116" s="59">
        <f t="shared" si="10"/>
        <v>0.52595787426904961</v>
      </c>
      <c r="V116" s="230"/>
      <c r="W116" s="230"/>
      <c r="X116" s="230"/>
      <c r="Y116" s="230"/>
      <c r="Z116" s="230"/>
      <c r="AA116" s="230"/>
      <c r="AB116" s="230"/>
      <c r="AC116" s="230"/>
    </row>
    <row r="117" spans="1:29" s="52" customFormat="1">
      <c r="A117" s="6" t="s">
        <v>106</v>
      </c>
      <c r="B117" s="6" t="s">
        <v>197</v>
      </c>
      <c r="C117" t="s">
        <v>13</v>
      </c>
      <c r="D117" s="8">
        <v>2</v>
      </c>
      <c r="E117" s="3">
        <v>20</v>
      </c>
      <c r="F117" s="55">
        <f>'Wet analysis 2016'!T102</f>
        <v>0.12694768301887269</v>
      </c>
      <c r="G117" s="55">
        <f>'Wet analysis 2016'!AD102</f>
        <v>0.40206073996867575</v>
      </c>
      <c r="H117" s="55">
        <f>'Wet analysis 2016'!AN102</f>
        <v>200.3066725073169</v>
      </c>
      <c r="I117" s="55">
        <f>'Wet analysis 2016'!AW102</f>
        <v>6.1778017928108397</v>
      </c>
      <c r="J117" s="55">
        <f>'Wet analysis 2016'!BF102</f>
        <v>5.6487933698232915</v>
      </c>
      <c r="K117" s="230"/>
      <c r="L117" s="260">
        <f>'Soil samples'!X102</f>
        <v>4.8760000000000003</v>
      </c>
      <c r="M117" s="230"/>
      <c r="N117" s="230"/>
      <c r="O117" s="59"/>
      <c r="P117" s="230"/>
      <c r="Q117" s="59">
        <f t="shared" si="6"/>
        <v>6.3473841509436345E-3</v>
      </c>
      <c r="R117" s="59">
        <f t="shared" si="7"/>
        <v>2.0103036998433788E-2</v>
      </c>
      <c r="S117" s="59">
        <f t="shared" si="8"/>
        <v>10.015333625365846</v>
      </c>
      <c r="T117" s="59">
        <f t="shared" si="9"/>
        <v>0.30889008964054199</v>
      </c>
      <c r="U117" s="59">
        <f t="shared" si="10"/>
        <v>0.28243966849116459</v>
      </c>
      <c r="V117" s="230"/>
      <c r="W117" s="230"/>
      <c r="X117" s="230"/>
      <c r="Y117" s="230"/>
      <c r="Z117" s="230"/>
      <c r="AA117" s="230"/>
      <c r="AB117" s="230"/>
      <c r="AC117" s="230"/>
    </row>
    <row r="118" spans="1:29" s="52" customFormat="1">
      <c r="A118" s="6" t="s">
        <v>107</v>
      </c>
      <c r="B118" s="6" t="s">
        <v>197</v>
      </c>
      <c r="C118" t="s">
        <v>13</v>
      </c>
      <c r="D118" s="8">
        <v>2</v>
      </c>
      <c r="E118" s="3">
        <v>30</v>
      </c>
      <c r="F118" s="55">
        <f>'Wet analysis 2016'!T103</f>
        <v>8.3319850741811696E-2</v>
      </c>
      <c r="G118" s="55">
        <f>'Wet analysis 2016'!AD103</f>
        <v>0.13601393786106175</v>
      </c>
      <c r="H118" s="55">
        <f>'Wet analysis 2016'!AN103</f>
        <v>192.13769689291323</v>
      </c>
      <c r="I118" s="55">
        <f>'Wet analysis 2016'!AW103</f>
        <v>1.6125812608853056</v>
      </c>
      <c r="J118" s="55">
        <f>'Wet analysis 2016'!BF103</f>
        <v>1.3932474722824317</v>
      </c>
      <c r="K118" s="230"/>
      <c r="L118" s="260">
        <f>'Soil samples'!X103</f>
        <v>5.1379999999999999</v>
      </c>
      <c r="M118" s="230"/>
      <c r="N118" s="230"/>
      <c r="O118" s="59"/>
      <c r="P118" s="230"/>
      <c r="Q118" s="59">
        <f t="shared" si="6"/>
        <v>4.165992537090585E-3</v>
      </c>
      <c r="R118" s="59">
        <f t="shared" si="7"/>
        <v>6.8006968930530882E-3</v>
      </c>
      <c r="S118" s="59">
        <f t="shared" si="8"/>
        <v>9.6068848446456627</v>
      </c>
      <c r="T118" s="59">
        <f t="shared" si="9"/>
        <v>8.0629063044265287E-2</v>
      </c>
      <c r="U118" s="59">
        <f t="shared" si="10"/>
        <v>6.9662373614121587E-2</v>
      </c>
      <c r="V118" s="230"/>
      <c r="W118" s="230"/>
      <c r="X118" s="230"/>
      <c r="Y118" s="230"/>
      <c r="Z118" s="230"/>
      <c r="AA118" s="230"/>
      <c r="AB118" s="230"/>
      <c r="AC118" s="230"/>
    </row>
    <row r="119" spans="1:29" s="52" customFormat="1">
      <c r="A119" s="6" t="s">
        <v>108</v>
      </c>
      <c r="B119" s="6" t="s">
        <v>197</v>
      </c>
      <c r="C119" t="s">
        <v>13</v>
      </c>
      <c r="D119" s="8">
        <v>3</v>
      </c>
      <c r="E119" s="3">
        <v>5</v>
      </c>
      <c r="F119" s="55">
        <f>'Wet analysis 2016'!T104</f>
        <v>0.31629993647048577</v>
      </c>
      <c r="G119" s="55">
        <f>'Wet analysis 2016'!AD104</f>
        <v>0.51932479005917576</v>
      </c>
      <c r="H119" s="55">
        <f>'Wet analysis 2016'!AN104</f>
        <v>37.8251052323442</v>
      </c>
      <c r="I119" s="55">
        <f>'Wet analysis 2016'!AW104</f>
        <v>21.975086168194302</v>
      </c>
      <c r="J119" s="55">
        <f>'Wet analysis 2016'!BF104</f>
        <v>21.139461441664643</v>
      </c>
      <c r="K119" s="230"/>
      <c r="L119" s="260">
        <f>'Soil samples'!X104</f>
        <v>5.27</v>
      </c>
      <c r="M119" s="230"/>
      <c r="N119" s="230"/>
      <c r="O119" s="59"/>
      <c r="P119" s="230"/>
      <c r="Q119" s="59">
        <f t="shared" si="6"/>
        <v>1.5814996823524288E-2</v>
      </c>
      <c r="R119" s="59">
        <f t="shared" si="7"/>
        <v>2.5966239502958788E-2</v>
      </c>
      <c r="S119" s="59">
        <f t="shared" si="8"/>
        <v>1.89125526161721</v>
      </c>
      <c r="T119" s="59">
        <f t="shared" si="9"/>
        <v>1.0987543084097151</v>
      </c>
      <c r="U119" s="59">
        <f t="shared" si="10"/>
        <v>1.0569730720832322</v>
      </c>
      <c r="V119" s="230"/>
      <c r="W119" s="230"/>
      <c r="X119" s="230"/>
      <c r="Y119" s="230"/>
      <c r="Z119" s="230"/>
      <c r="AA119" s="230"/>
      <c r="AB119" s="230"/>
      <c r="AC119" s="230"/>
    </row>
    <row r="120" spans="1:29" s="52" customFormat="1">
      <c r="A120" s="6" t="s">
        <v>109</v>
      </c>
      <c r="B120" s="6" t="s">
        <v>197</v>
      </c>
      <c r="C120" t="s">
        <v>13</v>
      </c>
      <c r="D120" s="8">
        <v>3</v>
      </c>
      <c r="E120" s="3">
        <v>10</v>
      </c>
      <c r="F120" s="55">
        <f>'Wet analysis 2016'!T105</f>
        <v>0.21544537318889806</v>
      </c>
      <c r="G120" s="55">
        <f>'Wet analysis 2016'!AD105</f>
        <v>0.230809400571931</v>
      </c>
      <c r="H120" s="55">
        <f>'Wet analysis 2016'!AN105</f>
        <v>94.792056567050395</v>
      </c>
      <c r="I120" s="55">
        <f>'Wet analysis 2016'!AW105</f>
        <v>17.048841374135787</v>
      </c>
      <c r="J120" s="55">
        <f>'Wet analysis 2016'!BF105</f>
        <v>16.602586600374956</v>
      </c>
      <c r="K120" s="230"/>
      <c r="L120" s="262">
        <f>AVERAGE(L113,L116,L124,L128,L132)</f>
        <v>4.8284000000000002</v>
      </c>
      <c r="M120" s="230"/>
      <c r="N120" s="230"/>
      <c r="O120" s="59"/>
      <c r="P120" s="230"/>
      <c r="Q120" s="59">
        <f t="shared" si="6"/>
        <v>1.0772268659444903E-2</v>
      </c>
      <c r="R120" s="59">
        <f t="shared" si="7"/>
        <v>1.1540470028596551E-2</v>
      </c>
      <c r="S120" s="59">
        <f t="shared" si="8"/>
        <v>4.7396028283525196</v>
      </c>
      <c r="T120" s="59">
        <f t="shared" si="9"/>
        <v>0.8524420687067894</v>
      </c>
      <c r="U120" s="59">
        <f t="shared" si="10"/>
        <v>0.83012933001874778</v>
      </c>
      <c r="V120" s="230"/>
      <c r="W120" s="230"/>
      <c r="X120" s="230"/>
      <c r="Y120" s="230"/>
      <c r="Z120" s="230"/>
      <c r="AA120" s="230"/>
      <c r="AB120" s="230"/>
      <c r="AC120" s="230"/>
    </row>
    <row r="121" spans="1:29" s="52" customFormat="1">
      <c r="A121" s="6" t="s">
        <v>110</v>
      </c>
      <c r="B121" s="6" t="s">
        <v>197</v>
      </c>
      <c r="C121" t="s">
        <v>13</v>
      </c>
      <c r="D121" s="8">
        <v>3</v>
      </c>
      <c r="E121" s="3">
        <v>20</v>
      </c>
      <c r="F121" s="55">
        <f>'Wet analysis 2016'!T106</f>
        <v>0.39863825419215765</v>
      </c>
      <c r="G121" s="55">
        <f>'Wet analysis 2016'!AD106</f>
        <v>0.25566722831041133</v>
      </c>
      <c r="H121" s="55">
        <f>'Wet analysis 2016'!AN106</f>
        <v>125.86780352629893</v>
      </c>
      <c r="I121" s="55">
        <f>'Wet analysis 2016'!AW106</f>
        <v>16.024871913076083</v>
      </c>
      <c r="J121" s="55">
        <f>'Wet analysis 2016'!BF106</f>
        <v>15.370566430573517</v>
      </c>
      <c r="K121" s="230"/>
      <c r="L121" s="260">
        <f>'Soil samples'!X106</f>
        <v>5.3230000000000004</v>
      </c>
      <c r="M121" s="230"/>
      <c r="N121" s="230"/>
      <c r="O121" s="59"/>
      <c r="P121" s="230"/>
      <c r="Q121" s="59">
        <f t="shared" si="6"/>
        <v>1.9931912709607882E-2</v>
      </c>
      <c r="R121" s="59">
        <f t="shared" si="7"/>
        <v>1.2783361415520568E-2</v>
      </c>
      <c r="S121" s="59">
        <f t="shared" si="8"/>
        <v>6.2933901763149471</v>
      </c>
      <c r="T121" s="59">
        <f t="shared" si="9"/>
        <v>0.80124359565380421</v>
      </c>
      <c r="U121" s="59">
        <f t="shared" si="10"/>
        <v>0.7685283215286759</v>
      </c>
      <c r="V121" s="230"/>
      <c r="W121" s="230"/>
      <c r="X121" s="230"/>
      <c r="Y121" s="230"/>
      <c r="Z121" s="230"/>
      <c r="AA121" s="230"/>
      <c r="AB121" s="230"/>
      <c r="AC121" s="230"/>
    </row>
    <row r="122" spans="1:29" s="52" customFormat="1">
      <c r="A122" s="6" t="s">
        <v>111</v>
      </c>
      <c r="B122" s="6" t="s">
        <v>197</v>
      </c>
      <c r="C122" t="s">
        <v>13</v>
      </c>
      <c r="D122" s="8">
        <v>3</v>
      </c>
      <c r="E122" s="3">
        <v>30</v>
      </c>
      <c r="F122" s="55">
        <f>'Wet analysis 2016'!T107</f>
        <v>0.2510200564531625</v>
      </c>
      <c r="G122" s="55">
        <f>'Wet analysis 2016'!AD107</f>
        <v>0.28345947197654348</v>
      </c>
      <c r="H122" s="55">
        <f>'Wet analysis 2016'!AN107</f>
        <v>354.26731221074749</v>
      </c>
      <c r="I122" s="55">
        <f>'Wet analysis 2016'!AW107</f>
        <v>6.1257113965669969</v>
      </c>
      <c r="J122" s="55">
        <f>'Wet analysis 2016'!BF107</f>
        <v>5.5912318681372914</v>
      </c>
      <c r="K122" s="230"/>
      <c r="L122" s="260">
        <f>'Soil samples'!X107</f>
        <v>4.96</v>
      </c>
      <c r="M122" s="230"/>
      <c r="N122" s="230"/>
      <c r="O122" s="59"/>
      <c r="P122" s="230"/>
      <c r="Q122" s="59">
        <f t="shared" si="6"/>
        <v>1.2551002822658126E-2</v>
      </c>
      <c r="R122" s="59">
        <f t="shared" si="7"/>
        <v>1.4172973598827174E-2</v>
      </c>
      <c r="S122" s="59">
        <f t="shared" si="8"/>
        <v>17.713365610537377</v>
      </c>
      <c r="T122" s="59">
        <f t="shared" si="9"/>
        <v>0.30628556982834987</v>
      </c>
      <c r="U122" s="59">
        <f t="shared" si="10"/>
        <v>0.27956159340686459</v>
      </c>
      <c r="V122" s="230"/>
      <c r="W122" s="230"/>
      <c r="X122" s="230"/>
      <c r="Y122" s="230"/>
      <c r="Z122" s="230"/>
      <c r="AA122" s="230"/>
      <c r="AB122" s="230"/>
      <c r="AC122" s="230"/>
    </row>
    <row r="123" spans="1:29" s="228" customFormat="1">
      <c r="A123" s="223" t="s">
        <v>112</v>
      </c>
      <c r="B123" s="223" t="s">
        <v>197</v>
      </c>
      <c r="C123" s="224" t="s">
        <v>13</v>
      </c>
      <c r="D123" s="223">
        <v>4</v>
      </c>
      <c r="E123" s="225">
        <v>5</v>
      </c>
      <c r="F123" s="226">
        <f>'Wet analysis 2017'!T35</f>
        <v>8.5439811937981659E-3</v>
      </c>
      <c r="G123" s="226">
        <f>'Wet analysis 2017'!AD35</f>
        <v>7.6334439012833944E-3</v>
      </c>
      <c r="H123" s="226">
        <f>'Wet analysis 2017'!AN35</f>
        <v>4.7161921590026212</v>
      </c>
      <c r="I123" s="226">
        <f>'Wet analysis 2017'!AW35</f>
        <v>0.93391026646207032</v>
      </c>
      <c r="J123" s="226">
        <f>'Wet analysis 2017'!BF35</f>
        <v>0.91773284136698896</v>
      </c>
      <c r="K123" s="230"/>
      <c r="L123" s="261">
        <f>'Soil samples 2017'!X35</f>
        <v>5.43</v>
      </c>
      <c r="M123" s="230"/>
      <c r="N123" s="230"/>
      <c r="O123" s="59"/>
      <c r="P123" s="230"/>
      <c r="Q123" s="59">
        <f t="shared" si="6"/>
        <v>4.271990596899083E-4</v>
      </c>
      <c r="R123" s="59">
        <f t="shared" si="7"/>
        <v>3.8167219506416973E-4</v>
      </c>
      <c r="S123" s="59">
        <f t="shared" si="8"/>
        <v>0.23580960795013106</v>
      </c>
      <c r="T123" s="59">
        <f t="shared" si="9"/>
        <v>4.6695513323103517E-2</v>
      </c>
      <c r="U123" s="59">
        <f t="shared" si="10"/>
        <v>4.5886642068349449E-2</v>
      </c>
      <c r="V123" s="230"/>
      <c r="W123" s="230"/>
      <c r="X123" s="230"/>
      <c r="Y123" s="230"/>
      <c r="Z123" s="230"/>
      <c r="AA123" s="230"/>
      <c r="AB123" s="230"/>
      <c r="AC123" s="230"/>
    </row>
    <row r="124" spans="1:29" s="52" customFormat="1">
      <c r="A124" s="6" t="s">
        <v>113</v>
      </c>
      <c r="B124" s="6" t="s">
        <v>197</v>
      </c>
      <c r="C124" t="s">
        <v>13</v>
      </c>
      <c r="D124" s="8">
        <v>4</v>
      </c>
      <c r="E124" s="3">
        <v>10</v>
      </c>
      <c r="F124" s="55">
        <f>'Wet analysis 2016'!T109</f>
        <v>8.78702343382705E-2</v>
      </c>
      <c r="G124" s="55">
        <f>'Wet analysis 2016'!AD109</f>
        <v>0</v>
      </c>
      <c r="H124" s="55">
        <f>'Wet analysis 2016'!AN109</f>
        <v>181.76702007339949</v>
      </c>
      <c r="I124" s="55">
        <f>'Wet analysis 2016'!AW109</f>
        <v>6.1977816491247131</v>
      </c>
      <c r="J124" s="55">
        <f>'Wet analysis 2016'!BF109</f>
        <v>6.1099114147864428</v>
      </c>
      <c r="K124" s="230"/>
      <c r="L124" s="260">
        <f>'Soil samples'!X109</f>
        <v>4.8150000000000004</v>
      </c>
      <c r="M124" s="230"/>
      <c r="N124" s="230"/>
      <c r="O124" s="59"/>
      <c r="P124" s="230"/>
      <c r="Q124" s="59">
        <f t="shared" si="6"/>
        <v>4.3935117169135252E-3</v>
      </c>
      <c r="R124" s="59">
        <f t="shared" si="7"/>
        <v>0</v>
      </c>
      <c r="S124" s="59">
        <f t="shared" si="8"/>
        <v>9.0883510036699757</v>
      </c>
      <c r="T124" s="59">
        <f t="shared" si="9"/>
        <v>0.3098890824562357</v>
      </c>
      <c r="U124" s="59">
        <f t="shared" si="10"/>
        <v>0.30549557073932215</v>
      </c>
      <c r="V124" s="230"/>
      <c r="W124" s="230"/>
      <c r="X124" s="230"/>
      <c r="Y124" s="230"/>
      <c r="Z124" s="230"/>
      <c r="AA124" s="230"/>
      <c r="AB124" s="230"/>
      <c r="AC124" s="230"/>
    </row>
    <row r="125" spans="1:29" s="52" customFormat="1">
      <c r="A125" s="6" t="s">
        <v>114</v>
      </c>
      <c r="B125" s="6" t="s">
        <v>197</v>
      </c>
      <c r="C125" t="s">
        <v>13</v>
      </c>
      <c r="D125" s="8">
        <v>4</v>
      </c>
      <c r="E125" s="3">
        <v>20</v>
      </c>
      <c r="F125" s="55">
        <f>'Wet analysis 2016'!T110</f>
        <v>6.1648872560527757E-2</v>
      </c>
      <c r="G125" s="55">
        <f>'Wet analysis 2016'!AD110</f>
        <v>0.15373692758511306</v>
      </c>
      <c r="H125" s="55">
        <f>'Wet analysis 2016'!AN110</f>
        <v>67.658056698087307</v>
      </c>
      <c r="I125" s="55">
        <f>'Wet analysis 2016'!AW110</f>
        <v>4.9767610291430735</v>
      </c>
      <c r="J125" s="55">
        <f>'Wet analysis 2016'!BF110</f>
        <v>4.7613752289974327</v>
      </c>
      <c r="K125" s="230"/>
      <c r="L125" s="260">
        <f>'Soil samples'!X110</f>
        <v>5.0730000000000004</v>
      </c>
      <c r="M125" s="230"/>
      <c r="N125" s="230"/>
      <c r="O125" s="59"/>
      <c r="P125" s="230"/>
      <c r="Q125" s="59">
        <f t="shared" si="6"/>
        <v>3.0824436280263881E-3</v>
      </c>
      <c r="R125" s="59">
        <f t="shared" si="7"/>
        <v>7.6868463792556536E-3</v>
      </c>
      <c r="S125" s="59">
        <f t="shared" si="8"/>
        <v>3.3829028349043657</v>
      </c>
      <c r="T125" s="59">
        <f t="shared" si="9"/>
        <v>0.24883805145715368</v>
      </c>
      <c r="U125" s="59">
        <f t="shared" si="10"/>
        <v>0.23806876144987166</v>
      </c>
      <c r="V125" s="230"/>
      <c r="W125" s="230"/>
      <c r="X125" s="230"/>
      <c r="Y125" s="230"/>
      <c r="Z125" s="230"/>
      <c r="AA125" s="230"/>
      <c r="AB125" s="230"/>
      <c r="AC125" s="230"/>
    </row>
    <row r="126" spans="1:29" s="52" customFormat="1">
      <c r="A126" s="6" t="s">
        <v>115</v>
      </c>
      <c r="B126" s="6" t="s">
        <v>197</v>
      </c>
      <c r="C126" t="s">
        <v>13</v>
      </c>
      <c r="D126" s="8">
        <v>4</v>
      </c>
      <c r="E126" s="3">
        <v>30</v>
      </c>
      <c r="F126" s="55">
        <f>'Wet analysis 2016'!T111</f>
        <v>2.3123991069627065E-2</v>
      </c>
      <c r="G126" s="55">
        <f>'Wet analysis 2016'!AD111</f>
        <v>5.0284657409786833E-2</v>
      </c>
      <c r="H126" s="55">
        <f>'Wet analysis 2016'!AN111</f>
        <v>77.540237145386072</v>
      </c>
      <c r="I126" s="55">
        <f>'Wet analysis 2016'!AW111</f>
        <v>0</v>
      </c>
      <c r="J126" s="55">
        <f>'Wet analysis 2016'!BF111</f>
        <v>0</v>
      </c>
      <c r="K126" s="230"/>
      <c r="L126" s="260">
        <f>'Soil samples'!X111</f>
        <v>5.2089999999999996</v>
      </c>
      <c r="M126" s="230"/>
      <c r="N126" s="230"/>
      <c r="O126" s="59"/>
      <c r="P126" s="230"/>
      <c r="Q126" s="59">
        <f t="shared" si="6"/>
        <v>1.1561995534813533E-3</v>
      </c>
      <c r="R126" s="59">
        <f t="shared" si="7"/>
        <v>2.514232870489342E-3</v>
      </c>
      <c r="S126" s="59">
        <f t="shared" si="8"/>
        <v>3.877011857269304</v>
      </c>
      <c r="T126" s="59">
        <f t="shared" si="9"/>
        <v>0</v>
      </c>
      <c r="U126" s="59">
        <f t="shared" si="10"/>
        <v>0</v>
      </c>
      <c r="V126" s="230"/>
      <c r="W126" s="230"/>
      <c r="X126" s="230"/>
      <c r="Y126" s="230"/>
      <c r="Z126" s="230"/>
      <c r="AA126" s="230"/>
      <c r="AB126" s="230"/>
      <c r="AC126" s="230"/>
    </row>
    <row r="127" spans="1:29" s="52" customFormat="1">
      <c r="A127" s="6" t="s">
        <v>116</v>
      </c>
      <c r="B127" s="6" t="s">
        <v>197</v>
      </c>
      <c r="C127" t="s">
        <v>13</v>
      </c>
      <c r="D127" s="8">
        <v>5</v>
      </c>
      <c r="E127" s="3">
        <v>5</v>
      </c>
      <c r="F127" s="55">
        <f>'Wet analysis 2016'!T112</f>
        <v>4.5724869967585298E-2</v>
      </c>
      <c r="G127" s="55">
        <f>'Wet analysis 2016'!AD112</f>
        <v>0.11254342539220601</v>
      </c>
      <c r="H127" s="55">
        <f>'Wet analysis 2016'!AN112</f>
        <v>39.074290538558259</v>
      </c>
      <c r="I127" s="55">
        <f>'Wet analysis 2016'!AW112</f>
        <v>9.9352857536851626</v>
      </c>
      <c r="J127" s="55">
        <f>'Wet analysis 2016'!BF112</f>
        <v>9.7770174583253695</v>
      </c>
      <c r="K127" s="230"/>
      <c r="L127" s="260">
        <f>'Soil samples'!X112</f>
        <v>4.9169999999999998</v>
      </c>
      <c r="M127" s="230"/>
      <c r="N127" s="230"/>
      <c r="O127" s="59"/>
      <c r="P127" s="230"/>
      <c r="Q127" s="59">
        <f t="shared" si="6"/>
        <v>2.2862434983792648E-3</v>
      </c>
      <c r="R127" s="59">
        <f t="shared" si="7"/>
        <v>5.6271712696103005E-3</v>
      </c>
      <c r="S127" s="59">
        <f t="shared" si="8"/>
        <v>1.953714526927913</v>
      </c>
      <c r="T127" s="59">
        <f t="shared" si="9"/>
        <v>0.49676428768425818</v>
      </c>
      <c r="U127" s="59">
        <f t="shared" si="10"/>
        <v>0.4888508729162685</v>
      </c>
      <c r="V127" s="230"/>
      <c r="W127" s="230"/>
      <c r="X127" s="230"/>
      <c r="Y127" s="230"/>
      <c r="Z127" s="230"/>
      <c r="AA127" s="230"/>
      <c r="AB127" s="230"/>
      <c r="AC127" s="230"/>
    </row>
    <row r="128" spans="1:29" s="52" customFormat="1">
      <c r="A128" s="6" t="s">
        <v>117</v>
      </c>
      <c r="B128" s="6" t="s">
        <v>197</v>
      </c>
      <c r="C128" t="s">
        <v>13</v>
      </c>
      <c r="D128" s="8">
        <v>5</v>
      </c>
      <c r="E128" s="3">
        <v>10</v>
      </c>
      <c r="F128" s="55">
        <f>'Wet analysis 2016'!T113</f>
        <v>7.0019816169812038E-2</v>
      </c>
      <c r="G128" s="55">
        <f>'Wet analysis 2016'!AD113</f>
        <v>0.23029687634645341</v>
      </c>
      <c r="H128" s="55">
        <f>'Wet analysis 2016'!AN113</f>
        <v>244.73734208812493</v>
      </c>
      <c r="I128" s="55">
        <f>'Wet analysis 2016'!AW113</f>
        <v>4.3441164978294893</v>
      </c>
      <c r="J128" s="55">
        <f>'Wet analysis 2016'!BF113</f>
        <v>4.0437998053132249</v>
      </c>
      <c r="K128" s="230"/>
      <c r="L128" s="260">
        <f>'Soil samples'!X113</f>
        <v>5.0940000000000003</v>
      </c>
      <c r="M128" s="230"/>
      <c r="N128" s="230"/>
      <c r="O128" s="59"/>
      <c r="P128" s="230"/>
      <c r="Q128" s="59">
        <f t="shared" si="6"/>
        <v>3.500990808490602E-3</v>
      </c>
      <c r="R128" s="59">
        <f t="shared" si="7"/>
        <v>1.1514843817322672E-2</v>
      </c>
      <c r="S128" s="59">
        <f t="shared" si="8"/>
        <v>12.236867104406247</v>
      </c>
      <c r="T128" s="59">
        <f t="shared" si="9"/>
        <v>0.21720582489147447</v>
      </c>
      <c r="U128" s="59">
        <f t="shared" si="10"/>
        <v>0.20218999026566126</v>
      </c>
      <c r="V128" s="230"/>
      <c r="W128" s="230"/>
      <c r="X128" s="230"/>
      <c r="Y128" s="230"/>
      <c r="Z128" s="230"/>
      <c r="AA128" s="230"/>
      <c r="AB128" s="230"/>
      <c r="AC128" s="230"/>
    </row>
    <row r="129" spans="1:29" s="52" customFormat="1">
      <c r="A129" s="6" t="s">
        <v>118</v>
      </c>
      <c r="B129" s="6" t="s">
        <v>197</v>
      </c>
      <c r="C129" t="s">
        <v>13</v>
      </c>
      <c r="D129" s="8">
        <v>5</v>
      </c>
      <c r="E129" s="3">
        <v>20</v>
      </c>
      <c r="F129" s="55">
        <f>'Wet analysis 2016'!T114</f>
        <v>0.15162372128132609</v>
      </c>
      <c r="G129" s="55">
        <f>'Wet analysis 2016'!AD114</f>
        <v>0.45550256717250176</v>
      </c>
      <c r="H129" s="55">
        <f>'Wet analysis 2016'!AN114</f>
        <v>311.93737589181899</v>
      </c>
      <c r="I129" s="55">
        <f>'Wet analysis 2016'!AW114</f>
        <v>0.39236195993097389</v>
      </c>
      <c r="J129" s="55">
        <f>'Wet analysis 2016'!BF114</f>
        <v>0</v>
      </c>
      <c r="K129" s="230"/>
      <c r="L129" s="260">
        <f>'Soil samples'!X114</f>
        <v>5.3369999999999997</v>
      </c>
      <c r="M129" s="230"/>
      <c r="N129" s="230"/>
      <c r="O129" s="59"/>
      <c r="P129" s="230"/>
      <c r="Q129" s="59">
        <f t="shared" si="6"/>
        <v>7.5811860640663045E-3</v>
      </c>
      <c r="R129" s="59">
        <f t="shared" si="7"/>
        <v>2.277512835862509E-2</v>
      </c>
      <c r="S129" s="59">
        <f t="shared" si="8"/>
        <v>15.59686879459095</v>
      </c>
      <c r="T129" s="59">
        <f t="shared" si="9"/>
        <v>1.9618097996548695E-2</v>
      </c>
      <c r="U129" s="59">
        <f t="shared" si="10"/>
        <v>0</v>
      </c>
      <c r="V129" s="230"/>
      <c r="W129" s="230"/>
      <c r="X129" s="230"/>
      <c r="Y129" s="230"/>
      <c r="Z129" s="230"/>
      <c r="AA129" s="230"/>
      <c r="AB129" s="230"/>
      <c r="AC129" s="230"/>
    </row>
    <row r="130" spans="1:29" s="52" customFormat="1">
      <c r="A130" s="6" t="s">
        <v>119</v>
      </c>
      <c r="B130" s="6" t="s">
        <v>197</v>
      </c>
      <c r="C130" t="s">
        <v>13</v>
      </c>
      <c r="D130" s="8">
        <v>5</v>
      </c>
      <c r="E130" s="3">
        <v>30</v>
      </c>
      <c r="F130" s="55">
        <f>'Wet analysis 2016'!T115</f>
        <v>6.1488994530908517E-2</v>
      </c>
      <c r="G130" s="55">
        <f>'Wet analysis 2016'!AD115</f>
        <v>0</v>
      </c>
      <c r="H130" s="55">
        <f>'Wet analysis 2016'!AN115</f>
        <v>137.21371369291484</v>
      </c>
      <c r="I130" s="55">
        <f>'Wet analysis 2016'!AW115</f>
        <v>0</v>
      </c>
      <c r="J130" s="55">
        <f>'Wet analysis 2016'!BF115</f>
        <v>0</v>
      </c>
      <c r="K130" s="230"/>
      <c r="L130" s="260">
        <f>'Soil samples'!X115</f>
        <v>5.5609999999999999</v>
      </c>
      <c r="M130" s="230"/>
      <c r="N130" s="230"/>
      <c r="O130" s="59"/>
      <c r="P130" s="230"/>
      <c r="Q130" s="59">
        <f t="shared" si="6"/>
        <v>3.0744497265454262E-3</v>
      </c>
      <c r="R130" s="59">
        <f t="shared" si="7"/>
        <v>0</v>
      </c>
      <c r="S130" s="59">
        <f t="shared" si="8"/>
        <v>6.860685684645742</v>
      </c>
      <c r="T130" s="59">
        <f t="shared" si="9"/>
        <v>0</v>
      </c>
      <c r="U130" s="59">
        <f t="shared" si="10"/>
        <v>0</v>
      </c>
      <c r="V130" s="230"/>
      <c r="W130" s="230"/>
      <c r="X130" s="230"/>
      <c r="Y130" s="230"/>
      <c r="Z130" s="230"/>
      <c r="AA130" s="230"/>
      <c r="AB130" s="230"/>
      <c r="AC130" s="230"/>
    </row>
    <row r="131" spans="1:29" s="52" customFormat="1">
      <c r="A131" s="6" t="s">
        <v>120</v>
      </c>
      <c r="B131" s="6" t="s">
        <v>197</v>
      </c>
      <c r="C131" t="s">
        <v>13</v>
      </c>
      <c r="D131" s="8">
        <v>6</v>
      </c>
      <c r="E131" s="3">
        <v>5</v>
      </c>
      <c r="F131" s="55">
        <f>'Wet analysis 2016'!T116</f>
        <v>2.6466386742378493E-2</v>
      </c>
      <c r="G131" s="55">
        <f>'Wet analysis 2016'!AD116</f>
        <v>1.6409900508030897E-2</v>
      </c>
      <c r="H131" s="55">
        <f>'Wet analysis 2016'!AN116</f>
        <v>23.421835177330212</v>
      </c>
      <c r="I131" s="55">
        <f>'Wet analysis 2016'!AW116</f>
        <v>28.536660909364624</v>
      </c>
      <c r="J131" s="55">
        <f>'Wet analysis 2016'!BF116</f>
        <v>28.493784622114223</v>
      </c>
      <c r="K131" s="230"/>
      <c r="L131" s="260">
        <f>'Soil samples'!X116</f>
        <v>5.6520000000000001</v>
      </c>
      <c r="M131" s="230"/>
      <c r="N131" s="230"/>
      <c r="O131" s="59"/>
      <c r="P131" s="230"/>
      <c r="Q131" s="59">
        <f t="shared" si="6"/>
        <v>1.3233193371189247E-3</v>
      </c>
      <c r="R131" s="59">
        <f t="shared" si="7"/>
        <v>8.2049502540154488E-4</v>
      </c>
      <c r="S131" s="59">
        <f t="shared" si="8"/>
        <v>1.1710917588665106</v>
      </c>
      <c r="T131" s="59">
        <f t="shared" si="9"/>
        <v>1.4268330454682312</v>
      </c>
      <c r="U131" s="59">
        <f t="shared" si="10"/>
        <v>1.4246892311057113</v>
      </c>
      <c r="V131" s="230"/>
      <c r="W131" s="230"/>
      <c r="X131" s="230"/>
      <c r="Y131" s="230"/>
      <c r="Z131" s="230"/>
      <c r="AA131" s="230"/>
      <c r="AB131" s="230"/>
      <c r="AC131" s="230"/>
    </row>
    <row r="132" spans="1:29" s="52" customFormat="1">
      <c r="A132" s="6" t="s">
        <v>121</v>
      </c>
      <c r="B132" s="6" t="s">
        <v>197</v>
      </c>
      <c r="C132" t="s">
        <v>13</v>
      </c>
      <c r="D132" s="8">
        <v>6</v>
      </c>
      <c r="E132" s="3">
        <v>10</v>
      </c>
      <c r="F132" s="55">
        <f>'Wet analysis 2016'!T117</f>
        <v>8.636821940113576E-2</v>
      </c>
      <c r="G132" s="55">
        <f>'Wet analysis 2016'!AD117</f>
        <v>0.15698146131733939</v>
      </c>
      <c r="H132" s="55">
        <f>'Wet analysis 2016'!AN117</f>
        <v>206.28975108522806</v>
      </c>
      <c r="I132" s="55">
        <f>'Wet analysis 2016'!AW117</f>
        <v>5.6244240005072852</v>
      </c>
      <c r="J132" s="55">
        <f>'Wet analysis 2016'!BF117</f>
        <v>5.3810743197888113</v>
      </c>
      <c r="K132" s="230"/>
      <c r="L132" s="260">
        <f>'Soil samples'!X117</f>
        <v>4.6859999999999999</v>
      </c>
      <c r="M132" s="230"/>
      <c r="N132" s="230"/>
      <c r="O132" s="59"/>
      <c r="P132" s="230"/>
      <c r="Q132" s="59">
        <f t="shared" si="6"/>
        <v>4.3184109700567883E-3</v>
      </c>
      <c r="R132" s="59">
        <f t="shared" si="7"/>
        <v>7.8490730658669697E-3</v>
      </c>
      <c r="S132" s="59">
        <f t="shared" si="8"/>
        <v>10.314487554261405</v>
      </c>
      <c r="T132" s="59">
        <f t="shared" si="9"/>
        <v>0.28122120002536427</v>
      </c>
      <c r="U132" s="59">
        <f t="shared" si="10"/>
        <v>0.26905371598944056</v>
      </c>
      <c r="V132" s="230"/>
      <c r="W132" s="230"/>
      <c r="X132" s="230"/>
      <c r="Y132" s="230"/>
      <c r="Z132" s="230"/>
      <c r="AA132" s="230"/>
      <c r="AB132" s="230"/>
      <c r="AC132" s="230"/>
    </row>
    <row r="133" spans="1:29" s="52" customFormat="1">
      <c r="A133" s="7" t="s">
        <v>122</v>
      </c>
      <c r="B133" s="7" t="s">
        <v>197</v>
      </c>
      <c r="C133" s="4" t="s">
        <v>13</v>
      </c>
      <c r="D133" s="4">
        <v>6</v>
      </c>
      <c r="E133" s="5">
        <v>20</v>
      </c>
      <c r="F133" s="55">
        <f>'Wet analysis 2016'!T118</f>
        <v>0</v>
      </c>
      <c r="G133" s="55">
        <f>'Wet analysis 2016'!AD118</f>
        <v>0</v>
      </c>
      <c r="H133" s="55">
        <f>'Wet analysis 2016'!AN118</f>
        <v>446.20951292974735</v>
      </c>
      <c r="I133" s="55">
        <f>'Wet analysis 2016'!AW118</f>
        <v>0</v>
      </c>
      <c r="J133" s="55">
        <f>'Wet analysis 2016'!BF118</f>
        <v>0</v>
      </c>
      <c r="K133" s="230"/>
      <c r="L133" s="260">
        <f>'Soil samples'!X118</f>
        <v>5.4390000000000001</v>
      </c>
      <c r="M133" s="230"/>
      <c r="N133" s="230"/>
      <c r="O133" s="59"/>
      <c r="P133" s="230"/>
      <c r="Q133" s="59">
        <f t="shared" ref="Q133:Q196" si="11">F133*0.05</f>
        <v>0</v>
      </c>
      <c r="R133" s="59">
        <f t="shared" ref="R133:R196" si="12">G133*0.05</f>
        <v>0</v>
      </c>
      <c r="S133" s="59">
        <f t="shared" ref="S133:S196" si="13">H133*0.05</f>
        <v>22.310475646487369</v>
      </c>
      <c r="T133" s="59">
        <f t="shared" ref="T133:T196" si="14">I133*0.05</f>
        <v>0</v>
      </c>
      <c r="U133" s="59">
        <f t="shared" ref="U133:U196" si="15">J133*0.05</f>
        <v>0</v>
      </c>
      <c r="V133" s="230"/>
      <c r="W133" s="230"/>
      <c r="X133" s="230"/>
      <c r="Y133" s="230"/>
      <c r="Z133" s="230"/>
      <c r="AA133" s="230"/>
      <c r="AB133" s="230"/>
      <c r="AC133" s="230"/>
    </row>
    <row r="134" spans="1:29" s="52" customFormat="1">
      <c r="A134" s="6" t="s">
        <v>123</v>
      </c>
      <c r="B134" s="6" t="s">
        <v>198</v>
      </c>
      <c r="C134" t="s">
        <v>12</v>
      </c>
      <c r="D134" s="8">
        <v>1</v>
      </c>
      <c r="E134" s="3">
        <v>5</v>
      </c>
      <c r="F134" s="55">
        <f>'Wet analysis 2016'!T119</f>
        <v>0.22796084914539544</v>
      </c>
      <c r="G134" s="55">
        <f>'Wet analysis 2016'!AD119</f>
        <v>1.5675545211656541</v>
      </c>
      <c r="H134" s="55">
        <f>'Wet analysis 2016'!AN119</f>
        <v>285.26876248401817</v>
      </c>
      <c r="I134" s="55">
        <f>'Wet analysis 2016'!AW119</f>
        <v>13.646423427342658</v>
      </c>
      <c r="J134" s="55">
        <f>'Wet analysis 2016'!BF119</f>
        <v>11.850908057031607</v>
      </c>
      <c r="K134" s="230"/>
      <c r="L134" s="260">
        <f>'Soil samples'!X119</f>
        <v>4.415</v>
      </c>
      <c r="M134" s="230"/>
      <c r="N134" s="230"/>
      <c r="O134" s="59"/>
      <c r="P134" s="230"/>
      <c r="Q134" s="59">
        <f t="shared" si="11"/>
        <v>1.1398042457269773E-2</v>
      </c>
      <c r="R134" s="59">
        <f t="shared" si="12"/>
        <v>7.8377726058282707E-2</v>
      </c>
      <c r="S134" s="59">
        <f t="shared" si="13"/>
        <v>14.26343812420091</v>
      </c>
      <c r="T134" s="59">
        <f t="shared" si="14"/>
        <v>0.68232117136713288</v>
      </c>
      <c r="U134" s="59">
        <f t="shared" si="15"/>
        <v>0.59254540285158031</v>
      </c>
      <c r="V134" s="230"/>
      <c r="W134" s="230"/>
      <c r="X134" s="230"/>
      <c r="Y134" s="230"/>
      <c r="Z134" s="230"/>
      <c r="AA134" s="230"/>
      <c r="AB134" s="230"/>
      <c r="AC134" s="230"/>
    </row>
    <row r="135" spans="1:29" s="52" customFormat="1">
      <c r="A135" s="6" t="s">
        <v>124</v>
      </c>
      <c r="B135" s="6" t="s">
        <v>198</v>
      </c>
      <c r="C135" t="s">
        <v>12</v>
      </c>
      <c r="D135" s="8">
        <v>1</v>
      </c>
      <c r="E135" s="3">
        <v>10</v>
      </c>
      <c r="F135" s="55">
        <f>'Wet analysis 2016'!T120</f>
        <v>0.5483126703119664</v>
      </c>
      <c r="G135" s="55">
        <f>'Wet analysis 2016'!AD120</f>
        <v>1.7064746060969553</v>
      </c>
      <c r="H135" s="55">
        <f>'Wet analysis 2016'!AN120</f>
        <v>469.78852917977088</v>
      </c>
      <c r="I135" s="55">
        <f>'Wet analysis 2016'!AW120</f>
        <v>21.29857240788931</v>
      </c>
      <c r="J135" s="55">
        <f>'Wet analysis 2016'!BF120</f>
        <v>19.043785131480391</v>
      </c>
      <c r="K135" s="230"/>
      <c r="L135" s="260">
        <f>'Soil samples'!X120</f>
        <v>4.5780000000000003</v>
      </c>
      <c r="M135" s="230"/>
      <c r="N135" s="230"/>
      <c r="O135" s="59"/>
      <c r="P135" s="230"/>
      <c r="Q135" s="59">
        <f t="shared" si="11"/>
        <v>2.7415633515598323E-2</v>
      </c>
      <c r="R135" s="59">
        <f t="shared" si="12"/>
        <v>8.5323730304847772E-2</v>
      </c>
      <c r="S135" s="59">
        <f t="shared" si="13"/>
        <v>23.489426458988547</v>
      </c>
      <c r="T135" s="59">
        <f t="shared" si="14"/>
        <v>1.0649286203944655</v>
      </c>
      <c r="U135" s="59">
        <f t="shared" si="15"/>
        <v>0.95218925657401954</v>
      </c>
      <c r="V135" s="230"/>
      <c r="W135" s="230"/>
      <c r="X135" s="230"/>
      <c r="Y135" s="230"/>
      <c r="Z135" s="230"/>
      <c r="AA135" s="230"/>
      <c r="AB135" s="230"/>
      <c r="AC135" s="230"/>
    </row>
    <row r="136" spans="1:29" s="52" customFormat="1">
      <c r="A136" s="6" t="s">
        <v>125</v>
      </c>
      <c r="B136" s="6" t="s">
        <v>198</v>
      </c>
      <c r="C136" t="s">
        <v>12</v>
      </c>
      <c r="D136" s="8">
        <v>1</v>
      </c>
      <c r="E136" s="3">
        <v>20</v>
      </c>
      <c r="F136" s="55">
        <f>'Wet analysis 2016'!T121</f>
        <v>0.46133347697404786</v>
      </c>
      <c r="G136" s="55">
        <f>'Wet analysis 2016'!AD121</f>
        <v>1.3786382756773465</v>
      </c>
      <c r="H136" s="55">
        <f>'Wet analysis 2016'!AN121</f>
        <v>336.93913489552398</v>
      </c>
      <c r="I136" s="55">
        <f>'Wet analysis 2016'!AW121</f>
        <v>17.534444677349079</v>
      </c>
      <c r="J136" s="55">
        <f>'Wet analysis 2016'!BF121</f>
        <v>15.694472924697687</v>
      </c>
      <c r="K136" s="230"/>
      <c r="L136" s="260">
        <f>'Soil samples'!X121</f>
        <v>4.6580000000000004</v>
      </c>
      <c r="M136" s="230"/>
      <c r="N136" s="230"/>
      <c r="O136" s="59"/>
      <c r="P136" s="230"/>
      <c r="Q136" s="59">
        <f t="shared" si="11"/>
        <v>2.3066673848702396E-2</v>
      </c>
      <c r="R136" s="59">
        <f t="shared" si="12"/>
        <v>6.893191378386733E-2</v>
      </c>
      <c r="S136" s="59">
        <f t="shared" si="13"/>
        <v>16.8469567447762</v>
      </c>
      <c r="T136" s="59">
        <f t="shared" si="14"/>
        <v>0.87672223386745396</v>
      </c>
      <c r="U136" s="59">
        <f t="shared" si="15"/>
        <v>0.78472364623488433</v>
      </c>
      <c r="V136" s="230"/>
      <c r="W136" s="230"/>
      <c r="X136" s="230"/>
      <c r="Y136" s="230"/>
      <c r="Z136" s="230"/>
      <c r="AA136" s="230"/>
      <c r="AB136" s="230"/>
      <c r="AC136" s="230"/>
    </row>
    <row r="137" spans="1:29" s="52" customFormat="1">
      <c r="A137" s="6" t="s">
        <v>126</v>
      </c>
      <c r="B137" s="6" t="s">
        <v>198</v>
      </c>
      <c r="C137" t="s">
        <v>12</v>
      </c>
      <c r="D137" s="8">
        <v>1</v>
      </c>
      <c r="E137" s="3">
        <v>30</v>
      </c>
      <c r="F137" s="55">
        <f>'Wet analysis 2016'!T122</f>
        <v>0.47518002426309475</v>
      </c>
      <c r="G137" s="55">
        <f>'Wet analysis 2016'!AD122</f>
        <v>1.1891590735185193</v>
      </c>
      <c r="H137" s="55">
        <f>'Wet analysis 2016'!AN122</f>
        <v>283.118976731999</v>
      </c>
      <c r="I137" s="55">
        <f>'Wet analysis 2016'!AW122</f>
        <v>12.663334371838008</v>
      </c>
      <c r="J137" s="55">
        <f>'Wet analysis 2016'!BF122</f>
        <v>10.998995274056394</v>
      </c>
      <c r="K137" s="230"/>
      <c r="L137" s="260">
        <f>'Soil samples'!X122</f>
        <v>4.7140000000000004</v>
      </c>
      <c r="M137" s="230"/>
      <c r="N137" s="230"/>
      <c r="O137" s="59"/>
      <c r="P137" s="230"/>
      <c r="Q137" s="59">
        <f t="shared" si="11"/>
        <v>2.3759001213154739E-2</v>
      </c>
      <c r="R137" s="59">
        <f t="shared" si="12"/>
        <v>5.9457953675925969E-2</v>
      </c>
      <c r="S137" s="59">
        <f t="shared" si="13"/>
        <v>14.155948836599951</v>
      </c>
      <c r="T137" s="59">
        <f t="shared" si="14"/>
        <v>0.63316671859190043</v>
      </c>
      <c r="U137" s="59">
        <f t="shared" si="15"/>
        <v>0.54994976370281978</v>
      </c>
      <c r="V137" s="230"/>
      <c r="W137" s="230"/>
      <c r="X137" s="230"/>
      <c r="Y137" s="230"/>
      <c r="Z137" s="230"/>
      <c r="AA137" s="230"/>
      <c r="AB137" s="230"/>
      <c r="AC137" s="230"/>
    </row>
    <row r="138" spans="1:29" s="228" customFormat="1">
      <c r="A138" s="223" t="s">
        <v>127</v>
      </c>
      <c r="B138" s="223" t="s">
        <v>198</v>
      </c>
      <c r="C138" s="224" t="s">
        <v>12</v>
      </c>
      <c r="D138" s="223">
        <v>2</v>
      </c>
      <c r="E138" s="225">
        <v>5</v>
      </c>
      <c r="F138" s="226">
        <f>'Wet analysis 2017'!T37</f>
        <v>0.39640960809125531</v>
      </c>
      <c r="G138" s="226">
        <f>'Wet analysis 2017'!AD37</f>
        <v>7.311176365151181</v>
      </c>
      <c r="H138" s="226">
        <f>'Wet analysis 2017'!AN37</f>
        <v>67.860457965274279</v>
      </c>
      <c r="I138" s="226">
        <f>'Wet analysis 2017'!AW37</f>
        <v>14.272620766017194</v>
      </c>
      <c r="J138" s="226">
        <f>'Wet analysis 2017'!BF37</f>
        <v>6.5650347927747612</v>
      </c>
      <c r="K138" s="230"/>
      <c r="L138" s="261">
        <f>'Soil samples 2017'!X37</f>
        <v>5.4279999999999999</v>
      </c>
      <c r="M138" s="230"/>
      <c r="N138" s="230"/>
      <c r="O138" s="59"/>
      <c r="P138" s="230"/>
      <c r="Q138" s="59">
        <f t="shared" si="11"/>
        <v>1.9820480404562767E-2</v>
      </c>
      <c r="R138" s="59">
        <f t="shared" si="12"/>
        <v>0.36555881825755909</v>
      </c>
      <c r="S138" s="59">
        <f t="shared" si="13"/>
        <v>3.3930228982637143</v>
      </c>
      <c r="T138" s="59">
        <f t="shared" si="14"/>
        <v>0.71363103830085972</v>
      </c>
      <c r="U138" s="59">
        <f t="shared" si="15"/>
        <v>0.3282517396387381</v>
      </c>
      <c r="V138" s="230"/>
      <c r="W138" s="230"/>
      <c r="X138" s="230"/>
      <c r="Y138" s="230"/>
      <c r="Z138" s="230"/>
      <c r="AA138" s="230"/>
      <c r="AB138" s="230"/>
      <c r="AC138" s="230"/>
    </row>
    <row r="139" spans="1:29" s="228" customFormat="1">
      <c r="A139" s="223" t="s">
        <v>650</v>
      </c>
      <c r="B139" s="223" t="s">
        <v>198</v>
      </c>
      <c r="C139" s="224" t="s">
        <v>12</v>
      </c>
      <c r="D139" s="223">
        <v>2</v>
      </c>
      <c r="E139" s="225">
        <v>10</v>
      </c>
      <c r="F139" s="226">
        <f>'Wet analysis 2017'!T38</f>
        <v>0.47342336601047236</v>
      </c>
      <c r="G139" s="226">
        <f>'Wet analysis 2017'!AD38</f>
        <v>2.524340330356837</v>
      </c>
      <c r="H139" s="226">
        <f>'Wet analysis 2017'!AN38</f>
        <v>106.70706883095293</v>
      </c>
      <c r="I139" s="226">
        <f>'Wet analysis 2017'!AW38</f>
        <v>24.106168824207664</v>
      </c>
      <c r="J139" s="226">
        <f>'Wet analysis 2017'!BF38</f>
        <v>21.108405127840356</v>
      </c>
      <c r="K139" s="230"/>
      <c r="L139" s="261">
        <f>'Soil samples 2017'!X38</f>
        <v>4.8940000000000001</v>
      </c>
      <c r="M139" s="230"/>
      <c r="N139" s="230"/>
      <c r="O139" s="59"/>
      <c r="P139" s="230"/>
      <c r="Q139" s="59">
        <f t="shared" si="11"/>
        <v>2.3671168300523619E-2</v>
      </c>
      <c r="R139" s="59">
        <f t="shared" si="12"/>
        <v>0.12621701651784187</v>
      </c>
      <c r="S139" s="59">
        <f t="shared" si="13"/>
        <v>5.3353534415476469</v>
      </c>
      <c r="T139" s="59">
        <f t="shared" si="14"/>
        <v>1.2053084412103834</v>
      </c>
      <c r="U139" s="59">
        <f t="shared" si="15"/>
        <v>1.0554202563920179</v>
      </c>
      <c r="V139" s="230"/>
      <c r="W139" s="230"/>
      <c r="X139" s="230"/>
      <c r="Y139" s="230"/>
      <c r="Z139" s="230"/>
      <c r="AA139" s="230"/>
      <c r="AB139" s="230"/>
      <c r="AC139" s="230"/>
    </row>
    <row r="140" spans="1:29" s="228" customFormat="1">
      <c r="A140" s="223" t="s">
        <v>1100</v>
      </c>
      <c r="B140" s="223" t="s">
        <v>198</v>
      </c>
      <c r="C140" s="224" t="s">
        <v>12</v>
      </c>
      <c r="D140" s="223">
        <v>2</v>
      </c>
      <c r="E140" s="225">
        <v>20</v>
      </c>
      <c r="F140" s="226">
        <f>'Wet analysis 2017'!T39</f>
        <v>0.63685168412562576</v>
      </c>
      <c r="G140" s="226">
        <f>'Wet analysis 2017'!AD39</f>
        <v>3.3596158855110918</v>
      </c>
      <c r="H140" s="226">
        <f>'Wet analysis 2017'!AN39</f>
        <v>95.566485186770407</v>
      </c>
      <c r="I140" s="226">
        <f>'Wet analysis 2017'!AW39</f>
        <v>25.576831738622857</v>
      </c>
      <c r="J140" s="226">
        <f>'Wet analysis 2017'!BF39</f>
        <v>21.58036416898614</v>
      </c>
      <c r="K140" s="230"/>
      <c r="L140" s="261">
        <f>'Soil samples 2017'!X39</f>
        <v>5.0999999999999996</v>
      </c>
      <c r="M140" s="230"/>
      <c r="N140" s="230"/>
      <c r="O140" s="59"/>
      <c r="P140" s="230"/>
      <c r="Q140" s="59">
        <f t="shared" si="11"/>
        <v>3.1842584206281291E-2</v>
      </c>
      <c r="R140" s="59">
        <f t="shared" si="12"/>
        <v>0.1679807942755546</v>
      </c>
      <c r="S140" s="59">
        <f t="shared" si="13"/>
        <v>4.7783242593385209</v>
      </c>
      <c r="T140" s="59">
        <f t="shared" si="14"/>
        <v>1.2788415869311429</v>
      </c>
      <c r="U140" s="59">
        <f t="shared" si="15"/>
        <v>1.079018208449307</v>
      </c>
      <c r="V140" s="230"/>
      <c r="W140" s="230"/>
      <c r="X140" s="230"/>
      <c r="Y140" s="230"/>
      <c r="Z140" s="230"/>
      <c r="AA140" s="230"/>
      <c r="AB140" s="230"/>
      <c r="AC140" s="230"/>
    </row>
    <row r="141" spans="1:29" s="52" customFormat="1">
      <c r="A141" s="252" t="s">
        <v>578</v>
      </c>
      <c r="B141" s="252" t="s">
        <v>198</v>
      </c>
      <c r="C141" s="209" t="s">
        <v>12</v>
      </c>
      <c r="D141" s="252">
        <v>3</v>
      </c>
      <c r="E141" s="253">
        <v>5</v>
      </c>
      <c r="F141" s="254">
        <f>AVERAGE(F134,F138,F142,F146,F149)</f>
        <v>1.2698783880390272</v>
      </c>
      <c r="G141" s="254">
        <f t="shared" ref="G141:J141" si="16">AVERAGE(G134,G138,G142,G146,G149)</f>
        <v>4.9140574044156651</v>
      </c>
      <c r="H141" s="254">
        <f t="shared" si="16"/>
        <v>131.77061158971321</v>
      </c>
      <c r="I141" s="254">
        <f t="shared" si="16"/>
        <v>18.129951830157619</v>
      </c>
      <c r="J141" s="254">
        <f t="shared" si="16"/>
        <v>11.946016037702927</v>
      </c>
      <c r="K141" s="230"/>
      <c r="L141" s="260"/>
      <c r="M141" s="230"/>
      <c r="N141" s="230"/>
      <c r="O141" s="59"/>
      <c r="P141" s="230"/>
      <c r="Q141" s="59">
        <f t="shared" si="11"/>
        <v>6.3493919401951357E-2</v>
      </c>
      <c r="R141" s="59">
        <f t="shared" si="12"/>
        <v>0.24570287022078327</v>
      </c>
      <c r="S141" s="59">
        <f t="shared" si="13"/>
        <v>6.5885305794856608</v>
      </c>
      <c r="T141" s="59">
        <f t="shared" si="14"/>
        <v>0.90649759150788101</v>
      </c>
      <c r="U141" s="59">
        <f t="shared" si="15"/>
        <v>0.59730080188514634</v>
      </c>
      <c r="V141" s="230"/>
      <c r="W141" s="230"/>
      <c r="X141" s="230"/>
      <c r="Y141" s="230"/>
      <c r="Z141" s="230"/>
      <c r="AA141" s="230"/>
      <c r="AB141" s="230"/>
      <c r="AC141" s="230"/>
    </row>
    <row r="142" spans="1:29" s="228" customFormat="1">
      <c r="A142" s="223" t="s">
        <v>128</v>
      </c>
      <c r="B142" s="223" t="s">
        <v>198</v>
      </c>
      <c r="C142" s="224" t="s">
        <v>12</v>
      </c>
      <c r="D142" s="223">
        <v>4</v>
      </c>
      <c r="E142" s="225">
        <v>5</v>
      </c>
      <c r="F142" s="226">
        <f>'Wet analysis 2017'!T40</f>
        <v>2.3878915888235936</v>
      </c>
      <c r="G142" s="226">
        <f>'Wet analysis 2017'!AD40</f>
        <v>9.8613924929072709</v>
      </c>
      <c r="H142" s="226">
        <f>'Wet analysis 2017'!AN40</f>
        <v>147.13059724016566</v>
      </c>
      <c r="I142" s="226">
        <f>'Wet analysis 2017'!AW40</f>
        <v>33.51280747098432</v>
      </c>
      <c r="J142" s="226">
        <f>'Wet analysis 2017'!BF40</f>
        <v>21.263523389253454</v>
      </c>
      <c r="K142" s="230"/>
      <c r="L142" s="261">
        <f>'Soil samples 2017'!X40</f>
        <v>5.2</v>
      </c>
      <c r="M142" s="230"/>
      <c r="N142" s="230"/>
      <c r="O142" s="59"/>
      <c r="P142" s="230"/>
      <c r="Q142" s="59">
        <f t="shared" si="11"/>
        <v>0.11939457944117969</v>
      </c>
      <c r="R142" s="59">
        <f t="shared" si="12"/>
        <v>0.49306962464536358</v>
      </c>
      <c r="S142" s="59">
        <f t="shared" si="13"/>
        <v>7.3565298620082835</v>
      </c>
      <c r="T142" s="59">
        <f t="shared" si="14"/>
        <v>1.675640373549216</v>
      </c>
      <c r="U142" s="59">
        <f t="shared" si="15"/>
        <v>1.0631761694626727</v>
      </c>
      <c r="V142" s="230"/>
      <c r="W142" s="230"/>
      <c r="X142" s="230"/>
      <c r="Y142" s="230"/>
      <c r="Z142" s="230"/>
      <c r="AA142" s="230"/>
      <c r="AB142" s="230"/>
      <c r="AC142" s="230"/>
    </row>
    <row r="143" spans="1:29" s="52" customFormat="1">
      <c r="A143" s="6" t="s">
        <v>129</v>
      </c>
      <c r="B143" s="6" t="s">
        <v>198</v>
      </c>
      <c r="C143" t="s">
        <v>12</v>
      </c>
      <c r="D143" s="8">
        <v>4</v>
      </c>
      <c r="E143" s="3">
        <v>10</v>
      </c>
      <c r="F143" s="55">
        <f>'Wet analysis 2016'!T126</f>
        <v>0.33672284298603317</v>
      </c>
      <c r="G143" s="55">
        <f>'Wet analysis 2016'!AD126</f>
        <v>1.4113057639957862</v>
      </c>
      <c r="H143" s="55">
        <f>'Wet analysis 2016'!AN126</f>
        <v>296.58332666812322</v>
      </c>
      <c r="I143" s="55">
        <f>'Wet analysis 2016'!AW126</f>
        <v>19.819225285259133</v>
      </c>
      <c r="J143" s="55">
        <f>'Wet analysis 2016'!BF126</f>
        <v>18.071196678277317</v>
      </c>
      <c r="K143" s="230"/>
      <c r="L143" s="260">
        <f>'Soil samples'!X126</f>
        <v>4.4189999999999996</v>
      </c>
      <c r="M143" s="230"/>
      <c r="N143" s="230"/>
      <c r="O143" s="59"/>
      <c r="P143" s="230"/>
      <c r="Q143" s="59">
        <f t="shared" si="11"/>
        <v>1.683614214930166E-2</v>
      </c>
      <c r="R143" s="59">
        <f t="shared" si="12"/>
        <v>7.0565288199789314E-2</v>
      </c>
      <c r="S143" s="59">
        <f t="shared" si="13"/>
        <v>14.829166333406162</v>
      </c>
      <c r="T143" s="59">
        <f t="shared" si="14"/>
        <v>0.99096126426295672</v>
      </c>
      <c r="U143" s="59">
        <f t="shared" si="15"/>
        <v>0.90355983391386596</v>
      </c>
      <c r="V143" s="230"/>
      <c r="W143" s="230"/>
      <c r="X143" s="230"/>
      <c r="Y143" s="230"/>
      <c r="Z143" s="230"/>
      <c r="AA143" s="230"/>
      <c r="AB143" s="230"/>
      <c r="AC143" s="230"/>
    </row>
    <row r="144" spans="1:29" s="52" customFormat="1">
      <c r="A144" s="6" t="s">
        <v>130</v>
      </c>
      <c r="B144" s="6" t="s">
        <v>198</v>
      </c>
      <c r="C144" t="s">
        <v>12</v>
      </c>
      <c r="D144" s="8">
        <v>4</v>
      </c>
      <c r="E144" s="3">
        <v>20</v>
      </c>
      <c r="F144" s="55">
        <f>'Wet analysis 2016'!T127</f>
        <v>0.57286691191358807</v>
      </c>
      <c r="G144" s="55">
        <f>'Wet analysis 2016'!AD127</f>
        <v>1.6975300900213444</v>
      </c>
      <c r="H144" s="55">
        <f>'Wet analysis 2016'!AN127</f>
        <v>320.83052584386712</v>
      </c>
      <c r="I144" s="55">
        <f>'Wet analysis 2016'!AW127</f>
        <v>22.654185520373765</v>
      </c>
      <c r="J144" s="55">
        <f>'Wet analysis 2016'!BF127</f>
        <v>20.383788518438831</v>
      </c>
      <c r="K144" s="230"/>
      <c r="L144" s="260">
        <f>'Soil samples'!X127</f>
        <v>5.0540000000000003</v>
      </c>
      <c r="M144" s="230"/>
      <c r="N144" s="230"/>
      <c r="O144" s="59"/>
      <c r="P144" s="230"/>
      <c r="Q144" s="59">
        <f t="shared" si="11"/>
        <v>2.8643345595679406E-2</v>
      </c>
      <c r="R144" s="59">
        <f t="shared" si="12"/>
        <v>8.4876504501067221E-2</v>
      </c>
      <c r="S144" s="59">
        <f t="shared" si="13"/>
        <v>16.041526292193357</v>
      </c>
      <c r="T144" s="59">
        <f t="shared" si="14"/>
        <v>1.1327092760186883</v>
      </c>
      <c r="U144" s="59">
        <f t="shared" si="15"/>
        <v>1.0191894259219416</v>
      </c>
      <c r="V144" s="230"/>
      <c r="W144" s="230"/>
      <c r="X144" s="230"/>
      <c r="Y144" s="230"/>
      <c r="Z144" s="230"/>
      <c r="AA144" s="230"/>
      <c r="AB144" s="230"/>
      <c r="AC144" s="230"/>
    </row>
    <row r="145" spans="1:29" s="52" customFormat="1">
      <c r="A145" s="6" t="s">
        <v>131</v>
      </c>
      <c r="B145" s="6" t="s">
        <v>198</v>
      </c>
      <c r="C145" t="s">
        <v>12</v>
      </c>
      <c r="D145" s="8">
        <v>4</v>
      </c>
      <c r="E145" s="3">
        <v>30</v>
      </c>
      <c r="F145" s="55">
        <f>'Wet analysis 2016'!T128</f>
        <v>0.45653207933267659</v>
      </c>
      <c r="G145" s="55">
        <f>'Wet analysis 2016'!AD128</f>
        <v>0.88167384797790405</v>
      </c>
      <c r="H145" s="55">
        <f>'Wet analysis 2016'!AN128</f>
        <v>445.93174638853833</v>
      </c>
      <c r="I145" s="55">
        <f>'Wet analysis 2016'!AW128</f>
        <v>25.334530814938841</v>
      </c>
      <c r="J145" s="55">
        <f>'Wet analysis 2016'!BF128</f>
        <v>23.996324887628262</v>
      </c>
      <c r="K145" s="230"/>
      <c r="L145" s="260">
        <f>'Soil samples'!X128</f>
        <v>6.5860000000000003</v>
      </c>
      <c r="M145" s="230"/>
      <c r="N145" s="230"/>
      <c r="O145" s="59"/>
      <c r="P145" s="230"/>
      <c r="Q145" s="59">
        <f t="shared" si="11"/>
        <v>2.2826603966633829E-2</v>
      </c>
      <c r="R145" s="59">
        <f t="shared" si="12"/>
        <v>4.4083692398895202E-2</v>
      </c>
      <c r="S145" s="59">
        <f t="shared" si="13"/>
        <v>22.296587319426919</v>
      </c>
      <c r="T145" s="59">
        <f t="shared" si="14"/>
        <v>1.2667265407469421</v>
      </c>
      <c r="U145" s="59">
        <f t="shared" si="15"/>
        <v>1.1998162443814131</v>
      </c>
      <c r="V145" s="230"/>
      <c r="W145" s="230"/>
      <c r="X145" s="230"/>
      <c r="Y145" s="230"/>
      <c r="Z145" s="230"/>
      <c r="AA145" s="230"/>
      <c r="AB145" s="230"/>
      <c r="AC145" s="230"/>
    </row>
    <row r="146" spans="1:29" s="228" customFormat="1">
      <c r="A146" s="223" t="s">
        <v>132</v>
      </c>
      <c r="B146" s="223" t="s">
        <v>198</v>
      </c>
      <c r="C146" s="224" t="s">
        <v>12</v>
      </c>
      <c r="D146" s="223">
        <v>5</v>
      </c>
      <c r="E146" s="225">
        <v>5</v>
      </c>
      <c r="F146" s="226">
        <f>'Wet analysis 2017'!T41</f>
        <v>2.4716297510398517</v>
      </c>
      <c r="G146" s="226">
        <f>'Wet analysis 2017'!AD41</f>
        <v>0.58968469974427928</v>
      </c>
      <c r="H146" s="226">
        <f>'Wet analysis 2017'!AN41</f>
        <v>39.757271327232608</v>
      </c>
      <c r="I146" s="226">
        <f>'Wet analysis 2017'!AW41</f>
        <v>8.3099055964224018</v>
      </c>
      <c r="J146" s="226">
        <f>'Wet analysis 2017'!BF41</f>
        <v>5.2485911456382714</v>
      </c>
      <c r="K146" s="230"/>
      <c r="L146" s="261">
        <f>'Soil samples 2017'!X41</f>
        <v>4.9429999999999996</v>
      </c>
      <c r="M146" s="230"/>
      <c r="N146" s="230"/>
      <c r="O146" s="59"/>
      <c r="P146" s="230"/>
      <c r="Q146" s="59">
        <f t="shared" si="11"/>
        <v>0.12358148755199259</v>
      </c>
      <c r="R146" s="59">
        <f t="shared" si="12"/>
        <v>2.9484234987213965E-2</v>
      </c>
      <c r="S146" s="59">
        <f t="shared" si="13"/>
        <v>1.9878635663616304</v>
      </c>
      <c r="T146" s="59">
        <f t="shared" si="14"/>
        <v>0.41549527982112011</v>
      </c>
      <c r="U146" s="59">
        <f t="shared" si="15"/>
        <v>0.26242955728191358</v>
      </c>
      <c r="V146" s="230"/>
      <c r="W146" s="230"/>
      <c r="X146" s="230"/>
      <c r="Y146" s="230"/>
      <c r="Z146" s="230"/>
      <c r="AA146" s="230"/>
      <c r="AB146" s="230"/>
      <c r="AC146" s="230"/>
    </row>
    <row r="147" spans="1:29" s="52" customFormat="1">
      <c r="A147" s="6" t="s">
        <v>133</v>
      </c>
      <c r="B147" s="6" t="s">
        <v>198</v>
      </c>
      <c r="C147" t="s">
        <v>12</v>
      </c>
      <c r="D147" s="8">
        <v>5</v>
      </c>
      <c r="E147" s="3">
        <v>10</v>
      </c>
      <c r="F147" s="55">
        <f>'Wet analysis 2016'!T130</f>
        <v>0.28392497317119647</v>
      </c>
      <c r="G147" s="55">
        <f>'Wet analysis 2016'!AD130</f>
        <v>0.41541058895497784</v>
      </c>
      <c r="H147" s="55">
        <f>'Wet analysis 2016'!AN130</f>
        <v>357.20827255763771</v>
      </c>
      <c r="I147" s="55">
        <f>'Wet analysis 2016'!AW130</f>
        <v>22.95187510232558</v>
      </c>
      <c r="J147" s="55">
        <f>'Wet analysis 2016'!BF130</f>
        <v>22.2525395401994</v>
      </c>
      <c r="K147" s="230"/>
      <c r="L147" s="260">
        <f>'Soil samples'!X130</f>
        <v>5.0919999999999996</v>
      </c>
      <c r="M147" s="230"/>
      <c r="N147" s="230"/>
      <c r="O147" s="59"/>
      <c r="P147" s="230"/>
      <c r="Q147" s="59">
        <f t="shared" si="11"/>
        <v>1.4196248658559825E-2</v>
      </c>
      <c r="R147" s="59">
        <f t="shared" si="12"/>
        <v>2.0770529447748893E-2</v>
      </c>
      <c r="S147" s="59">
        <f t="shared" si="13"/>
        <v>17.860413627881886</v>
      </c>
      <c r="T147" s="59">
        <f t="shared" si="14"/>
        <v>1.1475937551162791</v>
      </c>
      <c r="U147" s="59">
        <f t="shared" si="15"/>
        <v>1.1126269770099702</v>
      </c>
      <c r="V147" s="230"/>
      <c r="W147" s="230"/>
      <c r="X147" s="230"/>
      <c r="Y147" s="230"/>
      <c r="Z147" s="230"/>
      <c r="AA147" s="230"/>
      <c r="AB147" s="230"/>
      <c r="AC147" s="230"/>
    </row>
    <row r="148" spans="1:29" s="52" customFormat="1">
      <c r="A148" s="6" t="s">
        <v>134</v>
      </c>
      <c r="B148" s="6" t="s">
        <v>198</v>
      </c>
      <c r="C148" t="s">
        <v>12</v>
      </c>
      <c r="D148" s="8">
        <v>5</v>
      </c>
      <c r="E148" s="3">
        <v>20</v>
      </c>
      <c r="F148" s="55">
        <f>'Wet analysis 2016'!T131</f>
        <v>0.44633548734608763</v>
      </c>
      <c r="G148" s="55">
        <f>'Wet analysis 2016'!AD131</f>
        <v>0.54429174323994101</v>
      </c>
      <c r="H148" s="55">
        <f>'Wet analysis 2016'!AN131</f>
        <v>738.61383674098352</v>
      </c>
      <c r="I148" s="55">
        <f>'Wet analysis 2016'!AW131</f>
        <v>43.932487159443696</v>
      </c>
      <c r="J148" s="55">
        <f>'Wet analysis 2016'!BF131</f>
        <v>42.941859928857674</v>
      </c>
      <c r="K148" s="230"/>
      <c r="L148" s="260">
        <f>'Soil samples'!X131</f>
        <v>5.1609999999999996</v>
      </c>
      <c r="M148" s="230"/>
      <c r="N148" s="230"/>
      <c r="O148" s="59"/>
      <c r="P148" s="230"/>
      <c r="Q148" s="59">
        <f t="shared" si="11"/>
        <v>2.2316774367304382E-2</v>
      </c>
      <c r="R148" s="59">
        <f t="shared" si="12"/>
        <v>2.7214587161997053E-2</v>
      </c>
      <c r="S148" s="59">
        <f t="shared" si="13"/>
        <v>36.930691837049174</v>
      </c>
      <c r="T148" s="59">
        <f t="shared" si="14"/>
        <v>2.1966243579721847</v>
      </c>
      <c r="U148" s="59">
        <f t="shared" si="15"/>
        <v>2.147092996442884</v>
      </c>
      <c r="V148" s="230"/>
      <c r="W148" s="230"/>
      <c r="X148" s="230"/>
      <c r="Y148" s="230"/>
      <c r="Z148" s="230"/>
      <c r="AA148" s="230"/>
      <c r="AB148" s="230"/>
      <c r="AC148" s="230"/>
    </row>
    <row r="149" spans="1:29" s="228" customFormat="1">
      <c r="A149" s="223" t="s">
        <v>135</v>
      </c>
      <c r="B149" s="223" t="s">
        <v>198</v>
      </c>
      <c r="C149" s="224" t="s">
        <v>12</v>
      </c>
      <c r="D149" s="223">
        <v>6</v>
      </c>
      <c r="E149" s="225">
        <v>5</v>
      </c>
      <c r="F149" s="226">
        <f>'Wet analysis 2017'!T42</f>
        <v>0.86550014309503964</v>
      </c>
      <c r="G149" s="226">
        <f>'Wet analysis 2017'!AD42</f>
        <v>5.2404789431099434</v>
      </c>
      <c r="H149" s="226">
        <f>'Wet analysis 2017'!AN42</f>
        <v>118.83596893187529</v>
      </c>
      <c r="I149" s="226">
        <f>'Wet analysis 2017'!AW42</f>
        <v>20.908001890021524</v>
      </c>
      <c r="J149" s="226">
        <f>'Wet analysis 2017'!BF42</f>
        <v>14.802022803816541</v>
      </c>
      <c r="K149" s="230"/>
      <c r="L149" s="261">
        <f>'Soil samples 2017'!X42</f>
        <v>5.4009999999999998</v>
      </c>
      <c r="M149" s="230"/>
      <c r="N149" s="230"/>
      <c r="O149" s="59"/>
      <c r="P149" s="230"/>
      <c r="Q149" s="59">
        <f t="shared" si="11"/>
        <v>4.3275007154751986E-2</v>
      </c>
      <c r="R149" s="59">
        <f t="shared" si="12"/>
        <v>0.26202394715549721</v>
      </c>
      <c r="S149" s="59">
        <f t="shared" si="13"/>
        <v>5.941798446593765</v>
      </c>
      <c r="T149" s="59">
        <f t="shared" si="14"/>
        <v>1.0454000945010762</v>
      </c>
      <c r="U149" s="59">
        <f t="shared" si="15"/>
        <v>0.74010114019082707</v>
      </c>
      <c r="V149" s="230"/>
      <c r="W149" s="230"/>
      <c r="X149" s="230"/>
      <c r="Y149" s="230"/>
      <c r="Z149" s="230"/>
      <c r="AA149" s="230"/>
      <c r="AB149" s="230"/>
      <c r="AC149" s="230"/>
    </row>
    <row r="150" spans="1:29" s="52" customFormat="1">
      <c r="A150" s="6" t="s">
        <v>136</v>
      </c>
      <c r="B150" s="6" t="s">
        <v>198</v>
      </c>
      <c r="C150" t="s">
        <v>12</v>
      </c>
      <c r="D150" s="8">
        <v>6</v>
      </c>
      <c r="E150" s="3">
        <v>10</v>
      </c>
      <c r="F150" s="55">
        <f>'Wet analysis 2016'!T133</f>
        <v>0.25242186809754297</v>
      </c>
      <c r="G150" s="55">
        <f>'Wet analysis 2016'!AD133</f>
        <v>0.84434737184056308</v>
      </c>
      <c r="H150" s="55">
        <f>'Wet analysis 2016'!AN133</f>
        <v>97.932201668027659</v>
      </c>
      <c r="I150" s="55">
        <f>'Wet analysis 2016'!AW133</f>
        <v>5.3796282281031731</v>
      </c>
      <c r="J150" s="55">
        <f>'Wet analysis 2016'!BF133</f>
        <v>4.2828589881650689</v>
      </c>
      <c r="K150" s="230"/>
      <c r="L150" s="260">
        <f>'Soil samples'!X133</f>
        <v>5.141</v>
      </c>
      <c r="M150" s="230"/>
      <c r="N150" s="230"/>
      <c r="O150" s="59"/>
      <c r="P150" s="230"/>
      <c r="Q150" s="59">
        <f t="shared" si="11"/>
        <v>1.2621093404877149E-2</v>
      </c>
      <c r="R150" s="59">
        <f t="shared" si="12"/>
        <v>4.2217368592028154E-2</v>
      </c>
      <c r="S150" s="59">
        <f t="shared" si="13"/>
        <v>4.8966100834013835</v>
      </c>
      <c r="T150" s="59">
        <f t="shared" si="14"/>
        <v>0.26898141140515869</v>
      </c>
      <c r="U150" s="59">
        <f t="shared" si="15"/>
        <v>0.21414294940825346</v>
      </c>
      <c r="V150" s="230"/>
      <c r="W150" s="230"/>
      <c r="X150" s="230"/>
      <c r="Y150" s="230"/>
      <c r="Z150" s="230"/>
      <c r="AA150" s="230"/>
      <c r="AB150" s="230"/>
      <c r="AC150" s="230"/>
    </row>
    <row r="151" spans="1:29" s="52" customFormat="1">
      <c r="A151" s="6" t="s">
        <v>137</v>
      </c>
      <c r="B151" s="6" t="s">
        <v>198</v>
      </c>
      <c r="C151" t="s">
        <v>12</v>
      </c>
      <c r="D151" s="8">
        <v>6</v>
      </c>
      <c r="E151" s="3">
        <v>20</v>
      </c>
      <c r="F151" s="55">
        <f>'Wet analysis 2016'!T134</f>
        <v>0.31153563396284278</v>
      </c>
      <c r="G151" s="55">
        <f>'Wet analysis 2016'!AD134</f>
        <v>0.9401364556420484</v>
      </c>
      <c r="H151" s="55">
        <f>'Wet analysis 2016'!AN134</f>
        <v>275.2303679805828</v>
      </c>
      <c r="I151" s="55">
        <f>'Wet analysis 2016'!AW134</f>
        <v>7.1420347168239235</v>
      </c>
      <c r="J151" s="55">
        <f>'Wet analysis 2016'!BF134</f>
        <v>5.8903626272190328</v>
      </c>
      <c r="K151" s="230"/>
      <c r="L151" s="260">
        <f>'Soil samples'!X134</f>
        <v>4.8209999999999997</v>
      </c>
      <c r="M151" s="230"/>
      <c r="N151" s="230"/>
      <c r="O151" s="59"/>
      <c r="P151" s="230"/>
      <c r="Q151" s="59">
        <f t="shared" si="11"/>
        <v>1.5576781698142139E-2</v>
      </c>
      <c r="R151" s="59">
        <f t="shared" si="12"/>
        <v>4.7006822782102421E-2</v>
      </c>
      <c r="S151" s="59">
        <f t="shared" si="13"/>
        <v>13.761518399029141</v>
      </c>
      <c r="T151" s="59">
        <f t="shared" si="14"/>
        <v>0.3571017358411962</v>
      </c>
      <c r="U151" s="59">
        <f t="shared" si="15"/>
        <v>0.29451813136095167</v>
      </c>
      <c r="V151" s="230"/>
      <c r="W151" s="230"/>
      <c r="X151" s="230"/>
      <c r="Y151" s="230"/>
      <c r="Z151" s="230"/>
      <c r="AA151" s="230"/>
      <c r="AB151" s="230"/>
      <c r="AC151" s="230"/>
    </row>
    <row r="152" spans="1:29" s="52" customFormat="1">
      <c r="A152" s="6" t="s">
        <v>138</v>
      </c>
      <c r="B152" s="6" t="s">
        <v>198</v>
      </c>
      <c r="C152" t="s">
        <v>12</v>
      </c>
      <c r="D152" s="8">
        <v>6</v>
      </c>
      <c r="E152" s="3">
        <v>30</v>
      </c>
      <c r="F152" s="55">
        <f>'Wet analysis 2016'!T135</f>
        <v>0.12658799210258273</v>
      </c>
      <c r="G152" s="55">
        <f>'Wet analysis 2016'!AD135</f>
        <v>0.53050631083874356</v>
      </c>
      <c r="H152" s="55">
        <f>'Wet analysis 2016'!AN135</f>
        <v>253.13293926572325</v>
      </c>
      <c r="I152" s="55">
        <f>'Wet analysis 2016'!AW135</f>
        <v>6.1607643639131622</v>
      </c>
      <c r="J152" s="55">
        <f>'Wet analysis 2016'!BF135</f>
        <v>5.503670060971837</v>
      </c>
      <c r="K152" s="230"/>
      <c r="L152" s="260">
        <f>'Soil samples'!X135</f>
        <v>4.7169999999999996</v>
      </c>
      <c r="M152" s="230"/>
      <c r="N152" s="230"/>
      <c r="O152" s="59"/>
      <c r="P152" s="230"/>
      <c r="Q152" s="59">
        <f t="shared" si="11"/>
        <v>6.3293996051291372E-3</v>
      </c>
      <c r="R152" s="59">
        <f t="shared" si="12"/>
        <v>2.652531554193718E-2</v>
      </c>
      <c r="S152" s="59">
        <f t="shared" si="13"/>
        <v>12.656646963286164</v>
      </c>
      <c r="T152" s="59">
        <f t="shared" si="14"/>
        <v>0.30803821819565813</v>
      </c>
      <c r="U152" s="59">
        <f t="shared" si="15"/>
        <v>0.27518350304859185</v>
      </c>
      <c r="V152" s="230"/>
      <c r="W152" s="230"/>
      <c r="X152" s="230"/>
      <c r="Y152" s="230"/>
      <c r="Z152" s="230"/>
      <c r="AA152" s="230"/>
      <c r="AB152" s="230"/>
      <c r="AC152" s="230"/>
    </row>
    <row r="153" spans="1:29" s="52" customFormat="1">
      <c r="A153" s="6" t="s">
        <v>139</v>
      </c>
      <c r="B153" s="6" t="s">
        <v>198</v>
      </c>
      <c r="C153" t="s">
        <v>13</v>
      </c>
      <c r="D153" s="8">
        <v>1</v>
      </c>
      <c r="E153" s="3">
        <v>5</v>
      </c>
      <c r="F153" s="55">
        <f>'Wet analysis 2016'!T136</f>
        <v>0.13742679404893238</v>
      </c>
      <c r="G153" s="55">
        <f>'Wet analysis 2016'!AD136</f>
        <v>0</v>
      </c>
      <c r="H153" s="55">
        <f>'Wet analysis 2016'!AN136</f>
        <v>0</v>
      </c>
      <c r="I153" s="55">
        <f>'Wet analysis 2016'!AW136</f>
        <v>4.4078510752988072</v>
      </c>
      <c r="J153" s="55">
        <f>'Wet analysis 2016'!BF136</f>
        <v>4.2704242812498752</v>
      </c>
      <c r="K153" s="230"/>
      <c r="L153" s="262">
        <f>AVERAGE(L155,L165)</f>
        <v>4.8439999999999994</v>
      </c>
      <c r="M153" s="230"/>
      <c r="N153" s="230"/>
      <c r="O153" s="59"/>
      <c r="P153" s="230"/>
      <c r="Q153" s="59">
        <f t="shared" si="11"/>
        <v>6.8713397024466188E-3</v>
      </c>
      <c r="R153" s="59">
        <f t="shared" si="12"/>
        <v>0</v>
      </c>
      <c r="S153" s="59">
        <f t="shared" si="13"/>
        <v>0</v>
      </c>
      <c r="T153" s="59">
        <f t="shared" si="14"/>
        <v>0.22039255376494038</v>
      </c>
      <c r="U153" s="59">
        <f t="shared" si="15"/>
        <v>0.21352121406249377</v>
      </c>
      <c r="V153" s="230"/>
      <c r="W153" s="230"/>
      <c r="X153" s="230"/>
      <c r="Y153" s="230"/>
      <c r="Z153" s="230"/>
      <c r="AA153" s="230"/>
      <c r="AB153" s="230"/>
      <c r="AC153" s="230"/>
    </row>
    <row r="154" spans="1:29" s="52" customFormat="1">
      <c r="A154" s="6" t="s">
        <v>140</v>
      </c>
      <c r="B154" s="6" t="s">
        <v>198</v>
      </c>
      <c r="C154" t="s">
        <v>13</v>
      </c>
      <c r="D154" s="8">
        <v>1</v>
      </c>
      <c r="E154" s="3">
        <v>10</v>
      </c>
      <c r="F154" s="55">
        <f>'Wet analysis 2016'!T137</f>
        <v>0.25210228211202013</v>
      </c>
      <c r="G154" s="55">
        <f>'Wet analysis 2016'!AD137</f>
        <v>3.7841865165415445E-3</v>
      </c>
      <c r="H154" s="55">
        <f>'Wet analysis 2016'!AN137</f>
        <v>307.74759075865023</v>
      </c>
      <c r="I154" s="55">
        <f>'Wet analysis 2016'!AW137</f>
        <v>6.4532725673711209</v>
      </c>
      <c r="J154" s="55">
        <f>'Wet analysis 2016'!BF137</f>
        <v>6.1973860987425597</v>
      </c>
      <c r="K154" s="230"/>
      <c r="L154" s="260">
        <f>'Soil samples'!X137</f>
        <v>4.9210000000000003</v>
      </c>
      <c r="M154" s="230"/>
      <c r="N154" s="230"/>
      <c r="O154" s="59"/>
      <c r="P154" s="230"/>
      <c r="Q154" s="59">
        <f t="shared" si="11"/>
        <v>1.2605114105601008E-2</v>
      </c>
      <c r="R154" s="59">
        <f t="shared" si="12"/>
        <v>1.8920932582707723E-4</v>
      </c>
      <c r="S154" s="59">
        <f t="shared" si="13"/>
        <v>15.387379537932512</v>
      </c>
      <c r="T154" s="59">
        <f t="shared" si="14"/>
        <v>0.32266362836855605</v>
      </c>
      <c r="U154" s="59">
        <f t="shared" si="15"/>
        <v>0.309869304937128</v>
      </c>
      <c r="V154" s="230"/>
      <c r="W154" s="230"/>
      <c r="X154" s="230"/>
      <c r="Y154" s="230"/>
      <c r="Z154" s="230"/>
      <c r="AA154" s="230"/>
      <c r="AB154" s="230"/>
      <c r="AC154" s="230"/>
    </row>
    <row r="155" spans="1:29" s="52" customFormat="1">
      <c r="A155" s="6" t="s">
        <v>141</v>
      </c>
      <c r="B155" s="6" t="s">
        <v>198</v>
      </c>
      <c r="C155" t="s">
        <v>13</v>
      </c>
      <c r="D155" s="8">
        <v>2</v>
      </c>
      <c r="E155" s="3">
        <v>5</v>
      </c>
      <c r="F155" s="55">
        <f>'Wet analysis 2016'!T138</f>
        <v>8.2929285852675991E-2</v>
      </c>
      <c r="G155" s="55">
        <f>'Wet analysis 2016'!AD138</f>
        <v>0</v>
      </c>
      <c r="H155" s="55">
        <f>'Wet analysis 2016'!AN138</f>
        <v>110.19556215445613</v>
      </c>
      <c r="I155" s="55">
        <f>'Wet analysis 2016'!AW138</f>
        <v>2.4083337465483021</v>
      </c>
      <c r="J155" s="55">
        <f>'Wet analysis 2016'!BF138</f>
        <v>2.3254044606956259</v>
      </c>
      <c r="K155" s="230"/>
      <c r="L155" s="260">
        <f>'Soil samples'!X138</f>
        <v>4.5739999999999998</v>
      </c>
      <c r="M155" s="230"/>
      <c r="N155" s="230"/>
      <c r="O155" s="59"/>
      <c r="P155" s="230"/>
      <c r="Q155" s="59">
        <f t="shared" si="11"/>
        <v>4.1464642926337999E-3</v>
      </c>
      <c r="R155" s="59">
        <f t="shared" si="12"/>
        <v>0</v>
      </c>
      <c r="S155" s="59">
        <f t="shared" si="13"/>
        <v>5.5097781077228065</v>
      </c>
      <c r="T155" s="59">
        <f t="shared" si="14"/>
        <v>0.12041668732741512</v>
      </c>
      <c r="U155" s="59">
        <f t="shared" si="15"/>
        <v>0.11627022303478129</v>
      </c>
      <c r="V155" s="230"/>
      <c r="W155" s="230"/>
      <c r="X155" s="230"/>
      <c r="Y155" s="230"/>
      <c r="Z155" s="230"/>
      <c r="AA155" s="230"/>
      <c r="AB155" s="230"/>
      <c r="AC155" s="230"/>
    </row>
    <row r="156" spans="1:29" s="52" customFormat="1">
      <c r="A156" s="6" t="s">
        <v>142</v>
      </c>
      <c r="B156" s="6" t="s">
        <v>198</v>
      </c>
      <c r="C156" t="s">
        <v>13</v>
      </c>
      <c r="D156" s="8">
        <v>2</v>
      </c>
      <c r="E156" s="3">
        <v>10</v>
      </c>
      <c r="F156" s="55">
        <f>'Wet analysis 2016'!T139</f>
        <v>0.10274672330558303</v>
      </c>
      <c r="G156" s="55">
        <f>'Wet analysis 2016'!AD139</f>
        <v>0</v>
      </c>
      <c r="H156" s="55">
        <f>'Wet analysis 2016'!AN139</f>
        <v>137.41852382709584</v>
      </c>
      <c r="I156" s="55">
        <f>'Wet analysis 2016'!AW139</f>
        <v>5.008205731917073</v>
      </c>
      <c r="J156" s="55">
        <f>'Wet analysis 2016'!BF139</f>
        <v>4.9054590086114898</v>
      </c>
      <c r="K156" s="230"/>
      <c r="L156" s="260">
        <f>'Soil samples'!X139</f>
        <v>4.5750000000000002</v>
      </c>
      <c r="M156" s="230"/>
      <c r="N156" s="230"/>
      <c r="O156" s="59"/>
      <c r="P156" s="230"/>
      <c r="Q156" s="59">
        <f t="shared" si="11"/>
        <v>5.1373361652791516E-3</v>
      </c>
      <c r="R156" s="59">
        <f t="shared" si="12"/>
        <v>0</v>
      </c>
      <c r="S156" s="59">
        <f t="shared" si="13"/>
        <v>6.8709261913547923</v>
      </c>
      <c r="T156" s="59">
        <f t="shared" si="14"/>
        <v>0.25041028659585368</v>
      </c>
      <c r="U156" s="59">
        <f t="shared" si="15"/>
        <v>0.24527295043057451</v>
      </c>
      <c r="V156" s="230"/>
      <c r="W156" s="230"/>
      <c r="X156" s="230"/>
      <c r="Y156" s="230"/>
      <c r="Z156" s="230"/>
      <c r="AA156" s="230"/>
      <c r="AB156" s="230"/>
      <c r="AC156" s="230"/>
    </row>
    <row r="157" spans="1:29" s="52" customFormat="1">
      <c r="A157" s="6" t="s">
        <v>143</v>
      </c>
      <c r="B157" s="6" t="s">
        <v>198</v>
      </c>
      <c r="C157" t="s">
        <v>13</v>
      </c>
      <c r="D157" s="8">
        <v>2</v>
      </c>
      <c r="E157" s="3">
        <v>20</v>
      </c>
      <c r="F157" s="55">
        <f>'Wet analysis 2016'!T140</f>
        <v>0.28784164118904693</v>
      </c>
      <c r="G157" s="55">
        <f>'Wet analysis 2016'!AD140</f>
        <v>0.27168187079012129</v>
      </c>
      <c r="H157" s="55">
        <f>'Wet analysis 2016'!AN140</f>
        <v>380.55202663743103</v>
      </c>
      <c r="I157" s="55">
        <f>'Wet analysis 2016'!AW140</f>
        <v>10.37821106284864</v>
      </c>
      <c r="J157" s="55">
        <f>'Wet analysis 2016'!BF140</f>
        <v>9.818687550869468</v>
      </c>
      <c r="K157" s="230"/>
      <c r="L157" s="260">
        <f>'Soil samples'!X140</f>
        <v>4.7960000000000003</v>
      </c>
      <c r="M157" s="230"/>
      <c r="N157" s="230"/>
      <c r="O157" s="59"/>
      <c r="P157" s="230"/>
      <c r="Q157" s="59">
        <f t="shared" si="11"/>
        <v>1.4392082059452346E-2</v>
      </c>
      <c r="R157" s="59">
        <f t="shared" si="12"/>
        <v>1.3584093539506065E-2</v>
      </c>
      <c r="S157" s="59">
        <f t="shared" si="13"/>
        <v>19.027601331871551</v>
      </c>
      <c r="T157" s="59">
        <f t="shared" si="14"/>
        <v>0.51891055314243206</v>
      </c>
      <c r="U157" s="59">
        <f t="shared" si="15"/>
        <v>0.49093437754347341</v>
      </c>
      <c r="V157" s="230"/>
      <c r="W157" s="230"/>
      <c r="X157" s="230"/>
      <c r="Y157" s="230"/>
      <c r="Z157" s="230"/>
      <c r="AA157" s="230"/>
      <c r="AB157" s="230"/>
      <c r="AC157" s="230"/>
    </row>
    <row r="158" spans="1:29" s="52" customFormat="1">
      <c r="A158" s="6" t="s">
        <v>144</v>
      </c>
      <c r="B158" s="6" t="s">
        <v>198</v>
      </c>
      <c r="C158" t="s">
        <v>13</v>
      </c>
      <c r="D158" s="8">
        <v>3</v>
      </c>
      <c r="E158" s="3">
        <v>5</v>
      </c>
      <c r="F158" s="55">
        <f>'Wet analysis 2016'!T141</f>
        <v>0.20753122350221442</v>
      </c>
      <c r="G158" s="55">
        <f>'Wet analysis 2016'!AD141</f>
        <v>8.8872137322039191E-2</v>
      </c>
      <c r="H158" s="55">
        <f>'Wet analysis 2016'!AN141</f>
        <v>153.18098009348094</v>
      </c>
      <c r="I158" s="55">
        <f>'Wet analysis 2016'!AW141</f>
        <v>8.3118680806195684</v>
      </c>
      <c r="J158" s="55">
        <f>'Wet analysis 2016'!BF141</f>
        <v>8.0154647197953128</v>
      </c>
      <c r="K158" s="230"/>
      <c r="L158" s="260">
        <f>'Soil samples'!X141</f>
        <v>4.7720000000000002</v>
      </c>
      <c r="M158" s="230"/>
      <c r="N158" s="230"/>
      <c r="O158" s="59"/>
      <c r="P158" s="230"/>
      <c r="Q158" s="59">
        <f t="shared" si="11"/>
        <v>1.0376561175110722E-2</v>
      </c>
      <c r="R158" s="59">
        <f t="shared" si="12"/>
        <v>4.4436068661019594E-3</v>
      </c>
      <c r="S158" s="59">
        <f t="shared" si="13"/>
        <v>7.6590490046740474</v>
      </c>
      <c r="T158" s="59">
        <f t="shared" si="14"/>
        <v>0.41559340403097844</v>
      </c>
      <c r="U158" s="59">
        <f t="shared" si="15"/>
        <v>0.40077323598976566</v>
      </c>
      <c r="V158" s="230"/>
      <c r="W158" s="230"/>
      <c r="X158" s="230"/>
      <c r="Y158" s="230"/>
      <c r="Z158" s="230"/>
      <c r="AA158" s="230"/>
      <c r="AB158" s="230"/>
      <c r="AC158" s="230"/>
    </row>
    <row r="159" spans="1:29" s="52" customFormat="1">
      <c r="A159" s="252" t="s">
        <v>145</v>
      </c>
      <c r="B159" s="252" t="s">
        <v>198</v>
      </c>
      <c r="C159" s="209" t="s">
        <v>13</v>
      </c>
      <c r="D159" s="252">
        <v>4</v>
      </c>
      <c r="E159" s="253">
        <v>5</v>
      </c>
      <c r="F159" s="254">
        <f>AVERAGE(F153,F155,F158,F161,F165)</f>
        <v>0.10044522242417711</v>
      </c>
      <c r="G159" s="254">
        <f t="shared" ref="G159:J159" si="17">AVERAGE(G153,G155,G158,G161,G165)</f>
        <v>0.1436171056348467</v>
      </c>
      <c r="H159" s="254">
        <f t="shared" si="17"/>
        <v>93.537514740343497</v>
      </c>
      <c r="I159" s="254">
        <f t="shared" si="17"/>
        <v>6.4029205493012782</v>
      </c>
      <c r="J159" s="254">
        <f t="shared" si="17"/>
        <v>6.1588582212422534</v>
      </c>
      <c r="K159" s="230"/>
      <c r="L159" s="262">
        <f>AVERAGE(L155,L165)</f>
        <v>4.8439999999999994</v>
      </c>
      <c r="M159" s="230"/>
      <c r="N159" s="230"/>
      <c r="O159" s="59"/>
      <c r="P159" s="230"/>
      <c r="Q159" s="59">
        <f t="shared" si="11"/>
        <v>5.0222611212088555E-3</v>
      </c>
      <c r="R159" s="59">
        <f t="shared" si="12"/>
        <v>7.1808552817423351E-3</v>
      </c>
      <c r="S159" s="59">
        <f t="shared" si="13"/>
        <v>4.6768757370171752</v>
      </c>
      <c r="T159" s="59">
        <f t="shared" si="14"/>
        <v>0.32014602746506393</v>
      </c>
      <c r="U159" s="59">
        <f t="shared" si="15"/>
        <v>0.30794291106211269</v>
      </c>
      <c r="V159" s="230"/>
      <c r="W159" s="230"/>
      <c r="X159" s="230"/>
      <c r="Y159" s="230"/>
      <c r="Z159" s="230"/>
      <c r="AA159" s="230"/>
      <c r="AB159" s="230"/>
      <c r="AC159" s="230"/>
    </row>
    <row r="160" spans="1:29" s="52" customFormat="1">
      <c r="A160" s="6" t="s">
        <v>146</v>
      </c>
      <c r="B160" s="6" t="s">
        <v>198</v>
      </c>
      <c r="C160" t="s">
        <v>13</v>
      </c>
      <c r="D160" s="8">
        <v>4</v>
      </c>
      <c r="E160" s="3">
        <v>10</v>
      </c>
      <c r="F160" s="55">
        <f>'Wet analysis 2016'!T143</f>
        <v>0.11353823425200531</v>
      </c>
      <c r="G160" s="55">
        <f>'Wet analysis 2016'!AD143</f>
        <v>4.205743889876689E-2</v>
      </c>
      <c r="H160" s="55">
        <f>'Wet analysis 2016'!AN143</f>
        <v>86.683334032856578</v>
      </c>
      <c r="I160" s="55">
        <f>'Wet analysis 2016'!AW143</f>
        <v>3.234535240969497</v>
      </c>
      <c r="J160" s="55">
        <f>'Wet analysis 2016'!BF143</f>
        <v>3.0789395678187241</v>
      </c>
      <c r="K160" s="230"/>
      <c r="L160" s="260">
        <f>'Soil samples'!X143</f>
        <v>5.0629999999999997</v>
      </c>
      <c r="M160" s="230"/>
      <c r="N160" s="230"/>
      <c r="O160" s="59"/>
      <c r="P160" s="230"/>
      <c r="Q160" s="59">
        <f t="shared" si="11"/>
        <v>5.6769117126002659E-3</v>
      </c>
      <c r="R160" s="59">
        <f t="shared" si="12"/>
        <v>2.1028719449383447E-3</v>
      </c>
      <c r="S160" s="59">
        <f t="shared" si="13"/>
        <v>4.3341667016428289</v>
      </c>
      <c r="T160" s="59">
        <f t="shared" si="14"/>
        <v>0.16172676204847486</v>
      </c>
      <c r="U160" s="59">
        <f t="shared" si="15"/>
        <v>0.15394697839093621</v>
      </c>
      <c r="V160" s="230"/>
      <c r="W160" s="230"/>
      <c r="X160" s="230"/>
      <c r="Y160" s="230"/>
      <c r="Z160" s="230"/>
      <c r="AA160" s="230"/>
      <c r="AB160" s="230"/>
      <c r="AC160" s="230"/>
    </row>
    <row r="161" spans="1:29" s="52" customFormat="1">
      <c r="A161" s="6" t="s">
        <v>147</v>
      </c>
      <c r="B161" s="6" t="s">
        <v>198</v>
      </c>
      <c r="C161" t="s">
        <v>13</v>
      </c>
      <c r="D161" s="8">
        <v>5</v>
      </c>
      <c r="E161" s="3">
        <v>5</v>
      </c>
      <c r="F161" s="55">
        <f>'Wet analysis 2016'!T144</f>
        <v>4.1318241648033702E-2</v>
      </c>
      <c r="G161" s="55">
        <f>'Wet analysis 2016'!AD144</f>
        <v>0.17618388501611545</v>
      </c>
      <c r="H161" s="55">
        <f>'Wet analysis 2016'!AN144</f>
        <v>90.124678288122681</v>
      </c>
      <c r="I161" s="55">
        <f>'Wet analysis 2016'!AW144</f>
        <v>2.4670555498793076</v>
      </c>
      <c r="J161" s="55">
        <f>'Wet analysis 2016'!BF144</f>
        <v>2.2495534232151577</v>
      </c>
      <c r="K161" s="230"/>
      <c r="L161" s="262">
        <f>AVERAGE(L155,L165)</f>
        <v>4.8439999999999994</v>
      </c>
      <c r="M161" s="230"/>
      <c r="N161" s="230"/>
      <c r="O161" s="59"/>
      <c r="P161" s="230"/>
      <c r="Q161" s="59">
        <f t="shared" si="11"/>
        <v>2.0659120824016853E-3</v>
      </c>
      <c r="R161" s="59">
        <f t="shared" si="12"/>
        <v>8.8091942508057731E-3</v>
      </c>
      <c r="S161" s="59">
        <f t="shared" si="13"/>
        <v>4.5062339144061339</v>
      </c>
      <c r="T161" s="59">
        <f t="shared" si="14"/>
        <v>0.12335277749396539</v>
      </c>
      <c r="U161" s="59">
        <f t="shared" si="15"/>
        <v>0.11247767116075789</v>
      </c>
      <c r="V161" s="230"/>
      <c r="W161" s="230"/>
      <c r="X161" s="230"/>
      <c r="Y161" s="230"/>
      <c r="Z161" s="230"/>
      <c r="AA161" s="230"/>
      <c r="AB161" s="230"/>
      <c r="AC161" s="230"/>
    </row>
    <row r="162" spans="1:29" s="52" customFormat="1">
      <c r="A162" s="6" t="s">
        <v>148</v>
      </c>
      <c r="B162" s="6" t="s">
        <v>198</v>
      </c>
      <c r="C162" t="s">
        <v>13</v>
      </c>
      <c r="D162" s="8">
        <v>5</v>
      </c>
      <c r="E162" s="3">
        <v>10</v>
      </c>
      <c r="F162" s="55">
        <f>'Wet analysis 2016'!T145</f>
        <v>0.16529412444287392</v>
      </c>
      <c r="G162" s="55">
        <f>'Wet analysis 2016'!AD145</f>
        <v>0.34474570563015788</v>
      </c>
      <c r="H162" s="55">
        <f>'Wet analysis 2016'!AN145</f>
        <v>107.58638720680163</v>
      </c>
      <c r="I162" s="55">
        <f>'Wet analysis 2016'!AW145</f>
        <v>4.8554070669369054</v>
      </c>
      <c r="J162" s="55">
        <f>'Wet analysis 2016'!BF145</f>
        <v>4.3453672368638721</v>
      </c>
      <c r="K162" s="230"/>
      <c r="L162" s="260">
        <f>'Soil samples'!X145</f>
        <v>4.3550000000000004</v>
      </c>
      <c r="M162" s="230"/>
      <c r="N162" s="230"/>
      <c r="O162" s="59"/>
      <c r="P162" s="230"/>
      <c r="Q162" s="59">
        <f t="shared" si="11"/>
        <v>8.2647062221436959E-3</v>
      </c>
      <c r="R162" s="59">
        <f t="shared" si="12"/>
        <v>1.7237285281507895E-2</v>
      </c>
      <c r="S162" s="59">
        <f t="shared" si="13"/>
        <v>5.379319360340082</v>
      </c>
      <c r="T162" s="59">
        <f t="shared" si="14"/>
        <v>0.24277035334684527</v>
      </c>
      <c r="U162" s="59">
        <f t="shared" si="15"/>
        <v>0.21726836184319362</v>
      </c>
      <c r="V162" s="230"/>
      <c r="W162" s="230"/>
      <c r="X162" s="230"/>
      <c r="Y162" s="230"/>
      <c r="Z162" s="230"/>
      <c r="AA162" s="230"/>
      <c r="AB162" s="230"/>
      <c r="AC162" s="230"/>
    </row>
    <row r="163" spans="1:29" s="52" customFormat="1">
      <c r="A163" s="6" t="s">
        <v>149</v>
      </c>
      <c r="B163" s="6" t="s">
        <v>198</v>
      </c>
      <c r="C163" t="s">
        <v>13</v>
      </c>
      <c r="D163" s="8">
        <v>5</v>
      </c>
      <c r="E163" s="3">
        <v>20</v>
      </c>
      <c r="F163" s="55">
        <f>'Wet analysis 2016'!T146</f>
        <v>6.8663120139692613E-2</v>
      </c>
      <c r="G163" s="55">
        <f>'Wet analysis 2016'!AD146</f>
        <v>0.26713929998327113</v>
      </c>
      <c r="H163" s="55">
        <f>'Wet analysis 2016'!AN146</f>
        <v>117.71173807195109</v>
      </c>
      <c r="I163" s="55">
        <f>'Wet analysis 2016'!AW146</f>
        <v>4.1085409410602276</v>
      </c>
      <c r="J163" s="55">
        <f>'Wet analysis 2016'!BF146</f>
        <v>3.7727385209372644</v>
      </c>
      <c r="K163" s="230"/>
      <c r="L163" s="260">
        <f>'Soil samples'!X146</f>
        <v>5.0720000000000001</v>
      </c>
      <c r="M163" s="230"/>
      <c r="N163" s="230"/>
      <c r="O163" s="59"/>
      <c r="P163" s="230"/>
      <c r="Q163" s="59">
        <f t="shared" si="11"/>
        <v>3.4331560069846309E-3</v>
      </c>
      <c r="R163" s="59">
        <f t="shared" si="12"/>
        <v>1.3356964999163556E-2</v>
      </c>
      <c r="S163" s="59">
        <f t="shared" si="13"/>
        <v>5.885586903597555</v>
      </c>
      <c r="T163" s="59">
        <f t="shared" si="14"/>
        <v>0.2054270470530114</v>
      </c>
      <c r="U163" s="59">
        <f t="shared" si="15"/>
        <v>0.18863692604686322</v>
      </c>
      <c r="V163" s="230"/>
      <c r="W163" s="230"/>
      <c r="X163" s="230"/>
      <c r="Y163" s="230"/>
      <c r="Z163" s="230"/>
      <c r="AA163" s="230"/>
      <c r="AB163" s="230"/>
      <c r="AC163" s="230"/>
    </row>
    <row r="164" spans="1:29" s="52" customFormat="1">
      <c r="A164" s="6" t="s">
        <v>150</v>
      </c>
      <c r="B164" s="6" t="s">
        <v>198</v>
      </c>
      <c r="C164" t="s">
        <v>13</v>
      </c>
      <c r="D164" s="8">
        <v>5</v>
      </c>
      <c r="E164" s="3">
        <v>30</v>
      </c>
      <c r="F164" s="55">
        <f>'Wet analysis 2016'!T147</f>
        <v>6.3333280279163365E-2</v>
      </c>
      <c r="G164" s="55">
        <f>'Wet analysis 2016'!AD147</f>
        <v>0.71790888986919299</v>
      </c>
      <c r="H164" s="55">
        <f>'Wet analysis 2016'!AN147</f>
        <v>211.21549686979205</v>
      </c>
      <c r="I164" s="55">
        <f>'Wet analysis 2016'!AW147</f>
        <v>2.7882961447616053</v>
      </c>
      <c r="J164" s="55">
        <f>'Wet analysis 2016'!BF147</f>
        <v>2.0070539746132487</v>
      </c>
      <c r="K164" s="230"/>
      <c r="L164" s="260">
        <f>'Soil samples'!X147</f>
        <v>4.6189999999999998</v>
      </c>
      <c r="M164" s="230"/>
      <c r="N164" s="230"/>
      <c r="O164" s="59"/>
      <c r="P164" s="230"/>
      <c r="Q164" s="59">
        <f t="shared" si="11"/>
        <v>3.1666640139581684E-3</v>
      </c>
      <c r="R164" s="59">
        <f t="shared" si="12"/>
        <v>3.5895444493459654E-2</v>
      </c>
      <c r="S164" s="59">
        <f t="shared" si="13"/>
        <v>10.560774843489604</v>
      </c>
      <c r="T164" s="59">
        <f t="shared" si="14"/>
        <v>0.13941480723808028</v>
      </c>
      <c r="U164" s="59">
        <f t="shared" si="15"/>
        <v>0.10035269873066244</v>
      </c>
      <c r="V164" s="230"/>
      <c r="W164" s="230"/>
      <c r="X164" s="230"/>
      <c r="Y164" s="230"/>
      <c r="Z164" s="230"/>
      <c r="AA164" s="230"/>
      <c r="AB164" s="230"/>
      <c r="AC164" s="230"/>
    </row>
    <row r="165" spans="1:29" s="52" customFormat="1">
      <c r="A165" s="6" t="s">
        <v>151</v>
      </c>
      <c r="B165" s="6" t="s">
        <v>198</v>
      </c>
      <c r="C165" t="s">
        <v>13</v>
      </c>
      <c r="D165" s="8">
        <v>6</v>
      </c>
      <c r="E165" s="3">
        <v>5</v>
      </c>
      <c r="F165" s="55">
        <f>'Wet analysis 2016'!T148</f>
        <v>3.3020567069028971E-2</v>
      </c>
      <c r="G165" s="55">
        <f>'Wet analysis 2016'!AD148</f>
        <v>0.45302950583607882</v>
      </c>
      <c r="H165" s="55">
        <f>'Wet analysis 2016'!AN148</f>
        <v>114.18635316565772</v>
      </c>
      <c r="I165" s="55">
        <f>'Wet analysis 2016'!AW148</f>
        <v>14.419494294160405</v>
      </c>
      <c r="J165" s="55">
        <f>'Wet analysis 2016'!BF148</f>
        <v>13.933444221255296</v>
      </c>
      <c r="K165" s="230"/>
      <c r="L165" s="260">
        <f>'Soil samples'!X148</f>
        <v>5.1139999999999999</v>
      </c>
      <c r="M165" s="230"/>
      <c r="N165" s="230"/>
      <c r="O165" s="59"/>
      <c r="P165" s="230"/>
      <c r="Q165" s="59">
        <f t="shared" si="11"/>
        <v>1.6510283534514486E-3</v>
      </c>
      <c r="R165" s="59">
        <f t="shared" si="12"/>
        <v>2.2651475291803943E-2</v>
      </c>
      <c r="S165" s="59">
        <f t="shared" si="13"/>
        <v>5.7093176582828864</v>
      </c>
      <c r="T165" s="59">
        <f t="shared" si="14"/>
        <v>0.72097471470802033</v>
      </c>
      <c r="U165" s="59">
        <f t="shared" si="15"/>
        <v>0.69667221106276489</v>
      </c>
      <c r="V165" s="230"/>
      <c r="W165" s="230"/>
      <c r="X165" s="230"/>
      <c r="Y165" s="230"/>
      <c r="Z165" s="230"/>
      <c r="AA165" s="230"/>
      <c r="AB165" s="230"/>
      <c r="AC165" s="230"/>
    </row>
    <row r="166" spans="1:29" s="52" customFormat="1">
      <c r="A166" s="6" t="s">
        <v>152</v>
      </c>
      <c r="B166" s="6" t="s">
        <v>198</v>
      </c>
      <c r="C166" t="s">
        <v>13</v>
      </c>
      <c r="D166" s="8">
        <v>6</v>
      </c>
      <c r="E166" s="3">
        <v>10</v>
      </c>
      <c r="F166" s="55">
        <f>'Wet analysis 2016'!T149</f>
        <v>5.4705289499036885E-2</v>
      </c>
      <c r="G166" s="55">
        <f>'Wet analysis 2016'!AD149</f>
        <v>2.9521897094367831E-2</v>
      </c>
      <c r="H166" s="55">
        <f>'Wet analysis 2016'!AN149</f>
        <v>752.1320983551343</v>
      </c>
      <c r="I166" s="55">
        <f>'Wet analysis 2016'!AW149</f>
        <v>4.6439032897331032</v>
      </c>
      <c r="J166" s="55">
        <f>'Wet analysis 2016'!BF149</f>
        <v>4.5596761031396982</v>
      </c>
      <c r="K166" s="230"/>
      <c r="L166" s="260">
        <f>'Soil samples'!X149</f>
        <v>5.0339999999999998</v>
      </c>
      <c r="M166" s="230"/>
      <c r="N166" s="230"/>
      <c r="O166" s="59"/>
      <c r="P166" s="230"/>
      <c r="Q166" s="59">
        <f t="shared" si="11"/>
        <v>2.7352644749518446E-3</v>
      </c>
      <c r="R166" s="59">
        <f t="shared" si="12"/>
        <v>1.4760948547183916E-3</v>
      </c>
      <c r="S166" s="59">
        <f t="shared" si="13"/>
        <v>37.606604917756719</v>
      </c>
      <c r="T166" s="59">
        <f t="shared" si="14"/>
        <v>0.23219516448665517</v>
      </c>
      <c r="U166" s="59">
        <f t="shared" si="15"/>
        <v>0.22798380515698491</v>
      </c>
      <c r="V166" s="230"/>
      <c r="W166" s="230"/>
      <c r="X166" s="230"/>
      <c r="Y166" s="230"/>
      <c r="Z166" s="230"/>
      <c r="AA166" s="230"/>
      <c r="AB166" s="230"/>
      <c r="AC166" s="230"/>
    </row>
    <row r="167" spans="1:29" s="52" customFormat="1">
      <c r="A167" s="7" t="s">
        <v>153</v>
      </c>
      <c r="B167" s="7" t="s">
        <v>198</v>
      </c>
      <c r="C167" s="4" t="s">
        <v>13</v>
      </c>
      <c r="D167" s="4">
        <v>6</v>
      </c>
      <c r="E167" s="5">
        <v>20</v>
      </c>
      <c r="F167" s="55">
        <f>'Wet analysis 2016'!T150</f>
        <v>8.1965788181386334E-2</v>
      </c>
      <c r="G167" s="55">
        <f>'Wet analysis 2016'!AD150</f>
        <v>0.21099015545984087</v>
      </c>
      <c r="H167" s="55">
        <f>'Wet analysis 2016'!AN150</f>
        <v>823.34198614906734</v>
      </c>
      <c r="I167" s="55">
        <f>'Wet analysis 2016'!AW150</f>
        <v>4.9850763181739772</v>
      </c>
      <c r="J167" s="55">
        <f>'Wet analysis 2016'!BF150</f>
        <v>4.6921203745327507</v>
      </c>
      <c r="K167" s="230"/>
      <c r="L167" s="260">
        <f>'Soil samples'!X150</f>
        <v>4.9359999999999999</v>
      </c>
      <c r="M167" s="230"/>
      <c r="N167" s="230"/>
      <c r="O167" s="59"/>
      <c r="P167" s="230"/>
      <c r="Q167" s="59">
        <f t="shared" si="11"/>
        <v>4.0982894090693172E-3</v>
      </c>
      <c r="R167" s="59">
        <f t="shared" si="12"/>
        <v>1.0549507772992045E-2</v>
      </c>
      <c r="S167" s="59">
        <f t="shared" si="13"/>
        <v>41.16709930745337</v>
      </c>
      <c r="T167" s="59">
        <f t="shared" si="14"/>
        <v>0.24925381590869888</v>
      </c>
      <c r="U167" s="59">
        <f t="shared" si="15"/>
        <v>0.23460601872663756</v>
      </c>
      <c r="V167" s="230"/>
      <c r="W167" s="230"/>
      <c r="X167" s="230"/>
      <c r="Y167" s="230"/>
      <c r="Z167" s="230"/>
      <c r="AA167" s="230"/>
      <c r="AB167" s="230"/>
      <c r="AC167" s="230"/>
    </row>
    <row r="168" spans="1:29" s="228" customFormat="1">
      <c r="A168" s="223" t="s">
        <v>154</v>
      </c>
      <c r="B168" s="223" t="s">
        <v>548</v>
      </c>
      <c r="C168" s="224" t="s">
        <v>12</v>
      </c>
      <c r="D168" s="223">
        <v>1</v>
      </c>
      <c r="E168" s="225">
        <v>5</v>
      </c>
      <c r="F168" s="226">
        <f>'Wet analysis 2017'!T43</f>
        <v>2.8639029040727189</v>
      </c>
      <c r="G168" s="226">
        <f>'Wet analysis 2017'!AD43</f>
        <v>0.39932101970535672</v>
      </c>
      <c r="H168" s="226">
        <f>'Wet analysis 2017'!AN43</f>
        <v>12.441939636375935</v>
      </c>
      <c r="I168" s="226">
        <f>'Wet analysis 2017'!AW43</f>
        <v>9.0170882638483612</v>
      </c>
      <c r="J168" s="226">
        <f>'Wet analysis 2017'!BF43</f>
        <v>5.7538643400702858</v>
      </c>
      <c r="K168" s="230"/>
      <c r="L168" s="261">
        <f>'Soil samples 2017'!X43</f>
        <v>6.4619999999999997</v>
      </c>
      <c r="M168" s="230"/>
      <c r="N168" s="230"/>
      <c r="O168" s="59"/>
      <c r="P168" s="230"/>
      <c r="Q168" s="59">
        <f t="shared" si="11"/>
        <v>0.14319514520363594</v>
      </c>
      <c r="R168" s="59">
        <f t="shared" si="12"/>
        <v>1.9966050985267839E-2</v>
      </c>
      <c r="S168" s="59">
        <f t="shared" si="13"/>
        <v>0.6220969818187968</v>
      </c>
      <c r="T168" s="59">
        <f t="shared" si="14"/>
        <v>0.45085441319241809</v>
      </c>
      <c r="U168" s="59">
        <f t="shared" si="15"/>
        <v>0.2876932170035143</v>
      </c>
      <c r="V168" s="230"/>
      <c r="W168" s="230"/>
      <c r="X168" s="230"/>
      <c r="Y168" s="230"/>
      <c r="Z168" s="230"/>
      <c r="AA168" s="230"/>
      <c r="AB168" s="230"/>
      <c r="AC168" s="230"/>
    </row>
    <row r="169" spans="1:29" s="52" customFormat="1">
      <c r="A169" s="6" t="s">
        <v>155</v>
      </c>
      <c r="B169" s="6" t="s">
        <v>548</v>
      </c>
      <c r="C169" t="s">
        <v>12</v>
      </c>
      <c r="D169" s="8">
        <v>1</v>
      </c>
      <c r="E169" s="3">
        <v>10</v>
      </c>
      <c r="F169" s="55">
        <f>'Wet analysis 2016'!T152</f>
        <v>2.1538169639811446</v>
      </c>
      <c r="G169" s="55">
        <f>'Wet analysis 2016'!AD152</f>
        <v>2.3592970395663322</v>
      </c>
      <c r="H169" s="55">
        <f>'Wet analysis 2016'!AN152</f>
        <v>232.90053757202386</v>
      </c>
      <c r="I169" s="55">
        <f>'Wet analysis 2016'!AW152</f>
        <v>33.049979717077711</v>
      </c>
      <c r="J169" s="55">
        <f>'Wet analysis 2016'!BF152</f>
        <v>28.536865713530236</v>
      </c>
      <c r="K169" s="230"/>
      <c r="L169" s="260">
        <f>'Soil samples'!X152</f>
        <v>6.8719999999999999</v>
      </c>
      <c r="M169" s="230"/>
      <c r="N169" s="230"/>
      <c r="O169" s="59"/>
      <c r="P169" s="230"/>
      <c r="Q169" s="59">
        <f t="shared" si="11"/>
        <v>0.10769084819905723</v>
      </c>
      <c r="R169" s="59">
        <f t="shared" si="12"/>
        <v>0.11796485197831662</v>
      </c>
      <c r="S169" s="59">
        <f t="shared" si="13"/>
        <v>11.645026878601193</v>
      </c>
      <c r="T169" s="59">
        <f t="shared" si="14"/>
        <v>1.6524989858538857</v>
      </c>
      <c r="U169" s="59">
        <f t="shared" si="15"/>
        <v>1.4268432856765119</v>
      </c>
      <c r="V169" s="230"/>
      <c r="W169" s="230"/>
      <c r="X169" s="230"/>
      <c r="Y169" s="230"/>
      <c r="Z169" s="230"/>
      <c r="AA169" s="230"/>
      <c r="AB169" s="230"/>
      <c r="AC169" s="230"/>
    </row>
    <row r="170" spans="1:29" s="52" customFormat="1">
      <c r="A170" s="6" t="s">
        <v>156</v>
      </c>
      <c r="B170" s="6" t="s">
        <v>548</v>
      </c>
      <c r="C170" t="s">
        <v>12</v>
      </c>
      <c r="D170" s="8">
        <v>1</v>
      </c>
      <c r="E170" s="3">
        <v>20</v>
      </c>
      <c r="F170" s="55">
        <f>'Wet analysis 2016'!T153</f>
        <v>0.95257891039383136</v>
      </c>
      <c r="G170" s="55">
        <f>'Wet analysis 2016'!AD153</f>
        <v>0.78212071970084462</v>
      </c>
      <c r="H170" s="55">
        <f>'Wet analysis 2016'!AN153</f>
        <v>171.13278804570268</v>
      </c>
      <c r="I170" s="55">
        <f>'Wet analysis 2016'!AW153</f>
        <v>26.924064557445242</v>
      </c>
      <c r="J170" s="55">
        <f>'Wet analysis 2016'!BF153</f>
        <v>25.189364927350567</v>
      </c>
      <c r="K170" s="230"/>
      <c r="L170" s="260">
        <f>'Soil samples'!X153</f>
        <v>5.6619999999999999</v>
      </c>
      <c r="M170" s="230"/>
      <c r="N170" s="230"/>
      <c r="O170" s="59"/>
      <c r="P170" s="230"/>
      <c r="Q170" s="59">
        <f t="shared" si="11"/>
        <v>4.7628945519691573E-2</v>
      </c>
      <c r="R170" s="59">
        <f t="shared" si="12"/>
        <v>3.9106035985042233E-2</v>
      </c>
      <c r="S170" s="59">
        <f t="shared" si="13"/>
        <v>8.5566394022851338</v>
      </c>
      <c r="T170" s="59">
        <f t="shared" si="14"/>
        <v>1.3462032278722622</v>
      </c>
      <c r="U170" s="59">
        <f t="shared" si="15"/>
        <v>1.2594682463675284</v>
      </c>
      <c r="V170" s="230"/>
      <c r="W170" s="230"/>
      <c r="X170" s="230"/>
      <c r="Y170" s="230"/>
      <c r="Z170" s="230"/>
      <c r="AA170" s="230"/>
      <c r="AB170" s="230"/>
      <c r="AC170" s="230"/>
    </row>
    <row r="171" spans="1:29" s="52" customFormat="1">
      <c r="A171" s="6" t="s">
        <v>157</v>
      </c>
      <c r="B171" s="6" t="s">
        <v>548</v>
      </c>
      <c r="C171" t="s">
        <v>12</v>
      </c>
      <c r="D171" s="8">
        <v>1</v>
      </c>
      <c r="E171" s="3">
        <v>30</v>
      </c>
      <c r="F171" s="55">
        <f>'Wet analysis 2016'!T154</f>
        <v>2.8206983104032179</v>
      </c>
      <c r="G171" s="55">
        <f>'Wet analysis 2016'!AD154</f>
        <v>0.41931608256818437</v>
      </c>
      <c r="H171" s="55">
        <f>'Wet analysis 2016'!AN154</f>
        <v>196.26332623168869</v>
      </c>
      <c r="I171" s="55">
        <f>'Wet analysis 2016'!AW154</f>
        <v>25.148679791814995</v>
      </c>
      <c r="J171" s="55">
        <f>'Wet analysis 2016'!BF154</f>
        <v>21.908665398843596</v>
      </c>
      <c r="K171" s="230"/>
      <c r="L171" s="260">
        <f>'Soil samples'!X154</f>
        <v>5.101</v>
      </c>
      <c r="M171" s="230"/>
      <c r="N171" s="230"/>
      <c r="O171" s="59"/>
      <c r="P171" s="230"/>
      <c r="Q171" s="59">
        <f t="shared" si="11"/>
        <v>0.1410349155201609</v>
      </c>
      <c r="R171" s="59">
        <f t="shared" si="12"/>
        <v>2.0965804128409218E-2</v>
      </c>
      <c r="S171" s="59">
        <f t="shared" si="13"/>
        <v>9.8131663115844354</v>
      </c>
      <c r="T171" s="59">
        <f t="shared" si="14"/>
        <v>1.2574339895907498</v>
      </c>
      <c r="U171" s="59">
        <f t="shared" si="15"/>
        <v>1.0954332699421798</v>
      </c>
      <c r="V171" s="230"/>
      <c r="W171" s="230"/>
      <c r="X171" s="230"/>
      <c r="Y171" s="230"/>
      <c r="Z171" s="230"/>
      <c r="AA171" s="230"/>
      <c r="AB171" s="230"/>
      <c r="AC171" s="230"/>
    </row>
    <row r="172" spans="1:29" s="228" customFormat="1">
      <c r="A172" s="223" t="s">
        <v>158</v>
      </c>
      <c r="B172" s="223" t="s">
        <v>548</v>
      </c>
      <c r="C172" s="224" t="s">
        <v>12</v>
      </c>
      <c r="D172" s="223">
        <v>2</v>
      </c>
      <c r="E172" s="225">
        <v>5</v>
      </c>
      <c r="F172" s="226">
        <f>'Wet analysis 2017'!T44</f>
        <v>0</v>
      </c>
      <c r="G172" s="226">
        <f>'Wet analysis 2017'!AD44</f>
        <v>0</v>
      </c>
      <c r="H172" s="226">
        <f>'Wet analysis 2017'!AN44</f>
        <v>0</v>
      </c>
      <c r="I172" s="226">
        <f>'Wet analysis 2017'!AW44</f>
        <v>0</v>
      </c>
      <c r="J172" s="226">
        <f>'Wet analysis 2017'!BF44</f>
        <v>0</v>
      </c>
      <c r="K172" s="230"/>
      <c r="L172" s="261">
        <f>'Soil samples 2017'!X44</f>
        <v>5.2089999999999996</v>
      </c>
      <c r="M172" s="230"/>
      <c r="N172" s="230"/>
      <c r="O172" s="59"/>
      <c r="P172" s="230"/>
      <c r="Q172" s="59">
        <f t="shared" si="11"/>
        <v>0</v>
      </c>
      <c r="R172" s="59">
        <f t="shared" si="12"/>
        <v>0</v>
      </c>
      <c r="S172" s="59">
        <f t="shared" si="13"/>
        <v>0</v>
      </c>
      <c r="T172" s="59">
        <f t="shared" si="14"/>
        <v>0</v>
      </c>
      <c r="U172" s="59">
        <f t="shared" si="15"/>
        <v>0</v>
      </c>
      <c r="V172" s="230"/>
      <c r="W172" s="230"/>
      <c r="X172" s="230"/>
      <c r="Y172" s="230"/>
      <c r="Z172" s="230"/>
      <c r="AA172" s="230"/>
      <c r="AB172" s="230"/>
      <c r="AC172" s="230"/>
    </row>
    <row r="173" spans="1:29" s="52" customFormat="1">
      <c r="A173" s="6" t="s">
        <v>159</v>
      </c>
      <c r="B173" s="6" t="s">
        <v>548</v>
      </c>
      <c r="C173" t="s">
        <v>12</v>
      </c>
      <c r="D173" s="8">
        <v>2</v>
      </c>
      <c r="E173" s="3">
        <v>10</v>
      </c>
      <c r="F173" s="55">
        <f>'Wet analysis 2016'!T156</f>
        <v>0.85482057767568742</v>
      </c>
      <c r="G173" s="55">
        <f>'Wet analysis 2016'!AD156</f>
        <v>2.1660815431028722</v>
      </c>
      <c r="H173" s="55">
        <f>'Wet analysis 2016'!AN156</f>
        <v>305.5410306545291</v>
      </c>
      <c r="I173" s="55">
        <f>'Wet analysis 2016'!AW156</f>
        <v>21.901743779756618</v>
      </c>
      <c r="J173" s="55">
        <f>'Wet analysis 2016'!BF156</f>
        <v>18.880841658978053</v>
      </c>
      <c r="K173" s="230"/>
      <c r="L173" s="260">
        <f>'Soil samples'!X156</f>
        <v>5.9870000000000001</v>
      </c>
      <c r="M173" s="230"/>
      <c r="N173" s="230"/>
      <c r="O173" s="59"/>
      <c r="P173" s="230"/>
      <c r="Q173" s="59">
        <f t="shared" si="11"/>
        <v>4.2741028883784372E-2</v>
      </c>
      <c r="R173" s="59">
        <f t="shared" si="12"/>
        <v>0.10830407715514362</v>
      </c>
      <c r="S173" s="59">
        <f t="shared" si="13"/>
        <v>15.277051532726455</v>
      </c>
      <c r="T173" s="59">
        <f t="shared" si="14"/>
        <v>1.0950871889878309</v>
      </c>
      <c r="U173" s="59">
        <f t="shared" si="15"/>
        <v>0.94404208294890268</v>
      </c>
      <c r="V173" s="230"/>
      <c r="W173" s="230"/>
      <c r="X173" s="230"/>
      <c r="Y173" s="230"/>
      <c r="Z173" s="230"/>
      <c r="AA173" s="230"/>
      <c r="AB173" s="230"/>
      <c r="AC173" s="230"/>
    </row>
    <row r="174" spans="1:29" s="52" customFormat="1">
      <c r="A174" s="6" t="s">
        <v>160</v>
      </c>
      <c r="B174" s="6" t="s">
        <v>548</v>
      </c>
      <c r="C174" t="s">
        <v>12</v>
      </c>
      <c r="D174" s="8">
        <v>2</v>
      </c>
      <c r="E174" s="3">
        <v>20</v>
      </c>
      <c r="F174" s="55">
        <f>'Wet analysis 2016'!T157</f>
        <v>1.0620247199550155</v>
      </c>
      <c r="G174" s="55">
        <f>'Wet analysis 2016'!AD157</f>
        <v>0.91046649651321687</v>
      </c>
      <c r="H174" s="55">
        <f>'Wet analysis 2016'!AN157</f>
        <v>173.72831330701734</v>
      </c>
      <c r="I174" s="55">
        <f>'Wet analysis 2016'!AW157</f>
        <v>21.712046148610341</v>
      </c>
      <c r="J174" s="55">
        <f>'Wet analysis 2016'!BF157</f>
        <v>19.739554932142106</v>
      </c>
      <c r="K174" s="230"/>
      <c r="L174" s="260">
        <f>'Soil samples'!X157</f>
        <v>5.49</v>
      </c>
      <c r="M174" s="230"/>
      <c r="N174" s="230"/>
      <c r="O174" s="59"/>
      <c r="P174" s="230"/>
      <c r="Q174" s="59">
        <f t="shared" si="11"/>
        <v>5.3101235997750774E-2</v>
      </c>
      <c r="R174" s="59">
        <f t="shared" si="12"/>
        <v>4.5523324825660849E-2</v>
      </c>
      <c r="S174" s="59">
        <f t="shared" si="13"/>
        <v>8.686415665350868</v>
      </c>
      <c r="T174" s="59">
        <f t="shared" si="14"/>
        <v>1.085602307430517</v>
      </c>
      <c r="U174" s="59">
        <f t="shared" si="15"/>
        <v>0.98697774660710536</v>
      </c>
      <c r="V174" s="230"/>
      <c r="W174" s="230"/>
      <c r="X174" s="230"/>
      <c r="Y174" s="230"/>
      <c r="Z174" s="230"/>
      <c r="AA174" s="230"/>
      <c r="AB174" s="230"/>
      <c r="AC174" s="230"/>
    </row>
    <row r="175" spans="1:29" s="52" customFormat="1">
      <c r="A175" s="6" t="s">
        <v>161</v>
      </c>
      <c r="B175" s="6" t="s">
        <v>548</v>
      </c>
      <c r="C175" t="s">
        <v>12</v>
      </c>
      <c r="D175" s="8">
        <v>2</v>
      </c>
      <c r="E175" s="3">
        <v>30</v>
      </c>
      <c r="F175" s="55">
        <f>'Wet analysis 2016'!T158</f>
        <v>6.6790075233423805</v>
      </c>
      <c r="G175" s="55">
        <f>'Wet analysis 2016'!AD158</f>
        <v>1.2398492721775201</v>
      </c>
      <c r="H175" s="55">
        <f>'Wet analysis 2016'!AN158</f>
        <v>213.33850596725486</v>
      </c>
      <c r="I175" s="55">
        <f>'Wet analysis 2016'!AW158</f>
        <v>29.779266830845053</v>
      </c>
      <c r="J175" s="55">
        <f>'Wet analysis 2016'!BF158</f>
        <v>21.860410035325152</v>
      </c>
      <c r="K175" s="230"/>
      <c r="L175" s="260">
        <f>'Soil samples'!X158</f>
        <v>5.27</v>
      </c>
      <c r="M175" s="230"/>
      <c r="N175" s="230"/>
      <c r="O175" s="59"/>
      <c r="P175" s="230"/>
      <c r="Q175" s="59">
        <f t="shared" si="11"/>
        <v>0.33395037616711903</v>
      </c>
      <c r="R175" s="59">
        <f t="shared" si="12"/>
        <v>6.1992463608876003E-2</v>
      </c>
      <c r="S175" s="59">
        <f t="shared" si="13"/>
        <v>10.666925298362743</v>
      </c>
      <c r="T175" s="59">
        <f t="shared" si="14"/>
        <v>1.4889633415422527</v>
      </c>
      <c r="U175" s="59">
        <f t="shared" si="15"/>
        <v>1.0930205017662578</v>
      </c>
      <c r="V175" s="230"/>
      <c r="W175" s="230"/>
      <c r="X175" s="230"/>
      <c r="Y175" s="230"/>
      <c r="Z175" s="230"/>
      <c r="AA175" s="230"/>
      <c r="AB175" s="230"/>
      <c r="AC175" s="230"/>
    </row>
    <row r="176" spans="1:29" s="228" customFormat="1">
      <c r="A176" s="223" t="s">
        <v>162</v>
      </c>
      <c r="B176" s="223" t="s">
        <v>548</v>
      </c>
      <c r="C176" s="224" t="s">
        <v>12</v>
      </c>
      <c r="D176" s="223">
        <v>3</v>
      </c>
      <c r="E176" s="225">
        <v>5</v>
      </c>
      <c r="F176" s="226">
        <f>'Wet analysis 2017'!T45</f>
        <v>3.8745505788965663E-2</v>
      </c>
      <c r="G176" s="226">
        <f>'Wet analysis 2017'!AD45</f>
        <v>2.2979797688264276</v>
      </c>
      <c r="H176" s="226">
        <f>'Wet analysis 2017'!AN45</f>
        <v>43.130380772527076</v>
      </c>
      <c r="I176" s="226">
        <f>'Wet analysis 2017'!AW45</f>
        <v>6.6059227321662775</v>
      </c>
      <c r="J176" s="226">
        <f>'Wet analysis 2017'!BF45</f>
        <v>4.2691974575508853</v>
      </c>
      <c r="K176" s="230"/>
      <c r="L176" s="262">
        <f>AVERAGE(L168,L172,L184,L188)</f>
        <v>5.3987499999999997</v>
      </c>
      <c r="M176" s="230"/>
      <c r="N176" s="230"/>
      <c r="O176" s="59"/>
      <c r="P176" s="230"/>
      <c r="Q176" s="59">
        <f t="shared" si="11"/>
        <v>1.9372752894482833E-3</v>
      </c>
      <c r="R176" s="59">
        <f t="shared" si="12"/>
        <v>0.11489898844132139</v>
      </c>
      <c r="S176" s="59">
        <f t="shared" si="13"/>
        <v>2.156519038626354</v>
      </c>
      <c r="T176" s="59">
        <f t="shared" si="14"/>
        <v>0.33029613660831392</v>
      </c>
      <c r="U176" s="59">
        <f t="shared" si="15"/>
        <v>0.21345987287754428</v>
      </c>
      <c r="V176" s="230"/>
      <c r="W176" s="230"/>
      <c r="X176" s="230"/>
      <c r="Y176" s="230"/>
      <c r="Z176" s="230"/>
      <c r="AA176" s="230"/>
      <c r="AB176" s="230"/>
      <c r="AC176" s="230"/>
    </row>
    <row r="177" spans="1:29" s="228" customFormat="1">
      <c r="A177" s="223" t="s">
        <v>163</v>
      </c>
      <c r="B177" s="223" t="s">
        <v>548</v>
      </c>
      <c r="C177" s="224" t="s">
        <v>12</v>
      </c>
      <c r="D177" s="223">
        <v>3</v>
      </c>
      <c r="E177" s="225">
        <v>10</v>
      </c>
      <c r="F177" s="226">
        <f>'Wet analysis 2017'!T46</f>
        <v>5.6883450446866074E-2</v>
      </c>
      <c r="G177" s="226">
        <f>'Wet analysis 2017'!AD46</f>
        <v>0.9286960805707466</v>
      </c>
      <c r="H177" s="226">
        <f>'Wet analysis 2017'!AN46</f>
        <v>24.362636082009271</v>
      </c>
      <c r="I177" s="226">
        <f>'Wet analysis 2017'!AW46</f>
        <v>3.9456175703606546</v>
      </c>
      <c r="J177" s="226">
        <f>'Wet analysis 2017'!BF46</f>
        <v>2.9600380393430417</v>
      </c>
      <c r="K177" s="230"/>
      <c r="L177" s="261">
        <f>'Soil samples 2017'!X46</f>
        <v>5.6749999999999998</v>
      </c>
      <c r="M177" s="230"/>
      <c r="N177" s="230"/>
      <c r="O177" s="59"/>
      <c r="P177" s="230"/>
      <c r="Q177" s="59">
        <f t="shared" si="11"/>
        <v>2.8441725223433039E-3</v>
      </c>
      <c r="R177" s="59">
        <f t="shared" si="12"/>
        <v>4.6434804028537335E-2</v>
      </c>
      <c r="S177" s="59">
        <f t="shared" si="13"/>
        <v>1.2181318041004636</v>
      </c>
      <c r="T177" s="59">
        <f t="shared" si="14"/>
        <v>0.19728087851803275</v>
      </c>
      <c r="U177" s="59">
        <f t="shared" si="15"/>
        <v>0.1480019019671521</v>
      </c>
      <c r="V177" s="230"/>
      <c r="W177" s="230"/>
      <c r="X177" s="230"/>
      <c r="Y177" s="230"/>
      <c r="Z177" s="230"/>
      <c r="AA177" s="230"/>
      <c r="AB177" s="230"/>
      <c r="AC177" s="230"/>
    </row>
    <row r="178" spans="1:29" s="52" customFormat="1">
      <c r="A178" s="6" t="s">
        <v>164</v>
      </c>
      <c r="B178" s="6" t="s">
        <v>548</v>
      </c>
      <c r="C178" t="s">
        <v>12</v>
      </c>
      <c r="D178" s="8">
        <v>3</v>
      </c>
      <c r="E178" s="3">
        <v>20</v>
      </c>
      <c r="F178" s="55">
        <f>'Wet analysis 2016'!T161</f>
        <v>0.69841676337894232</v>
      </c>
      <c r="G178" s="55">
        <f>'Wet analysis 2016'!AD161</f>
        <v>1.477944135830795</v>
      </c>
      <c r="H178" s="55">
        <f>'Wet analysis 2016'!AN161</f>
        <v>282.94004078377469</v>
      </c>
      <c r="I178" s="55">
        <f>'Wet analysis 2016'!AW161</f>
        <v>10.094188378874023</v>
      </c>
      <c r="J178" s="55">
        <f>'Wet analysis 2016'!BF161</f>
        <v>7.9178274796642851</v>
      </c>
      <c r="K178" s="230"/>
      <c r="L178" s="260">
        <f>'Soil samples'!X161</f>
        <v>5.3449999999999998</v>
      </c>
      <c r="M178" s="230"/>
      <c r="N178" s="230"/>
      <c r="O178" s="59"/>
      <c r="P178" s="230"/>
      <c r="Q178" s="59">
        <f t="shared" si="11"/>
        <v>3.4920838168947116E-2</v>
      </c>
      <c r="R178" s="59">
        <f t="shared" si="12"/>
        <v>7.3897206791539757E-2</v>
      </c>
      <c r="S178" s="59">
        <f t="shared" si="13"/>
        <v>14.147002039188735</v>
      </c>
      <c r="T178" s="59">
        <f t="shared" si="14"/>
        <v>0.50470941894370114</v>
      </c>
      <c r="U178" s="59">
        <f t="shared" si="15"/>
        <v>0.39589137398321428</v>
      </c>
      <c r="V178" s="230"/>
      <c r="W178" s="230"/>
      <c r="X178" s="230"/>
      <c r="Y178" s="230"/>
      <c r="Z178" s="230"/>
      <c r="AA178" s="230"/>
      <c r="AB178" s="230"/>
      <c r="AC178" s="230"/>
    </row>
    <row r="179" spans="1:29" s="52" customFormat="1">
      <c r="A179" s="6" t="s">
        <v>165</v>
      </c>
      <c r="B179" s="6" t="s">
        <v>548</v>
      </c>
      <c r="C179" t="s">
        <v>12</v>
      </c>
      <c r="D179" s="8">
        <v>3</v>
      </c>
      <c r="E179" s="3">
        <v>30</v>
      </c>
      <c r="F179" s="55">
        <f>'Wet analysis 2016'!T162</f>
        <v>0.4291020057761758</v>
      </c>
      <c r="G179" s="55">
        <f>'Wet analysis 2016'!AD162</f>
        <v>0.89049934073607773</v>
      </c>
      <c r="H179" s="55">
        <f>'Wet analysis 2016'!AN162</f>
        <v>263.0775934605648</v>
      </c>
      <c r="I179" s="55">
        <f>'Wet analysis 2016'!AW162</f>
        <v>11.527492633492392</v>
      </c>
      <c r="J179" s="55">
        <f>'Wet analysis 2016'!BF162</f>
        <v>10.207891286980139</v>
      </c>
      <c r="K179" s="230"/>
      <c r="L179" s="260">
        <f>'Soil samples'!X162</f>
        <v>5.5570000000000004</v>
      </c>
      <c r="M179" s="230"/>
      <c r="N179" s="230"/>
      <c r="O179" s="59"/>
      <c r="P179" s="230"/>
      <c r="Q179" s="59">
        <f t="shared" si="11"/>
        <v>2.1455100288808791E-2</v>
      </c>
      <c r="R179" s="59">
        <f t="shared" si="12"/>
        <v>4.4524967036803892E-2</v>
      </c>
      <c r="S179" s="59">
        <f t="shared" si="13"/>
        <v>13.153879673028241</v>
      </c>
      <c r="T179" s="59">
        <f t="shared" si="14"/>
        <v>0.57637463167461955</v>
      </c>
      <c r="U179" s="59">
        <f t="shared" si="15"/>
        <v>0.51039456434900699</v>
      </c>
      <c r="V179" s="230"/>
      <c r="W179" s="230"/>
      <c r="X179" s="230"/>
      <c r="Y179" s="230"/>
      <c r="Z179" s="230"/>
      <c r="AA179" s="230"/>
      <c r="AB179" s="230"/>
      <c r="AC179" s="230"/>
    </row>
    <row r="180" spans="1:29" s="52" customFormat="1">
      <c r="A180" s="6" t="s">
        <v>166</v>
      </c>
      <c r="B180" s="6" t="s">
        <v>548</v>
      </c>
      <c r="C180" t="s">
        <v>12</v>
      </c>
      <c r="D180" s="8">
        <v>4</v>
      </c>
      <c r="E180" s="3">
        <v>5</v>
      </c>
      <c r="F180" s="55">
        <f>'Wet analysis 2016'!T163</f>
        <v>0.29315073678674602</v>
      </c>
      <c r="G180" s="55">
        <f>'Wet analysis 2016'!AD163</f>
        <v>1.8181003553786275</v>
      </c>
      <c r="H180" s="55">
        <f>'Wet analysis 2016'!AN163</f>
        <v>110.34560155938351</v>
      </c>
      <c r="I180" s="55">
        <f>'Wet analysis 2016'!AW163</f>
        <v>16.898932409326743</v>
      </c>
      <c r="J180" s="55">
        <f>'Wet analysis 2016'!BF163</f>
        <v>14.78768131716137</v>
      </c>
      <c r="K180" s="230"/>
      <c r="L180" s="262">
        <f>AVERAGE(L168,L172,L184,L188)</f>
        <v>5.3987499999999997</v>
      </c>
      <c r="M180" s="230"/>
      <c r="N180" s="230"/>
      <c r="O180" s="59"/>
      <c r="P180" s="230"/>
      <c r="Q180" s="59">
        <f t="shared" si="11"/>
        <v>1.4657536839337302E-2</v>
      </c>
      <c r="R180" s="59">
        <f t="shared" si="12"/>
        <v>9.0905017768931382E-2</v>
      </c>
      <c r="S180" s="59">
        <f t="shared" si="13"/>
        <v>5.5172800779691755</v>
      </c>
      <c r="T180" s="59">
        <f t="shared" si="14"/>
        <v>0.84494662046633717</v>
      </c>
      <c r="U180" s="59">
        <f t="shared" si="15"/>
        <v>0.7393840658580686</v>
      </c>
      <c r="V180" s="230"/>
      <c r="W180" s="230"/>
      <c r="X180" s="230"/>
      <c r="Y180" s="230"/>
      <c r="Z180" s="230"/>
      <c r="AA180" s="230"/>
      <c r="AB180" s="230"/>
      <c r="AC180" s="230"/>
    </row>
    <row r="181" spans="1:29" s="52" customFormat="1">
      <c r="A181" s="6" t="s">
        <v>167</v>
      </c>
      <c r="B181" s="6" t="s">
        <v>548</v>
      </c>
      <c r="C181" t="s">
        <v>12</v>
      </c>
      <c r="D181" s="8">
        <v>4</v>
      </c>
      <c r="E181" s="3">
        <v>10</v>
      </c>
      <c r="F181" s="55">
        <f>'Wet analysis 2016'!T164</f>
        <v>0.24246533388259398</v>
      </c>
      <c r="G181" s="55">
        <f>'Wet analysis 2016'!AD164</f>
        <v>0.9193357015173369</v>
      </c>
      <c r="H181" s="55">
        <f>'Wet analysis 2016'!AN164</f>
        <v>191.48035155126598</v>
      </c>
      <c r="I181" s="55">
        <f>'Wet analysis 2016'!AW164</f>
        <v>15.566273577418972</v>
      </c>
      <c r="J181" s="55">
        <f>'Wet analysis 2016'!BF164</f>
        <v>14.40447254201904</v>
      </c>
      <c r="K181" s="230"/>
      <c r="L181" s="260">
        <f>'Soil samples'!X164</f>
        <v>4.2859999999999996</v>
      </c>
      <c r="M181" s="230"/>
      <c r="N181" s="230"/>
      <c r="O181" s="59"/>
      <c r="P181" s="230"/>
      <c r="Q181" s="59">
        <f t="shared" si="11"/>
        <v>1.2123266694129699E-2</v>
      </c>
      <c r="R181" s="59">
        <f t="shared" si="12"/>
        <v>4.5966785075866851E-2</v>
      </c>
      <c r="S181" s="59">
        <f t="shared" si="13"/>
        <v>9.5740175775632999</v>
      </c>
      <c r="T181" s="59">
        <f t="shared" si="14"/>
        <v>0.7783136788709486</v>
      </c>
      <c r="U181" s="59">
        <f t="shared" si="15"/>
        <v>0.720223627100952</v>
      </c>
      <c r="V181" s="230"/>
      <c r="W181" s="230"/>
      <c r="X181" s="230"/>
      <c r="Y181" s="230"/>
      <c r="Z181" s="230"/>
      <c r="AA181" s="230"/>
      <c r="AB181" s="230"/>
      <c r="AC181" s="230"/>
    </row>
    <row r="182" spans="1:29" s="52" customFormat="1">
      <c r="A182" s="6" t="s">
        <v>168</v>
      </c>
      <c r="B182" s="6" t="s">
        <v>548</v>
      </c>
      <c r="C182" t="s">
        <v>12</v>
      </c>
      <c r="D182" s="8">
        <v>4</v>
      </c>
      <c r="E182" s="3">
        <v>20</v>
      </c>
      <c r="F182" s="55">
        <f>'Wet analysis 2016'!T165</f>
        <v>0.36571925909202591</v>
      </c>
      <c r="G182" s="55">
        <f>'Wet analysis 2016'!AD165</f>
        <v>0.61119808289514099</v>
      </c>
      <c r="H182" s="55">
        <f>'Wet analysis 2016'!AN165</f>
        <v>136.48840037627991</v>
      </c>
      <c r="I182" s="55">
        <f>'Wet analysis 2016'!AW165</f>
        <v>16.729514663113104</v>
      </c>
      <c r="J182" s="55">
        <f>'Wet analysis 2016'!BF165</f>
        <v>15.752597321125933</v>
      </c>
      <c r="K182" s="230"/>
      <c r="L182" s="260">
        <f>'Soil samples'!X165</f>
        <v>5.2050000000000001</v>
      </c>
      <c r="M182" s="230"/>
      <c r="N182" s="230"/>
      <c r="O182" s="59"/>
      <c r="P182" s="230"/>
      <c r="Q182" s="59">
        <f t="shared" si="11"/>
        <v>1.8285962954601297E-2</v>
      </c>
      <c r="R182" s="59">
        <f t="shared" si="12"/>
        <v>3.0559904144757052E-2</v>
      </c>
      <c r="S182" s="59">
        <f t="shared" si="13"/>
        <v>6.8244200188139956</v>
      </c>
      <c r="T182" s="59">
        <f t="shared" si="14"/>
        <v>0.83647573315565527</v>
      </c>
      <c r="U182" s="59">
        <f t="shared" si="15"/>
        <v>0.7876298660562967</v>
      </c>
      <c r="V182" s="230"/>
      <c r="W182" s="230"/>
      <c r="X182" s="230"/>
      <c r="Y182" s="230"/>
      <c r="Z182" s="230"/>
      <c r="AA182" s="230"/>
      <c r="AB182" s="230"/>
      <c r="AC182" s="230"/>
    </row>
    <row r="183" spans="1:29" s="52" customFormat="1">
      <c r="A183" s="6" t="s">
        <v>169</v>
      </c>
      <c r="B183" s="6" t="s">
        <v>548</v>
      </c>
      <c r="C183" t="s">
        <v>12</v>
      </c>
      <c r="D183" s="8">
        <v>4</v>
      </c>
      <c r="E183" s="3">
        <v>30</v>
      </c>
      <c r="F183" s="55">
        <f>'Wet analysis 2016'!T166</f>
        <v>0.32393701233421895</v>
      </c>
      <c r="G183" s="55">
        <f>'Wet analysis 2016'!AD166</f>
        <v>0.5205023368655054</v>
      </c>
      <c r="H183" s="55">
        <f>'Wet analysis 2016'!AN166</f>
        <v>363.68193996325181</v>
      </c>
      <c r="I183" s="55">
        <f>'Wet analysis 2016'!AW166</f>
        <v>15.804130841663184</v>
      </c>
      <c r="J183" s="55">
        <f>'Wet analysis 2016'!BF166</f>
        <v>14.95969149246346</v>
      </c>
      <c r="K183" s="230"/>
      <c r="L183" s="260">
        <f>'Soil samples'!X166</f>
        <v>5.4909999999999997</v>
      </c>
      <c r="M183" s="230"/>
      <c r="N183" s="230"/>
      <c r="O183" s="59"/>
      <c r="P183" s="230"/>
      <c r="Q183" s="59">
        <f t="shared" si="11"/>
        <v>1.6196850616710948E-2</v>
      </c>
      <c r="R183" s="59">
        <f t="shared" si="12"/>
        <v>2.602511684327527E-2</v>
      </c>
      <c r="S183" s="59">
        <f t="shared" si="13"/>
        <v>18.184096998162591</v>
      </c>
      <c r="T183" s="59">
        <f t="shared" si="14"/>
        <v>0.79020654208315921</v>
      </c>
      <c r="U183" s="59">
        <f t="shared" si="15"/>
        <v>0.74798457462317303</v>
      </c>
      <c r="V183" s="230"/>
      <c r="W183" s="230"/>
      <c r="X183" s="230"/>
      <c r="Y183" s="230"/>
      <c r="Z183" s="230"/>
      <c r="AA183" s="230"/>
      <c r="AB183" s="230"/>
      <c r="AC183" s="230"/>
    </row>
    <row r="184" spans="1:29" s="228" customFormat="1">
      <c r="A184" s="223" t="s">
        <v>170</v>
      </c>
      <c r="B184" s="223" t="s">
        <v>548</v>
      </c>
      <c r="C184" s="224" t="s">
        <v>12</v>
      </c>
      <c r="D184" s="223">
        <v>5</v>
      </c>
      <c r="E184" s="225">
        <v>5</v>
      </c>
      <c r="F184" s="226">
        <f>'Wet analysis 2017'!T47</f>
        <v>0.51915061192296708</v>
      </c>
      <c r="G184" s="226">
        <f>'Wet analysis 2017'!AD47</f>
        <v>2.9406647551367424</v>
      </c>
      <c r="H184" s="226">
        <f>'Wet analysis 2017'!AN47</f>
        <v>44.784873836639548</v>
      </c>
      <c r="I184" s="226">
        <f>'Wet analysis 2017'!AW47</f>
        <v>8.5307505657646594</v>
      </c>
      <c r="J184" s="226">
        <f>'Wet analysis 2017'!BF47</f>
        <v>5.0709351987049498</v>
      </c>
      <c r="K184" s="230"/>
      <c r="L184" s="261">
        <f>'Soil samples 2017'!X47</f>
        <v>5.3890000000000002</v>
      </c>
      <c r="M184" s="230"/>
      <c r="N184" s="230"/>
      <c r="O184" s="59"/>
      <c r="P184" s="230"/>
      <c r="Q184" s="59">
        <f t="shared" si="11"/>
        <v>2.5957530596148356E-2</v>
      </c>
      <c r="R184" s="59">
        <f t="shared" si="12"/>
        <v>0.14703323775683713</v>
      </c>
      <c r="S184" s="59">
        <f t="shared" si="13"/>
        <v>2.2392436918319776</v>
      </c>
      <c r="T184" s="59">
        <f t="shared" si="14"/>
        <v>0.42653752828823299</v>
      </c>
      <c r="U184" s="59">
        <f t="shared" si="15"/>
        <v>0.2535467599352475</v>
      </c>
      <c r="V184" s="230"/>
      <c r="W184" s="230"/>
      <c r="X184" s="230"/>
      <c r="Y184" s="230"/>
      <c r="Z184" s="230"/>
      <c r="AA184" s="230"/>
      <c r="AB184" s="230"/>
      <c r="AC184" s="230"/>
    </row>
    <row r="185" spans="1:29" s="52" customFormat="1">
      <c r="A185" s="6" t="s">
        <v>171</v>
      </c>
      <c r="B185" s="6" t="s">
        <v>548</v>
      </c>
      <c r="C185" t="s">
        <v>12</v>
      </c>
      <c r="D185" s="8">
        <v>5</v>
      </c>
      <c r="E185" s="3">
        <v>10</v>
      </c>
      <c r="F185" s="55">
        <f>'Wet analysis 2016'!T168</f>
        <v>0.8928542666913839</v>
      </c>
      <c r="G185" s="55">
        <f>'Wet analysis 2016'!AD168</f>
        <v>2.8848289178791369</v>
      </c>
      <c r="H185" s="55">
        <f>'Wet analysis 2016'!AN168</f>
        <v>185.34657558175925</v>
      </c>
      <c r="I185" s="55">
        <f>'Wet analysis 2016'!AW168</f>
        <v>31.736342364733915</v>
      </c>
      <c r="J185" s="55">
        <f>'Wet analysis 2016'!BF168</f>
        <v>27.958659180163394</v>
      </c>
      <c r="K185" s="230"/>
      <c r="L185" s="260">
        <f>'Soil samples'!X168</f>
        <v>4.915</v>
      </c>
      <c r="M185" s="230"/>
      <c r="N185" s="230"/>
      <c r="O185" s="59"/>
      <c r="P185" s="230"/>
      <c r="Q185" s="59">
        <f t="shared" si="11"/>
        <v>4.4642713334569199E-2</v>
      </c>
      <c r="R185" s="59">
        <f t="shared" si="12"/>
        <v>0.14424144589395685</v>
      </c>
      <c r="S185" s="59">
        <f t="shared" si="13"/>
        <v>9.267328779087963</v>
      </c>
      <c r="T185" s="59">
        <f t="shared" si="14"/>
        <v>1.5868171182366959</v>
      </c>
      <c r="U185" s="59">
        <f t="shared" si="15"/>
        <v>1.3979329590081697</v>
      </c>
      <c r="V185" s="230"/>
      <c r="W185" s="230"/>
      <c r="X185" s="230"/>
      <c r="Y185" s="230"/>
      <c r="Z185" s="230"/>
      <c r="AA185" s="230"/>
      <c r="AB185" s="230"/>
      <c r="AC185" s="230"/>
    </row>
    <row r="186" spans="1:29" s="52" customFormat="1">
      <c r="A186" s="6" t="s">
        <v>172</v>
      </c>
      <c r="B186" s="6" t="s">
        <v>548</v>
      </c>
      <c r="C186" t="s">
        <v>12</v>
      </c>
      <c r="D186" s="8">
        <v>5</v>
      </c>
      <c r="E186" s="3">
        <v>20</v>
      </c>
      <c r="F186" s="55">
        <f>'Wet analysis 2016'!T169</f>
        <v>0.21547987051691209</v>
      </c>
      <c r="G186" s="55">
        <f>'Wet analysis 2016'!AD169</f>
        <v>1.0814416525111243</v>
      </c>
      <c r="H186" s="55">
        <f>'Wet analysis 2016'!AN169</f>
        <v>351.59191823285943</v>
      </c>
      <c r="I186" s="55">
        <f>'Wet analysis 2016'!AW169</f>
        <v>17.414607732758082</v>
      </c>
      <c r="J186" s="55">
        <f>'Wet analysis 2016'!BF169</f>
        <v>16.117686209730049</v>
      </c>
      <c r="K186" s="230"/>
      <c r="L186" s="260">
        <f>'Soil samples'!X169</f>
        <v>5.165</v>
      </c>
      <c r="M186" s="230"/>
      <c r="N186" s="230"/>
      <c r="O186" s="59"/>
      <c r="P186" s="230"/>
      <c r="Q186" s="59">
        <f t="shared" si="11"/>
        <v>1.0773993525845606E-2</v>
      </c>
      <c r="R186" s="59">
        <f t="shared" si="12"/>
        <v>5.4072082625556218E-2</v>
      </c>
      <c r="S186" s="59">
        <f t="shared" si="13"/>
        <v>17.579595911642972</v>
      </c>
      <c r="T186" s="59">
        <f t="shared" si="14"/>
        <v>0.87073038663790414</v>
      </c>
      <c r="U186" s="59">
        <f t="shared" si="15"/>
        <v>0.80588431048650255</v>
      </c>
      <c r="V186" s="230"/>
      <c r="W186" s="230"/>
      <c r="X186" s="230"/>
      <c r="Y186" s="230"/>
      <c r="Z186" s="230"/>
      <c r="AA186" s="230"/>
      <c r="AB186" s="230"/>
      <c r="AC186" s="230"/>
    </row>
    <row r="187" spans="1:29" s="52" customFormat="1">
      <c r="A187" s="6" t="s">
        <v>173</v>
      </c>
      <c r="B187" s="6" t="s">
        <v>548</v>
      </c>
      <c r="C187" t="s">
        <v>12</v>
      </c>
      <c r="D187" s="8">
        <v>5</v>
      </c>
      <c r="E187" s="3">
        <v>30</v>
      </c>
      <c r="F187" s="55">
        <f>'Wet analysis 2016'!T170</f>
        <v>0.66956614833268413</v>
      </c>
      <c r="G187" s="55">
        <f>'Wet analysis 2016'!AD170</f>
        <v>1.0187236954697643</v>
      </c>
      <c r="H187" s="55">
        <f>'Wet analysis 2016'!AN170</f>
        <v>136.80663217454546</v>
      </c>
      <c r="I187" s="55">
        <f>'Wet analysis 2016'!AW170</f>
        <v>16.660159369889563</v>
      </c>
      <c r="J187" s="55">
        <f>'Wet analysis 2016'!BF170</f>
        <v>14.971869526087112</v>
      </c>
      <c r="K187" s="230"/>
      <c r="L187" s="260">
        <f>'Soil samples'!X170</f>
        <v>5.2569999999999997</v>
      </c>
      <c r="M187" s="230"/>
      <c r="N187" s="230"/>
      <c r="O187" s="59"/>
      <c r="P187" s="230"/>
      <c r="Q187" s="59">
        <f t="shared" si="11"/>
        <v>3.3478307416634205E-2</v>
      </c>
      <c r="R187" s="59">
        <f t="shared" si="12"/>
        <v>5.0936184773488213E-2</v>
      </c>
      <c r="S187" s="59">
        <f t="shared" si="13"/>
        <v>6.840331608727273</v>
      </c>
      <c r="T187" s="59">
        <f t="shared" si="14"/>
        <v>0.83300796849447822</v>
      </c>
      <c r="U187" s="59">
        <f t="shared" si="15"/>
        <v>0.74859347630435558</v>
      </c>
      <c r="V187" s="230"/>
      <c r="W187" s="230"/>
      <c r="X187" s="230"/>
      <c r="Y187" s="230"/>
      <c r="Z187" s="230"/>
      <c r="AA187" s="230"/>
      <c r="AB187" s="230"/>
      <c r="AC187" s="230"/>
    </row>
    <row r="188" spans="1:29" s="228" customFormat="1">
      <c r="A188" s="223" t="s">
        <v>174</v>
      </c>
      <c r="B188" s="223" t="s">
        <v>548</v>
      </c>
      <c r="C188" s="224" t="s">
        <v>12</v>
      </c>
      <c r="D188" s="223">
        <v>6</v>
      </c>
      <c r="E188" s="225">
        <v>5</v>
      </c>
      <c r="F188" s="226">
        <f>'Wet analysis 2017'!T48</f>
        <v>0.9989139168301433</v>
      </c>
      <c r="G188" s="226">
        <f>'Wet analysis 2017'!AD48</f>
        <v>2.8776022194053308</v>
      </c>
      <c r="H188" s="226">
        <f>'Wet analysis 2017'!AN48</f>
        <v>23.341308531962699</v>
      </c>
      <c r="I188" s="226">
        <f>'Wet analysis 2017'!AW48</f>
        <v>7.7561193154246348</v>
      </c>
      <c r="J188" s="226">
        <f>'Wet analysis 2017'!BF48</f>
        <v>3.8796031791891585</v>
      </c>
      <c r="K188" s="230"/>
      <c r="L188" s="261">
        <f>'Soil samples 2017'!X48</f>
        <v>4.5350000000000001</v>
      </c>
      <c r="M188" s="230"/>
      <c r="N188" s="230"/>
      <c r="O188" s="59"/>
      <c r="P188" s="230"/>
      <c r="Q188" s="59">
        <f t="shared" si="11"/>
        <v>4.9945695841507168E-2</v>
      </c>
      <c r="R188" s="59">
        <f t="shared" si="12"/>
        <v>0.14388011097026654</v>
      </c>
      <c r="S188" s="59">
        <f t="shared" si="13"/>
        <v>1.1670654265981351</v>
      </c>
      <c r="T188" s="59">
        <f t="shared" si="14"/>
        <v>0.38780596577123178</v>
      </c>
      <c r="U188" s="59">
        <f t="shared" si="15"/>
        <v>0.19398015895945794</v>
      </c>
      <c r="V188" s="230"/>
      <c r="W188" s="230"/>
      <c r="X188" s="230"/>
      <c r="Y188" s="230"/>
      <c r="Z188" s="230"/>
      <c r="AA188" s="230"/>
      <c r="AB188" s="230"/>
      <c r="AC188" s="230"/>
    </row>
    <row r="189" spans="1:29" s="52" customFormat="1">
      <c r="A189" s="6" t="s">
        <v>175</v>
      </c>
      <c r="B189" s="6" t="s">
        <v>548</v>
      </c>
      <c r="C189" t="s">
        <v>12</v>
      </c>
      <c r="D189" s="8">
        <v>6</v>
      </c>
      <c r="E189" s="3">
        <v>10</v>
      </c>
      <c r="F189" s="55">
        <f>'Wet analysis 2016'!T172</f>
        <v>2.20269103462241</v>
      </c>
      <c r="G189" s="55">
        <f>'Wet analysis 2016'!AD172</f>
        <v>2.0692569350533963</v>
      </c>
      <c r="H189" s="55">
        <f>'Wet analysis 2016'!AN172</f>
        <v>230.84687434562511</v>
      </c>
      <c r="I189" s="55">
        <f>'Wet analysis 2016'!AW172</f>
        <v>27.491293560544584</v>
      </c>
      <c r="J189" s="55">
        <f>'Wet analysis 2016'!BF172</f>
        <v>23.21934559086877</v>
      </c>
      <c r="K189" s="230"/>
      <c r="L189" s="260">
        <f>'Soil samples'!X172</f>
        <v>4.2880000000000003</v>
      </c>
      <c r="M189" s="230"/>
      <c r="N189" s="230"/>
      <c r="O189" s="59"/>
      <c r="P189" s="230"/>
      <c r="Q189" s="59">
        <f t="shared" si="11"/>
        <v>0.11013455173112051</v>
      </c>
      <c r="R189" s="59">
        <f t="shared" si="12"/>
        <v>0.10346284675266981</v>
      </c>
      <c r="S189" s="59">
        <f t="shared" si="13"/>
        <v>11.542343717281256</v>
      </c>
      <c r="T189" s="59">
        <f t="shared" si="14"/>
        <v>1.3745646780272294</v>
      </c>
      <c r="U189" s="59">
        <f t="shared" si="15"/>
        <v>1.1609672795434385</v>
      </c>
      <c r="V189" s="230"/>
      <c r="W189" s="230"/>
      <c r="X189" s="230"/>
      <c r="Y189" s="230"/>
      <c r="Z189" s="230"/>
      <c r="AA189" s="230"/>
      <c r="AB189" s="230"/>
      <c r="AC189" s="230"/>
    </row>
    <row r="190" spans="1:29" s="52" customFormat="1">
      <c r="A190" s="6" t="s">
        <v>176</v>
      </c>
      <c r="B190" s="6" t="s">
        <v>548</v>
      </c>
      <c r="C190" t="s">
        <v>12</v>
      </c>
      <c r="D190" s="8">
        <v>6</v>
      </c>
      <c r="E190" s="3">
        <v>20</v>
      </c>
      <c r="F190" s="55">
        <f>'Wet analysis 2016'!T173</f>
        <v>2.9003145913367065</v>
      </c>
      <c r="G190" s="55">
        <f>'Wet analysis 2016'!AD173</f>
        <v>1.2003002971669261</v>
      </c>
      <c r="H190" s="55">
        <f>'Wet analysis 2016'!AN173</f>
        <v>222.58091754402324</v>
      </c>
      <c r="I190" s="55">
        <f>'Wet analysis 2016'!AW173</f>
        <v>19.73131869669313</v>
      </c>
      <c r="J190" s="55">
        <f>'Wet analysis 2016'!BF173</f>
        <v>15.630703808189494</v>
      </c>
      <c r="K190" s="230"/>
      <c r="L190" s="260">
        <f>'Soil samples'!X173</f>
        <v>4.3529999999999998</v>
      </c>
      <c r="M190" s="230"/>
      <c r="N190" s="230"/>
      <c r="O190" s="59"/>
      <c r="P190" s="230"/>
      <c r="Q190" s="59">
        <f t="shared" si="11"/>
        <v>0.14501572956683534</v>
      </c>
      <c r="R190" s="59">
        <f t="shared" si="12"/>
        <v>6.0015014858346309E-2</v>
      </c>
      <c r="S190" s="59">
        <f t="shared" si="13"/>
        <v>11.129045877201163</v>
      </c>
      <c r="T190" s="59">
        <f t="shared" si="14"/>
        <v>0.98656593483465649</v>
      </c>
      <c r="U190" s="59">
        <f t="shared" si="15"/>
        <v>0.78153519040947472</v>
      </c>
      <c r="V190" s="230"/>
      <c r="W190" s="230"/>
      <c r="X190" s="230"/>
      <c r="Y190" s="230"/>
      <c r="Z190" s="230"/>
      <c r="AA190" s="230"/>
      <c r="AB190" s="230"/>
      <c r="AC190" s="230"/>
    </row>
    <row r="191" spans="1:29" s="52" customFormat="1">
      <c r="A191" s="6" t="s">
        <v>177</v>
      </c>
      <c r="B191" s="6" t="s">
        <v>548</v>
      </c>
      <c r="C191" t="s">
        <v>12</v>
      </c>
      <c r="D191" s="8">
        <v>6</v>
      </c>
      <c r="E191" s="3">
        <v>30</v>
      </c>
      <c r="F191" s="55">
        <f>'Wet analysis 2016'!T174</f>
        <v>5.1292387749819452</v>
      </c>
      <c r="G191" s="55">
        <f>'Wet analysis 2016'!AD174</f>
        <v>1.5200134031312802</v>
      </c>
      <c r="H191" s="55">
        <f>'Wet analysis 2016'!AN174</f>
        <v>219.77727093751992</v>
      </c>
      <c r="I191" s="55">
        <f>'Wet analysis 2016'!AW174</f>
        <v>35.252646869719463</v>
      </c>
      <c r="J191" s="55">
        <f>'Wet analysis 2016'!BF174</f>
        <v>28.603394691606244</v>
      </c>
      <c r="K191" s="230"/>
      <c r="L191" s="260">
        <f>'Soil samples'!X174</f>
        <v>4.1769999999999996</v>
      </c>
      <c r="M191" s="230"/>
      <c r="N191" s="230"/>
      <c r="O191" s="59"/>
      <c r="P191" s="230"/>
      <c r="Q191" s="59">
        <f t="shared" si="11"/>
        <v>0.25646193874909728</v>
      </c>
      <c r="R191" s="59">
        <f t="shared" si="12"/>
        <v>7.6000670156564018E-2</v>
      </c>
      <c r="S191" s="59">
        <f t="shared" si="13"/>
        <v>10.988863546875997</v>
      </c>
      <c r="T191" s="59">
        <f t="shared" si="14"/>
        <v>1.7626323434859732</v>
      </c>
      <c r="U191" s="59">
        <f t="shared" si="15"/>
        <v>1.4301697345803124</v>
      </c>
      <c r="V191" s="230"/>
      <c r="W191" s="230"/>
      <c r="X191" s="230"/>
      <c r="Y191" s="230"/>
      <c r="Z191" s="230"/>
      <c r="AA191" s="230"/>
      <c r="AB191" s="230"/>
      <c r="AC191" s="230"/>
    </row>
    <row r="192" spans="1:29" s="52" customFormat="1">
      <c r="A192" s="6" t="s">
        <v>178</v>
      </c>
      <c r="B192" s="6" t="s">
        <v>548</v>
      </c>
      <c r="C192" t="s">
        <v>13</v>
      </c>
      <c r="D192" s="8">
        <v>1</v>
      </c>
      <c r="E192" s="3">
        <v>5</v>
      </c>
      <c r="F192" s="55">
        <f>'Wet analysis 2016'!T175</f>
        <v>7.8937171801113773E-2</v>
      </c>
      <c r="G192" s="55">
        <f>'Wet analysis 2016'!AD175</f>
        <v>0</v>
      </c>
      <c r="H192" s="55">
        <f>'Wet analysis 2016'!AN175</f>
        <v>138.39841761212634</v>
      </c>
      <c r="I192" s="55">
        <f>'Wet analysis 2016'!AW175</f>
        <v>1.7121946957872196</v>
      </c>
      <c r="J192" s="55">
        <f>'Wet analysis 2016'!BF175</f>
        <v>1.6332575239861058</v>
      </c>
      <c r="K192" s="230"/>
      <c r="L192" s="260">
        <f>'Soil samples'!X175</f>
        <v>4.8410000000000002</v>
      </c>
      <c r="M192" s="230"/>
      <c r="N192" s="230"/>
      <c r="O192" s="59"/>
      <c r="P192" s="230"/>
      <c r="Q192" s="59">
        <f t="shared" si="11"/>
        <v>3.9468585900556885E-3</v>
      </c>
      <c r="R192" s="59">
        <f t="shared" si="12"/>
        <v>0</v>
      </c>
      <c r="S192" s="59">
        <f t="shared" si="13"/>
        <v>6.919920880606317</v>
      </c>
      <c r="T192" s="59">
        <f t="shared" si="14"/>
        <v>8.5609734789360986E-2</v>
      </c>
      <c r="U192" s="59">
        <f t="shared" si="15"/>
        <v>8.166287619930529E-2</v>
      </c>
      <c r="V192" s="230"/>
      <c r="W192" s="230"/>
      <c r="X192" s="230"/>
      <c r="Y192" s="230"/>
      <c r="Z192" s="230"/>
      <c r="AA192" s="230"/>
      <c r="AB192" s="230"/>
      <c r="AC192" s="230"/>
    </row>
    <row r="193" spans="1:29" s="52" customFormat="1">
      <c r="A193" s="6" t="s">
        <v>179</v>
      </c>
      <c r="B193" s="6" t="s">
        <v>548</v>
      </c>
      <c r="C193" t="s">
        <v>13</v>
      </c>
      <c r="D193" s="8">
        <v>1</v>
      </c>
      <c r="E193" s="3">
        <v>10</v>
      </c>
      <c r="F193" s="55">
        <f>'Wet analysis 2016'!T176</f>
        <v>0.32748225025032746</v>
      </c>
      <c r="G193" s="55">
        <f>'Wet analysis 2016'!AD176</f>
        <v>0</v>
      </c>
      <c r="H193" s="55">
        <f>'Wet analysis 2016'!AN176</f>
        <v>411.73337119926498</v>
      </c>
      <c r="I193" s="55">
        <f>'Wet analysis 2016'!AW176</f>
        <v>2.3967127624257412</v>
      </c>
      <c r="J193" s="55">
        <f>'Wet analysis 2016'!BF176</f>
        <v>2.0692305121754129</v>
      </c>
      <c r="K193" s="230"/>
      <c r="L193" s="260">
        <f>'Soil samples'!X176</f>
        <v>5.03</v>
      </c>
      <c r="M193" s="230"/>
      <c r="N193" s="230"/>
      <c r="O193" s="59"/>
      <c r="P193" s="230"/>
      <c r="Q193" s="59">
        <f t="shared" si="11"/>
        <v>1.6374112512516373E-2</v>
      </c>
      <c r="R193" s="59">
        <f t="shared" si="12"/>
        <v>0</v>
      </c>
      <c r="S193" s="59">
        <f t="shared" si="13"/>
        <v>20.58666855996325</v>
      </c>
      <c r="T193" s="59">
        <f t="shared" si="14"/>
        <v>0.11983563812128706</v>
      </c>
      <c r="U193" s="59">
        <f t="shared" si="15"/>
        <v>0.10346152560877064</v>
      </c>
      <c r="V193" s="230"/>
      <c r="W193" s="230"/>
      <c r="X193" s="230"/>
      <c r="Y193" s="230"/>
      <c r="Z193" s="230"/>
      <c r="AA193" s="230"/>
      <c r="AB193" s="230"/>
      <c r="AC193" s="230"/>
    </row>
    <row r="194" spans="1:29">
      <c r="A194" s="6" t="s">
        <v>180</v>
      </c>
      <c r="B194" s="6" t="s">
        <v>548</v>
      </c>
      <c r="C194" t="s">
        <v>13</v>
      </c>
      <c r="D194" s="8">
        <v>1</v>
      </c>
      <c r="E194" s="3">
        <v>20</v>
      </c>
      <c r="F194" s="55">
        <f>'Wet analysis 2016'!T177</f>
        <v>0.34911201691153104</v>
      </c>
      <c r="G194" s="55">
        <f>'Wet analysis 2016'!AD177</f>
        <v>0.13451273650210932</v>
      </c>
      <c r="H194" s="55">
        <f>'Wet analysis 2016'!AN177</f>
        <v>167.45842434773195</v>
      </c>
      <c r="I194" s="55">
        <f>'Wet analysis 2016'!AW177</f>
        <v>4.1446415326179187</v>
      </c>
      <c r="J194" s="55">
        <f>'Wet analysis 2016'!BF177</f>
        <v>3.6610167792042785</v>
      </c>
      <c r="K194" s="59"/>
      <c r="L194" s="260">
        <f>'Soil samples'!X177</f>
        <v>5.0620000000000003</v>
      </c>
      <c r="M194" s="59"/>
      <c r="N194" s="59"/>
      <c r="O194" s="59"/>
      <c r="P194" s="59"/>
      <c r="Q194" s="59">
        <f t="shared" si="11"/>
        <v>1.7455600845576551E-2</v>
      </c>
      <c r="R194" s="59">
        <f t="shared" si="12"/>
        <v>6.7256368251054667E-3</v>
      </c>
      <c r="S194" s="59">
        <f t="shared" si="13"/>
        <v>8.3729212173865974</v>
      </c>
      <c r="T194" s="59">
        <f t="shared" si="14"/>
        <v>0.20723207663089593</v>
      </c>
      <c r="U194" s="59">
        <f t="shared" si="15"/>
        <v>0.18305083896021393</v>
      </c>
      <c r="V194" s="59"/>
      <c r="W194" s="59"/>
      <c r="X194" s="59"/>
      <c r="Y194" s="59"/>
      <c r="Z194" s="59"/>
      <c r="AA194" s="59"/>
      <c r="AB194" s="59"/>
      <c r="AC194" s="59"/>
    </row>
    <row r="195" spans="1:29">
      <c r="A195" s="6" t="s">
        <v>181</v>
      </c>
      <c r="B195" s="6" t="s">
        <v>548</v>
      </c>
      <c r="C195" t="s">
        <v>13</v>
      </c>
      <c r="D195" s="8">
        <v>2</v>
      </c>
      <c r="E195" s="3">
        <v>5</v>
      </c>
      <c r="F195" s="55">
        <f>'Wet analysis 2016'!T178</f>
        <v>0.17897096290597811</v>
      </c>
      <c r="G195" s="55">
        <f>'Wet analysis 2016'!AD178</f>
        <v>1.2848428044221396</v>
      </c>
      <c r="H195" s="55">
        <f>'Wet analysis 2016'!AN178</f>
        <v>1218.8940829529472</v>
      </c>
      <c r="I195" s="55">
        <f>'Wet analysis 2016'!AW178</f>
        <v>22.350888786219091</v>
      </c>
      <c r="J195" s="55">
        <f>'Wet analysis 2016'!BF178</f>
        <v>20.887075018890979</v>
      </c>
      <c r="K195" s="59"/>
      <c r="L195" s="260">
        <f>'Soil samples'!X178</f>
        <v>4.524</v>
      </c>
      <c r="M195" s="59"/>
      <c r="N195" s="59"/>
      <c r="O195" s="59"/>
      <c r="P195" s="59"/>
      <c r="Q195" s="59">
        <f t="shared" si="11"/>
        <v>8.9485481452989055E-3</v>
      </c>
      <c r="R195" s="59">
        <f t="shared" si="12"/>
        <v>6.4242140221106983E-2</v>
      </c>
      <c r="S195" s="59">
        <f t="shared" si="13"/>
        <v>60.944704147647364</v>
      </c>
      <c r="T195" s="59">
        <f t="shared" si="14"/>
        <v>1.1175444393109546</v>
      </c>
      <c r="U195" s="59">
        <f t="shared" si="15"/>
        <v>1.0443537509445491</v>
      </c>
      <c r="V195" s="59"/>
      <c r="W195" s="59"/>
      <c r="X195" s="59"/>
      <c r="Y195" s="59"/>
      <c r="Z195" s="59"/>
      <c r="AA195" s="59"/>
      <c r="AB195" s="59"/>
      <c r="AC195" s="59"/>
    </row>
    <row r="196" spans="1:29">
      <c r="A196" s="6" t="s">
        <v>182</v>
      </c>
      <c r="B196" s="6" t="s">
        <v>548</v>
      </c>
      <c r="C196" t="s">
        <v>13</v>
      </c>
      <c r="D196" s="8">
        <v>2</v>
      </c>
      <c r="E196" s="3">
        <v>10</v>
      </c>
      <c r="F196" s="55">
        <f>'Wet analysis 2016'!T179</f>
        <v>0.21855693823206618</v>
      </c>
      <c r="G196" s="55">
        <f>'Wet analysis 2016'!AD179</f>
        <v>0.7881548147288765</v>
      </c>
      <c r="H196" s="55">
        <f>'Wet analysis 2016'!AN179</f>
        <v>110.23950316122119</v>
      </c>
      <c r="I196" s="55">
        <f>'Wet analysis 2016'!AW179</f>
        <v>12.697839194589315</v>
      </c>
      <c r="J196" s="55">
        <f>'Wet analysis 2016'!BF179</f>
        <v>11.691127441628373</v>
      </c>
      <c r="K196" s="59"/>
      <c r="L196" s="260">
        <f>'Soil samples'!X179</f>
        <v>4.5060000000000002</v>
      </c>
      <c r="M196" s="59"/>
      <c r="N196" s="59"/>
      <c r="O196" s="59"/>
      <c r="P196" s="59"/>
      <c r="Q196" s="59">
        <f t="shared" si="11"/>
        <v>1.092784691160331E-2</v>
      </c>
      <c r="R196" s="59">
        <f t="shared" si="12"/>
        <v>3.9407740736443826E-2</v>
      </c>
      <c r="S196" s="59">
        <f t="shared" si="13"/>
        <v>5.5119751580610599</v>
      </c>
      <c r="T196" s="59">
        <f t="shared" si="14"/>
        <v>0.63489195972946577</v>
      </c>
      <c r="U196" s="59">
        <f t="shared" si="15"/>
        <v>0.58455637208141864</v>
      </c>
      <c r="V196" s="59"/>
      <c r="W196" s="59"/>
      <c r="X196" s="59"/>
      <c r="Y196" s="59"/>
      <c r="Z196" s="59"/>
      <c r="AA196" s="59"/>
      <c r="AB196" s="59"/>
      <c r="AC196" s="59"/>
    </row>
    <row r="197" spans="1:29">
      <c r="A197" s="6" t="s">
        <v>183</v>
      </c>
      <c r="B197" s="6" t="s">
        <v>548</v>
      </c>
      <c r="C197" t="s">
        <v>13</v>
      </c>
      <c r="D197" s="8">
        <v>2</v>
      </c>
      <c r="E197" s="3">
        <v>20</v>
      </c>
      <c r="F197" s="55">
        <f>'Wet analysis 2016'!T180</f>
        <v>0.16103706647021312</v>
      </c>
      <c r="G197" s="55">
        <f>'Wet analysis 2016'!AD180</f>
        <v>0.48228770022632017</v>
      </c>
      <c r="H197" s="55">
        <f>'Wet analysis 2016'!AN180</f>
        <v>127.26410298528518</v>
      </c>
      <c r="I197" s="55">
        <f>'Wet analysis 2016'!AW180</f>
        <v>5.3470446884718834</v>
      </c>
      <c r="J197" s="55">
        <f>'Wet analysis 2016'!BF180</f>
        <v>4.7037199217753507</v>
      </c>
      <c r="K197" s="59"/>
      <c r="L197" s="260">
        <f>'Soil samples'!X180</f>
        <v>4.9470000000000001</v>
      </c>
      <c r="M197" s="59"/>
      <c r="N197" s="59"/>
      <c r="O197" s="59"/>
      <c r="P197" s="59"/>
      <c r="Q197" s="59">
        <f t="shared" ref="Q197:Q209" si="18">F197*0.05</f>
        <v>8.0518533235106569E-3</v>
      </c>
      <c r="R197" s="59">
        <f t="shared" ref="R197:R209" si="19">G197*0.05</f>
        <v>2.4114385011316009E-2</v>
      </c>
      <c r="S197" s="59">
        <f t="shared" ref="S197:S209" si="20">H197*0.05</f>
        <v>6.3632051492642594</v>
      </c>
      <c r="T197" s="59">
        <f t="shared" ref="T197:T209" si="21">I197*0.05</f>
        <v>0.26735223442359418</v>
      </c>
      <c r="U197" s="59">
        <f t="shared" ref="U197:U209" si="22">J197*0.05</f>
        <v>0.23518599608876756</v>
      </c>
      <c r="V197" s="59"/>
      <c r="W197" s="59"/>
      <c r="X197" s="59"/>
      <c r="Y197" s="59"/>
      <c r="Z197" s="59"/>
      <c r="AA197" s="59"/>
      <c r="AB197" s="59"/>
      <c r="AC197" s="59"/>
    </row>
    <row r="198" spans="1:29">
      <c r="A198" s="6" t="s">
        <v>184</v>
      </c>
      <c r="B198" s="6" t="s">
        <v>548</v>
      </c>
      <c r="C198" t="s">
        <v>13</v>
      </c>
      <c r="D198" s="8">
        <v>3</v>
      </c>
      <c r="E198" s="3">
        <v>5</v>
      </c>
      <c r="F198" s="55">
        <f>'Wet analysis 2016'!T181</f>
        <v>0.16310877126721696</v>
      </c>
      <c r="G198" s="55">
        <f>'Wet analysis 2016'!AD181</f>
        <v>0.94688063277114964</v>
      </c>
      <c r="H198" s="55">
        <f>'Wet analysis 2016'!AN181</f>
        <v>132.83908472594911</v>
      </c>
      <c r="I198" s="55">
        <f>'Wet analysis 2016'!AW181</f>
        <v>14.45137068542552</v>
      </c>
      <c r="J198" s="55">
        <f>'Wet analysis 2016'!BF181</f>
        <v>13.34138128138715</v>
      </c>
      <c r="K198" s="59"/>
      <c r="L198" s="260">
        <f>'Soil samples'!X181</f>
        <v>5.2190000000000003</v>
      </c>
      <c r="M198" s="59"/>
      <c r="N198" s="59"/>
      <c r="O198" s="59"/>
      <c r="P198" s="59"/>
      <c r="Q198" s="59">
        <f t="shared" si="18"/>
        <v>8.1554385633608485E-3</v>
      </c>
      <c r="R198" s="59">
        <f t="shared" si="19"/>
        <v>4.7344031638557486E-2</v>
      </c>
      <c r="S198" s="59">
        <f t="shared" si="20"/>
        <v>6.6419542362974555</v>
      </c>
      <c r="T198" s="59">
        <f t="shared" si="21"/>
        <v>0.72256853427127599</v>
      </c>
      <c r="U198" s="59">
        <f t="shared" si="22"/>
        <v>0.66706906406935751</v>
      </c>
      <c r="V198" s="59"/>
      <c r="W198" s="59"/>
      <c r="X198" s="59"/>
      <c r="Y198" s="59"/>
      <c r="Z198" s="59"/>
      <c r="AA198" s="59"/>
      <c r="AB198" s="59"/>
      <c r="AC198" s="59"/>
    </row>
    <row r="199" spans="1:29">
      <c r="A199" s="6" t="s">
        <v>185</v>
      </c>
      <c r="B199" s="6" t="s">
        <v>548</v>
      </c>
      <c r="C199" t="s">
        <v>13</v>
      </c>
      <c r="D199" s="8">
        <v>4</v>
      </c>
      <c r="E199" s="3">
        <v>5</v>
      </c>
      <c r="F199" s="55">
        <f>'Wet analysis 2016'!T182</f>
        <v>4.1846473130150531E-2</v>
      </c>
      <c r="G199" s="55">
        <f>'Wet analysis 2016'!AD182</f>
        <v>0.1759226958768427</v>
      </c>
      <c r="H199" s="55">
        <f>'Wet analysis 2016'!AN182</f>
        <v>219.38532245274516</v>
      </c>
      <c r="I199" s="55">
        <f>'Wet analysis 2016'!AW182</f>
        <v>5.0768568616605396</v>
      </c>
      <c r="J199" s="55">
        <f>'Wet analysis 2016'!BF182</f>
        <v>4.8590876926535485</v>
      </c>
      <c r="K199" s="59"/>
      <c r="L199" s="262">
        <f>AVERAGE(L192,L195,L198,L202,L206)</f>
        <v>4.9530000000000003</v>
      </c>
      <c r="M199" s="59"/>
      <c r="N199" s="59"/>
      <c r="O199" s="59"/>
      <c r="P199" s="59"/>
      <c r="Q199" s="59">
        <f t="shared" si="18"/>
        <v>2.0923236565075268E-3</v>
      </c>
      <c r="R199" s="59">
        <f t="shared" si="19"/>
        <v>8.796134793842135E-3</v>
      </c>
      <c r="S199" s="59">
        <f t="shared" si="20"/>
        <v>10.969266122637258</v>
      </c>
      <c r="T199" s="59">
        <f t="shared" si="21"/>
        <v>0.25384284308302701</v>
      </c>
      <c r="U199" s="59">
        <f t="shared" si="22"/>
        <v>0.24295438463267743</v>
      </c>
      <c r="V199" s="59"/>
      <c r="W199" s="59"/>
      <c r="X199" s="59"/>
      <c r="Y199" s="59"/>
      <c r="Z199" s="59"/>
      <c r="AA199" s="59"/>
      <c r="AB199" s="59"/>
      <c r="AC199" s="59"/>
    </row>
    <row r="200" spans="1:29">
      <c r="A200" s="6" t="s">
        <v>186</v>
      </c>
      <c r="B200" s="6" t="s">
        <v>548</v>
      </c>
      <c r="C200" t="s">
        <v>13</v>
      </c>
      <c r="D200" s="8">
        <v>4</v>
      </c>
      <c r="E200" s="3">
        <v>10</v>
      </c>
      <c r="F200" s="55">
        <f>'Wet analysis 2016'!T183</f>
        <v>8.7613695009830753E-2</v>
      </c>
      <c r="G200" s="55">
        <f>'Wet analysis 2016'!AD183</f>
        <v>0.41930894338990726</v>
      </c>
      <c r="H200" s="55">
        <f>'Wet analysis 2016'!AN183</f>
        <v>238.14696872398207</v>
      </c>
      <c r="I200" s="55">
        <f>'Wet analysis 2016'!AW183</f>
        <v>8.1958330781755535</v>
      </c>
      <c r="J200" s="55">
        <f>'Wet analysis 2016'!BF183</f>
        <v>7.6889104397758139</v>
      </c>
      <c r="K200" s="59"/>
      <c r="L200" s="260">
        <f>'Soil samples'!X183</f>
        <v>5.2759999999999998</v>
      </c>
      <c r="M200" s="59"/>
      <c r="N200" s="59"/>
      <c r="O200" s="59"/>
      <c r="P200" s="59"/>
      <c r="Q200" s="59">
        <f t="shared" si="18"/>
        <v>4.380684750491538E-3</v>
      </c>
      <c r="R200" s="59">
        <f t="shared" si="19"/>
        <v>2.0965447169495364E-2</v>
      </c>
      <c r="S200" s="59">
        <f t="shared" si="20"/>
        <v>11.907348436199104</v>
      </c>
      <c r="T200" s="59">
        <f t="shared" si="21"/>
        <v>0.4097916539087777</v>
      </c>
      <c r="U200" s="59">
        <f t="shared" si="22"/>
        <v>0.38444552198879073</v>
      </c>
      <c r="V200" s="59"/>
      <c r="W200" s="59"/>
      <c r="X200" s="59"/>
      <c r="Y200" s="59"/>
      <c r="Z200" s="59"/>
      <c r="AA200" s="59"/>
      <c r="AB200" s="59"/>
      <c r="AC200" s="59"/>
    </row>
    <row r="201" spans="1:29">
      <c r="A201" s="6" t="s">
        <v>187</v>
      </c>
      <c r="B201" s="6" t="s">
        <v>548</v>
      </c>
      <c r="C201" t="s">
        <v>13</v>
      </c>
      <c r="D201" s="8">
        <v>4</v>
      </c>
      <c r="E201" s="3">
        <v>20</v>
      </c>
      <c r="F201" s="55">
        <f>'Wet analysis 2016'!T184</f>
        <v>0.17910534422475419</v>
      </c>
      <c r="G201" s="55">
        <f>'Wet analysis 2016'!AD184</f>
        <v>0.72491992302719355</v>
      </c>
      <c r="H201" s="55">
        <f>'Wet analysis 2016'!AN184</f>
        <v>125.43686498877612</v>
      </c>
      <c r="I201" s="55">
        <f>'Wet analysis 2016'!AW184</f>
        <v>9.2112899975495619</v>
      </c>
      <c r="J201" s="55">
        <f>'Wet analysis 2016'!BF184</f>
        <v>8.3072647302976161</v>
      </c>
      <c r="K201" s="59"/>
      <c r="L201" s="260">
        <f>'Soil samples'!X184</f>
        <v>5.2140000000000004</v>
      </c>
      <c r="M201" s="59"/>
      <c r="N201" s="59"/>
      <c r="O201" s="59"/>
      <c r="P201" s="59"/>
      <c r="Q201" s="59">
        <f t="shared" si="18"/>
        <v>8.955267211237709E-3</v>
      </c>
      <c r="R201" s="59">
        <f t="shared" si="19"/>
        <v>3.6245996151359677E-2</v>
      </c>
      <c r="S201" s="59">
        <f t="shared" si="20"/>
        <v>6.2718432494388061</v>
      </c>
      <c r="T201" s="59">
        <f t="shared" si="21"/>
        <v>0.46056449987747811</v>
      </c>
      <c r="U201" s="59">
        <f t="shared" si="22"/>
        <v>0.41536323651488083</v>
      </c>
      <c r="V201" s="59"/>
      <c r="W201" s="59"/>
      <c r="X201" s="59"/>
      <c r="Y201" s="59"/>
      <c r="Z201" s="59"/>
      <c r="AA201" s="59"/>
      <c r="AB201" s="59"/>
      <c r="AC201" s="59"/>
    </row>
    <row r="202" spans="1:29">
      <c r="A202" s="6" t="s">
        <v>188</v>
      </c>
      <c r="B202" s="6" t="s">
        <v>548</v>
      </c>
      <c r="C202" t="s">
        <v>13</v>
      </c>
      <c r="D202" s="8">
        <v>5</v>
      </c>
      <c r="E202" s="3">
        <v>5</v>
      </c>
      <c r="F202" s="55">
        <f>'Wet analysis 2016'!T185</f>
        <v>0.11993602021946705</v>
      </c>
      <c r="G202" s="55">
        <f>'Wet analysis 2016'!AD185</f>
        <v>2.1675526356432782</v>
      </c>
      <c r="H202" s="55">
        <f>'Wet analysis 2016'!AN185</f>
        <v>136.74785925440776</v>
      </c>
      <c r="I202" s="55">
        <f>'Wet analysis 2016'!AW185</f>
        <v>18.233322855474686</v>
      </c>
      <c r="J202" s="55">
        <f>'Wet analysis 2016'!BF185</f>
        <v>15.945834199611932</v>
      </c>
      <c r="K202" s="59"/>
      <c r="L202" s="260">
        <f>'Soil samples'!X185</f>
        <v>5.0650000000000004</v>
      </c>
      <c r="M202" s="59"/>
      <c r="N202" s="59"/>
      <c r="O202" s="59"/>
      <c r="P202" s="59"/>
      <c r="Q202" s="59">
        <f t="shared" si="18"/>
        <v>5.9968010109733528E-3</v>
      </c>
      <c r="R202" s="59">
        <f t="shared" si="19"/>
        <v>0.10837763178216392</v>
      </c>
      <c r="S202" s="59">
        <f t="shared" si="20"/>
        <v>6.8373929627203882</v>
      </c>
      <c r="T202" s="59">
        <f t="shared" si="21"/>
        <v>0.91166614277373437</v>
      </c>
      <c r="U202" s="59">
        <f t="shared" si="22"/>
        <v>0.79729170998059662</v>
      </c>
      <c r="V202" s="59"/>
      <c r="W202" s="59"/>
      <c r="X202" s="59"/>
      <c r="Y202" s="59"/>
      <c r="Z202" s="59"/>
      <c r="AA202" s="59"/>
      <c r="AB202" s="59"/>
      <c r="AC202" s="59"/>
    </row>
    <row r="203" spans="1:29">
      <c r="A203" s="6" t="s">
        <v>189</v>
      </c>
      <c r="B203" s="6" t="s">
        <v>548</v>
      </c>
      <c r="C203" t="s">
        <v>13</v>
      </c>
      <c r="D203" s="8">
        <v>5</v>
      </c>
      <c r="E203" s="3">
        <v>10</v>
      </c>
      <c r="F203" s="55">
        <f>'Wet analysis 2016'!T186</f>
        <v>0.16844755342419365</v>
      </c>
      <c r="G203" s="55">
        <f>'Wet analysis 2016'!AD186</f>
        <v>1.6592696111882836</v>
      </c>
      <c r="H203" s="55">
        <f>'Wet analysis 2016'!AN186</f>
        <v>121.27549352020228</v>
      </c>
      <c r="I203" s="55">
        <f>'Wet analysis 2016'!AW186</f>
        <v>17.604396066669434</v>
      </c>
      <c r="J203" s="55">
        <f>'Wet analysis 2016'!BF186</f>
        <v>15.776678902056961</v>
      </c>
      <c r="K203" s="59"/>
      <c r="L203" s="260">
        <f>'Soil samples'!X186</f>
        <v>4.9260000000000002</v>
      </c>
      <c r="M203" s="59"/>
      <c r="N203" s="59"/>
      <c r="O203" s="59"/>
      <c r="P203" s="59"/>
      <c r="Q203" s="59">
        <f t="shared" si="18"/>
        <v>8.4223776712096833E-3</v>
      </c>
      <c r="R203" s="59">
        <f t="shared" si="19"/>
        <v>8.2963480559414188E-2</v>
      </c>
      <c r="S203" s="59">
        <f t="shared" si="20"/>
        <v>6.0637746760101141</v>
      </c>
      <c r="T203" s="59">
        <f t="shared" si="21"/>
        <v>0.88021980333347172</v>
      </c>
      <c r="U203" s="59">
        <f t="shared" si="22"/>
        <v>0.7888339451028481</v>
      </c>
      <c r="V203" s="59"/>
      <c r="W203" s="59"/>
      <c r="X203" s="59"/>
      <c r="Y203" s="59"/>
      <c r="Z203" s="59"/>
      <c r="AA203" s="59"/>
      <c r="AB203" s="59"/>
      <c r="AC203" s="59"/>
    </row>
    <row r="204" spans="1:29">
      <c r="A204" s="6" t="s">
        <v>190</v>
      </c>
      <c r="B204" s="6" t="s">
        <v>548</v>
      </c>
      <c r="C204" t="s">
        <v>13</v>
      </c>
      <c r="D204" s="8">
        <v>5</v>
      </c>
      <c r="E204" s="3">
        <v>20</v>
      </c>
      <c r="F204" s="55">
        <f>'Wet analysis 2016'!T187</f>
        <v>8.9417545660852082E-2</v>
      </c>
      <c r="G204" s="55">
        <f>'Wet analysis 2016'!AD187</f>
        <v>0.3003174586693706</v>
      </c>
      <c r="H204" s="55">
        <f>'Wet analysis 2016'!AN187</f>
        <v>119.61925113738087</v>
      </c>
      <c r="I204" s="55">
        <f>'Wet analysis 2016'!AW187</f>
        <v>9.6962155939582857</v>
      </c>
      <c r="J204" s="55">
        <f>'Wet analysis 2016'!BF187</f>
        <v>9.3064805896280642</v>
      </c>
      <c r="K204" s="59"/>
      <c r="L204" s="260">
        <f>'Soil samples'!X187</f>
        <v>4.9379999999999997</v>
      </c>
      <c r="M204" s="59"/>
      <c r="N204" s="59"/>
      <c r="O204" s="59"/>
      <c r="P204" s="59"/>
      <c r="Q204" s="59">
        <f t="shared" si="18"/>
        <v>4.4708772830426039E-3</v>
      </c>
      <c r="R204" s="59">
        <f t="shared" si="19"/>
        <v>1.5015872933468531E-2</v>
      </c>
      <c r="S204" s="59">
        <f t="shared" si="20"/>
        <v>5.9809625568690441</v>
      </c>
      <c r="T204" s="59">
        <f t="shared" si="21"/>
        <v>0.48481077969791431</v>
      </c>
      <c r="U204" s="59">
        <f t="shared" si="22"/>
        <v>0.46532402948140322</v>
      </c>
      <c r="V204" s="59"/>
      <c r="W204" s="59"/>
      <c r="X204" s="59"/>
      <c r="Y204" s="59"/>
      <c r="Z204" s="59"/>
      <c r="AA204" s="59"/>
      <c r="AB204" s="59"/>
      <c r="AC204" s="59"/>
    </row>
    <row r="205" spans="1:29">
      <c r="A205" s="6" t="s">
        <v>191</v>
      </c>
      <c r="B205" s="6" t="s">
        <v>548</v>
      </c>
      <c r="C205" t="s">
        <v>13</v>
      </c>
      <c r="D205" s="8">
        <v>5</v>
      </c>
      <c r="E205" s="3">
        <v>30</v>
      </c>
      <c r="F205" s="55">
        <f>'Wet analysis 2016'!T188</f>
        <v>0.12363242312987593</v>
      </c>
      <c r="G205" s="55">
        <f>'Wet analysis 2016'!AD188</f>
        <v>0.30672847790211782</v>
      </c>
      <c r="H205" s="55">
        <f>'Wet analysis 2016'!AN188</f>
        <v>176.53347837083865</v>
      </c>
      <c r="I205" s="55">
        <f>'Wet analysis 2016'!AW188</f>
        <v>12.790461527283954</v>
      </c>
      <c r="J205" s="55">
        <f>'Wet analysis 2016'!BF188</f>
        <v>12.360100626251965</v>
      </c>
      <c r="K205" s="59"/>
      <c r="L205" s="260">
        <f>'Soil samples'!X188</f>
        <v>5.2309999999999999</v>
      </c>
      <c r="M205" s="59"/>
      <c r="N205" s="59"/>
      <c r="O205" s="59"/>
      <c r="P205" s="59"/>
      <c r="Q205" s="59">
        <f t="shared" si="18"/>
        <v>6.1816211564937971E-3</v>
      </c>
      <c r="R205" s="59">
        <f t="shared" si="19"/>
        <v>1.5336423895105892E-2</v>
      </c>
      <c r="S205" s="59">
        <f t="shared" si="20"/>
        <v>8.8266739185419336</v>
      </c>
      <c r="T205" s="59">
        <f t="shared" si="21"/>
        <v>0.6395230763641977</v>
      </c>
      <c r="U205" s="59">
        <f t="shared" si="22"/>
        <v>0.61800503131259832</v>
      </c>
      <c r="V205" s="59"/>
      <c r="W205" s="59"/>
      <c r="X205" s="59"/>
      <c r="Y205" s="59"/>
      <c r="Z205" s="59"/>
      <c r="AA205" s="59"/>
      <c r="AB205" s="59"/>
      <c r="AC205" s="59"/>
    </row>
    <row r="206" spans="1:29">
      <c r="A206" s="6" t="s">
        <v>192</v>
      </c>
      <c r="B206" s="6" t="s">
        <v>548</v>
      </c>
      <c r="C206" t="s">
        <v>13</v>
      </c>
      <c r="D206" s="8">
        <v>6</v>
      </c>
      <c r="E206" s="3">
        <v>5</v>
      </c>
      <c r="F206" s="55">
        <f>'Wet analysis 2016'!T189</f>
        <v>6.895278198143226E-2</v>
      </c>
      <c r="G206" s="55">
        <f>'Wet analysis 2016'!AD189</f>
        <v>0.38146887444935712</v>
      </c>
      <c r="H206" s="55">
        <f>'Wet analysis 2016'!AN189</f>
        <v>198.37350640588764</v>
      </c>
      <c r="I206" s="55">
        <f>'Wet analysis 2016'!AW189</f>
        <v>11.031698033814937</v>
      </c>
      <c r="J206" s="55">
        <f>'Wet analysis 2016'!BF189</f>
        <v>10.58127637738415</v>
      </c>
      <c r="K206" s="59"/>
      <c r="L206" s="260">
        <f>'Soil samples'!X189</f>
        <v>5.1159999999999997</v>
      </c>
      <c r="M206" s="59"/>
      <c r="N206" s="59"/>
      <c r="O206" s="59"/>
      <c r="P206" s="59"/>
      <c r="Q206" s="59">
        <f t="shared" si="18"/>
        <v>3.4476390990716131E-3</v>
      </c>
      <c r="R206" s="59">
        <f t="shared" si="19"/>
        <v>1.9073443722467859E-2</v>
      </c>
      <c r="S206" s="59">
        <f t="shared" si="20"/>
        <v>9.9186753202943834</v>
      </c>
      <c r="T206" s="59">
        <f t="shared" si="21"/>
        <v>0.55158490169074692</v>
      </c>
      <c r="U206" s="59">
        <f t="shared" si="22"/>
        <v>0.5290638188692075</v>
      </c>
      <c r="V206" s="59"/>
      <c r="W206" s="59"/>
      <c r="X206" s="59"/>
      <c r="Y206" s="59"/>
      <c r="Z206" s="59"/>
      <c r="AA206" s="59"/>
      <c r="AB206" s="59"/>
      <c r="AC206" s="59"/>
    </row>
    <row r="207" spans="1:29">
      <c r="A207" s="6" t="s">
        <v>193</v>
      </c>
      <c r="B207" s="6" t="s">
        <v>548</v>
      </c>
      <c r="C207" t="s">
        <v>13</v>
      </c>
      <c r="D207" s="8">
        <v>6</v>
      </c>
      <c r="E207" s="3">
        <v>10</v>
      </c>
      <c r="F207" s="55">
        <f>'Wet analysis 2016'!T190</f>
        <v>2.6274790688472435E-2</v>
      </c>
      <c r="G207" s="55">
        <f>'Wet analysis 2016'!AD190</f>
        <v>0.53499599681800558</v>
      </c>
      <c r="H207" s="55">
        <f>'Wet analysis 2016'!AN190</f>
        <v>127.31321860855169</v>
      </c>
      <c r="I207" s="55">
        <f>'Wet analysis 2016'!AW190</f>
        <v>6.5090917718311383</v>
      </c>
      <c r="J207" s="55">
        <f>'Wet analysis 2016'!BF190</f>
        <v>5.947820984324661</v>
      </c>
      <c r="K207" s="59"/>
      <c r="L207" s="260">
        <f>'Soil samples'!X190</f>
        <v>5.16</v>
      </c>
      <c r="M207" s="59"/>
      <c r="N207" s="59"/>
      <c r="O207" s="59"/>
      <c r="P207" s="59"/>
      <c r="Q207" s="59">
        <f t="shared" si="18"/>
        <v>1.3137395344236219E-3</v>
      </c>
      <c r="R207" s="59">
        <f t="shared" si="19"/>
        <v>2.6749799840900281E-2</v>
      </c>
      <c r="S207" s="59">
        <f t="shared" si="20"/>
        <v>6.3656609304275849</v>
      </c>
      <c r="T207" s="59">
        <f t="shared" si="21"/>
        <v>0.32545458859155696</v>
      </c>
      <c r="U207" s="59">
        <f t="shared" si="22"/>
        <v>0.29739104921623305</v>
      </c>
      <c r="V207" s="59"/>
      <c r="W207" s="59"/>
      <c r="X207" s="59"/>
      <c r="Y207" s="59"/>
      <c r="Z207" s="59"/>
      <c r="AA207" s="59"/>
      <c r="AB207" s="59"/>
      <c r="AC207" s="59"/>
    </row>
    <row r="208" spans="1:29">
      <c r="A208" s="6" t="s">
        <v>194</v>
      </c>
      <c r="B208" s="6" t="s">
        <v>548</v>
      </c>
      <c r="C208" t="s">
        <v>13</v>
      </c>
      <c r="D208" s="8">
        <v>6</v>
      </c>
      <c r="E208" s="3">
        <v>20</v>
      </c>
      <c r="F208" s="55">
        <f>'Wet analysis 2016'!T191</f>
        <v>0.10733119989669351</v>
      </c>
      <c r="G208" s="55">
        <f>'Wet analysis 2016'!AD191</f>
        <v>0.50093146659864585</v>
      </c>
      <c r="H208" s="55">
        <f>'Wet analysis 2016'!AN191</f>
        <v>190.78812486323949</v>
      </c>
      <c r="I208" s="55">
        <f>'Wet analysis 2016'!AW191</f>
        <v>8.6647556450664585</v>
      </c>
      <c r="J208" s="55">
        <f>'Wet analysis 2016'!BF191</f>
        <v>8.0564929785711179</v>
      </c>
      <c r="K208" s="59"/>
      <c r="L208" s="260">
        <f>'Soil samples'!X191</f>
        <v>5.6470000000000002</v>
      </c>
      <c r="M208" s="59"/>
      <c r="N208" s="59"/>
      <c r="O208" s="59"/>
      <c r="P208" s="59"/>
      <c r="Q208" s="59">
        <f t="shared" si="18"/>
        <v>5.3665599948346764E-3</v>
      </c>
      <c r="R208" s="59">
        <f t="shared" si="19"/>
        <v>2.5046573329932292E-2</v>
      </c>
      <c r="S208" s="59">
        <f t="shared" si="20"/>
        <v>9.5394062431619755</v>
      </c>
      <c r="T208" s="59">
        <f t="shared" si="21"/>
        <v>0.43323778225332293</v>
      </c>
      <c r="U208" s="59">
        <f t="shared" si="22"/>
        <v>0.40282464892855591</v>
      </c>
      <c r="V208" s="59"/>
      <c r="W208" s="59"/>
      <c r="X208" s="59"/>
      <c r="Y208" s="59"/>
      <c r="Z208" s="59"/>
      <c r="AA208" s="59"/>
      <c r="AB208" s="59"/>
      <c r="AC208" s="59"/>
    </row>
    <row r="209" spans="1:29" s="4" customFormat="1">
      <c r="A209" s="7" t="s">
        <v>195</v>
      </c>
      <c r="B209" s="7" t="s">
        <v>548</v>
      </c>
      <c r="C209" s="4" t="s">
        <v>13</v>
      </c>
      <c r="D209" s="4">
        <v>6</v>
      </c>
      <c r="E209" s="5">
        <v>30</v>
      </c>
      <c r="F209" s="55">
        <f>'Wet analysis 2016'!T192</f>
        <v>0.13315226222460083</v>
      </c>
      <c r="G209" s="55">
        <f>'Wet analysis 2016'!AD192</f>
        <v>0.77325273512847803</v>
      </c>
      <c r="H209" s="55">
        <f>'Wet analysis 2016'!AN192</f>
        <v>213.07932166303357</v>
      </c>
      <c r="I209" s="55">
        <f>'Wet analysis 2016'!AW192</f>
        <v>7.8081977615643172</v>
      </c>
      <c r="J209" s="55">
        <f>'Wet analysis 2016'!BF192</f>
        <v>6.9017927642112396</v>
      </c>
      <c r="K209" s="7"/>
      <c r="L209" s="260">
        <f>'Soil samples'!X192</f>
        <v>5.0220000000000002</v>
      </c>
      <c r="M209" s="7"/>
      <c r="N209" s="7"/>
      <c r="O209" s="59"/>
      <c r="P209" s="7"/>
      <c r="Q209" s="59">
        <f t="shared" si="18"/>
        <v>6.6576131112300423E-3</v>
      </c>
      <c r="R209" s="59">
        <f t="shared" si="19"/>
        <v>3.8662636756423903E-2</v>
      </c>
      <c r="S209" s="59">
        <f t="shared" si="20"/>
        <v>10.65396608315168</v>
      </c>
      <c r="T209" s="59">
        <f t="shared" si="21"/>
        <v>0.39040988807821586</v>
      </c>
      <c r="U209" s="59">
        <f t="shared" si="22"/>
        <v>0.34508963821056199</v>
      </c>
      <c r="V209" s="7"/>
      <c r="W209" s="7"/>
      <c r="X209" s="7"/>
      <c r="Y209" s="7"/>
      <c r="Z209" s="7"/>
      <c r="AA209" s="7"/>
      <c r="AB209" s="7"/>
      <c r="AC209" s="7"/>
    </row>
    <row r="210" spans="1:29">
      <c r="L210" s="260"/>
      <c r="O210" s="59"/>
    </row>
    <row r="211" spans="1:29">
      <c r="O211" s="59"/>
    </row>
    <row r="212" spans="1:29">
      <c r="O212" s="59"/>
    </row>
    <row r="213" spans="1:29">
      <c r="O213" s="59"/>
    </row>
    <row r="214" spans="1:29">
      <c r="O214" s="59"/>
    </row>
    <row r="215" spans="1:29">
      <c r="O215" s="59"/>
    </row>
    <row r="216" spans="1:29">
      <c r="O216" s="59"/>
    </row>
    <row r="217" spans="1:29">
      <c r="O217" s="59"/>
    </row>
    <row r="218" spans="1:29">
      <c r="O218" s="59"/>
    </row>
    <row r="219" spans="1:29">
      <c r="O219" s="59"/>
    </row>
    <row r="220" spans="1:29">
      <c r="O220" s="59"/>
    </row>
    <row r="221" spans="1:29">
      <c r="O221" s="59"/>
    </row>
    <row r="222" spans="1:29">
      <c r="O222" s="59"/>
    </row>
    <row r="223" spans="1:29">
      <c r="O223" s="59"/>
    </row>
    <row r="224" spans="1:29">
      <c r="O224" s="59"/>
    </row>
    <row r="225" spans="15:15">
      <c r="O225" s="59"/>
    </row>
    <row r="226" spans="15:15">
      <c r="O226" s="59"/>
    </row>
    <row r="227" spans="15:15">
      <c r="O227" s="59"/>
    </row>
    <row r="228" spans="15:15">
      <c r="O228" s="59"/>
    </row>
    <row r="229" spans="15:15">
      <c r="O229" s="59"/>
    </row>
    <row r="230" spans="15:15">
      <c r="O230" s="59"/>
    </row>
    <row r="231" spans="15:15">
      <c r="O231" s="59"/>
    </row>
    <row r="232" spans="15:15">
      <c r="O232" s="59"/>
    </row>
    <row r="233" spans="15:15">
      <c r="O233" s="59"/>
    </row>
    <row r="234" spans="15:15">
      <c r="O234" s="59"/>
    </row>
    <row r="235" spans="15:15">
      <c r="O235" s="59"/>
    </row>
    <row r="236" spans="15:15">
      <c r="O236" s="59"/>
    </row>
    <row r="237" spans="15:15">
      <c r="O237" s="59"/>
    </row>
    <row r="238" spans="15:15">
      <c r="O238" s="59"/>
    </row>
    <row r="239" spans="15:15">
      <c r="O239" s="59"/>
    </row>
    <row r="240" spans="15:15">
      <c r="O240" s="59"/>
    </row>
    <row r="241" spans="15:15">
      <c r="O241" s="59"/>
    </row>
    <row r="242" spans="15:15">
      <c r="O242" s="5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M225"/>
  <sheetViews>
    <sheetView topLeftCell="A11" workbookViewId="0">
      <selection activeCell="A39" sqref="A39:B41"/>
    </sheetView>
  </sheetViews>
  <sheetFormatPr baseColWidth="10" defaultColWidth="11" defaultRowHeight="16"/>
  <sheetData>
    <row r="2" spans="1:9">
      <c r="A2" s="1" t="s">
        <v>10</v>
      </c>
      <c r="B2" s="1" t="s">
        <v>497</v>
      </c>
      <c r="C2" s="1" t="s">
        <v>375</v>
      </c>
      <c r="D2" s="1" t="s">
        <v>842</v>
      </c>
      <c r="E2" s="107" t="s">
        <v>754</v>
      </c>
      <c r="F2" s="107" t="s">
        <v>755</v>
      </c>
      <c r="G2" s="107" t="s">
        <v>756</v>
      </c>
      <c r="H2" s="107" t="s">
        <v>790</v>
      </c>
      <c r="I2" s="107" t="s">
        <v>375</v>
      </c>
    </row>
    <row r="3" spans="1:9">
      <c r="A3" t="s">
        <v>503</v>
      </c>
      <c r="B3" s="24">
        <v>42746</v>
      </c>
      <c r="C3" t="s">
        <v>504</v>
      </c>
      <c r="D3" t="s">
        <v>740</v>
      </c>
      <c r="E3">
        <v>-14.71</v>
      </c>
      <c r="F3">
        <v>35.884999999999998</v>
      </c>
      <c r="G3">
        <v>2.1254999999999997</v>
      </c>
      <c r="H3">
        <v>-0.71099999999999997</v>
      </c>
    </row>
    <row r="4" spans="1:9">
      <c r="A4" t="s">
        <v>505</v>
      </c>
      <c r="B4" s="24">
        <v>42746</v>
      </c>
      <c r="C4" t="s">
        <v>504</v>
      </c>
      <c r="D4" t="s">
        <v>748</v>
      </c>
      <c r="E4">
        <v>-4.5860000000000003</v>
      </c>
      <c r="F4">
        <v>44.813000000000002</v>
      </c>
      <c r="G4">
        <v>1.7789999999999999</v>
      </c>
      <c r="H4">
        <v>6.9000000000000006E-2</v>
      </c>
    </row>
    <row r="5" spans="1:9">
      <c r="A5" t="s">
        <v>506</v>
      </c>
      <c r="B5" s="24">
        <v>42753</v>
      </c>
      <c r="C5" t="s">
        <v>502</v>
      </c>
      <c r="D5" t="s">
        <v>753</v>
      </c>
      <c r="E5">
        <v>-2.944</v>
      </c>
      <c r="F5">
        <v>70.7</v>
      </c>
      <c r="G5">
        <v>3.0129999999999999</v>
      </c>
      <c r="H5">
        <v>0.217</v>
      </c>
    </row>
    <row r="6" spans="1:9">
      <c r="A6" t="s">
        <v>400</v>
      </c>
      <c r="B6" s="24">
        <v>42765</v>
      </c>
      <c r="C6" t="s">
        <v>400</v>
      </c>
      <c r="D6" t="s">
        <v>752</v>
      </c>
      <c r="E6">
        <v>-2.444</v>
      </c>
      <c r="F6">
        <v>28.094999999999999</v>
      </c>
      <c r="G6">
        <v>5.2320000000000002</v>
      </c>
      <c r="H6">
        <v>-1E-3</v>
      </c>
    </row>
    <row r="7" spans="1:9">
      <c r="A7" t="s">
        <v>500</v>
      </c>
      <c r="B7" s="24">
        <v>42767</v>
      </c>
      <c r="C7" t="s">
        <v>502</v>
      </c>
      <c r="D7" t="s">
        <v>743</v>
      </c>
      <c r="E7">
        <v>-1.722</v>
      </c>
      <c r="F7">
        <v>55.83</v>
      </c>
      <c r="G7">
        <v>4.4240000000000004</v>
      </c>
      <c r="H7">
        <v>8.4000000000000005E-2</v>
      </c>
    </row>
    <row r="8" spans="1:9">
      <c r="A8" t="s">
        <v>500</v>
      </c>
      <c r="B8" s="24">
        <v>42769</v>
      </c>
      <c r="C8" t="s">
        <v>502</v>
      </c>
      <c r="D8" t="s">
        <v>742</v>
      </c>
      <c r="E8">
        <v>-7.8449999999999998</v>
      </c>
      <c r="F8">
        <v>37.530999999999999</v>
      </c>
      <c r="G8">
        <v>2.1985000000000001</v>
      </c>
      <c r="H8">
        <v>-4.9000000000000002E-2</v>
      </c>
    </row>
    <row r="9" spans="1:9">
      <c r="A9" t="s">
        <v>503</v>
      </c>
      <c r="B9" s="24">
        <v>42776</v>
      </c>
      <c r="C9" t="s">
        <v>504</v>
      </c>
      <c r="D9" t="s">
        <v>738</v>
      </c>
      <c r="E9">
        <v>-12.484999999999999</v>
      </c>
      <c r="F9">
        <v>-12.413</v>
      </c>
      <c r="G9">
        <v>4.3810000000000002</v>
      </c>
      <c r="H9">
        <v>-0.36699999999999999</v>
      </c>
      <c r="I9" t="s">
        <v>808</v>
      </c>
    </row>
    <row r="10" spans="1:9">
      <c r="A10" t="s">
        <v>505</v>
      </c>
      <c r="B10" s="24">
        <v>42776</v>
      </c>
      <c r="C10" t="s">
        <v>504</v>
      </c>
      <c r="D10" t="s">
        <v>746</v>
      </c>
      <c r="E10">
        <v>-2.9910000000000001</v>
      </c>
      <c r="F10">
        <v>11.887</v>
      </c>
      <c r="G10">
        <v>3.1974999999999998</v>
      </c>
      <c r="H10">
        <v>4.0000000000000001E-3</v>
      </c>
    </row>
    <row r="11" spans="1:9">
      <c r="A11" t="s">
        <v>503</v>
      </c>
      <c r="B11" s="24">
        <v>42783</v>
      </c>
      <c r="C11" t="s">
        <v>504</v>
      </c>
      <c r="D11" t="s">
        <v>736</v>
      </c>
      <c r="E11">
        <v>-9.8230000000000004</v>
      </c>
      <c r="F11">
        <v>17.341999999999999</v>
      </c>
      <c r="G11">
        <v>6.1450000000000005</v>
      </c>
      <c r="H11">
        <v>3.6999999999999998E-2</v>
      </c>
    </row>
    <row r="12" spans="1:9">
      <c r="A12" t="s">
        <v>505</v>
      </c>
      <c r="B12" s="24">
        <v>42783</v>
      </c>
      <c r="C12" t="s">
        <v>504</v>
      </c>
      <c r="D12" t="s">
        <v>744</v>
      </c>
      <c r="E12">
        <v>-4.8819999999999997</v>
      </c>
      <c r="F12">
        <v>495.17399999999998</v>
      </c>
      <c r="G12">
        <v>1.7264999999999999</v>
      </c>
      <c r="H12">
        <v>6.0000000000000001E-3</v>
      </c>
      <c r="I12" t="s">
        <v>807</v>
      </c>
    </row>
    <row r="13" spans="1:9">
      <c r="A13" t="s">
        <v>672</v>
      </c>
      <c r="B13" s="24">
        <v>42791</v>
      </c>
      <c r="C13" t="s">
        <v>504</v>
      </c>
      <c r="D13" t="s">
        <v>734</v>
      </c>
      <c r="E13">
        <v>-8.5950000000000006</v>
      </c>
      <c r="F13">
        <v>112.035</v>
      </c>
      <c r="G13">
        <v>1.9279999999999999</v>
      </c>
      <c r="H13">
        <v>-0.89100000000000001</v>
      </c>
      <c r="I13" t="s">
        <v>807</v>
      </c>
    </row>
    <row r="14" spans="1:9">
      <c r="A14" t="s">
        <v>673</v>
      </c>
      <c r="B14" s="24">
        <v>42791</v>
      </c>
      <c r="C14" t="s">
        <v>504</v>
      </c>
      <c r="D14" t="s">
        <v>747</v>
      </c>
      <c r="E14">
        <v>-3.87</v>
      </c>
      <c r="F14">
        <v>74.67</v>
      </c>
      <c r="G14">
        <v>3.2925</v>
      </c>
      <c r="H14">
        <v>-1.238</v>
      </c>
    </row>
    <row r="15" spans="1:9">
      <c r="B15" s="24">
        <v>42792</v>
      </c>
      <c r="D15" t="s">
        <v>737</v>
      </c>
      <c r="E15">
        <v>-9.4830000000000005</v>
      </c>
      <c r="F15">
        <v>40.884999999999998</v>
      </c>
      <c r="G15">
        <v>4.5674999999999999</v>
      </c>
      <c r="H15">
        <v>-0.69499999999999995</v>
      </c>
    </row>
    <row r="16" spans="1:9">
      <c r="B16" s="24">
        <v>42792</v>
      </c>
      <c r="D16" t="s">
        <v>745</v>
      </c>
      <c r="E16">
        <v>-3.5179999999999998</v>
      </c>
      <c r="F16">
        <v>34.048000000000002</v>
      </c>
      <c r="G16">
        <v>9.0150000000000006</v>
      </c>
      <c r="H16">
        <v>0</v>
      </c>
    </row>
    <row r="17" spans="1:9">
      <c r="A17" t="s">
        <v>503</v>
      </c>
      <c r="B17" s="24">
        <v>42798</v>
      </c>
      <c r="C17" t="s">
        <v>504</v>
      </c>
      <c r="D17" t="s">
        <v>741</v>
      </c>
      <c r="E17">
        <v>-13.2</v>
      </c>
      <c r="F17">
        <v>22.994</v>
      </c>
      <c r="G17">
        <v>4.734</v>
      </c>
      <c r="H17">
        <v>-0.79400000000000004</v>
      </c>
    </row>
    <row r="18" spans="1:9">
      <c r="A18" t="s">
        <v>505</v>
      </c>
      <c r="B18" s="24">
        <v>42798</v>
      </c>
      <c r="C18" t="s">
        <v>504</v>
      </c>
      <c r="D18" t="s">
        <v>751</v>
      </c>
      <c r="E18">
        <v>-2.6440000000000001</v>
      </c>
      <c r="F18">
        <v>15.49</v>
      </c>
      <c r="G18">
        <v>4.2359999999999998</v>
      </c>
      <c r="H18">
        <v>-1.2E-2</v>
      </c>
    </row>
    <row r="19" spans="1:9">
      <c r="A19" t="s">
        <v>503</v>
      </c>
      <c r="B19" s="24">
        <v>42818</v>
      </c>
      <c r="C19" t="s">
        <v>504</v>
      </c>
      <c r="D19" t="s">
        <v>739</v>
      </c>
      <c r="E19">
        <v>-6.125</v>
      </c>
      <c r="F19">
        <v>32.743000000000002</v>
      </c>
      <c r="G19">
        <v>5.12</v>
      </c>
      <c r="H19">
        <v>-0.63800000000000001</v>
      </c>
    </row>
    <row r="20" spans="1:9">
      <c r="A20" t="s">
        <v>505</v>
      </c>
      <c r="B20" s="24">
        <v>42818</v>
      </c>
      <c r="C20" t="s">
        <v>504</v>
      </c>
      <c r="D20" t="s">
        <v>750</v>
      </c>
      <c r="E20">
        <v>-2.1480000000000001</v>
      </c>
      <c r="F20">
        <v>33.997</v>
      </c>
      <c r="G20">
        <v>6.718</v>
      </c>
      <c r="H20">
        <v>2.5000000000000001E-2</v>
      </c>
    </row>
    <row r="21" spans="1:9">
      <c r="B21" s="24">
        <v>42821</v>
      </c>
      <c r="D21" t="s">
        <v>735</v>
      </c>
      <c r="E21">
        <v>-3.7330000000000001</v>
      </c>
      <c r="F21">
        <v>36.417000000000002</v>
      </c>
      <c r="G21">
        <v>9.81</v>
      </c>
      <c r="H21">
        <v>-0.67300000000000004</v>
      </c>
    </row>
    <row r="22" spans="1:9" s="4" customFormat="1">
      <c r="B22" s="48">
        <v>42821</v>
      </c>
      <c r="D22" s="4" t="s">
        <v>749</v>
      </c>
      <c r="E22" s="4">
        <v>-0.747</v>
      </c>
      <c r="F22" s="4">
        <v>15.603999999999999</v>
      </c>
      <c r="G22" s="4">
        <v>7.6189999999999998</v>
      </c>
      <c r="H22" s="4">
        <v>3.6999999999999998E-2</v>
      </c>
    </row>
    <row r="23" spans="1:9">
      <c r="E23" s="1" t="s">
        <v>844</v>
      </c>
    </row>
    <row r="24" spans="1:9">
      <c r="B24" s="1" t="s">
        <v>497</v>
      </c>
      <c r="C24" s="1" t="s">
        <v>845</v>
      </c>
      <c r="E24" s="107" t="s">
        <v>754</v>
      </c>
      <c r="F24" s="107" t="s">
        <v>755</v>
      </c>
      <c r="G24" s="107" t="s">
        <v>756</v>
      </c>
      <c r="H24" s="107" t="s">
        <v>790</v>
      </c>
      <c r="I24" s="107" t="s">
        <v>375</v>
      </c>
    </row>
    <row r="25" spans="1:9">
      <c r="B25" s="24">
        <v>42746</v>
      </c>
      <c r="C25">
        <v>2</v>
      </c>
      <c r="E25">
        <f>SUM(E3:E4)/$C25</f>
        <v>-9.6479999999999997</v>
      </c>
      <c r="F25">
        <f t="shared" ref="F25:H25" si="0">SUM(F3:F4)/$C25</f>
        <v>40.349000000000004</v>
      </c>
      <c r="G25">
        <f t="shared" si="0"/>
        <v>1.9522499999999998</v>
      </c>
      <c r="H25">
        <f t="shared" si="0"/>
        <v>-0.32099999999999995</v>
      </c>
    </row>
    <row r="26" spans="1:9">
      <c r="B26" s="24">
        <v>42753</v>
      </c>
      <c r="C26">
        <v>1</v>
      </c>
      <c r="E26">
        <f>SUM(E5)/$C26</f>
        <v>-2.944</v>
      </c>
      <c r="F26">
        <f t="shared" ref="F26:H26" si="1">SUM(F5)/$C26</f>
        <v>70.7</v>
      </c>
      <c r="G26">
        <f t="shared" si="1"/>
        <v>3.0129999999999999</v>
      </c>
      <c r="H26">
        <f t="shared" si="1"/>
        <v>0.217</v>
      </c>
    </row>
    <row r="27" spans="1:9">
      <c r="B27" s="24">
        <v>42765</v>
      </c>
      <c r="C27">
        <v>1</v>
      </c>
      <c r="E27">
        <f>SUM(E6)/$C27</f>
        <v>-2.444</v>
      </c>
      <c r="F27">
        <f t="shared" ref="F27:H29" si="2">SUM(F6)/$C27</f>
        <v>28.094999999999999</v>
      </c>
      <c r="G27">
        <f t="shared" si="2"/>
        <v>5.2320000000000002</v>
      </c>
      <c r="H27">
        <f t="shared" si="2"/>
        <v>-1E-3</v>
      </c>
    </row>
    <row r="28" spans="1:9">
      <c r="B28" s="24">
        <v>42767</v>
      </c>
      <c r="C28">
        <v>1</v>
      </c>
      <c r="E28">
        <f>SUM(E7)/$C28</f>
        <v>-1.722</v>
      </c>
      <c r="F28">
        <f t="shared" si="2"/>
        <v>55.83</v>
      </c>
      <c r="G28">
        <f t="shared" si="2"/>
        <v>4.4240000000000004</v>
      </c>
      <c r="H28">
        <f t="shared" si="2"/>
        <v>8.4000000000000005E-2</v>
      </c>
    </row>
    <row r="29" spans="1:9">
      <c r="B29" s="24">
        <v>42769</v>
      </c>
      <c r="C29">
        <v>1</v>
      </c>
      <c r="E29">
        <f>SUM(E8)/$C29</f>
        <v>-7.8449999999999998</v>
      </c>
      <c r="F29">
        <f t="shared" si="2"/>
        <v>37.530999999999999</v>
      </c>
      <c r="G29">
        <f t="shared" si="2"/>
        <v>2.1985000000000001</v>
      </c>
      <c r="H29">
        <f t="shared" si="2"/>
        <v>-4.9000000000000002E-2</v>
      </c>
    </row>
    <row r="30" spans="1:9">
      <c r="B30" s="24">
        <v>42776</v>
      </c>
      <c r="C30">
        <v>2</v>
      </c>
      <c r="E30">
        <f>SUM(E9:E10)/$C30</f>
        <v>-7.7379999999999995</v>
      </c>
      <c r="F30">
        <f t="shared" ref="F30:H30" si="3">SUM(F9:F10)/$C30</f>
        <v>-0.2629999999999999</v>
      </c>
      <c r="G30">
        <f t="shared" si="3"/>
        <v>3.78925</v>
      </c>
      <c r="H30">
        <f t="shared" si="3"/>
        <v>-0.18149999999999999</v>
      </c>
      <c r="I30" t="s">
        <v>809</v>
      </c>
    </row>
    <row r="31" spans="1:9">
      <c r="B31" s="24">
        <v>42783</v>
      </c>
      <c r="C31">
        <v>2</v>
      </c>
      <c r="E31">
        <f>SUM(E11:E12)/$C31</f>
        <v>-7.3525</v>
      </c>
      <c r="F31">
        <f t="shared" ref="F31:H31" si="4">SUM(F11:F12)/$C31</f>
        <v>256.25799999999998</v>
      </c>
      <c r="G31">
        <f t="shared" si="4"/>
        <v>3.9357500000000001</v>
      </c>
      <c r="H31">
        <f t="shared" si="4"/>
        <v>2.1499999999999998E-2</v>
      </c>
      <c r="I31" t="s">
        <v>810</v>
      </c>
    </row>
    <row r="32" spans="1:9">
      <c r="B32" s="24">
        <v>42791</v>
      </c>
      <c r="C32">
        <v>2</v>
      </c>
      <c r="E32">
        <f>SUM(E13:E14)/$C32</f>
        <v>-6.2324999999999999</v>
      </c>
      <c r="F32">
        <f t="shared" ref="F32:H32" si="5">SUM(F13:F14)/$C32</f>
        <v>93.352499999999992</v>
      </c>
      <c r="G32">
        <f t="shared" si="5"/>
        <v>2.6102499999999997</v>
      </c>
      <c r="H32">
        <f t="shared" si="5"/>
        <v>-1.0645</v>
      </c>
      <c r="I32" t="s">
        <v>810</v>
      </c>
    </row>
    <row r="33" spans="1:9">
      <c r="B33" s="24">
        <v>42792</v>
      </c>
      <c r="C33">
        <v>2</v>
      </c>
      <c r="E33">
        <f>SUM(E15:E16)/$C33</f>
        <v>-6.5005000000000006</v>
      </c>
      <c r="F33">
        <f t="shared" ref="F33:H33" si="6">SUM(F15:F16)/$C33</f>
        <v>37.466499999999996</v>
      </c>
      <c r="G33">
        <f t="shared" si="6"/>
        <v>6.7912499999999998</v>
      </c>
      <c r="H33">
        <f t="shared" si="6"/>
        <v>-0.34749999999999998</v>
      </c>
    </row>
    <row r="34" spans="1:9">
      <c r="B34" s="24">
        <v>42798</v>
      </c>
      <c r="C34">
        <v>2</v>
      </c>
      <c r="E34">
        <f>SUM(E17:E18)/$C34</f>
        <v>-7.9219999999999997</v>
      </c>
      <c r="F34">
        <f t="shared" ref="F34:H34" si="7">SUM(F17:F18)/$C34</f>
        <v>19.242000000000001</v>
      </c>
      <c r="G34">
        <f t="shared" si="7"/>
        <v>4.4849999999999994</v>
      </c>
      <c r="H34">
        <f t="shared" si="7"/>
        <v>-0.40300000000000002</v>
      </c>
    </row>
    <row r="35" spans="1:9">
      <c r="B35" s="24">
        <v>42818</v>
      </c>
      <c r="C35">
        <v>2</v>
      </c>
      <c r="E35">
        <f>SUM(E19:E20)/$C35</f>
        <v>-4.1364999999999998</v>
      </c>
      <c r="F35">
        <f t="shared" ref="F35:H35" si="8">SUM(F19:F20)/$C35</f>
        <v>33.370000000000005</v>
      </c>
      <c r="G35">
        <f t="shared" si="8"/>
        <v>5.9190000000000005</v>
      </c>
      <c r="H35">
        <f t="shared" si="8"/>
        <v>-0.30649999999999999</v>
      </c>
    </row>
    <row r="36" spans="1:9">
      <c r="B36" s="24">
        <v>42821</v>
      </c>
      <c r="C36">
        <v>2</v>
      </c>
      <c r="E36">
        <f>SUM(E21:E22)/$C36</f>
        <v>-2.2400000000000002</v>
      </c>
      <c r="F36">
        <f t="shared" ref="F36:H36" si="9">SUM(F21:F22)/$C36</f>
        <v>26.0105</v>
      </c>
      <c r="G36">
        <f t="shared" si="9"/>
        <v>8.714500000000001</v>
      </c>
      <c r="H36">
        <f t="shared" si="9"/>
        <v>-0.318</v>
      </c>
    </row>
    <row r="37" spans="1:9" s="4" customFormat="1">
      <c r="B37" s="4" t="s">
        <v>846</v>
      </c>
      <c r="E37" s="4">
        <f>AVERAGE(E3:E22)</f>
        <v>-5.9247500000000013</v>
      </c>
      <c r="F37" s="4">
        <f>AVERAGE(F3:F11,F13:F22)</f>
        <v>37.292263157894752</v>
      </c>
      <c r="G37" s="4">
        <f t="shared" ref="G37:H37" si="10">AVERAGE(G3:G22)</f>
        <v>4.5631000000000004</v>
      </c>
      <c r="H37" s="4">
        <f t="shared" si="10"/>
        <v>-0.27949999999999997</v>
      </c>
    </row>
    <row r="39" spans="1:9">
      <c r="A39" s="1" t="s">
        <v>811</v>
      </c>
    </row>
    <row r="40" spans="1:9">
      <c r="A40" t="s">
        <v>812</v>
      </c>
      <c r="B40">
        <v>25</v>
      </c>
    </row>
    <row r="41" spans="1:9" s="4" customFormat="1">
      <c r="A41" s="4" t="s">
        <v>813</v>
      </c>
      <c r="B41" s="4">
        <v>5</v>
      </c>
    </row>
    <row r="44" spans="1:9">
      <c r="C44" t="s">
        <v>702</v>
      </c>
      <c r="D44" t="s">
        <v>703</v>
      </c>
      <c r="E44" t="s">
        <v>704</v>
      </c>
      <c r="G44" t="s">
        <v>710</v>
      </c>
      <c r="H44" t="s">
        <v>1102</v>
      </c>
      <c r="I44" t="s">
        <v>1103</v>
      </c>
    </row>
    <row r="45" spans="1:9">
      <c r="A45" t="s">
        <v>700</v>
      </c>
      <c r="B45" s="24">
        <v>42818</v>
      </c>
      <c r="C45">
        <v>6.4710000000000001</v>
      </c>
      <c r="D45">
        <v>6.2809999999999997</v>
      </c>
      <c r="E45">
        <v>6.2009999999999996</v>
      </c>
      <c r="G45">
        <v>7</v>
      </c>
    </row>
    <row r="46" spans="1:9">
      <c r="A46" t="s">
        <v>700</v>
      </c>
      <c r="B46" s="24">
        <v>42821</v>
      </c>
      <c r="C46">
        <v>5.94</v>
      </c>
      <c r="D46">
        <v>5.9279999999999999</v>
      </c>
      <c r="E46">
        <v>5.9219999999999997</v>
      </c>
      <c r="G46">
        <v>7.1</v>
      </c>
    </row>
    <row r="47" spans="1:9">
      <c r="A47" t="s">
        <v>700</v>
      </c>
      <c r="B47" s="24">
        <v>42993</v>
      </c>
      <c r="C47">
        <v>5.3460000000000001</v>
      </c>
      <c r="D47">
        <v>5.3860000000000001</v>
      </c>
      <c r="E47">
        <v>5.5179999999999998</v>
      </c>
      <c r="G47">
        <v>7.0650000000000004</v>
      </c>
      <c r="H47">
        <v>3.9969999999999999</v>
      </c>
      <c r="I47">
        <v>9.0039999999999996</v>
      </c>
    </row>
    <row r="50" spans="1:13">
      <c r="A50" s="1" t="s">
        <v>1064</v>
      </c>
      <c r="B50" s="1" t="s">
        <v>754</v>
      </c>
      <c r="C50" s="1" t="s">
        <v>755</v>
      </c>
      <c r="D50" s="1" t="s">
        <v>756</v>
      </c>
      <c r="E50" s="1" t="s">
        <v>790</v>
      </c>
    </row>
    <row r="51" spans="1:13">
      <c r="A51" t="s">
        <v>0</v>
      </c>
      <c r="B51" s="59">
        <v>378.5563439</v>
      </c>
      <c r="C51" s="59">
        <v>1515.8116990000001</v>
      </c>
      <c r="D51" s="59">
        <v>73.618884730000005</v>
      </c>
      <c r="E51" s="59">
        <v>11.6388642</v>
      </c>
      <c r="F51" s="59"/>
      <c r="G51" s="59"/>
      <c r="H51" s="128"/>
      <c r="I51" s="128"/>
      <c r="J51" s="128"/>
      <c r="K51" s="128"/>
      <c r="L51" s="128"/>
      <c r="M51" s="59"/>
    </row>
    <row r="52" spans="1:13">
      <c r="A52" t="s">
        <v>1</v>
      </c>
      <c r="B52" s="59">
        <v>151.59867270000001</v>
      </c>
      <c r="C52" s="59">
        <v>284.34927599999997</v>
      </c>
      <c r="D52" s="59">
        <v>50.655333570000003</v>
      </c>
      <c r="E52" s="59">
        <v>3.0023758909999998</v>
      </c>
      <c r="F52" s="59"/>
      <c r="G52" s="59"/>
      <c r="H52" s="59"/>
      <c r="I52" s="59"/>
      <c r="J52" s="59"/>
      <c r="K52" s="59"/>
      <c r="L52" s="59"/>
      <c r="M52" s="59"/>
    </row>
    <row r="53" spans="1:13">
      <c r="A53" t="s">
        <v>2</v>
      </c>
      <c r="B53" s="59">
        <v>83.618746060000007</v>
      </c>
      <c r="C53" s="59">
        <v>118.5272575</v>
      </c>
      <c r="D53" s="59">
        <v>42.949042990000002</v>
      </c>
      <c r="E53" s="59">
        <v>1.0215007410000001</v>
      </c>
      <c r="F53" s="59"/>
      <c r="G53" s="59"/>
      <c r="H53" s="59"/>
      <c r="I53" s="59"/>
      <c r="J53" s="59"/>
      <c r="K53" s="59"/>
      <c r="L53" s="59"/>
      <c r="M53" s="59"/>
    </row>
    <row r="54" spans="1:13">
      <c r="A54" t="s">
        <v>3</v>
      </c>
      <c r="B54" s="59">
        <v>475.07629020000002</v>
      </c>
      <c r="C54" s="59">
        <v>2183.5363379999999</v>
      </c>
      <c r="D54" s="59">
        <v>83.356290659999999</v>
      </c>
      <c r="E54" s="59">
        <v>8.6622039419999997</v>
      </c>
      <c r="F54" s="59"/>
      <c r="G54" s="59"/>
      <c r="H54" s="59"/>
      <c r="I54" s="59"/>
      <c r="J54" s="59"/>
      <c r="K54" s="59"/>
      <c r="L54" s="59"/>
      <c r="M54" s="59"/>
    </row>
    <row r="55" spans="1:13">
      <c r="A55" t="s">
        <v>21</v>
      </c>
      <c r="B55" s="59">
        <v>175.17148370000001</v>
      </c>
      <c r="C55" s="59">
        <v>652.10850809999999</v>
      </c>
      <c r="D55" s="59">
        <v>88.517713189999995</v>
      </c>
      <c r="E55" s="59">
        <v>4.1281433380000001</v>
      </c>
      <c r="F55" s="59"/>
      <c r="G55" s="59"/>
      <c r="H55" s="59"/>
      <c r="I55" s="59"/>
      <c r="J55" s="59"/>
      <c r="K55" s="59"/>
      <c r="L55" s="59"/>
      <c r="M55" s="59"/>
    </row>
    <row r="56" spans="1:13">
      <c r="A56" t="s">
        <v>22</v>
      </c>
      <c r="B56" s="59">
        <v>35.688115539999998</v>
      </c>
      <c r="C56" s="59">
        <v>212.43022389999999</v>
      </c>
      <c r="D56" s="59">
        <v>56.306613329999998</v>
      </c>
      <c r="E56" s="59">
        <v>1.6933000149999999</v>
      </c>
      <c r="F56" s="59"/>
      <c r="G56" s="59"/>
      <c r="H56" s="59"/>
      <c r="I56" s="59"/>
      <c r="J56" s="59"/>
      <c r="K56" s="59"/>
      <c r="L56" s="59"/>
      <c r="M56" s="59"/>
    </row>
    <row r="57" spans="1:13">
      <c r="A57" t="s">
        <v>23</v>
      </c>
      <c r="B57" s="59">
        <v>417.04882689999999</v>
      </c>
      <c r="C57" s="59">
        <v>1620.049354</v>
      </c>
      <c r="D57" s="59">
        <v>73.45161641</v>
      </c>
      <c r="E57" s="59">
        <v>5.6476881319999999</v>
      </c>
      <c r="F57" s="59"/>
      <c r="G57" s="59"/>
      <c r="H57" s="59"/>
      <c r="I57" s="59"/>
      <c r="J57" s="59"/>
      <c r="K57" s="59"/>
      <c r="L57" s="59"/>
      <c r="M57" s="59"/>
    </row>
    <row r="58" spans="1:13">
      <c r="A58" t="s">
        <v>14</v>
      </c>
      <c r="B58" s="59">
        <v>587.05278199999998</v>
      </c>
      <c r="C58" s="59">
        <v>717.65378180000005</v>
      </c>
      <c r="D58" s="59">
        <v>73.05734108</v>
      </c>
      <c r="E58" s="59">
        <v>4.1969399620000001</v>
      </c>
      <c r="F58" s="59"/>
      <c r="G58" s="59"/>
      <c r="H58" s="59"/>
      <c r="I58" s="59"/>
      <c r="J58" s="59"/>
      <c r="K58" s="59"/>
      <c r="L58" s="59"/>
      <c r="M58" s="59"/>
    </row>
    <row r="59" spans="1:13">
      <c r="A59" t="s">
        <v>15</v>
      </c>
      <c r="B59" s="59">
        <v>796.84403299999997</v>
      </c>
      <c r="C59" s="59">
        <v>556.50183159999995</v>
      </c>
      <c r="D59" s="59">
        <v>46.485573240000001</v>
      </c>
      <c r="E59" s="59">
        <v>3.3562581599999999</v>
      </c>
      <c r="F59" s="59"/>
      <c r="G59" s="59"/>
      <c r="H59" s="59"/>
      <c r="I59" s="59"/>
      <c r="J59" s="59"/>
      <c r="K59" s="59"/>
      <c r="L59" s="59"/>
      <c r="M59" s="59"/>
    </row>
    <row r="60" spans="1:13">
      <c r="A60" t="s">
        <v>16</v>
      </c>
      <c r="B60" s="59">
        <v>500.22814119999998</v>
      </c>
      <c r="C60" s="59">
        <v>309.81844489999997</v>
      </c>
      <c r="D60" s="59">
        <v>21.634279580000001</v>
      </c>
      <c r="E60" s="59">
        <v>1.1566565069999999</v>
      </c>
      <c r="F60" s="59"/>
      <c r="G60" s="59"/>
      <c r="H60" s="59"/>
      <c r="I60" s="59"/>
      <c r="J60" s="59"/>
      <c r="K60" s="59"/>
      <c r="L60" s="59"/>
      <c r="M60" s="59"/>
    </row>
    <row r="61" spans="1:13">
      <c r="A61" t="s">
        <v>24</v>
      </c>
      <c r="B61" s="59">
        <v>237.86839380000001</v>
      </c>
      <c r="C61" s="59">
        <v>130.8251041</v>
      </c>
      <c r="D61" s="59">
        <v>97.287352400000003</v>
      </c>
      <c r="E61" s="59">
        <v>7.3536752559999998</v>
      </c>
      <c r="F61" s="59"/>
      <c r="G61" s="59"/>
      <c r="H61" s="59"/>
      <c r="I61" s="59"/>
      <c r="J61" s="59"/>
      <c r="K61" s="59"/>
      <c r="L61" s="59"/>
      <c r="M61" s="59"/>
    </row>
    <row r="62" spans="1:13">
      <c r="A62" t="s">
        <v>25</v>
      </c>
      <c r="B62" s="59">
        <v>247.0944988</v>
      </c>
      <c r="C62" s="59">
        <v>276.20260130000003</v>
      </c>
      <c r="D62" s="59">
        <v>162.48482229999999</v>
      </c>
      <c r="E62" s="59">
        <v>15.08118258</v>
      </c>
      <c r="F62" s="59"/>
      <c r="G62" s="59"/>
      <c r="H62" s="59"/>
      <c r="I62" s="59"/>
      <c r="J62" s="59"/>
      <c r="K62" s="59"/>
      <c r="L62" s="59"/>
      <c r="M62" s="59"/>
    </row>
    <row r="63" spans="1:13">
      <c r="A63" t="s">
        <v>26</v>
      </c>
      <c r="B63" s="59">
        <v>1290.6580389999999</v>
      </c>
      <c r="C63" s="59">
        <v>1391.6743650000001</v>
      </c>
      <c r="D63" s="59">
        <v>87.729162529999996</v>
      </c>
      <c r="E63" s="59">
        <v>7.4478415660000001</v>
      </c>
      <c r="F63" s="59"/>
      <c r="G63" s="59"/>
      <c r="H63" s="59"/>
      <c r="I63" s="59"/>
      <c r="J63" s="59"/>
      <c r="K63" s="59"/>
      <c r="L63" s="59"/>
      <c r="M63" s="59"/>
    </row>
    <row r="64" spans="1:13">
      <c r="A64" t="s">
        <v>27</v>
      </c>
      <c r="B64" s="59">
        <v>419.36324839999997</v>
      </c>
      <c r="C64" s="59">
        <v>354.01977679999999</v>
      </c>
      <c r="D64" s="59">
        <v>58.588631159999998</v>
      </c>
      <c r="E64" s="59">
        <v>4.883463603</v>
      </c>
      <c r="F64" s="59"/>
      <c r="G64" s="59"/>
      <c r="H64" s="59"/>
      <c r="I64" s="59"/>
      <c r="J64" s="59"/>
      <c r="K64" s="59"/>
      <c r="L64" s="59"/>
      <c r="M64" s="59"/>
    </row>
    <row r="65" spans="1:13">
      <c r="A65" t="s">
        <v>28</v>
      </c>
      <c r="B65" s="59">
        <v>394.39637060000001</v>
      </c>
      <c r="C65" s="59">
        <v>207.30179699999999</v>
      </c>
      <c r="D65" s="59">
        <v>92.520205200000007</v>
      </c>
      <c r="E65" s="59">
        <v>8.2390276060000005</v>
      </c>
      <c r="F65" s="59"/>
      <c r="G65" s="59"/>
      <c r="H65" s="59"/>
      <c r="I65" s="59"/>
      <c r="J65" s="59"/>
      <c r="K65" s="59"/>
      <c r="L65" s="59"/>
      <c r="M65" s="59"/>
    </row>
    <row r="66" spans="1:13">
      <c r="A66" t="s">
        <v>17</v>
      </c>
      <c r="B66" s="59">
        <v>99.499376659999996</v>
      </c>
      <c r="C66" s="59">
        <v>1100.5129010000001</v>
      </c>
      <c r="D66" s="59">
        <v>94.563268280000003</v>
      </c>
      <c r="E66" s="59">
        <v>1.0623907079999999</v>
      </c>
      <c r="F66" s="59"/>
      <c r="G66" s="59"/>
      <c r="H66" s="59"/>
      <c r="I66" s="59"/>
      <c r="J66" s="59"/>
      <c r="K66" s="59"/>
      <c r="L66" s="59"/>
      <c r="M66" s="59"/>
    </row>
    <row r="67" spans="1:13">
      <c r="A67" t="s">
        <v>18</v>
      </c>
      <c r="B67" s="59">
        <v>76.846920350000005</v>
      </c>
      <c r="C67" s="59">
        <v>625.38533940000002</v>
      </c>
      <c r="D67" s="59">
        <v>108.82886670000001</v>
      </c>
      <c r="E67" s="59">
        <v>10.39609772</v>
      </c>
      <c r="F67" s="59"/>
      <c r="G67" s="59"/>
      <c r="H67" s="59"/>
      <c r="I67" s="59"/>
      <c r="J67" s="59"/>
      <c r="K67" s="59"/>
      <c r="L67" s="59"/>
      <c r="M67" s="59"/>
    </row>
    <row r="68" spans="1:13">
      <c r="A68" t="s">
        <v>19</v>
      </c>
      <c r="B68" s="59">
        <v>81.196047590000006</v>
      </c>
      <c r="C68" s="59">
        <v>313.9090789</v>
      </c>
      <c r="D68" s="59">
        <v>124.5388086</v>
      </c>
      <c r="E68" s="59">
        <v>13.01176225</v>
      </c>
      <c r="F68" s="59"/>
      <c r="G68" s="59"/>
      <c r="H68" s="59"/>
      <c r="I68" s="59"/>
      <c r="J68" s="59"/>
      <c r="K68" s="59"/>
      <c r="L68" s="59"/>
      <c r="M68" s="59"/>
    </row>
    <row r="69" spans="1:13">
      <c r="A69" t="s">
        <v>4</v>
      </c>
      <c r="B69" s="59">
        <v>74.095826669999994</v>
      </c>
      <c r="C69" s="59">
        <v>588.59274800000003</v>
      </c>
      <c r="D69" s="59">
        <v>64.932879689999993</v>
      </c>
      <c r="E69" s="59">
        <v>9.0382722510000004</v>
      </c>
      <c r="F69" s="59"/>
      <c r="G69" s="59"/>
      <c r="H69" s="59"/>
      <c r="I69" s="59"/>
      <c r="J69" s="59"/>
      <c r="K69" s="59"/>
      <c r="L69" s="59"/>
      <c r="M69" s="59"/>
    </row>
    <row r="70" spans="1:13">
      <c r="A70" t="s">
        <v>5</v>
      </c>
      <c r="B70" s="59">
        <v>73.876264919999997</v>
      </c>
      <c r="C70" s="59">
        <v>167.5226682</v>
      </c>
      <c r="D70" s="59">
        <v>74.119356999999994</v>
      </c>
      <c r="E70" s="59">
        <v>15.02457336</v>
      </c>
      <c r="F70" s="59"/>
      <c r="G70" s="59"/>
      <c r="H70" s="59"/>
      <c r="I70" s="59"/>
      <c r="J70" s="59"/>
      <c r="K70" s="59"/>
      <c r="L70" s="59"/>
      <c r="M70" s="59"/>
    </row>
    <row r="71" spans="1:13">
      <c r="A71" t="s">
        <v>6</v>
      </c>
      <c r="B71" s="59">
        <v>68.301501889999997</v>
      </c>
      <c r="C71" s="59">
        <v>55.028794050000002</v>
      </c>
      <c r="D71" s="59">
        <v>53.152410680000003</v>
      </c>
      <c r="E71" s="59">
        <v>6.1212058870000003</v>
      </c>
      <c r="F71" s="59"/>
      <c r="G71" s="59"/>
      <c r="H71" s="59"/>
      <c r="I71" s="59"/>
      <c r="J71" s="59"/>
      <c r="K71" s="59"/>
      <c r="L71" s="59"/>
      <c r="M71" s="59"/>
    </row>
    <row r="72" spans="1:13">
      <c r="A72" t="s">
        <v>7</v>
      </c>
      <c r="B72" s="59">
        <v>68.659417619999999</v>
      </c>
      <c r="C72" s="59">
        <v>149.22291899999999</v>
      </c>
      <c r="D72" s="59">
        <v>35.66092321</v>
      </c>
      <c r="E72" s="59">
        <v>1.050899732</v>
      </c>
      <c r="F72" s="59"/>
      <c r="G72" s="59"/>
      <c r="H72" s="59"/>
      <c r="I72" s="59"/>
      <c r="J72" s="59"/>
      <c r="K72" s="59"/>
      <c r="L72" s="59"/>
      <c r="M72" s="59"/>
    </row>
    <row r="73" spans="1:13">
      <c r="A73" t="s">
        <v>29</v>
      </c>
      <c r="B73" s="59">
        <v>8.0904519209999997</v>
      </c>
      <c r="C73" s="59">
        <v>50.410615380000003</v>
      </c>
      <c r="D73" s="59">
        <v>20.331976210000001</v>
      </c>
      <c r="E73" s="59">
        <v>0.51063862699999996</v>
      </c>
      <c r="F73" s="59"/>
      <c r="G73" s="59"/>
      <c r="H73" s="59"/>
      <c r="I73" s="59"/>
      <c r="J73" s="59"/>
      <c r="K73" s="59"/>
      <c r="L73" s="59"/>
      <c r="M73" s="59"/>
    </row>
    <row r="74" spans="1:13">
      <c r="A74" t="s">
        <v>30</v>
      </c>
      <c r="B74" s="59">
        <v>3.7834324119999998</v>
      </c>
      <c r="C74" s="59">
        <v>37.755306779999998</v>
      </c>
      <c r="D74" s="59">
        <v>11.92076913</v>
      </c>
      <c r="E74" s="59">
        <v>-0.108262361</v>
      </c>
      <c r="F74" s="59"/>
      <c r="G74" s="59"/>
      <c r="H74" s="59"/>
      <c r="I74" s="59"/>
      <c r="J74" s="59"/>
      <c r="K74" s="59"/>
      <c r="L74" s="59"/>
      <c r="M74" s="59"/>
    </row>
    <row r="75" spans="1:13">
      <c r="A75" t="s">
        <v>31</v>
      </c>
      <c r="B75" s="59">
        <v>71.805466789999997</v>
      </c>
      <c r="C75" s="59">
        <v>328.12977710000001</v>
      </c>
      <c r="D75" s="59">
        <v>65.207677649999994</v>
      </c>
      <c r="E75" s="59">
        <v>10.390775059999999</v>
      </c>
      <c r="F75" s="59"/>
      <c r="G75" s="59"/>
      <c r="H75" s="59"/>
      <c r="I75" s="59"/>
      <c r="J75" s="59"/>
      <c r="K75" s="59"/>
      <c r="L75" s="59"/>
      <c r="M75" s="59"/>
    </row>
    <row r="76" spans="1:13">
      <c r="A76" t="s">
        <v>32</v>
      </c>
      <c r="B76" s="59">
        <v>40.973583410000003</v>
      </c>
      <c r="C76" s="59">
        <v>-42.466089050000001</v>
      </c>
      <c r="D76" s="59">
        <v>24.800429980000001</v>
      </c>
      <c r="E76" s="59">
        <v>0.50380988199999999</v>
      </c>
      <c r="F76" s="59"/>
      <c r="G76" s="59"/>
      <c r="H76" s="59"/>
      <c r="I76" s="59"/>
      <c r="J76" s="59"/>
      <c r="K76" s="59"/>
      <c r="L76" s="59"/>
      <c r="M76" s="59"/>
    </row>
    <row r="77" spans="1:13">
      <c r="A77" t="s">
        <v>33</v>
      </c>
      <c r="B77" s="59">
        <v>8.6543947689999996</v>
      </c>
      <c r="C77" s="59">
        <v>-39.770710110000003</v>
      </c>
      <c r="D77" s="59">
        <v>17.918533270000001</v>
      </c>
      <c r="E77" s="59">
        <v>0.24044648099999999</v>
      </c>
      <c r="F77" s="59"/>
      <c r="G77" s="59"/>
      <c r="H77" s="59"/>
      <c r="I77" s="59"/>
      <c r="J77" s="59"/>
      <c r="K77" s="59"/>
      <c r="L77" s="59"/>
      <c r="M77" s="59"/>
    </row>
    <row r="78" spans="1:13">
      <c r="A78" t="s">
        <v>34</v>
      </c>
      <c r="B78" s="59">
        <v>186.373088</v>
      </c>
      <c r="C78" s="59">
        <v>337.29694819999997</v>
      </c>
      <c r="D78" s="59">
        <v>60.560007820000003</v>
      </c>
      <c r="E78" s="59">
        <v>2.482943975</v>
      </c>
      <c r="F78" s="59"/>
      <c r="G78" s="59"/>
      <c r="H78" s="59"/>
      <c r="I78" s="59"/>
      <c r="J78" s="59"/>
      <c r="K78" s="59"/>
      <c r="L78" s="59"/>
      <c r="M78" s="59"/>
    </row>
    <row r="79" spans="1:13">
      <c r="A79" t="s">
        <v>35</v>
      </c>
      <c r="B79" s="59">
        <v>124.5514173</v>
      </c>
      <c r="C79" s="59">
        <v>127.855915</v>
      </c>
      <c r="D79" s="59">
        <v>29.603420379999999</v>
      </c>
      <c r="E79" s="59">
        <v>0.599766994</v>
      </c>
      <c r="F79" s="59"/>
      <c r="G79" s="59"/>
      <c r="H79" s="59"/>
      <c r="I79" s="59"/>
      <c r="J79" s="59"/>
      <c r="K79" s="59"/>
      <c r="L79" s="59"/>
      <c r="M79" s="59"/>
    </row>
    <row r="80" spans="1:13">
      <c r="A80" t="s">
        <v>36</v>
      </c>
      <c r="B80" s="59">
        <v>29.799995790000001</v>
      </c>
      <c r="C80" s="59">
        <v>43.05669915</v>
      </c>
      <c r="D80" s="59">
        <v>22.159980019999999</v>
      </c>
      <c r="E80" s="59">
        <v>0.84486187499999998</v>
      </c>
      <c r="F80" s="59"/>
      <c r="G80" s="59"/>
      <c r="H80" s="59"/>
      <c r="I80" s="59"/>
      <c r="J80" s="59"/>
      <c r="K80" s="59"/>
      <c r="L80" s="59"/>
      <c r="M80" s="59"/>
    </row>
    <row r="81" spans="1:13">
      <c r="A81" t="s">
        <v>37</v>
      </c>
      <c r="B81" s="59">
        <v>29.338314579999999</v>
      </c>
      <c r="C81" s="59">
        <v>511.26275870000001</v>
      </c>
      <c r="D81" s="59">
        <v>53.809536229999999</v>
      </c>
      <c r="E81" s="59">
        <v>3.5385716980000002</v>
      </c>
      <c r="F81" s="59"/>
      <c r="G81" s="59"/>
      <c r="H81" s="59"/>
      <c r="I81" s="59"/>
      <c r="J81" s="59"/>
      <c r="K81" s="59"/>
      <c r="L81" s="59"/>
      <c r="M81" s="59"/>
    </row>
    <row r="82" spans="1:13">
      <c r="A82" t="s">
        <v>38</v>
      </c>
      <c r="B82" s="59">
        <v>22.527388819999999</v>
      </c>
      <c r="C82" s="59">
        <v>306.7339455</v>
      </c>
      <c r="D82" s="59">
        <v>56.748679610000003</v>
      </c>
      <c r="E82" s="59">
        <v>4.2016656880000003</v>
      </c>
      <c r="F82" s="59"/>
      <c r="G82" s="59"/>
      <c r="H82" s="59"/>
      <c r="I82" s="59"/>
      <c r="J82" s="59"/>
      <c r="K82" s="59"/>
      <c r="L82" s="59"/>
      <c r="M82" s="59"/>
    </row>
    <row r="83" spans="1:13">
      <c r="A83" t="s">
        <v>39</v>
      </c>
      <c r="B83" s="59">
        <v>382.39566680000001</v>
      </c>
      <c r="C83" s="59">
        <v>318.4465922</v>
      </c>
      <c r="D83" s="59">
        <v>54.872884849999998</v>
      </c>
      <c r="E83" s="59">
        <v>16.242965040000001</v>
      </c>
      <c r="F83" s="59"/>
      <c r="G83" s="59"/>
      <c r="H83" s="59"/>
      <c r="I83" s="59"/>
      <c r="J83" s="59"/>
      <c r="K83" s="59"/>
      <c r="L83" s="59"/>
      <c r="M83" s="59"/>
    </row>
    <row r="84" spans="1:13">
      <c r="A84" t="s">
        <v>40</v>
      </c>
      <c r="B84" s="59">
        <v>101.8312878</v>
      </c>
      <c r="C84" s="59">
        <v>194.0815197</v>
      </c>
      <c r="D84" s="59">
        <v>16.484804789999998</v>
      </c>
      <c r="E84" s="59">
        <v>3.0512747199999999</v>
      </c>
      <c r="F84" s="59"/>
      <c r="G84" s="59"/>
      <c r="H84" s="59"/>
      <c r="I84" s="59"/>
      <c r="J84" s="59"/>
      <c r="K84" s="59"/>
      <c r="L84" s="59"/>
      <c r="M84" s="59"/>
    </row>
    <row r="85" spans="1:13">
      <c r="A85" t="s">
        <v>41</v>
      </c>
      <c r="B85" s="59">
        <v>62.323707710000001</v>
      </c>
      <c r="C85" s="59">
        <v>70.370833309999995</v>
      </c>
      <c r="D85" s="59">
        <v>8.4439775610000005</v>
      </c>
      <c r="E85" s="59">
        <v>0.305926319</v>
      </c>
      <c r="F85" s="59"/>
      <c r="G85" s="59"/>
      <c r="H85" s="59"/>
      <c r="I85" s="59"/>
      <c r="J85" s="59"/>
      <c r="K85" s="59"/>
      <c r="L85" s="59"/>
      <c r="M85" s="59"/>
    </row>
    <row r="86" spans="1:13">
      <c r="A86" t="s">
        <v>43</v>
      </c>
      <c r="B86" s="59">
        <v>293.11223519999999</v>
      </c>
      <c r="C86" s="59">
        <v>411.14163100000002</v>
      </c>
      <c r="D86" s="59">
        <v>428.87157400000001</v>
      </c>
      <c r="E86" s="59">
        <v>11.2992586</v>
      </c>
      <c r="F86" s="59"/>
      <c r="G86" s="59"/>
      <c r="H86" s="59"/>
      <c r="I86" s="59"/>
      <c r="J86" s="59"/>
      <c r="K86" s="59"/>
      <c r="L86" s="59"/>
      <c r="M86" s="59"/>
    </row>
    <row r="87" spans="1:13">
      <c r="A87" t="s">
        <v>44</v>
      </c>
      <c r="B87" s="59">
        <v>357.97919730000001</v>
      </c>
      <c r="C87" s="59">
        <v>447.5595156</v>
      </c>
      <c r="D87" s="59">
        <v>101.15841930000001</v>
      </c>
      <c r="E87" s="59">
        <v>20.592075650000002</v>
      </c>
      <c r="F87" s="59"/>
      <c r="G87" s="59"/>
      <c r="H87" s="59"/>
      <c r="I87" s="59"/>
      <c r="J87" s="59"/>
      <c r="K87" s="59"/>
      <c r="L87" s="59"/>
      <c r="M87" s="59"/>
    </row>
    <row r="88" spans="1:13">
      <c r="A88" t="s">
        <v>45</v>
      </c>
      <c r="B88" s="59">
        <v>524.69423770000003</v>
      </c>
      <c r="C88" s="59">
        <v>468.46239550000001</v>
      </c>
      <c r="D88" s="59">
        <v>89.294316120000005</v>
      </c>
      <c r="E88" s="59">
        <v>11.893705199999999</v>
      </c>
      <c r="F88" s="59"/>
      <c r="G88" s="59"/>
      <c r="H88" s="59"/>
      <c r="I88" s="59"/>
      <c r="J88" s="59"/>
      <c r="K88" s="59"/>
      <c r="L88" s="59"/>
      <c r="M88" s="59"/>
    </row>
    <row r="89" spans="1:13">
      <c r="A89" t="s">
        <v>46</v>
      </c>
      <c r="B89" s="59">
        <v>267.27914120000003</v>
      </c>
      <c r="C89" s="59">
        <v>187.75669629999999</v>
      </c>
      <c r="D89" s="59">
        <v>82.004863639999996</v>
      </c>
      <c r="E89" s="59">
        <v>12.94022968</v>
      </c>
      <c r="F89" s="59"/>
      <c r="G89" s="59"/>
      <c r="H89" s="59"/>
      <c r="I89" s="59"/>
      <c r="J89" s="59"/>
      <c r="K89" s="59"/>
      <c r="L89" s="59"/>
      <c r="M89" s="59"/>
    </row>
    <row r="90" spans="1:13">
      <c r="A90" t="s">
        <v>47</v>
      </c>
      <c r="B90" s="59">
        <v>901.68184299999996</v>
      </c>
      <c r="C90" s="59">
        <v>1762.3307689999999</v>
      </c>
      <c r="D90" s="59">
        <v>102.1248533</v>
      </c>
      <c r="E90" s="59">
        <v>12.83720885</v>
      </c>
      <c r="F90" s="59"/>
      <c r="G90" s="59"/>
      <c r="H90" s="59"/>
      <c r="I90" s="59"/>
      <c r="J90" s="59"/>
      <c r="K90" s="59"/>
      <c r="L90" s="59"/>
      <c r="M90" s="59"/>
    </row>
    <row r="91" spans="1:13">
      <c r="A91" t="s">
        <v>48</v>
      </c>
      <c r="B91" s="59">
        <v>493.48338469999999</v>
      </c>
      <c r="C91" s="59">
        <v>356.79587299999997</v>
      </c>
      <c r="D91" s="59">
        <v>67.955657239999994</v>
      </c>
      <c r="E91" s="59">
        <v>5.578195086</v>
      </c>
      <c r="F91" s="59"/>
      <c r="G91" s="59"/>
      <c r="H91" s="59"/>
      <c r="I91" s="59"/>
      <c r="J91" s="59"/>
      <c r="K91" s="59"/>
      <c r="L91" s="59"/>
      <c r="M91" s="59"/>
    </row>
    <row r="92" spans="1:13">
      <c r="A92" t="s">
        <v>49</v>
      </c>
      <c r="B92" s="59">
        <v>533.1172881</v>
      </c>
      <c r="C92" s="59">
        <v>267.83971969999999</v>
      </c>
      <c r="D92" s="59">
        <v>59.317443140000002</v>
      </c>
      <c r="E92" s="59">
        <v>4.7454724009999998</v>
      </c>
      <c r="F92" s="59"/>
      <c r="G92" s="59"/>
      <c r="H92" s="59"/>
      <c r="I92" s="59"/>
      <c r="J92" s="59"/>
      <c r="K92" s="59"/>
      <c r="L92" s="59"/>
      <c r="M92" s="59"/>
    </row>
    <row r="93" spans="1:13">
      <c r="A93" t="s">
        <v>50</v>
      </c>
      <c r="B93" s="59">
        <v>433.32647329999998</v>
      </c>
      <c r="C93" s="59">
        <v>222.0903467</v>
      </c>
      <c r="D93" s="59">
        <v>66.29492175</v>
      </c>
      <c r="E93" s="59">
        <v>5.3711087930000003</v>
      </c>
      <c r="F93" s="59"/>
      <c r="G93" s="59"/>
      <c r="H93" s="59"/>
      <c r="I93" s="59"/>
      <c r="J93" s="59"/>
      <c r="K93" s="59"/>
      <c r="L93" s="59"/>
      <c r="M93" s="59"/>
    </row>
    <row r="94" spans="1:13">
      <c r="A94" t="s">
        <v>52</v>
      </c>
      <c r="B94" s="59">
        <v>175.721892</v>
      </c>
      <c r="C94" s="59">
        <v>2194.2515509999998</v>
      </c>
      <c r="D94" s="59">
        <v>63.057084930000002</v>
      </c>
      <c r="E94" s="59">
        <v>9.1470634410000002</v>
      </c>
      <c r="F94" s="59"/>
      <c r="G94" s="59"/>
      <c r="H94" s="59"/>
      <c r="I94" s="59"/>
      <c r="J94" s="59"/>
      <c r="K94" s="59"/>
      <c r="L94" s="59"/>
      <c r="M94" s="59"/>
    </row>
    <row r="95" spans="1:13">
      <c r="A95" t="s">
        <v>53</v>
      </c>
      <c r="B95" s="59">
        <v>401.82236999999998</v>
      </c>
      <c r="C95" s="59">
        <v>721.20822269999996</v>
      </c>
      <c r="D95" s="59">
        <v>37.73982951</v>
      </c>
      <c r="E95" s="59">
        <v>2.6092452229999998</v>
      </c>
      <c r="F95" s="59"/>
      <c r="G95" s="59"/>
      <c r="H95" s="59"/>
      <c r="I95" s="59"/>
      <c r="J95" s="59"/>
      <c r="K95" s="59"/>
      <c r="L95" s="59"/>
      <c r="M95" s="59"/>
    </row>
    <row r="96" spans="1:13">
      <c r="A96" t="s">
        <v>54</v>
      </c>
      <c r="B96" s="59">
        <v>515.07111699999996</v>
      </c>
      <c r="C96" s="59">
        <v>540.25172350000003</v>
      </c>
      <c r="D96" s="59">
        <v>34.896268020000001</v>
      </c>
      <c r="E96" s="59">
        <v>2.245314569</v>
      </c>
      <c r="F96" s="59"/>
      <c r="G96" s="59"/>
      <c r="H96" s="59"/>
      <c r="I96" s="59"/>
      <c r="J96" s="59"/>
      <c r="K96" s="59"/>
      <c r="L96" s="59"/>
      <c r="M96" s="59"/>
    </row>
    <row r="97" spans="1:13">
      <c r="A97" t="s">
        <v>55</v>
      </c>
      <c r="B97" s="59">
        <v>128.6665007</v>
      </c>
      <c r="C97" s="59">
        <v>1697.8405849999999</v>
      </c>
      <c r="D97" s="59">
        <v>94.527425070000007</v>
      </c>
      <c r="E97" s="59">
        <v>11.073269399999999</v>
      </c>
      <c r="F97" s="59"/>
      <c r="G97" s="59"/>
      <c r="H97" s="59"/>
      <c r="I97" s="59"/>
      <c r="J97" s="59"/>
      <c r="K97" s="59"/>
      <c r="L97" s="59"/>
      <c r="M97" s="59"/>
    </row>
    <row r="98" spans="1:13">
      <c r="A98" t="s">
        <v>56</v>
      </c>
      <c r="B98" s="59">
        <v>577.79058469999995</v>
      </c>
      <c r="C98" s="59">
        <v>1853.820866</v>
      </c>
      <c r="D98" s="59">
        <v>51.181034009999998</v>
      </c>
      <c r="E98" s="59">
        <v>5.6500261219999999</v>
      </c>
      <c r="F98" s="59"/>
      <c r="G98" s="59"/>
      <c r="H98" s="59"/>
      <c r="I98" s="59"/>
      <c r="J98" s="59"/>
      <c r="K98" s="59"/>
      <c r="L98" s="59"/>
      <c r="M98" s="59"/>
    </row>
    <row r="99" spans="1:13">
      <c r="A99" t="s">
        <v>57</v>
      </c>
      <c r="B99" s="59">
        <v>754.1273248</v>
      </c>
      <c r="C99" s="59">
        <v>1391.1122270000001</v>
      </c>
      <c r="D99" s="59">
        <v>216.87092269999999</v>
      </c>
      <c r="E99" s="59">
        <v>16.386577370000001</v>
      </c>
      <c r="F99" s="59"/>
      <c r="G99" s="59"/>
      <c r="H99" s="59"/>
      <c r="I99" s="59"/>
      <c r="J99" s="59"/>
      <c r="K99" s="59"/>
      <c r="L99" s="59"/>
      <c r="M99" s="59"/>
    </row>
    <row r="100" spans="1:13">
      <c r="A100" t="s">
        <v>58</v>
      </c>
      <c r="B100">
        <v>202.18209039999999</v>
      </c>
      <c r="C100">
        <v>600.97126000000003</v>
      </c>
      <c r="D100">
        <v>238.3768499</v>
      </c>
      <c r="E100">
        <v>9.8812920440000003</v>
      </c>
    </row>
    <row r="101" spans="1:13">
      <c r="A101" t="s">
        <v>59</v>
      </c>
      <c r="B101">
        <v>631.28394749999995</v>
      </c>
      <c r="C101">
        <v>652.92144589999998</v>
      </c>
      <c r="D101">
        <v>259.02253999999999</v>
      </c>
      <c r="E101">
        <v>9.0759785710000003</v>
      </c>
    </row>
    <row r="102" spans="1:13">
      <c r="A102" t="s">
        <v>60</v>
      </c>
      <c r="B102">
        <v>21.87471897</v>
      </c>
      <c r="C102">
        <v>245.68289189999999</v>
      </c>
      <c r="D102">
        <v>63.714210479999998</v>
      </c>
      <c r="E102">
        <v>3.4757941579999998</v>
      </c>
    </row>
    <row r="103" spans="1:13">
      <c r="A103" t="s">
        <v>61</v>
      </c>
      <c r="B103">
        <v>13.232106849999999</v>
      </c>
      <c r="C103">
        <v>2.920056411</v>
      </c>
      <c r="D103">
        <v>31.29999909</v>
      </c>
      <c r="E103">
        <v>0.81152926800000003</v>
      </c>
    </row>
    <row r="104" spans="1:13">
      <c r="A104" t="s">
        <v>62</v>
      </c>
      <c r="B104">
        <v>6.5896120219999998</v>
      </c>
      <c r="C104">
        <v>36.334106970000001</v>
      </c>
      <c r="D104">
        <v>9.3161623870000003</v>
      </c>
      <c r="E104">
        <v>0.65106730999999995</v>
      </c>
    </row>
    <row r="105" spans="1:13">
      <c r="A105" t="s">
        <v>63</v>
      </c>
      <c r="B105">
        <v>22.331888639999999</v>
      </c>
      <c r="C105">
        <v>660.61269670000001</v>
      </c>
      <c r="D105">
        <v>109.1395078</v>
      </c>
      <c r="E105">
        <v>5.1109948789999997</v>
      </c>
    </row>
    <row r="106" spans="1:13">
      <c r="A106" t="s">
        <v>64</v>
      </c>
      <c r="B106">
        <v>3.7578670029999999</v>
      </c>
      <c r="C106">
        <v>65.190516790000004</v>
      </c>
      <c r="D106">
        <v>61.778677029999997</v>
      </c>
      <c r="E106">
        <v>0.28488440199999998</v>
      </c>
    </row>
    <row r="107" spans="1:13">
      <c r="A107" t="s">
        <v>65</v>
      </c>
      <c r="B107">
        <v>1.366749328</v>
      </c>
      <c r="C107">
        <v>5.7797525680000001</v>
      </c>
      <c r="D107">
        <v>11.144166200000001</v>
      </c>
      <c r="E107">
        <v>0.142091685</v>
      </c>
    </row>
    <row r="108" spans="1:13">
      <c r="A108" t="s">
        <v>66</v>
      </c>
      <c r="B108">
        <v>83.676839689999994</v>
      </c>
      <c r="C108">
        <v>3598.5005550000001</v>
      </c>
      <c r="D108">
        <v>202.82038360000001</v>
      </c>
      <c r="E108">
        <v>15.53997597</v>
      </c>
    </row>
    <row r="109" spans="1:13">
      <c r="A109" t="s">
        <v>67</v>
      </c>
      <c r="B109">
        <v>59.600239709999997</v>
      </c>
      <c r="C109">
        <v>-45.994585120000004</v>
      </c>
      <c r="D109">
        <v>76.832826080000004</v>
      </c>
      <c r="E109">
        <v>6.4703624299999998</v>
      </c>
    </row>
    <row r="110" spans="1:13">
      <c r="A110" t="s">
        <v>68</v>
      </c>
      <c r="B110">
        <v>68.468428979999999</v>
      </c>
      <c r="C110">
        <v>318.20155779999999</v>
      </c>
      <c r="D110">
        <v>75.518574970000003</v>
      </c>
      <c r="E110">
        <v>7.7895364359999997</v>
      </c>
    </row>
    <row r="111" spans="1:13">
      <c r="A111" t="s">
        <v>69</v>
      </c>
      <c r="B111">
        <v>40.587094579999999</v>
      </c>
      <c r="C111">
        <v>298.31340879999999</v>
      </c>
      <c r="D111">
        <v>53.558633739999998</v>
      </c>
      <c r="E111">
        <v>4.3281161690000003</v>
      </c>
    </row>
    <row r="112" spans="1:13">
      <c r="A112" t="s">
        <v>70</v>
      </c>
      <c r="B112">
        <v>36.516179139999998</v>
      </c>
      <c r="C112">
        <v>975.55691539999998</v>
      </c>
      <c r="D112">
        <v>72.304633629999998</v>
      </c>
      <c r="E112">
        <v>7.5970750220000003</v>
      </c>
    </row>
    <row r="113" spans="1:5">
      <c r="A113" t="s">
        <v>71</v>
      </c>
      <c r="B113">
        <v>31.45573199</v>
      </c>
      <c r="C113">
        <v>330.96352839999997</v>
      </c>
      <c r="D113">
        <v>61.037917319999998</v>
      </c>
      <c r="E113">
        <v>3.916480553</v>
      </c>
    </row>
    <row r="114" spans="1:5">
      <c r="A114" t="s">
        <v>72</v>
      </c>
      <c r="B114">
        <v>83.254258519999993</v>
      </c>
      <c r="C114">
        <v>4133.3098600000003</v>
      </c>
      <c r="D114">
        <v>114.1203816</v>
      </c>
      <c r="E114">
        <v>18.759041109999998</v>
      </c>
    </row>
    <row r="115" spans="1:5">
      <c r="A115" t="s">
        <v>73</v>
      </c>
      <c r="B115">
        <v>106.2992191</v>
      </c>
      <c r="C115">
        <v>2754.1118430000001</v>
      </c>
      <c r="D115">
        <v>131.18175049999999</v>
      </c>
      <c r="E115">
        <v>19.075764240000002</v>
      </c>
    </row>
    <row r="116" spans="1:5">
      <c r="A116" t="s">
        <v>74</v>
      </c>
      <c r="B116">
        <v>62.862085139999998</v>
      </c>
      <c r="C116">
        <v>874.57389479999995</v>
      </c>
      <c r="D116">
        <v>64.670029470000003</v>
      </c>
      <c r="E116">
        <v>8.8080050290000003</v>
      </c>
    </row>
    <row r="117" spans="1:5">
      <c r="A117" t="s">
        <v>75</v>
      </c>
      <c r="B117">
        <v>39.95397474</v>
      </c>
      <c r="C117">
        <v>572.27921930000002</v>
      </c>
      <c r="D117">
        <v>52.483337380000002</v>
      </c>
      <c r="E117">
        <v>5.9946061720000001</v>
      </c>
    </row>
    <row r="118" spans="1:5">
      <c r="A118" t="s">
        <v>76</v>
      </c>
      <c r="B118">
        <v>10.316146359999999</v>
      </c>
      <c r="C118">
        <v>14.949806479999999</v>
      </c>
      <c r="D118">
        <v>1.7687767109999999</v>
      </c>
      <c r="E118">
        <v>-0.30907089999999998</v>
      </c>
    </row>
    <row r="119" spans="1:5">
      <c r="A119" t="s">
        <v>77</v>
      </c>
      <c r="B119">
        <v>7.6197476240000004</v>
      </c>
      <c r="C119">
        <v>253.6681322</v>
      </c>
      <c r="D119">
        <v>23.223328649999999</v>
      </c>
      <c r="E119">
        <v>-8.8646937999999995E-2</v>
      </c>
    </row>
    <row r="120" spans="1:5">
      <c r="A120" t="s">
        <v>78</v>
      </c>
      <c r="B120">
        <v>0.34864450699999999</v>
      </c>
      <c r="C120">
        <v>26.950728959999999</v>
      </c>
      <c r="D120">
        <v>3.8739680299999999</v>
      </c>
      <c r="E120">
        <v>-0.66586819500000005</v>
      </c>
    </row>
    <row r="121" spans="1:5">
      <c r="A121" t="s">
        <v>79</v>
      </c>
      <c r="B121">
        <v>2.7728468290000001</v>
      </c>
      <c r="C121">
        <v>4.8255595959999997</v>
      </c>
      <c r="D121">
        <v>3.0734696279999998</v>
      </c>
      <c r="E121">
        <v>-0.75785569699999999</v>
      </c>
    </row>
    <row r="122" spans="1:5">
      <c r="A122" t="s">
        <v>80</v>
      </c>
      <c r="B122">
        <v>5.6812880760000004</v>
      </c>
      <c r="C122">
        <v>25.140356789999998</v>
      </c>
      <c r="D122">
        <v>6.3770190019999999</v>
      </c>
      <c r="E122">
        <v>-0.38230473100000001</v>
      </c>
    </row>
    <row r="123" spans="1:5">
      <c r="A123" t="s">
        <v>81</v>
      </c>
      <c r="B123">
        <v>490.4200472</v>
      </c>
      <c r="C123">
        <v>2676.9463529999998</v>
      </c>
      <c r="D123">
        <v>35.290543360000001</v>
      </c>
      <c r="E123">
        <v>7.9438935739999996</v>
      </c>
    </row>
    <row r="124" spans="1:5">
      <c r="A124" t="s">
        <v>82</v>
      </c>
      <c r="B124">
        <v>364.76906919999999</v>
      </c>
      <c r="C124">
        <v>1662.607514</v>
      </c>
      <c r="D124">
        <v>33.809023930000002</v>
      </c>
      <c r="E124">
        <v>6.6798364579999996</v>
      </c>
    </row>
    <row r="125" spans="1:5">
      <c r="A125" t="s">
        <v>83</v>
      </c>
      <c r="B125">
        <v>526.11537369999996</v>
      </c>
      <c r="C125">
        <v>2132.0358630000001</v>
      </c>
      <c r="D125">
        <v>58.7917427</v>
      </c>
      <c r="E125">
        <v>9.9392941140000008</v>
      </c>
    </row>
    <row r="126" spans="1:5">
      <c r="A126" t="s">
        <v>84</v>
      </c>
      <c r="B126">
        <v>633.03893760000005</v>
      </c>
      <c r="C126">
        <v>1061.5264790000001</v>
      </c>
      <c r="D126">
        <v>92.412675559999997</v>
      </c>
      <c r="E126">
        <v>6.8243939320000004</v>
      </c>
    </row>
    <row r="127" spans="1:5">
      <c r="A127" t="s">
        <v>85</v>
      </c>
      <c r="B127">
        <v>479.70513310000001</v>
      </c>
      <c r="C127">
        <v>662.91020309999999</v>
      </c>
      <c r="D127">
        <v>60.59451834</v>
      </c>
      <c r="E127">
        <v>7.1633031100000002</v>
      </c>
    </row>
    <row r="128" spans="1:5">
      <c r="A128" t="s">
        <v>86</v>
      </c>
      <c r="B128">
        <v>142.60716790000001</v>
      </c>
      <c r="C128">
        <v>299.56159120000001</v>
      </c>
      <c r="D128">
        <v>74.884012190000007</v>
      </c>
      <c r="E128">
        <v>5.7948323190000002</v>
      </c>
    </row>
    <row r="129" spans="1:5">
      <c r="A129" t="s">
        <v>87</v>
      </c>
      <c r="B129">
        <v>2771.040708</v>
      </c>
      <c r="C129">
        <v>5006.3820159999996</v>
      </c>
      <c r="D129">
        <v>64.526656619999997</v>
      </c>
      <c r="E129">
        <v>14.73416505</v>
      </c>
    </row>
    <row r="130" spans="1:5">
      <c r="A130" t="s">
        <v>88</v>
      </c>
      <c r="B130">
        <v>530.41036240000005</v>
      </c>
      <c r="C130">
        <v>394.53694359999997</v>
      </c>
      <c r="D130">
        <v>17.428676039999999</v>
      </c>
      <c r="E130">
        <v>0.496696421</v>
      </c>
    </row>
    <row r="131" spans="1:5">
      <c r="A131" t="s">
        <v>89</v>
      </c>
      <c r="B131">
        <v>965.09608830000002</v>
      </c>
      <c r="C131">
        <v>999.81239119999998</v>
      </c>
      <c r="D131">
        <v>19.674850660000001</v>
      </c>
      <c r="E131">
        <v>3.443062286</v>
      </c>
    </row>
    <row r="132" spans="1:5">
      <c r="A132" t="s">
        <v>90</v>
      </c>
      <c r="B132">
        <v>416.4984187</v>
      </c>
      <c r="C132">
        <v>94.658019449999998</v>
      </c>
      <c r="D132">
        <v>7.3089425139999999</v>
      </c>
      <c r="E132">
        <v>9.1826055000000004E-2</v>
      </c>
    </row>
    <row r="133" spans="1:5">
      <c r="A133" t="s">
        <v>91</v>
      </c>
      <c r="B133">
        <v>205.2093356</v>
      </c>
      <c r="C133">
        <v>59.329817429999999</v>
      </c>
      <c r="D133">
        <v>61.300767540000002</v>
      </c>
      <c r="E133">
        <v>5.4229922909999999</v>
      </c>
    </row>
    <row r="134" spans="1:5">
      <c r="A134" t="s">
        <v>92</v>
      </c>
      <c r="B134">
        <v>160.99170480000001</v>
      </c>
      <c r="C134">
        <v>-41.604196229999999</v>
      </c>
      <c r="D134">
        <v>53.785640749999999</v>
      </c>
      <c r="E134">
        <v>4.7699466880000001</v>
      </c>
    </row>
    <row r="135" spans="1:5">
      <c r="A135" t="s">
        <v>93</v>
      </c>
      <c r="B135">
        <v>83.113453269999994</v>
      </c>
      <c r="C135">
        <v>-1.536739691</v>
      </c>
      <c r="D135">
        <v>36.927383370000001</v>
      </c>
      <c r="E135">
        <v>2.9625305580000001</v>
      </c>
    </row>
    <row r="136" spans="1:5">
      <c r="A136" t="s">
        <v>94</v>
      </c>
      <c r="B136">
        <v>1326.3845550000001</v>
      </c>
      <c r="C136">
        <v>3220.2482639999998</v>
      </c>
      <c r="D136">
        <v>109.1634033</v>
      </c>
      <c r="E136">
        <v>11.189572009999999</v>
      </c>
    </row>
    <row r="137" spans="1:5">
      <c r="A137" t="s">
        <v>95</v>
      </c>
      <c r="B137">
        <v>750.34665189999998</v>
      </c>
      <c r="C137">
        <v>2999.2934949999999</v>
      </c>
      <c r="D137">
        <v>73.917578169999999</v>
      </c>
      <c r="E137">
        <v>9.2777919480000008</v>
      </c>
    </row>
    <row r="138" spans="1:5">
      <c r="A138" t="s">
        <v>96</v>
      </c>
      <c r="B138">
        <v>738.16548639999996</v>
      </c>
      <c r="C138">
        <v>1942.310013</v>
      </c>
      <c r="D138">
        <v>57.585021230000002</v>
      </c>
      <c r="E138">
        <v>7.2131968290000001</v>
      </c>
    </row>
    <row r="139" spans="1:5">
      <c r="A139" t="s">
        <v>97</v>
      </c>
      <c r="B139">
        <v>1856.280293</v>
      </c>
      <c r="C139">
        <v>2819.6657650000002</v>
      </c>
      <c r="D139">
        <v>88.207072019999998</v>
      </c>
      <c r="E139">
        <v>15.46938855</v>
      </c>
    </row>
    <row r="140" spans="1:5">
      <c r="A140" t="s">
        <v>98</v>
      </c>
      <c r="B140">
        <v>964.61786480000001</v>
      </c>
      <c r="C140">
        <v>1131.75047</v>
      </c>
      <c r="D140">
        <v>163.05831370000001</v>
      </c>
      <c r="E140">
        <v>8.5252573740000006</v>
      </c>
    </row>
    <row r="141" spans="1:5">
      <c r="A141" t="s">
        <v>99</v>
      </c>
      <c r="B141">
        <v>298.0659091</v>
      </c>
      <c r="C141">
        <v>273.96269819999998</v>
      </c>
      <c r="D141">
        <v>58.635089409999999</v>
      </c>
      <c r="E141">
        <v>6.2023888869999997</v>
      </c>
    </row>
    <row r="142" spans="1:5">
      <c r="A142" t="s">
        <v>100</v>
      </c>
      <c r="B142">
        <v>252.43165389999999</v>
      </c>
      <c r="C142">
        <v>-44.527313069999998</v>
      </c>
      <c r="D142">
        <v>81.265436629999996</v>
      </c>
      <c r="E142">
        <v>5.0777158189999998</v>
      </c>
    </row>
    <row r="143" spans="1:5">
      <c r="A143" t="s">
        <v>101</v>
      </c>
      <c r="B143">
        <v>76.339567279999997</v>
      </c>
      <c r="C143">
        <v>745.29660230000002</v>
      </c>
      <c r="D143">
        <v>75.888954830000003</v>
      </c>
      <c r="E143">
        <v>8.3890569730000006</v>
      </c>
    </row>
    <row r="144" spans="1:5">
      <c r="A144" t="s">
        <v>102</v>
      </c>
      <c r="B144">
        <v>47.74390528</v>
      </c>
      <c r="C144">
        <v>132.35590060000001</v>
      </c>
      <c r="D144">
        <v>71.874515079999995</v>
      </c>
      <c r="E144">
        <v>6.9046815309999996</v>
      </c>
    </row>
    <row r="145" spans="1:5">
      <c r="A145" t="s">
        <v>103</v>
      </c>
      <c r="B145">
        <v>27.68107453</v>
      </c>
      <c r="C145">
        <v>45.331195389999998</v>
      </c>
      <c r="D145">
        <v>84.252370959999993</v>
      </c>
      <c r="E145">
        <v>1.451293094</v>
      </c>
    </row>
    <row r="146" spans="1:5">
      <c r="A146" t="s">
        <v>104</v>
      </c>
      <c r="B146">
        <v>64.793025459999996</v>
      </c>
      <c r="C146">
        <v>358.9752901</v>
      </c>
      <c r="D146">
        <v>82.125673719999995</v>
      </c>
      <c r="E146">
        <v>6.3565967920000004</v>
      </c>
    </row>
    <row r="147" spans="1:5">
      <c r="A147" t="s">
        <v>105</v>
      </c>
      <c r="B147">
        <v>66.705919600000001</v>
      </c>
      <c r="C147">
        <v>300.33998780000002</v>
      </c>
      <c r="D147">
        <v>84.479377970000002</v>
      </c>
      <c r="E147">
        <v>5.5911286520000001</v>
      </c>
    </row>
    <row r="148" spans="1:5">
      <c r="A148" t="s">
        <v>106</v>
      </c>
      <c r="B148">
        <v>50.670392700000001</v>
      </c>
      <c r="C148">
        <v>160.4800899</v>
      </c>
      <c r="D148">
        <v>79.951185519999996</v>
      </c>
      <c r="E148">
        <v>2.4658318719999999</v>
      </c>
    </row>
    <row r="149" spans="1:5">
      <c r="A149" t="s">
        <v>107</v>
      </c>
      <c r="B149">
        <v>26.132111510000001</v>
      </c>
      <c r="C149">
        <v>42.658878520000002</v>
      </c>
      <c r="D149">
        <v>60.261314390000003</v>
      </c>
      <c r="E149">
        <v>0.50576366800000006</v>
      </c>
    </row>
    <row r="150" spans="1:5">
      <c r="A150" t="s">
        <v>108</v>
      </c>
      <c r="B150">
        <v>242.8530921</v>
      </c>
      <c r="C150">
        <v>398.73429149999998</v>
      </c>
      <c r="D150">
        <v>29.041876729999998</v>
      </c>
      <c r="E150">
        <v>16.872332270000001</v>
      </c>
    </row>
    <row r="151" spans="1:5">
      <c r="A151" t="s">
        <v>109</v>
      </c>
      <c r="B151">
        <v>192.00650110000001</v>
      </c>
      <c r="C151">
        <v>205.69903529999999</v>
      </c>
      <c r="D151">
        <v>84.479377970000002</v>
      </c>
      <c r="E151">
        <v>15.19405282</v>
      </c>
    </row>
    <row r="152" spans="1:5">
      <c r="A152" t="s">
        <v>110</v>
      </c>
      <c r="B152">
        <v>120.02934759999999</v>
      </c>
      <c r="C152">
        <v>76.980997919999993</v>
      </c>
      <c r="D152">
        <v>37.898596490000003</v>
      </c>
      <c r="E152">
        <v>4.825063578</v>
      </c>
    </row>
    <row r="153" spans="1:5">
      <c r="A153" t="s">
        <v>111</v>
      </c>
      <c r="B153">
        <v>66.047234349999997</v>
      </c>
      <c r="C153">
        <v>74.582543079999994</v>
      </c>
      <c r="D153">
        <v>93.21317397</v>
      </c>
      <c r="E153">
        <v>1.611768804</v>
      </c>
    </row>
    <row r="154" spans="1:5">
      <c r="A154" t="s">
        <v>113</v>
      </c>
      <c r="B154">
        <v>50.54256565</v>
      </c>
      <c r="C154">
        <v>-0.30286728200000002</v>
      </c>
      <c r="D154">
        <v>104.5515767</v>
      </c>
      <c r="E154">
        <v>3.564936275</v>
      </c>
    </row>
    <row r="155" spans="1:5">
      <c r="A155" t="s">
        <v>114</v>
      </c>
      <c r="B155">
        <v>16.042798000000001</v>
      </c>
      <c r="C155">
        <v>40.006740950000001</v>
      </c>
      <c r="D155">
        <v>17.606559399999998</v>
      </c>
      <c r="E155">
        <v>1.2950954100000001</v>
      </c>
    </row>
    <row r="156" spans="1:5">
      <c r="A156" t="s">
        <v>115</v>
      </c>
      <c r="B156">
        <v>6.8151891610000002</v>
      </c>
      <c r="C156">
        <v>14.820082360000001</v>
      </c>
      <c r="D156">
        <v>22.852948789999999</v>
      </c>
      <c r="E156">
        <v>-0.335678052</v>
      </c>
    </row>
    <row r="157" spans="1:5">
      <c r="A157" t="s">
        <v>116</v>
      </c>
      <c r="B157">
        <v>26.980281550000001</v>
      </c>
      <c r="C157">
        <v>66.407040760000001</v>
      </c>
      <c r="D157">
        <v>23.05606032</v>
      </c>
      <c r="E157">
        <v>5.8623853300000004</v>
      </c>
    </row>
    <row r="158" spans="1:5">
      <c r="A158" t="s">
        <v>117</v>
      </c>
      <c r="B158">
        <v>24.30644053</v>
      </c>
      <c r="C158">
        <v>79.944473369999997</v>
      </c>
      <c r="D158">
        <v>84.957287469999997</v>
      </c>
      <c r="E158">
        <v>1.5080018070000001</v>
      </c>
    </row>
    <row r="159" spans="1:5">
      <c r="A159" t="s">
        <v>118</v>
      </c>
      <c r="B159">
        <v>39.233631750000001</v>
      </c>
      <c r="C159">
        <v>117.86427500000001</v>
      </c>
      <c r="D159">
        <v>80.715840709999995</v>
      </c>
      <c r="E159">
        <v>0.101526229</v>
      </c>
    </row>
    <row r="160" spans="1:5">
      <c r="A160" t="s">
        <v>119</v>
      </c>
      <c r="B160">
        <v>16.28040592</v>
      </c>
      <c r="C160">
        <v>-0.11260524</v>
      </c>
      <c r="D160">
        <v>36.329996510000001</v>
      </c>
      <c r="E160">
        <v>-1.6610701189999999</v>
      </c>
    </row>
    <row r="161" spans="1:5">
      <c r="A161" t="s">
        <v>120</v>
      </c>
      <c r="B161">
        <v>25.715545720000001</v>
      </c>
      <c r="C161">
        <v>15.944358060000001</v>
      </c>
      <c r="D161">
        <v>22.75736689</v>
      </c>
      <c r="E161">
        <v>27.727087019999999</v>
      </c>
    </row>
    <row r="162" spans="1:5">
      <c r="A162" t="s">
        <v>121</v>
      </c>
      <c r="B162">
        <v>32.818217910000001</v>
      </c>
      <c r="C162">
        <v>59.649855479999999</v>
      </c>
      <c r="D162">
        <v>78.386031930000001</v>
      </c>
      <c r="E162">
        <v>2.1371700580000002</v>
      </c>
    </row>
    <row r="163" spans="1:5">
      <c r="A163" t="s">
        <v>122</v>
      </c>
      <c r="B163">
        <v>-3.2846512799999998</v>
      </c>
      <c r="C163">
        <v>-15.846699620000001</v>
      </c>
      <c r="D163">
        <v>71.121807630000006</v>
      </c>
      <c r="E163">
        <v>-0.558877756</v>
      </c>
    </row>
    <row r="164" spans="1:5">
      <c r="A164" t="s">
        <v>123</v>
      </c>
      <c r="B164">
        <v>81.877290549999998</v>
      </c>
      <c r="C164">
        <v>563.02263070000004</v>
      </c>
      <c r="D164">
        <v>102.46072270000001</v>
      </c>
      <c r="E164">
        <v>4.9014213629999999</v>
      </c>
    </row>
    <row r="165" spans="1:5">
      <c r="A165" t="s">
        <v>124</v>
      </c>
      <c r="B165">
        <v>127.1867147</v>
      </c>
      <c r="C165">
        <v>395.8341848</v>
      </c>
      <c r="D165">
        <v>108.9722395</v>
      </c>
      <c r="E165">
        <v>4.9404210390000003</v>
      </c>
    </row>
    <row r="166" spans="1:5">
      <c r="A166" t="s">
        <v>125</v>
      </c>
      <c r="B166">
        <v>115.3574495</v>
      </c>
      <c r="C166">
        <v>344.73152979999998</v>
      </c>
      <c r="D166">
        <v>84.252370959999993</v>
      </c>
      <c r="E166">
        <v>4.3845264159999999</v>
      </c>
    </row>
    <row r="167" spans="1:5">
      <c r="A167" t="s">
        <v>126</v>
      </c>
      <c r="B167">
        <v>134.14802520000001</v>
      </c>
      <c r="C167">
        <v>335.71137929999998</v>
      </c>
      <c r="D167">
        <v>79.927290049999996</v>
      </c>
      <c r="E167">
        <v>3.5749846619999999</v>
      </c>
    </row>
    <row r="168" spans="1:5">
      <c r="A168" t="s">
        <v>129</v>
      </c>
      <c r="B168">
        <v>116.1920849</v>
      </c>
      <c r="C168">
        <v>486.99564809999998</v>
      </c>
      <c r="D168">
        <v>102.3412453</v>
      </c>
      <c r="E168">
        <v>6.8389690659999998</v>
      </c>
    </row>
    <row r="169" spans="1:5">
      <c r="A169" t="s">
        <v>130</v>
      </c>
      <c r="B169">
        <v>135.84436529999999</v>
      </c>
      <c r="C169">
        <v>402.53659770000002</v>
      </c>
      <c r="D169">
        <v>76.078785920000001</v>
      </c>
      <c r="E169">
        <v>5.3720041939999996</v>
      </c>
    </row>
    <row r="170" spans="1:5">
      <c r="A170" t="s">
        <v>131</v>
      </c>
      <c r="B170">
        <v>100.79870099999999</v>
      </c>
      <c r="C170">
        <v>194.6666677</v>
      </c>
      <c r="D170">
        <v>98.458230659999998</v>
      </c>
      <c r="E170">
        <v>5.5936656200000003</v>
      </c>
    </row>
    <row r="171" spans="1:5">
      <c r="A171" t="s">
        <v>133</v>
      </c>
      <c r="B171">
        <v>112.6640585</v>
      </c>
      <c r="C171">
        <v>164.83876839999999</v>
      </c>
      <c r="D171">
        <v>141.74355030000001</v>
      </c>
      <c r="E171">
        <v>9.107516575</v>
      </c>
    </row>
    <row r="172" spans="1:5">
      <c r="A172" t="s">
        <v>134</v>
      </c>
      <c r="B172">
        <v>143.4418034</v>
      </c>
      <c r="C172">
        <v>174.9226567</v>
      </c>
      <c r="D172">
        <v>237.37324000000001</v>
      </c>
      <c r="E172">
        <v>14.11887552</v>
      </c>
    </row>
    <row r="173" spans="1:5">
      <c r="A173" t="s">
        <v>136</v>
      </c>
      <c r="B173">
        <v>98.263213930000006</v>
      </c>
      <c r="C173">
        <v>328.68898030000003</v>
      </c>
      <c r="D173">
        <v>38.12321395</v>
      </c>
      <c r="E173">
        <v>2.0941908219999998</v>
      </c>
    </row>
    <row r="174" spans="1:5">
      <c r="A174" t="s">
        <v>137</v>
      </c>
      <c r="B174">
        <v>94.351706340000007</v>
      </c>
      <c r="C174">
        <v>284.72980009999998</v>
      </c>
      <c r="D174">
        <v>83.356290659999999</v>
      </c>
      <c r="E174">
        <v>2.1630371899999998</v>
      </c>
    </row>
    <row r="175" spans="1:5">
      <c r="A175" t="s">
        <v>138</v>
      </c>
      <c r="B175">
        <v>39.211630460000002</v>
      </c>
      <c r="C175">
        <v>164.32852020000001</v>
      </c>
      <c r="D175">
        <v>78.409927409999995</v>
      </c>
      <c r="E175">
        <v>1.908345425</v>
      </c>
    </row>
    <row r="176" spans="1:5">
      <c r="A176" t="s">
        <v>139</v>
      </c>
      <c r="B176">
        <v>121.7828339</v>
      </c>
      <c r="C176">
        <v>-1.392549891</v>
      </c>
      <c r="D176">
        <v>-3.3998144610000001</v>
      </c>
      <c r="E176">
        <v>3.9060839559999998</v>
      </c>
    </row>
    <row r="177" spans="1:5">
      <c r="A177" t="s">
        <v>140</v>
      </c>
      <c r="B177">
        <v>84.873902380000004</v>
      </c>
      <c r="C177">
        <v>1.2740014660000001</v>
      </c>
      <c r="D177">
        <v>103.6077054</v>
      </c>
      <c r="E177">
        <v>2.1725881309999999</v>
      </c>
    </row>
    <row r="178" spans="1:5">
      <c r="A178" t="s">
        <v>141</v>
      </c>
      <c r="B178">
        <v>47.274704829999997</v>
      </c>
      <c r="C178">
        <v>-11.4043692</v>
      </c>
      <c r="D178">
        <v>62.818130179999997</v>
      </c>
      <c r="E178">
        <v>1.3728957850000001</v>
      </c>
    </row>
    <row r="179" spans="1:5">
      <c r="A179" t="s">
        <v>142</v>
      </c>
      <c r="B179">
        <v>46.289684659999999</v>
      </c>
      <c r="C179">
        <v>-13.854713690000001</v>
      </c>
      <c r="D179">
        <v>61.910102139999999</v>
      </c>
      <c r="E179">
        <v>2.2563081</v>
      </c>
    </row>
    <row r="180" spans="1:5">
      <c r="A180" t="s">
        <v>143</v>
      </c>
      <c r="B180">
        <v>63.762889850000001</v>
      </c>
      <c r="C180">
        <v>60.183165750000001</v>
      </c>
      <c r="D180">
        <v>84.30016191</v>
      </c>
      <c r="E180">
        <v>2.2989888679999999</v>
      </c>
    </row>
    <row r="181" spans="1:5">
      <c r="A181" t="s">
        <v>144</v>
      </c>
      <c r="B181">
        <v>85.007744819999999</v>
      </c>
      <c r="C181">
        <v>36.403293169999998</v>
      </c>
      <c r="D181">
        <v>62.745111059999999</v>
      </c>
      <c r="E181">
        <v>3.4046595439999998</v>
      </c>
    </row>
    <row r="182" spans="1:5">
      <c r="A182" t="s">
        <v>146</v>
      </c>
      <c r="B182">
        <v>43.829389990000003</v>
      </c>
      <c r="C182">
        <v>16.23551664</v>
      </c>
      <c r="D182">
        <v>33.462539540000002</v>
      </c>
      <c r="E182">
        <v>1.248634061</v>
      </c>
    </row>
    <row r="183" spans="1:5">
      <c r="A183" t="s">
        <v>147</v>
      </c>
      <c r="B183">
        <v>38.395988639999999</v>
      </c>
      <c r="C183">
        <v>163.72319289999999</v>
      </c>
      <c r="D183">
        <v>83.750565989999998</v>
      </c>
      <c r="E183">
        <v>2.29257183</v>
      </c>
    </row>
    <row r="184" spans="1:5">
      <c r="A184" t="s">
        <v>148</v>
      </c>
      <c r="B184">
        <v>138.7507463</v>
      </c>
      <c r="C184">
        <v>289.38550659999999</v>
      </c>
      <c r="D184">
        <v>90.309873789999997</v>
      </c>
      <c r="E184">
        <v>4.0757126509999999</v>
      </c>
    </row>
    <row r="185" spans="1:5">
      <c r="A185" t="s">
        <v>149</v>
      </c>
      <c r="B185">
        <v>42.287946210000001</v>
      </c>
      <c r="C185">
        <v>164.52459959999999</v>
      </c>
      <c r="D185">
        <v>72.495797420000002</v>
      </c>
      <c r="E185">
        <v>2.5303504700000001</v>
      </c>
    </row>
    <row r="186" spans="1:5">
      <c r="A186" t="s">
        <v>150</v>
      </c>
      <c r="B186">
        <v>19.97535946</v>
      </c>
      <c r="C186">
        <v>226.4289497</v>
      </c>
      <c r="D186">
        <v>66.61751065</v>
      </c>
      <c r="E186">
        <v>0.87943049100000004</v>
      </c>
    </row>
    <row r="187" spans="1:5">
      <c r="A187" t="s">
        <v>151</v>
      </c>
      <c r="B187">
        <v>25.62531487</v>
      </c>
      <c r="C187">
        <v>351.56948419999998</v>
      </c>
      <c r="D187">
        <v>88.613295089999994</v>
      </c>
      <c r="E187">
        <v>11.1901192</v>
      </c>
    </row>
    <row r="188" spans="1:5">
      <c r="A188" t="s">
        <v>152</v>
      </c>
      <c r="B188">
        <v>27.15773557</v>
      </c>
      <c r="C188">
        <v>14.65576514</v>
      </c>
      <c r="D188">
        <v>373.38628180000001</v>
      </c>
      <c r="E188">
        <v>2.3054059069999999</v>
      </c>
    </row>
    <row r="189" spans="1:5">
      <c r="A189" t="s">
        <v>153</v>
      </c>
      <c r="B189">
        <v>34.183711529999997</v>
      </c>
      <c r="C189">
        <v>87.993134330000004</v>
      </c>
      <c r="D189">
        <v>343.37356560000001</v>
      </c>
      <c r="E189">
        <v>2.0790187539999998</v>
      </c>
    </row>
    <row r="190" spans="1:5">
      <c r="A190" t="s">
        <v>155</v>
      </c>
      <c r="B190">
        <v>624.46249479999994</v>
      </c>
      <c r="C190">
        <v>684.03793819999999</v>
      </c>
      <c r="D190">
        <v>67.525538690000005</v>
      </c>
      <c r="E190">
        <v>9.5822779429999994</v>
      </c>
    </row>
    <row r="191" spans="1:5">
      <c r="A191" t="s">
        <v>156</v>
      </c>
      <c r="B191">
        <v>246.30949029999999</v>
      </c>
      <c r="C191">
        <v>202.23390810000001</v>
      </c>
      <c r="D191">
        <v>44.25001366</v>
      </c>
      <c r="E191">
        <v>6.9617882</v>
      </c>
    </row>
    <row r="192" spans="1:5">
      <c r="A192" t="s">
        <v>157</v>
      </c>
      <c r="B192">
        <v>725.93920549999996</v>
      </c>
      <c r="C192">
        <v>107.9158245</v>
      </c>
      <c r="D192">
        <v>50.510628019999999</v>
      </c>
      <c r="E192">
        <v>6.4723024650000003</v>
      </c>
    </row>
    <row r="193" spans="1:5">
      <c r="A193" t="s">
        <v>159</v>
      </c>
      <c r="B193">
        <v>224.9518468</v>
      </c>
      <c r="C193">
        <v>570.01908490000005</v>
      </c>
      <c r="D193">
        <v>80.405199539999998</v>
      </c>
      <c r="E193">
        <v>5.7635927819999999</v>
      </c>
    </row>
    <row r="194" spans="1:5">
      <c r="A194" t="s">
        <v>160</v>
      </c>
      <c r="B194">
        <v>245.67336280000001</v>
      </c>
      <c r="C194">
        <v>210.6140862</v>
      </c>
      <c r="D194">
        <v>40.18778296</v>
      </c>
      <c r="E194">
        <v>5.0225491839999998</v>
      </c>
    </row>
    <row r="195" spans="1:5">
      <c r="A195" t="s">
        <v>161</v>
      </c>
      <c r="B195">
        <v>1427.232575</v>
      </c>
      <c r="C195">
        <v>264.94254769999998</v>
      </c>
      <c r="D195">
        <v>45.588160240000001</v>
      </c>
      <c r="E195">
        <v>6.3635112749999996</v>
      </c>
    </row>
    <row r="196" spans="1:5">
      <c r="A196" t="s">
        <v>164</v>
      </c>
      <c r="B196">
        <v>163.70314200000001</v>
      </c>
      <c r="C196">
        <v>346.41794329999999</v>
      </c>
      <c r="D196">
        <v>66.31881722</v>
      </c>
      <c r="E196">
        <v>2.36599469</v>
      </c>
    </row>
    <row r="197" spans="1:5">
      <c r="A197" t="s">
        <v>165</v>
      </c>
      <c r="B197">
        <v>89.677748019999996</v>
      </c>
      <c r="C197">
        <v>186.1048758</v>
      </c>
      <c r="D197">
        <v>54.980414490000001</v>
      </c>
      <c r="E197">
        <v>2.409123159</v>
      </c>
    </row>
    <row r="198" spans="1:5">
      <c r="A198" t="s">
        <v>166</v>
      </c>
      <c r="B198">
        <v>192.97403159999999</v>
      </c>
      <c r="C198">
        <v>1196.8114399999999</v>
      </c>
      <c r="D198">
        <v>72.637837570000002</v>
      </c>
      <c r="E198">
        <v>11.12415801</v>
      </c>
    </row>
    <row r="199" spans="1:5">
      <c r="A199" t="s">
        <v>167</v>
      </c>
      <c r="B199">
        <v>114.79350669999999</v>
      </c>
      <c r="C199">
        <v>435.2530208</v>
      </c>
      <c r="D199">
        <v>90.655025469999998</v>
      </c>
      <c r="E199">
        <v>7.369742724</v>
      </c>
    </row>
    <row r="200" spans="1:5">
      <c r="A200" t="s">
        <v>168</v>
      </c>
      <c r="B200">
        <v>113.0610743</v>
      </c>
      <c r="C200">
        <v>188.9501582</v>
      </c>
      <c r="D200">
        <v>42.195002840000001</v>
      </c>
      <c r="E200">
        <v>5.1718821290000001</v>
      </c>
    </row>
    <row r="201" spans="1:5">
      <c r="A201" t="s">
        <v>169</v>
      </c>
      <c r="B201">
        <v>79.535799839999996</v>
      </c>
      <c r="C201">
        <v>127.798208</v>
      </c>
      <c r="D201">
        <v>89.294316120000005</v>
      </c>
      <c r="E201">
        <v>3.8803660569999998</v>
      </c>
    </row>
    <row r="202" spans="1:5">
      <c r="A202" t="s">
        <v>171</v>
      </c>
      <c r="B202">
        <v>223.5216877</v>
      </c>
      <c r="C202">
        <v>722.20277429999999</v>
      </c>
      <c r="D202">
        <v>46.400606379999999</v>
      </c>
      <c r="E202">
        <v>7.9450376970000001</v>
      </c>
    </row>
    <row r="203" spans="1:5">
      <c r="A203" t="s">
        <v>172</v>
      </c>
      <c r="B203">
        <v>55.692296239999997</v>
      </c>
      <c r="C203">
        <v>279.50624219999997</v>
      </c>
      <c r="D203">
        <v>90.871417449999996</v>
      </c>
      <c r="E203">
        <v>4.5009285109999997</v>
      </c>
    </row>
    <row r="204" spans="1:5">
      <c r="A204" t="s">
        <v>173</v>
      </c>
      <c r="B204">
        <v>182.30423289999999</v>
      </c>
      <c r="C204">
        <v>277.37011840000002</v>
      </c>
      <c r="D204">
        <v>37.248639580000003</v>
      </c>
      <c r="E204">
        <v>4.5360978620000001</v>
      </c>
    </row>
    <row r="205" spans="1:5">
      <c r="A205" t="s">
        <v>175</v>
      </c>
      <c r="B205">
        <v>887.25392920000002</v>
      </c>
      <c r="C205">
        <v>833.50606930000004</v>
      </c>
      <c r="D205">
        <v>92.986166960000006</v>
      </c>
      <c r="E205">
        <v>11.073617609999999</v>
      </c>
    </row>
    <row r="206" spans="1:5">
      <c r="A206" t="s">
        <v>176</v>
      </c>
      <c r="B206">
        <v>823.37048340000001</v>
      </c>
      <c r="C206">
        <v>340.7533234</v>
      </c>
      <c r="D206">
        <v>63.188510039999997</v>
      </c>
      <c r="E206">
        <v>5.6015252489999998</v>
      </c>
    </row>
    <row r="207" spans="1:5">
      <c r="A207" t="s">
        <v>177</v>
      </c>
      <c r="B207">
        <v>1144.2584750000001</v>
      </c>
      <c r="C207">
        <v>339.09285469999998</v>
      </c>
      <c r="D207">
        <v>49.02910859</v>
      </c>
      <c r="E207">
        <v>7.8643521420000004</v>
      </c>
    </row>
    <row r="208" spans="1:5">
      <c r="A208" t="s">
        <v>178</v>
      </c>
      <c r="B208">
        <v>42.970693019999999</v>
      </c>
      <c r="C208">
        <v>-6.1750457829999998</v>
      </c>
      <c r="D208">
        <v>75.339358910000001</v>
      </c>
      <c r="E208">
        <v>0.93206015600000003</v>
      </c>
    </row>
    <row r="209" spans="1:5">
      <c r="A209" t="s">
        <v>179</v>
      </c>
      <c r="B209">
        <v>80.781933080000002</v>
      </c>
      <c r="C209">
        <v>-14.02767918</v>
      </c>
      <c r="D209">
        <v>101.5646424</v>
      </c>
      <c r="E209">
        <v>0.59121094299999999</v>
      </c>
    </row>
    <row r="210" spans="1:5">
      <c r="A210" t="s">
        <v>180</v>
      </c>
      <c r="B210">
        <v>62.570338710000001</v>
      </c>
      <c r="C210">
        <v>24.108329350000002</v>
      </c>
      <c r="D210">
        <v>30.01308985</v>
      </c>
      <c r="E210">
        <v>0.74283213400000003</v>
      </c>
    </row>
    <row r="211" spans="1:5">
      <c r="A211" t="s">
        <v>181</v>
      </c>
      <c r="B211">
        <v>54.95786219</v>
      </c>
      <c r="C211">
        <v>394.54564379999999</v>
      </c>
      <c r="D211">
        <v>374.29430980000001</v>
      </c>
      <c r="E211">
        <v>6.8634433530000001</v>
      </c>
    </row>
    <row r="212" spans="1:5">
      <c r="A212" t="s">
        <v>182</v>
      </c>
      <c r="B212">
        <v>56.368471229999997</v>
      </c>
      <c r="C212">
        <v>203.2746357</v>
      </c>
      <c r="D212">
        <v>28.432097890000001</v>
      </c>
      <c r="E212">
        <v>3.2749259259999999</v>
      </c>
    </row>
    <row r="213" spans="1:5">
      <c r="A213" t="s">
        <v>183</v>
      </c>
      <c r="B213">
        <v>36.068032559999999</v>
      </c>
      <c r="C213">
        <v>108.0196557</v>
      </c>
      <c r="D213">
        <v>28.503784320000001</v>
      </c>
      <c r="E213">
        <v>1.197596219</v>
      </c>
    </row>
    <row r="214" spans="1:5">
      <c r="A214" t="s">
        <v>184</v>
      </c>
      <c r="B214">
        <v>42.011238249999998</v>
      </c>
      <c r="C214">
        <v>243.88405080000001</v>
      </c>
      <c r="D214">
        <v>34.214802759999998</v>
      </c>
      <c r="E214">
        <v>3.7221785939999998</v>
      </c>
    </row>
    <row r="215" spans="1:5">
      <c r="A215" t="s">
        <v>185</v>
      </c>
      <c r="B215">
        <v>38.777965930000001</v>
      </c>
      <c r="C215">
        <v>163.0226826</v>
      </c>
      <c r="D215">
        <v>203.2982931</v>
      </c>
      <c r="E215">
        <v>4.7045824339999998</v>
      </c>
    </row>
    <row r="216" spans="1:5">
      <c r="A216" t="s">
        <v>186</v>
      </c>
      <c r="B216">
        <v>36.657540820000001</v>
      </c>
      <c r="C216">
        <v>175.43872229999999</v>
      </c>
      <c r="D216">
        <v>99.640612419999997</v>
      </c>
      <c r="E216">
        <v>3.4291338310000001</v>
      </c>
    </row>
    <row r="217" spans="1:5">
      <c r="A217" t="s">
        <v>187</v>
      </c>
      <c r="B217">
        <v>41.96161128</v>
      </c>
      <c r="C217">
        <v>169.837523</v>
      </c>
      <c r="D217">
        <v>29.387916879999999</v>
      </c>
      <c r="E217">
        <v>2.1580627419999998</v>
      </c>
    </row>
    <row r="218" spans="1:5">
      <c r="A218" t="s">
        <v>188</v>
      </c>
      <c r="B218">
        <v>46.271638490000001</v>
      </c>
      <c r="C218">
        <v>836.24762420000002</v>
      </c>
      <c r="D218">
        <v>52.757691110000003</v>
      </c>
      <c r="E218">
        <v>7.034464893</v>
      </c>
    </row>
    <row r="219" spans="1:5">
      <c r="A219" t="s">
        <v>189</v>
      </c>
      <c r="B219">
        <v>41.250291369999999</v>
      </c>
      <c r="C219">
        <v>406.33035940000002</v>
      </c>
      <c r="D219">
        <v>29.698558049999999</v>
      </c>
      <c r="E219">
        <v>4.3110538109999998</v>
      </c>
    </row>
    <row r="220" spans="1:5">
      <c r="A220" t="s">
        <v>190</v>
      </c>
      <c r="B220">
        <v>19.342239620000001</v>
      </c>
      <c r="C220">
        <v>64.962778889999996</v>
      </c>
      <c r="D220">
        <v>25.8752821</v>
      </c>
      <c r="E220">
        <v>2.0974242140000001</v>
      </c>
    </row>
    <row r="221" spans="1:5">
      <c r="A221" t="s">
        <v>191</v>
      </c>
      <c r="B221">
        <v>24.246286619999999</v>
      </c>
      <c r="C221">
        <v>60.154338170000003</v>
      </c>
      <c r="D221">
        <v>34.621025830000001</v>
      </c>
      <c r="E221">
        <v>2.5084131520000001</v>
      </c>
    </row>
    <row r="222" spans="1:5">
      <c r="A222" t="s">
        <v>192</v>
      </c>
      <c r="B222">
        <v>25.622307169999999</v>
      </c>
      <c r="C222">
        <v>141.75080969999999</v>
      </c>
      <c r="D222">
        <v>73.714022400000005</v>
      </c>
      <c r="E222">
        <v>4.099291537</v>
      </c>
    </row>
    <row r="223" spans="1:5">
      <c r="A223" t="s">
        <v>193</v>
      </c>
      <c r="B223">
        <v>5.4436801560000001</v>
      </c>
      <c r="C223">
        <v>110.841876</v>
      </c>
      <c r="D223">
        <v>26.377087070000002</v>
      </c>
      <c r="E223">
        <v>1.348570732</v>
      </c>
    </row>
    <row r="224" spans="1:5">
      <c r="A224" t="s">
        <v>194</v>
      </c>
      <c r="B224">
        <v>21.103245149999999</v>
      </c>
      <c r="C224">
        <v>98.492139780000002</v>
      </c>
      <c r="D224">
        <v>37.512378269999999</v>
      </c>
      <c r="E224">
        <v>1.7036468680000001</v>
      </c>
    </row>
    <row r="225" spans="1:5">
      <c r="A225" t="s">
        <v>195</v>
      </c>
      <c r="B225">
        <v>20.425009889999998</v>
      </c>
      <c r="C225">
        <v>118.61379220000001</v>
      </c>
      <c r="D225">
        <v>32.685492379999999</v>
      </c>
      <c r="E225">
        <v>1.1977454519999999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Soil samples</vt:lpstr>
      <vt:lpstr>Soil samples 2017</vt:lpstr>
      <vt:lpstr>Roots 2016</vt:lpstr>
      <vt:lpstr>Roots 2017</vt:lpstr>
      <vt:lpstr>Roots all</vt:lpstr>
      <vt:lpstr>Wet analysis 2016</vt:lpstr>
      <vt:lpstr>Wet analysis 2017</vt:lpstr>
      <vt:lpstr>Wet analysis all</vt:lpstr>
      <vt:lpstr>Wet ref</vt:lpstr>
      <vt:lpstr>Wet ref 2017</vt:lpstr>
      <vt:lpstr>C N analysis</vt:lpstr>
      <vt:lpstr>uav</vt:lpstr>
      <vt:lpstr>Olsen P</vt:lpstr>
      <vt:lpstr>Olsen P ny</vt:lpstr>
      <vt:lpstr>Olsen P ref</vt:lpstr>
      <vt:lpstr>Leaf samples</vt:lpstr>
      <vt:lpstr>Biomass</vt:lpstr>
      <vt:lpstr>Dry ref</vt:lpstr>
      <vt:lpstr>Veg analysis</vt:lpstr>
      <vt:lpstr>Species names</vt:lpstr>
      <vt:lpstr>mix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Fenger-Nielsen</dc:creator>
  <cp:lastModifiedBy>Rasmus Fenger-Nielsen</cp:lastModifiedBy>
  <dcterms:created xsi:type="dcterms:W3CDTF">2016-08-31T11:54:08Z</dcterms:created>
  <dcterms:modified xsi:type="dcterms:W3CDTF">2018-12-09T20:34:10Z</dcterms:modified>
</cp:coreProperties>
</file>