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asm\OneDrive\Dokumenter\SEP9\bachelor\finance\"/>
    </mc:Choice>
  </mc:AlternateContent>
  <xr:revisionPtr revIDLastSave="0" documentId="13_ncr:1_{F532EE56-D27F-4235-AEEB-B49818F533D8}" xr6:coauthVersionLast="47" xr6:coauthVersionMax="47" xr10:uidLastSave="{00000000-0000-0000-0000-000000000000}"/>
  <bookViews>
    <workbookView xWindow="-110" yWindow="-110" windowWidth="21820" windowHeight="14020" activeTab="4" xr2:uid="{D2E9B141-F4ED-4234-BFCD-0169309D4E34}"/>
  </bookViews>
  <sheets>
    <sheet name="Help" sheetId="6" r:id="rId1"/>
    <sheet name="Company Information" sheetId="2" r:id="rId2"/>
    <sheet name="Year 1" sheetId="1" r:id="rId3"/>
    <sheet name="Year 2" sheetId="4" r:id="rId4"/>
    <sheet name="Summary" sheetId="5" r:id="rId5"/>
    <sheet name="Expected Value" sheetId="9" r:id="rId6"/>
    <sheet name="Inputs" sheetId="7" r:id="rId7"/>
  </sheets>
  <definedNames>
    <definedName name="rCompanyName">'Company Information'!$E$6</definedName>
    <definedName name="rStartDate">'Company Information'!$E$8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5" l="1"/>
  <c r="F39" i="5"/>
  <c r="F38" i="5"/>
  <c r="H40" i="4"/>
  <c r="G40" i="4"/>
  <c r="F40" i="4"/>
  <c r="E40" i="4"/>
  <c r="D40" i="4"/>
  <c r="C40" i="4"/>
  <c r="F47" i="7"/>
  <c r="F48" i="7"/>
  <c r="H6" i="5"/>
  <c r="I6" i="5"/>
  <c r="J6" i="5"/>
  <c r="K6" i="5"/>
  <c r="L6" i="5"/>
  <c r="M6" i="5"/>
  <c r="N6" i="5"/>
  <c r="O6" i="5"/>
  <c r="P6" i="5"/>
  <c r="Q6" i="5"/>
  <c r="R6" i="5"/>
  <c r="G6" i="5"/>
  <c r="O44" i="1"/>
  <c r="E42" i="1"/>
  <c r="F42" i="1"/>
  <c r="G42" i="1"/>
  <c r="H42" i="1" s="1"/>
  <c r="I42" i="1" s="1"/>
  <c r="J42" i="1" s="1"/>
  <c r="K42" i="1" s="1"/>
  <c r="L42" i="1" s="1"/>
  <c r="M42" i="1" s="1"/>
  <c r="N42" i="1" s="1"/>
  <c r="D42" i="1"/>
  <c r="C42" i="1"/>
  <c r="N40" i="1"/>
  <c r="G5" i="5"/>
  <c r="C3" i="9"/>
  <c r="D3" i="9" s="1"/>
  <c r="E3" i="9" s="1"/>
  <c r="F3" i="9" s="1"/>
  <c r="G3" i="9" s="1"/>
  <c r="H3" i="9" s="1"/>
  <c r="I3" i="9" s="1"/>
  <c r="J3" i="9" s="1"/>
  <c r="O11" i="4"/>
  <c r="O12" i="4"/>
  <c r="M10" i="4"/>
  <c r="J10" i="4"/>
  <c r="K9" i="4"/>
  <c r="N9" i="4"/>
  <c r="H9" i="4"/>
  <c r="H6" i="4"/>
  <c r="I7" i="4"/>
  <c r="L7" i="4"/>
  <c r="I8" i="4"/>
  <c r="L8" i="4"/>
  <c r="F8" i="4"/>
  <c r="F7" i="4"/>
  <c r="K6" i="4"/>
  <c r="N6" i="4"/>
  <c r="E6" i="4"/>
  <c r="E13" i="4" s="1"/>
  <c r="B40" i="7" a="1"/>
  <c r="B40" i="7" s="1"/>
  <c r="J40" i="4"/>
  <c r="K40" i="4"/>
  <c r="L40" i="4"/>
  <c r="M40" i="4"/>
  <c r="N40" i="4"/>
  <c r="I40" i="4"/>
  <c r="F41" i="4"/>
  <c r="E41" i="4"/>
  <c r="C41" i="4"/>
  <c r="G42" i="4"/>
  <c r="H42" i="4"/>
  <c r="I42" i="4"/>
  <c r="J42" i="4"/>
  <c r="K42" i="4"/>
  <c r="L42" i="4"/>
  <c r="M42" i="4"/>
  <c r="N42" i="4"/>
  <c r="F42" i="4"/>
  <c r="E42" i="4"/>
  <c r="D42" i="4"/>
  <c r="D41" i="4"/>
  <c r="C42" i="4"/>
  <c r="A1" i="9"/>
  <c r="O8" i="4" l="1"/>
  <c r="N13" i="4"/>
  <c r="H13" i="4"/>
  <c r="F13" i="4"/>
  <c r="O9" i="4"/>
  <c r="O10" i="4"/>
  <c r="O7" i="4"/>
  <c r="A1" i="4" l="1"/>
  <c r="O41" i="4"/>
  <c r="B31" i="7"/>
  <c r="B30" i="7"/>
  <c r="B42" i="7"/>
  <c r="C42" i="7" s="1"/>
  <c r="G33" i="4"/>
  <c r="D16" i="4"/>
  <c r="E16" i="4"/>
  <c r="F16" i="4"/>
  <c r="G16" i="4"/>
  <c r="H16" i="4"/>
  <c r="I16" i="4"/>
  <c r="J16" i="4"/>
  <c r="K16" i="4"/>
  <c r="L16" i="4"/>
  <c r="M16" i="4"/>
  <c r="N16" i="4"/>
  <c r="C16" i="4"/>
  <c r="C12" i="1"/>
  <c r="B28" i="7"/>
  <c r="L33" i="4" s="1"/>
  <c r="D13" i="4"/>
  <c r="C13" i="4"/>
  <c r="O6" i="4"/>
  <c r="C31" i="4"/>
  <c r="D31" i="4"/>
  <c r="E31" i="4"/>
  <c r="C25" i="4"/>
  <c r="D25" i="4"/>
  <c r="E25" i="4"/>
  <c r="F25" i="4"/>
  <c r="G25" i="4"/>
  <c r="H25" i="4"/>
  <c r="O39" i="4"/>
  <c r="O38" i="4"/>
  <c r="O37" i="4"/>
  <c r="O36" i="4"/>
  <c r="O35" i="4"/>
  <c r="O34" i="4"/>
  <c r="N31" i="4"/>
  <c r="M31" i="4"/>
  <c r="L31" i="4"/>
  <c r="K31" i="4"/>
  <c r="J31" i="4"/>
  <c r="I31" i="4"/>
  <c r="H31" i="4"/>
  <c r="G31" i="4"/>
  <c r="F31" i="4"/>
  <c r="N27" i="4"/>
  <c r="M27" i="4"/>
  <c r="L27" i="4"/>
  <c r="K27" i="4"/>
  <c r="J27" i="4"/>
  <c r="I27" i="4"/>
  <c r="H27" i="4"/>
  <c r="G27" i="4"/>
  <c r="F27" i="4"/>
  <c r="E27" i="4"/>
  <c r="D27" i="4"/>
  <c r="C27" i="4"/>
  <c r="O26" i="4"/>
  <c r="N25" i="4"/>
  <c r="M25" i="4"/>
  <c r="L25" i="4"/>
  <c r="K25" i="4"/>
  <c r="J25" i="4"/>
  <c r="I25" i="4"/>
  <c r="O24" i="4"/>
  <c r="N23" i="4"/>
  <c r="M23" i="4"/>
  <c r="L23" i="4"/>
  <c r="K23" i="4"/>
  <c r="J23" i="4"/>
  <c r="I23" i="4"/>
  <c r="H23" i="4"/>
  <c r="G23" i="4"/>
  <c r="F23" i="4"/>
  <c r="E23" i="4"/>
  <c r="D23" i="4"/>
  <c r="C23" i="4"/>
  <c r="O22" i="4"/>
  <c r="O21" i="4"/>
  <c r="O20" i="4"/>
  <c r="O19" i="4"/>
  <c r="N18" i="4"/>
  <c r="M18" i="4"/>
  <c r="L18" i="4"/>
  <c r="K18" i="4"/>
  <c r="J18" i="4"/>
  <c r="I18" i="4"/>
  <c r="H18" i="4"/>
  <c r="G18" i="4"/>
  <c r="F18" i="4"/>
  <c r="E18" i="4"/>
  <c r="D18" i="4"/>
  <c r="C18" i="4"/>
  <c r="O17" i="4"/>
  <c r="O8" i="1"/>
  <c r="C3" i="4"/>
  <c r="G10" i="5" s="1"/>
  <c r="C3" i="1"/>
  <c r="G32" i="4" l="1"/>
  <c r="G43" i="4" s="1"/>
  <c r="H32" i="4"/>
  <c r="H43" i="4" s="1"/>
  <c r="C32" i="4"/>
  <c r="B32" i="7"/>
  <c r="L32" i="4" s="1"/>
  <c r="L43" i="4" s="1"/>
  <c r="D32" i="4"/>
  <c r="D43" i="4" s="1"/>
  <c r="D45" i="4" s="1"/>
  <c r="I32" i="4"/>
  <c r="I43" i="4" s="1"/>
  <c r="E32" i="4"/>
  <c r="E43" i="4" s="1"/>
  <c r="B47" i="7"/>
  <c r="F32" i="4"/>
  <c r="F43" i="4" s="1"/>
  <c r="B41" i="7"/>
  <c r="B44" i="7"/>
  <c r="B48" i="7" s="1"/>
  <c r="C40" i="7"/>
  <c r="O42" i="4"/>
  <c r="O33" i="4"/>
  <c r="O40" i="4"/>
  <c r="O31" i="4"/>
  <c r="O25" i="4"/>
  <c r="O18" i="4"/>
  <c r="O23" i="4"/>
  <c r="O27" i="4"/>
  <c r="O16" i="4"/>
  <c r="C44" i="7" l="1"/>
  <c r="H45" i="4" s="1"/>
  <c r="B43" i="7"/>
  <c r="M32" i="4"/>
  <c r="M43" i="4" s="1"/>
  <c r="N32" i="4"/>
  <c r="J32" i="4"/>
  <c r="J43" i="4" s="1"/>
  <c r="K32" i="4"/>
  <c r="K43" i="4" s="1"/>
  <c r="C41" i="7"/>
  <c r="F45" i="4" s="1"/>
  <c r="K13" i="4"/>
  <c r="V49" i="4" l="1"/>
  <c r="T49" i="4"/>
  <c r="X49" i="4"/>
  <c r="C43" i="7"/>
  <c r="C48" i="7"/>
  <c r="L13" i="4"/>
  <c r="L45" i="4" s="1"/>
  <c r="C47" i="7"/>
  <c r="O32" i="4"/>
  <c r="K45" i="4"/>
  <c r="I13" i="4"/>
  <c r="I45" i="4" s="1"/>
  <c r="G13" i="4"/>
  <c r="K11" i="5" s="1"/>
  <c r="Y49" i="4" l="1"/>
  <c r="AA49" i="4"/>
  <c r="AB49" i="4"/>
  <c r="C45" i="7"/>
  <c r="E45" i="4"/>
  <c r="G45" i="4"/>
  <c r="D28" i="1"/>
  <c r="E28" i="1"/>
  <c r="F28" i="1"/>
  <c r="G28" i="1"/>
  <c r="H28" i="1"/>
  <c r="I28" i="1"/>
  <c r="J28" i="1"/>
  <c r="K28" i="1"/>
  <c r="L28" i="1"/>
  <c r="M28" i="1"/>
  <c r="N28" i="1"/>
  <c r="C28" i="1"/>
  <c r="B10" i="7"/>
  <c r="C30" i="1"/>
  <c r="C25" i="1"/>
  <c r="O25" i="1" s="1"/>
  <c r="C24" i="1"/>
  <c r="D23" i="1"/>
  <c r="E23" i="1"/>
  <c r="F23" i="1"/>
  <c r="G23" i="1"/>
  <c r="H23" i="1"/>
  <c r="I23" i="1"/>
  <c r="J23" i="1"/>
  <c r="K23" i="1"/>
  <c r="L23" i="1"/>
  <c r="M23" i="1"/>
  <c r="N23" i="1"/>
  <c r="C23" i="1"/>
  <c r="C22" i="1"/>
  <c r="J21" i="1"/>
  <c r="K21" i="1"/>
  <c r="L21" i="1"/>
  <c r="M21" i="1"/>
  <c r="N21" i="1"/>
  <c r="I21" i="1"/>
  <c r="D21" i="1"/>
  <c r="E21" i="1"/>
  <c r="F21" i="1"/>
  <c r="G21" i="1"/>
  <c r="H21" i="1"/>
  <c r="C21" i="1"/>
  <c r="C29" i="1"/>
  <c r="C20" i="1"/>
  <c r="G27" i="1"/>
  <c r="H27" i="1"/>
  <c r="I27" i="1"/>
  <c r="J27" i="1"/>
  <c r="K27" i="1"/>
  <c r="L27" i="1"/>
  <c r="M27" i="1"/>
  <c r="N27" i="1"/>
  <c r="F27" i="1"/>
  <c r="D27" i="1"/>
  <c r="E27" i="1"/>
  <c r="C27" i="1"/>
  <c r="D19" i="1"/>
  <c r="E19" i="1"/>
  <c r="F19" i="1"/>
  <c r="G19" i="1"/>
  <c r="H19" i="1"/>
  <c r="I19" i="1"/>
  <c r="J19" i="1"/>
  <c r="K19" i="1"/>
  <c r="L19" i="1"/>
  <c r="M19" i="1"/>
  <c r="N19" i="1"/>
  <c r="C19" i="1"/>
  <c r="D14" i="1"/>
  <c r="E14" i="1"/>
  <c r="F14" i="1"/>
  <c r="G14" i="1"/>
  <c r="H14" i="1"/>
  <c r="I14" i="1"/>
  <c r="J14" i="1"/>
  <c r="K14" i="1"/>
  <c r="L14" i="1"/>
  <c r="M14" i="1"/>
  <c r="N14" i="1"/>
  <c r="C14" i="1"/>
  <c r="N12" i="1"/>
  <c r="M12" i="1"/>
  <c r="L12" i="1"/>
  <c r="K12" i="1"/>
  <c r="J12" i="1"/>
  <c r="I12" i="1"/>
  <c r="H12" i="1"/>
  <c r="G12" i="1"/>
  <c r="F12" i="1"/>
  <c r="E12" i="1"/>
  <c r="D12" i="1"/>
  <c r="D6" i="1"/>
  <c r="E6" i="1"/>
  <c r="F6" i="1"/>
  <c r="G6" i="1"/>
  <c r="H6" i="1"/>
  <c r="I6" i="1"/>
  <c r="J6" i="1"/>
  <c r="K6" i="1"/>
  <c r="L6" i="1"/>
  <c r="M6" i="1"/>
  <c r="N6" i="1"/>
  <c r="C6" i="1"/>
  <c r="U49" i="4" l="1"/>
  <c r="W49" i="4"/>
  <c r="J13" i="4"/>
  <c r="J45" i="4" s="1"/>
  <c r="O6" i="1"/>
  <c r="O24" i="1"/>
  <c r="N26" i="1"/>
  <c r="O23" i="1"/>
  <c r="Z49" i="4" l="1"/>
  <c r="M13" i="4"/>
  <c r="M45" i="4" s="1"/>
  <c r="O5" i="4"/>
  <c r="O13" i="4" s="1"/>
  <c r="O26" i="1"/>
  <c r="C28" i="4"/>
  <c r="N30" i="4" s="1"/>
  <c r="C7" i="1"/>
  <c r="O34" i="1"/>
  <c r="AC49" i="4" l="1"/>
  <c r="P9" i="4"/>
  <c r="P11" i="4"/>
  <c r="P8" i="4"/>
  <c r="P10" i="4"/>
  <c r="P12" i="4"/>
  <c r="P7" i="4"/>
  <c r="P5" i="4"/>
  <c r="O7" i="1"/>
  <c r="O9" i="1" s="1"/>
  <c r="P7" i="1" s="1"/>
  <c r="C9" i="1"/>
  <c r="C43" i="4"/>
  <c r="C45" i="4" s="1"/>
  <c r="C47" i="4" s="1"/>
  <c r="E1" i="5"/>
  <c r="G13" i="5" l="1"/>
  <c r="D47" i="4"/>
  <c r="P6" i="4"/>
  <c r="O30" i="4"/>
  <c r="N43" i="4"/>
  <c r="N45" i="4" s="1"/>
  <c r="P5" i="1"/>
  <c r="P6" i="1"/>
  <c r="D3" i="4"/>
  <c r="A1" i="1"/>
  <c r="E47" i="4" l="1"/>
  <c r="H13" i="5"/>
  <c r="AD49" i="4"/>
  <c r="S49" i="4"/>
  <c r="O43" i="4"/>
  <c r="O45" i="4" s="1"/>
  <c r="E3" i="4"/>
  <c r="H10" i="5"/>
  <c r="P12" i="5"/>
  <c r="H12" i="5"/>
  <c r="H14" i="5" s="1"/>
  <c r="M12" i="5"/>
  <c r="J12" i="5"/>
  <c r="Q12" i="5"/>
  <c r="Q14" i="5" s="1"/>
  <c r="R12" i="5"/>
  <c r="I11" i="5"/>
  <c r="O12" i="5"/>
  <c r="I12" i="5"/>
  <c r="I14" i="5" s="1"/>
  <c r="N12" i="5"/>
  <c r="G12" i="5"/>
  <c r="L12" i="5"/>
  <c r="K12" i="5"/>
  <c r="G11" i="5"/>
  <c r="F47" i="4" l="1"/>
  <c r="I13" i="5"/>
  <c r="J14" i="5"/>
  <c r="H10" i="9"/>
  <c r="H11" i="9" s="1"/>
  <c r="P14" i="5"/>
  <c r="J10" i="9"/>
  <c r="J11" i="9" s="1"/>
  <c r="G14" i="5"/>
  <c r="G10" i="9"/>
  <c r="G11" i="9" s="1"/>
  <c r="M14" i="5"/>
  <c r="I10" i="9"/>
  <c r="I11" i="9" s="1"/>
  <c r="P30" i="4"/>
  <c r="P33" i="4"/>
  <c r="P41" i="4"/>
  <c r="P17" i="4"/>
  <c r="P40" i="4"/>
  <c r="P24" i="4"/>
  <c r="P39" i="4"/>
  <c r="P38" i="4"/>
  <c r="P22" i="4"/>
  <c r="P26" i="4"/>
  <c r="P37" i="4"/>
  <c r="P29" i="4"/>
  <c r="P21" i="4"/>
  <c r="P42" i="4"/>
  <c r="P34" i="4"/>
  <c r="P36" i="4"/>
  <c r="P28" i="4"/>
  <c r="P20" i="4"/>
  <c r="P35" i="4"/>
  <c r="P19" i="4"/>
  <c r="P31" i="4"/>
  <c r="P27" i="4"/>
  <c r="P23" i="4"/>
  <c r="P18" i="4"/>
  <c r="P25" i="4"/>
  <c r="P16" i="4"/>
  <c r="P32" i="4"/>
  <c r="F3" i="4"/>
  <c r="I10" i="5"/>
  <c r="H11" i="5"/>
  <c r="H15" i="5" s="1"/>
  <c r="J11" i="5"/>
  <c r="G15" i="5"/>
  <c r="N14" i="5"/>
  <c r="O14" i="5"/>
  <c r="K14" i="5"/>
  <c r="L14" i="5"/>
  <c r="I15" i="5"/>
  <c r="R14" i="5"/>
  <c r="S12" i="5"/>
  <c r="G47" i="4" l="1"/>
  <c r="J13" i="5"/>
  <c r="G52" i="9"/>
  <c r="G53" i="9" s="1"/>
  <c r="G27" i="9"/>
  <c r="G28" i="9" s="1"/>
  <c r="G40" i="9"/>
  <c r="J40" i="9"/>
  <c r="J52" i="9"/>
  <c r="J53" i="9" s="1"/>
  <c r="I40" i="9"/>
  <c r="I41" i="9" s="1"/>
  <c r="I52" i="9"/>
  <c r="I53" i="9" s="1"/>
  <c r="H40" i="9"/>
  <c r="H41" i="9" s="1"/>
  <c r="H52" i="9"/>
  <c r="H53" i="9" s="1"/>
  <c r="I27" i="9"/>
  <c r="G41" i="9"/>
  <c r="J41" i="9"/>
  <c r="J27" i="9"/>
  <c r="J28" i="9" s="1"/>
  <c r="H27" i="9"/>
  <c r="H28" i="9" s="1"/>
  <c r="I28" i="9"/>
  <c r="J15" i="5"/>
  <c r="G6" i="9"/>
  <c r="G3" i="4"/>
  <c r="J10" i="5"/>
  <c r="K15" i="5"/>
  <c r="H47" i="4" l="1"/>
  <c r="K13" i="5"/>
  <c r="G48" i="9"/>
  <c r="G49" i="9" s="1"/>
  <c r="G54" i="9" s="1"/>
  <c r="G23" i="9"/>
  <c r="G24" i="9" s="1"/>
  <c r="G36" i="9"/>
  <c r="G37" i="9" s="1"/>
  <c r="G42" i="9" s="1"/>
  <c r="G7" i="9"/>
  <c r="H3" i="4"/>
  <c r="K10" i="5"/>
  <c r="I47" i="4" l="1"/>
  <c r="L13" i="5"/>
  <c r="G29" i="9"/>
  <c r="G12" i="9"/>
  <c r="G14" i="9" s="1"/>
  <c r="I3" i="4"/>
  <c r="L10" i="5"/>
  <c r="L11" i="5"/>
  <c r="H6" i="9" s="1"/>
  <c r="M11" i="5"/>
  <c r="J47" i="4" l="1"/>
  <c r="M13" i="5"/>
  <c r="H23" i="9"/>
  <c r="H24" i="9" s="1"/>
  <c r="H48" i="9"/>
  <c r="H49" i="9" s="1"/>
  <c r="H54" i="9" s="1"/>
  <c r="H36" i="9"/>
  <c r="H37" i="9" s="1"/>
  <c r="H42" i="9" s="1"/>
  <c r="M15" i="5"/>
  <c r="H7" i="9"/>
  <c r="H12" i="9" s="1"/>
  <c r="H14" i="9" s="1"/>
  <c r="J3" i="4"/>
  <c r="M10" i="5"/>
  <c r="N11" i="5"/>
  <c r="N15" i="5" s="1"/>
  <c r="L15" i="5"/>
  <c r="K47" i="4" l="1"/>
  <c r="N13" i="5"/>
  <c r="H29" i="9"/>
  <c r="K3" i="4"/>
  <c r="N10" i="5"/>
  <c r="L47" i="4" l="1"/>
  <c r="O13" i="5"/>
  <c r="L3" i="4"/>
  <c r="O10" i="5"/>
  <c r="P11" i="5"/>
  <c r="O11" i="5"/>
  <c r="I6" i="9" s="1"/>
  <c r="I48" i="9" s="1"/>
  <c r="I49" i="9" s="1"/>
  <c r="I54" i="9" s="1"/>
  <c r="M47" i="4" l="1"/>
  <c r="P13" i="5"/>
  <c r="I36" i="9"/>
  <c r="I37" i="9" s="1"/>
  <c r="I42" i="9" s="1"/>
  <c r="I23" i="9"/>
  <c r="I24" i="9" s="1"/>
  <c r="I7" i="9"/>
  <c r="I12" i="9" s="1"/>
  <c r="I14" i="9" s="1"/>
  <c r="P15" i="5"/>
  <c r="M3" i="4"/>
  <c r="P10" i="5"/>
  <c r="R11" i="5"/>
  <c r="R15" i="5" s="1"/>
  <c r="O15" i="5"/>
  <c r="N47" i="4" l="1"/>
  <c r="Q13" i="5"/>
  <c r="I29" i="9"/>
  <c r="N3" i="4"/>
  <c r="R10" i="5" s="1"/>
  <c r="Q10" i="5"/>
  <c r="Q11" i="5"/>
  <c r="J6" i="9" s="1"/>
  <c r="J48" i="9" s="1"/>
  <c r="J49" i="9" s="1"/>
  <c r="J54" i="9" s="1"/>
  <c r="J55" i="9" s="1"/>
  <c r="O47" i="4" l="1"/>
  <c r="R13" i="5"/>
  <c r="J36" i="9"/>
  <c r="J37" i="9" s="1"/>
  <c r="J42" i="9" s="1"/>
  <c r="J43" i="9" s="1"/>
  <c r="J23" i="9"/>
  <c r="J7" i="9"/>
  <c r="J12" i="9" s="1"/>
  <c r="J14" i="9" s="1"/>
  <c r="J24" i="9"/>
  <c r="Q15" i="5"/>
  <c r="S11" i="5"/>
  <c r="S13" i="5" l="1"/>
  <c r="O49" i="4"/>
  <c r="J29" i="9"/>
  <c r="J30" i="9" s="1"/>
  <c r="O37" i="1"/>
  <c r="O36" i="1"/>
  <c r="O35" i="1"/>
  <c r="O33" i="1"/>
  <c r="O32" i="1"/>
  <c r="O31" i="1"/>
  <c r="O30" i="1"/>
  <c r="O28" i="1"/>
  <c r="O27" i="1"/>
  <c r="O29" i="1"/>
  <c r="O22" i="1"/>
  <c r="O21" i="1"/>
  <c r="O20" i="1"/>
  <c r="O19" i="1"/>
  <c r="O18" i="1"/>
  <c r="O17" i="1"/>
  <c r="O16" i="1"/>
  <c r="O15" i="1"/>
  <c r="O14" i="1"/>
  <c r="O13" i="1"/>
  <c r="O12" i="1"/>
  <c r="N38" i="1"/>
  <c r="R5" i="5" s="1"/>
  <c r="M38" i="1"/>
  <c r="Q5" i="5" s="1"/>
  <c r="L38" i="1"/>
  <c r="P5" i="5" s="1"/>
  <c r="K38" i="1"/>
  <c r="O5" i="5" s="1"/>
  <c r="J38" i="1"/>
  <c r="N5" i="5" s="1"/>
  <c r="I38" i="1"/>
  <c r="M5" i="5" s="1"/>
  <c r="E10" i="9" s="1"/>
  <c r="H38" i="1"/>
  <c r="L5" i="5" s="1"/>
  <c r="G38" i="1"/>
  <c r="K5" i="5" s="1"/>
  <c r="F38" i="1"/>
  <c r="E38" i="1"/>
  <c r="D38" i="1"/>
  <c r="C38" i="1"/>
  <c r="G3" i="5"/>
  <c r="F10" i="9" l="1"/>
  <c r="F11" i="9" s="1"/>
  <c r="F52" i="9" s="1"/>
  <c r="F53" i="9" s="1"/>
  <c r="H5" i="5"/>
  <c r="I5" i="5"/>
  <c r="I7" i="5" s="1"/>
  <c r="E11" i="9"/>
  <c r="E52" i="9" s="1"/>
  <c r="E53" i="9" s="1"/>
  <c r="J5" i="5"/>
  <c r="P7" i="5"/>
  <c r="N7" i="5"/>
  <c r="O7" i="5"/>
  <c r="K7" i="5"/>
  <c r="L7" i="5"/>
  <c r="Q7" i="5"/>
  <c r="M7" i="5"/>
  <c r="R7" i="5"/>
  <c r="O38" i="1"/>
  <c r="H7" i="5" l="1"/>
  <c r="C10" i="9"/>
  <c r="E40" i="9"/>
  <c r="E41" i="9" s="1"/>
  <c r="E27" i="9"/>
  <c r="E28" i="9" s="1"/>
  <c r="G7" i="5"/>
  <c r="C11" i="9"/>
  <c r="C52" i="9" s="1"/>
  <c r="J7" i="5"/>
  <c r="D10" i="9"/>
  <c r="D11" i="9" s="1"/>
  <c r="D52" i="9" s="1"/>
  <c r="D53" i="9" s="1"/>
  <c r="F27" i="9"/>
  <c r="F28" i="9" s="1"/>
  <c r="F40" i="9"/>
  <c r="F41" i="9" s="1"/>
  <c r="P12" i="1"/>
  <c r="P35" i="1"/>
  <c r="P29" i="1"/>
  <c r="P22" i="1"/>
  <c r="P14" i="1"/>
  <c r="P28" i="1"/>
  <c r="P21" i="1"/>
  <c r="P20" i="1"/>
  <c r="P37" i="1"/>
  <c r="P19" i="1"/>
  <c r="P36" i="1"/>
  <c r="P33" i="1"/>
  <c r="P13" i="1"/>
  <c r="P15" i="1"/>
  <c r="P16" i="1"/>
  <c r="P31" i="1"/>
  <c r="P18" i="1"/>
  <c r="P17" i="1"/>
  <c r="P32" i="1"/>
  <c r="P25" i="1"/>
  <c r="P24" i="1"/>
  <c r="P23" i="1"/>
  <c r="P34" i="1"/>
  <c r="P26" i="1"/>
  <c r="P27" i="1"/>
  <c r="P30" i="1"/>
  <c r="S5" i="5"/>
  <c r="N9" i="1"/>
  <c r="M9" i="1"/>
  <c r="L9" i="1"/>
  <c r="K9" i="1"/>
  <c r="J9" i="1"/>
  <c r="I9" i="1"/>
  <c r="H9" i="1"/>
  <c r="G9" i="1"/>
  <c r="F9" i="1"/>
  <c r="E9" i="1"/>
  <c r="D9" i="1"/>
  <c r="D3" i="1"/>
  <c r="C40" i="1"/>
  <c r="K52" i="9" l="1"/>
  <c r="K53" i="9" s="1"/>
  <c r="C53" i="9"/>
  <c r="C40" i="9"/>
  <c r="C27" i="9"/>
  <c r="K10" i="9"/>
  <c r="K11" i="9" s="1"/>
  <c r="D40" i="9"/>
  <c r="D41" i="9" s="1"/>
  <c r="D27" i="9"/>
  <c r="D28" i="9" s="1"/>
  <c r="H40" i="1"/>
  <c r="L4" i="5"/>
  <c r="L8" i="5" s="1"/>
  <c r="I40" i="1"/>
  <c r="M4" i="5"/>
  <c r="L40" i="1"/>
  <c r="P4" i="5"/>
  <c r="G40" i="1"/>
  <c r="K4" i="5"/>
  <c r="K8" i="5" s="1"/>
  <c r="J40" i="1"/>
  <c r="N4" i="5"/>
  <c r="N8" i="5" s="1"/>
  <c r="K40" i="1"/>
  <c r="O4" i="5"/>
  <c r="O8" i="5" s="1"/>
  <c r="E40" i="1"/>
  <c r="I4" i="5"/>
  <c r="I8" i="5" s="1"/>
  <c r="M40" i="1"/>
  <c r="Q4" i="5"/>
  <c r="Q8" i="5" s="1"/>
  <c r="D40" i="1"/>
  <c r="H4" i="5"/>
  <c r="H8" i="5" s="1"/>
  <c r="G4" i="5"/>
  <c r="R4" i="5"/>
  <c r="R8" i="5" s="1"/>
  <c r="F40" i="1"/>
  <c r="J4" i="5"/>
  <c r="E3" i="1"/>
  <c r="H3" i="5"/>
  <c r="M8" i="5" l="1"/>
  <c r="E6" i="9"/>
  <c r="E7" i="9" s="1"/>
  <c r="E12" i="9" s="1"/>
  <c r="E14" i="9" s="1"/>
  <c r="G8" i="5"/>
  <c r="C6" i="9"/>
  <c r="C48" i="9" s="1"/>
  <c r="D6" i="9"/>
  <c r="D7" i="9" s="1"/>
  <c r="D12" i="9" s="1"/>
  <c r="D14" i="9" s="1"/>
  <c r="P8" i="5"/>
  <c r="F6" i="9"/>
  <c r="F7" i="9" s="1"/>
  <c r="F12" i="9" s="1"/>
  <c r="F14" i="9" s="1"/>
  <c r="K40" i="9"/>
  <c r="K41" i="9" s="1"/>
  <c r="C41" i="9"/>
  <c r="C28" i="9"/>
  <c r="K27" i="9"/>
  <c r="K28" i="9" s="1"/>
  <c r="S4" i="5"/>
  <c r="J8" i="5"/>
  <c r="F3" i="1"/>
  <c r="I3" i="5"/>
  <c r="F48" i="9" l="1"/>
  <c r="F49" i="9" s="1"/>
  <c r="F54" i="9" s="1"/>
  <c r="E48" i="9"/>
  <c r="E49" i="9" s="1"/>
  <c r="E54" i="9" s="1"/>
  <c r="D48" i="9"/>
  <c r="D49" i="9" s="1"/>
  <c r="D54" i="9" s="1"/>
  <c r="C49" i="9"/>
  <c r="C54" i="9" s="1"/>
  <c r="C7" i="9"/>
  <c r="C12" i="9" s="1"/>
  <c r="C14" i="9" s="1"/>
  <c r="K14" i="9" s="1"/>
  <c r="K6" i="9"/>
  <c r="K7" i="9" s="1"/>
  <c r="E36" i="9"/>
  <c r="E37" i="9" s="1"/>
  <c r="E42" i="9" s="1"/>
  <c r="D36" i="9"/>
  <c r="D37" i="9" s="1"/>
  <c r="D42" i="9" s="1"/>
  <c r="E23" i="9"/>
  <c r="E24" i="9" s="1"/>
  <c r="E29" i="9" s="1"/>
  <c r="F23" i="9"/>
  <c r="F24" i="9" s="1"/>
  <c r="F29" i="9" s="1"/>
  <c r="D23" i="9"/>
  <c r="D24" i="9" s="1"/>
  <c r="D29" i="9" s="1"/>
  <c r="F36" i="9"/>
  <c r="F37" i="9" s="1"/>
  <c r="F42" i="9" s="1"/>
  <c r="C36" i="9"/>
  <c r="C23" i="9"/>
  <c r="C24" i="9" s="1"/>
  <c r="G3" i="1"/>
  <c r="J3" i="5"/>
  <c r="K48" i="9" l="1"/>
  <c r="K49" i="9" s="1"/>
  <c r="F55" i="9"/>
  <c r="K55" i="9" s="1"/>
  <c r="L55" i="9" s="1"/>
  <c r="K54" i="9"/>
  <c r="C37" i="9"/>
  <c r="C42" i="9" s="1"/>
  <c r="F43" i="9" s="1"/>
  <c r="K43" i="9" s="1"/>
  <c r="L43" i="9" s="1"/>
  <c r="K36" i="9"/>
  <c r="K37" i="9" s="1"/>
  <c r="K23" i="9"/>
  <c r="K24" i="9" s="1"/>
  <c r="C29" i="9"/>
  <c r="F30" i="9" s="1"/>
  <c r="K30" i="9" s="1"/>
  <c r="C16" i="9"/>
  <c r="D16" i="9" s="1"/>
  <c r="E16" i="9" s="1"/>
  <c r="F16" i="9" s="1"/>
  <c r="G16" i="9" s="1"/>
  <c r="H16" i="9" s="1"/>
  <c r="I16" i="9" s="1"/>
  <c r="J16" i="9" s="1"/>
  <c r="K16" i="9" s="1"/>
  <c r="H3" i="1"/>
  <c r="K3" i="5"/>
  <c r="L30" i="9" l="1"/>
  <c r="C58" i="9" s="1"/>
  <c r="K42" i="9"/>
  <c r="K29" i="9"/>
  <c r="I3" i="1"/>
  <c r="L3" i="5"/>
  <c r="J3" i="1" l="1"/>
  <c r="M3" i="5"/>
  <c r="K3" i="1" l="1"/>
  <c r="N3" i="5"/>
  <c r="L3" i="1" l="1"/>
  <c r="O3" i="5"/>
  <c r="M3" i="1" l="1"/>
  <c r="P3" i="5"/>
  <c r="N3" i="1" l="1"/>
  <c r="R3" i="5" s="1"/>
  <c r="Q3" i="5"/>
  <c r="S6" i="5" l="1"/>
  <c r="S51" i="4"/>
  <c r="T51" i="4" s="1"/>
  <c r="U51" i="4" s="1"/>
  <c r="V51" i="4" l="1"/>
  <c r="W51" i="4" s="1"/>
  <c r="X51" i="4" l="1"/>
  <c r="Y51" i="4" l="1"/>
  <c r="Z51" i="4" l="1"/>
  <c r="AA51" i="4" l="1"/>
  <c r="AB51" i="4" l="1"/>
  <c r="AC51" i="4" l="1"/>
  <c r="AD51" i="4" s="1"/>
  <c r="AE51" i="4" l="1"/>
  <c r="B4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<sst xmlns="http://schemas.openxmlformats.org/spreadsheetml/2006/main" count="304" uniqueCount="205">
  <si>
    <t>Sales</t>
  </si>
  <si>
    <t>Other</t>
  </si>
  <si>
    <t>Total Cash In</t>
  </si>
  <si>
    <t>Loan or cash introduced</t>
  </si>
  <si>
    <t>Year Total</t>
  </si>
  <si>
    <t>Expenditure</t>
  </si>
  <si>
    <t>Cash Out - Expenditure</t>
  </si>
  <si>
    <t>Cash In - Income</t>
  </si>
  <si>
    <t>Salaries</t>
  </si>
  <si>
    <t>Salary Costs (NI, Pensions)</t>
  </si>
  <si>
    <t>Company Name</t>
  </si>
  <si>
    <t>Cash Flow Model</t>
  </si>
  <si>
    <t>Rates</t>
  </si>
  <si>
    <t>Insurance</t>
  </si>
  <si>
    <t>Cleaning</t>
  </si>
  <si>
    <t>Water</t>
  </si>
  <si>
    <t>Electricity</t>
  </si>
  <si>
    <t>Office Equipment</t>
  </si>
  <si>
    <t>Telephone</t>
  </si>
  <si>
    <t>Subsistence</t>
  </si>
  <si>
    <t>Rent</t>
  </si>
  <si>
    <t>Advertising &amp; Marketing</t>
  </si>
  <si>
    <t>Bank Loans</t>
  </si>
  <si>
    <t>Bank Charges</t>
  </si>
  <si>
    <t>Total Cash Out</t>
  </si>
  <si>
    <t>Net Cash Flow</t>
  </si>
  <si>
    <t>Start Date</t>
  </si>
  <si>
    <t>Figures come from the forecast sheet and can be overwritten with actuals showing an actual + forecast cash position.
Actuals are coloured green</t>
  </si>
  <si>
    <t>Interest Payments</t>
  </si>
  <si>
    <t>Forecast</t>
  </si>
  <si>
    <t>Income</t>
  </si>
  <si>
    <t>Total</t>
  </si>
  <si>
    <t>CALC ROW - Exp as Negative</t>
  </si>
  <si>
    <t>CALC ROW - Net CF</t>
  </si>
  <si>
    <t>Net Cashflow</t>
  </si>
  <si>
    <t>www.xlteq.com</t>
  </si>
  <si>
    <t>How to use the Cash Flow Model</t>
  </si>
  <si>
    <t>Enter Company Name</t>
  </si>
  <si>
    <t>Enter Start Date for the Year</t>
  </si>
  <si>
    <t>Enter data into all of the white blank cells (including other Income and Other Expense categories if required)</t>
  </si>
  <si>
    <t>Actuals</t>
  </si>
  <si>
    <t>This sheet pulls in all the numbers from the Forecast sheet</t>
  </si>
  <si>
    <t>As you progress through the year, you can replace the forecast numbers with actual numbers</t>
  </si>
  <si>
    <t>Summary</t>
  </si>
  <si>
    <t>Some high level summary information and Charts</t>
  </si>
  <si>
    <t>This allows you to see the projected year end cash position based on year to date actuals and forecasted numbers</t>
  </si>
  <si>
    <t>Company Information</t>
  </si>
  <si>
    <t>Xlteq the Excel Spreadsheet and Access Database Experts</t>
  </si>
  <si>
    <t>020 3817 6945</t>
  </si>
  <si>
    <t>info@xlteq.com</t>
  </si>
  <si>
    <t>*</t>
  </si>
  <si>
    <t>The cell colour for manually entered actual numbers will turn green (Excel 2013 onwards)</t>
  </si>
  <si>
    <t>Sociolite</t>
  </si>
  <si>
    <t>Industry Name</t>
  </si>
  <si>
    <t>Number of Firms</t>
  </si>
  <si>
    <t>Beta</t>
  </si>
  <si>
    <t>Cost of Equity</t>
  </si>
  <si>
    <t>E/(D+E)</t>
  </si>
  <si>
    <t>Std Dev in Stock</t>
  </si>
  <si>
    <t>Cost of Debt</t>
  </si>
  <si>
    <t>Tax Rate</t>
  </si>
  <si>
    <t>After-tax Cost of Debt</t>
  </si>
  <si>
    <t>D/(D+E)</t>
  </si>
  <si>
    <t>Cost of Capital</t>
  </si>
  <si>
    <t>https://pages.stern.nyu.edu/~adamodar/New_Home_Page/datafile/wacc.htm</t>
  </si>
  <si>
    <t>Software (Internet)</t>
  </si>
  <si>
    <t>1.00</t>
  </si>
  <si>
    <t>5.77%</t>
  </si>
  <si>
    <t>92.87%</t>
  </si>
  <si>
    <t>38.09%</t>
  </si>
  <si>
    <t>3.16%</t>
  </si>
  <si>
    <t>1.29%</t>
  </si>
  <si>
    <t>2.31%</t>
  </si>
  <si>
    <t>7.13%</t>
  </si>
  <si>
    <t>Domain</t>
  </si>
  <si>
    <t>1 domain</t>
  </si>
  <si>
    <t>Hosting</t>
  </si>
  <si>
    <t>Year 1/2</t>
  </si>
  <si>
    <t>https://www.one.com/admin/hotelchangeprepare.do?prepare=Upgrade&amp;newSize=ppslarge</t>
  </si>
  <si>
    <t xml:space="preserve">Year 1/2 forward </t>
  </si>
  <si>
    <t>Computer</t>
  </si>
  <si>
    <t>one-time(2)</t>
  </si>
  <si>
    <t>https://www.power.dk/computere-og-tablets/computere/baerbar-pc/asus-vivobook-pro-15-oled-k3500pa-l1058t-156-baerbar-pc/p-1211543/store/3812?gclid=Cj0KCQiA4OybBhCzARIsAIcfn9ng4YIxqgGQtDDwqZkyWttLcmiKl0_vX1dXNnJ70f6ANub5w93XTE8aAv8-EALw_wcB&amp;gclsrc=aw.ds</t>
  </si>
  <si>
    <t>Screens</t>
  </si>
  <si>
    <t>https://www.komplett.dk/product/1167954/gaming/spiludstyr/gamingskaerme/samsung-34-odyssey-g5-c34g55t-curved?channable=00a56069640031313637393534f2&amp;utm_source=pricerunner&amp;utm_medium=listing&amp;utm_campaign=Peripherals_Monitor&amp;utm_content=Gaming&amp;utm_term=in_stock</t>
  </si>
  <si>
    <t>Office set(chair-table)</t>
  </si>
  <si>
    <t>https://www.inventarland.dk/kontormobler/populaere-kontorsaet/hjemmearbejdsplads-saettilbud-basic/</t>
  </si>
  <si>
    <t>one-time</t>
  </si>
  <si>
    <t>https://www.power.dk/computere-og-tablets/routere-og-netvaerk/routere/d-link-dir-2150-ac2100-gigabit-router/p-1129522/store/3808?gclid=Cj0KCQiA99ybBhD9ARIsALvZavWY_wMCIS8q7r1XwC98vV1ip8lbfT1I2M6kAqy-TG7iMds8zvTGUfEaAjX8EALw_wcB&amp;gclsrc=aw.ds</t>
  </si>
  <si>
    <t>Phone</t>
  </si>
  <si>
    <t>https://www.proshop.dk/Mobil/Nokia-X10-5G-64GB6GB-Forest/2963745?utm_source=google&amp;utm_medium=cpc&amp;utm_campaign=searchengine&amp;gclid=Cj0KCQiA4OybBhCzARIsAIcfn9nlo-iETvFLwecJs0p0GVLtMmqLWPKy6elEiM-bR36Y6N8ibNDOHaMaAqxoEALw_wcB</t>
  </si>
  <si>
    <t>https://azure.microsoft.com/da-dk/pricing/details/azure-sql-database/single/</t>
  </si>
  <si>
    <t>Phone plan 3 months</t>
  </si>
  <si>
    <t>3 months(2)</t>
  </si>
  <si>
    <t>https://www.oister.dk/mobilabonnement/oister-mobil-fri-tale-35-gb/</t>
  </si>
  <si>
    <t>3 months+(2)</t>
  </si>
  <si>
    <t>Office rent</t>
  </si>
  <si>
    <t>/per month</t>
  </si>
  <si>
    <t>https://www.ejendomstorvet.dk/ledigelokaler/leje/oestjylland/aarhus/kontor/312342</t>
  </si>
  <si>
    <t>Office365</t>
  </si>
  <si>
    <t>/per month(2)</t>
  </si>
  <si>
    <t>https://www.microsoft.com/en-ww/microsoft-365/business?market=af#coreui-heading-hiatrep</t>
  </si>
  <si>
    <t>Facebook</t>
  </si>
  <si>
    <t>LinkedIn</t>
  </si>
  <si>
    <t>Hosting One.com</t>
  </si>
  <si>
    <t>Domain property rights</t>
  </si>
  <si>
    <t>Hosting azure dB</t>
  </si>
  <si>
    <t>Phone plan</t>
  </si>
  <si>
    <t>Glassdoor salary Systematic</t>
  </si>
  <si>
    <t>Advertisement</t>
  </si>
  <si>
    <t>Facebook ads</t>
  </si>
  <si>
    <t>https://www.facebook.com/adsmanager/manage/adsets/edit?act=155818820&amp;selected_campaign_ids=6280794527077&amp;selected_adset_ids=6280794527677&amp;selected_ad_ids=6280794528677</t>
  </si>
  <si>
    <t>LinkedIn ads</t>
  </si>
  <si>
    <t>https://www.linkedin.com/campaignmanager/accounts/510472998/campaigns/new/details?isNewAdvertiser=true</t>
  </si>
  <si>
    <t>Revenue</t>
  </si>
  <si>
    <t>grants and funding</t>
  </si>
  <si>
    <t>Innovation Fund Denmark</t>
  </si>
  <si>
    <t>https://innovationsfonden.dk/en/p/innofounder</t>
  </si>
  <si>
    <t xml:space="preserve">   -Development grant</t>
  </si>
  <si>
    <t xml:space="preserve">   -Monthly allowance</t>
  </si>
  <si>
    <t>monthly(12 months)</t>
  </si>
  <si>
    <t>Systematic</t>
  </si>
  <si>
    <t>yearly</t>
  </si>
  <si>
    <t>https://www.glassdoor.com/Salary/Systematic-Software-Engineer-Denmark-Salaries-EJI_IE591642.0,10_KO11,28_IL.29,36_IN63.htm?experienceLevel=ONE_TO_THREE</t>
  </si>
  <si>
    <t>1 year costs for Systematic if a employee with 1-3 years of experience quits</t>
  </si>
  <si>
    <t>12.000 kwh per year</t>
  </si>
  <si>
    <t>https://forsyningstilsynet.dk/tal-fakta/priser/elpriser</t>
  </si>
  <si>
    <t>Internet(router)</t>
  </si>
  <si>
    <t>Internet(plan)</t>
  </si>
  <si>
    <t>Internet plan + router</t>
  </si>
  <si>
    <t>6 months</t>
  </si>
  <si>
    <t>6 months+</t>
  </si>
  <si>
    <t>Telephone(plan)</t>
  </si>
  <si>
    <t xml:space="preserve">    plan 1</t>
  </si>
  <si>
    <t xml:space="preserve">    plan 2</t>
  </si>
  <si>
    <t xml:space="preserve">     Office Package</t>
  </si>
  <si>
    <t>Computer screen</t>
  </si>
  <si>
    <t>Product variable costs</t>
  </si>
  <si>
    <t>Cost</t>
  </si>
  <si>
    <t>Total per costumer(no database)</t>
  </si>
  <si>
    <t>Yearly</t>
  </si>
  <si>
    <t>Azure Database SQL</t>
  </si>
  <si>
    <t>vCORE</t>
  </si>
  <si>
    <t>1-års reserveret kapacitet</t>
  </si>
  <si>
    <t>3-års reserveret kapacitet</t>
  </si>
  <si>
    <t>Pay as you go</t>
  </si>
  <si>
    <t>Memory (GB)</t>
  </si>
  <si>
    <t>Column1</t>
  </si>
  <si>
    <t>Monthly grants</t>
  </si>
  <si>
    <t>Hosting(One.com)</t>
  </si>
  <si>
    <t>Azure SQL database Cloudservice</t>
  </si>
  <si>
    <t>Depreciation(IT)</t>
  </si>
  <si>
    <t>depreciation</t>
  </si>
  <si>
    <t>https://www.contractoruk.com/limited_companies/what_depreciation_period_and_rate_business_laptops_or_computers.html#:~:text=What%20is%20a%20sensible%20depreciation,written%20off%20after%20four%20years.</t>
  </si>
  <si>
    <t>NPV</t>
  </si>
  <si>
    <t>Accumulated NPV</t>
  </si>
  <si>
    <t>Year 2</t>
  </si>
  <si>
    <t>Year 1</t>
  </si>
  <si>
    <t>Computer + screen(value)</t>
  </si>
  <si>
    <t>Percentage</t>
  </si>
  <si>
    <t>quarterly</t>
  </si>
  <si>
    <t>https://www.eot.dk/for-udstillere/priser-og-standbooking</t>
  </si>
  <si>
    <t>Trade Fair Booth(Herning)</t>
  </si>
  <si>
    <t>https://www.hi-industri.dk/bliv-udstiller/reserver-en-stand</t>
  </si>
  <si>
    <t>Trade fair booth(EOT)</t>
  </si>
  <si>
    <t>Trade fair booth(Hi Tech &amp; Industry)</t>
  </si>
  <si>
    <t>savings</t>
  </si>
  <si>
    <t>training</t>
  </si>
  <si>
    <t>Customer</t>
  </si>
  <si>
    <t>LinkedIn ads boosted</t>
  </si>
  <si>
    <t>50$/day</t>
  </si>
  <si>
    <t>20$/day</t>
  </si>
  <si>
    <t>(1.525 $)/month</t>
  </si>
  <si>
    <t>(610 $)/month</t>
  </si>
  <si>
    <t>currency:7,25</t>
  </si>
  <si>
    <t>75$/day</t>
  </si>
  <si>
    <t>(2.287,5 $)/month</t>
  </si>
  <si>
    <t>Months</t>
  </si>
  <si>
    <t>Probability</t>
  </si>
  <si>
    <t xml:space="preserve">      Total</t>
  </si>
  <si>
    <t>2 extra small companies</t>
  </si>
  <si>
    <t>start</t>
  </si>
  <si>
    <t>receivable</t>
  </si>
  <si>
    <t>Savings for the company(for 1 employee not quitting)</t>
  </si>
  <si>
    <t>Small Company(90 employees)</t>
  </si>
  <si>
    <t>Small Company(100 employees)</t>
  </si>
  <si>
    <t>Small Company(80 employees)</t>
  </si>
  <si>
    <t>Medium Company(300 employees)</t>
  </si>
  <si>
    <t>Medium Company(250 employees)</t>
  </si>
  <si>
    <t>3 month costs</t>
  </si>
  <si>
    <t>Medium company(320 employees)</t>
  </si>
  <si>
    <r>
      <t xml:space="preserve">Option 1 - </t>
    </r>
    <r>
      <rPr>
        <sz val="18"/>
        <color theme="1"/>
        <rFont val="Aharoni"/>
        <charset val="177"/>
      </rPr>
      <t>Good</t>
    </r>
    <r>
      <rPr>
        <sz val="18"/>
        <color theme="1"/>
        <rFont val="Calibri"/>
        <family val="2"/>
        <scheme val="minor"/>
      </rPr>
      <t xml:space="preserve"> </t>
    </r>
  </si>
  <si>
    <r>
      <t xml:space="preserve">Option 1 - </t>
    </r>
    <r>
      <rPr>
        <sz val="18"/>
        <color theme="1"/>
        <rFont val="Aharoni"/>
        <charset val="177"/>
      </rPr>
      <t>Average</t>
    </r>
    <r>
      <rPr>
        <sz val="18"/>
        <color theme="1"/>
        <rFont val="Calibri"/>
        <family val="2"/>
        <scheme val="minor"/>
      </rPr>
      <t xml:space="preserve"> </t>
    </r>
  </si>
  <si>
    <t>Same amount of customers(40%)</t>
  </si>
  <si>
    <t>2 more customers(30%)</t>
  </si>
  <si>
    <t>Accumulated Cash Flow</t>
  </si>
  <si>
    <t xml:space="preserve"> NPV</t>
  </si>
  <si>
    <r>
      <t xml:space="preserve">Option 1 - </t>
    </r>
    <r>
      <rPr>
        <sz val="18"/>
        <color theme="1"/>
        <rFont val="Aharoni"/>
        <charset val="177"/>
      </rPr>
      <t>Bad</t>
    </r>
    <r>
      <rPr>
        <sz val="18"/>
        <color theme="1"/>
        <rFont val="Calibri"/>
        <family val="2"/>
        <scheme val="minor"/>
      </rPr>
      <t xml:space="preserve"> </t>
    </r>
  </si>
  <si>
    <t>2 customers leave amount of customers(40%)</t>
  </si>
  <si>
    <t>Expected Value</t>
  </si>
  <si>
    <t>Outcome</t>
  </si>
  <si>
    <t xml:space="preserve">Profit per customer </t>
  </si>
  <si>
    <t>Medium Customer</t>
  </si>
  <si>
    <t>Small Customer</t>
  </si>
  <si>
    <t>Large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</si>
</sst>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#,##0\ &quot;kr.&quot;;[Red]\-#,##0\ &quot;kr.&quot;"/>
    <numFmt numFmtId="8" formatCode="#,##0.00\ &quot;kr.&quot;;[Red]\-#,##0.00\ &quot;kr.&quot;"/>
    <numFmt numFmtId="44" formatCode="_-* #,##0.00\ &quot;kr.&quot;_-;\-* #,##0.00\ &quot;kr.&quot;_-;_-* &quot;-&quot;??\ &quot;kr.&quot;_-;_-@_-"/>
    <numFmt numFmtId="43" formatCode="_-* #,##0.00_-;\-* #,##0.00_-;_-* &quot;-&quot;??_-;_-@_-"/>
    <numFmt numFmtId="164" formatCode="dd/mm/yyyy;@"/>
    <numFmt numFmtId="165" formatCode="#,##0.00;\-#,##0.00;\-"/>
    <numFmt numFmtId="166" formatCode="#,##0.00\ &quot;kr.&quot;"/>
    <numFmt numFmtId="167" formatCode="#,##0.00_ ;\-#,##0.00\ "/>
    <numFmt numFmtId="169" formatCode="_-* #,##0.00\ _k_r_._-;\-* #,##0.00\ _k_r_._-;_-* &quot;-&quot;??\ _k_r_._-;_-@_-"/>
  </numFmts>
  <fonts count="3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2"/>
      <color rgb="FFF8F8F8"/>
      <name val="Calibri"/>
      <family val="2"/>
      <scheme val="minor"/>
    </font>
    <font>
      <sz val="11"/>
      <color rgb="FF5F5F5F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9"/>
      <name val="Geneva"/>
      <family val="2"/>
      <charset val="1"/>
    </font>
    <font>
      <u/>
      <sz val="11"/>
      <color rgb="FF0563C1"/>
      <name val="Calibri"/>
      <family val="2"/>
      <scheme val="minor"/>
    </font>
    <font>
      <sz val="9"/>
      <name val="Geneva"/>
      <family val="2"/>
      <charset val="1"/>
    </font>
    <font>
      <sz val="12"/>
      <name val="Calibri"/>
      <scheme val="minor"/>
    </font>
    <font>
      <sz val="12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  <scheme val="minor"/>
    </font>
    <font>
      <b/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0"/>
      <color rgb="FF4C4C51"/>
      <name val="Segoe UI"/>
      <family val="2"/>
    </font>
    <font>
      <sz val="8"/>
      <color rgb="FF242429"/>
      <name val="Segoe UI"/>
      <family val="2"/>
    </font>
    <font>
      <u/>
      <sz val="8"/>
      <color rgb="FF242429"/>
      <name val="Segoe UI"/>
      <family val="2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Aharoni"/>
      <charset val="177"/>
    </font>
    <font>
      <i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5F5F5F"/>
      </left>
      <right style="thin">
        <color rgb="FF5F5F5F"/>
      </right>
      <top style="thin">
        <color rgb="FF5F5F5F"/>
      </top>
      <bottom style="thin">
        <color rgb="FF5F5F5F"/>
      </bottom>
      <diagonal/>
    </border>
    <border>
      <left style="thin">
        <color rgb="FF5F5F5F"/>
      </left>
      <right style="thin">
        <color rgb="FF5F5F5F"/>
      </right>
      <top style="thin">
        <color rgb="FF5F5F5F"/>
      </top>
      <bottom style="thick">
        <color rgb="FF5F5F5F"/>
      </bottom>
      <diagonal/>
    </border>
    <border>
      <left style="thin">
        <color rgb="FF5F5F5F"/>
      </left>
      <right style="thin">
        <color rgb="FF5F5F5F"/>
      </right>
      <top/>
      <bottom style="thin">
        <color rgb="FF5F5F5F"/>
      </bottom>
      <diagonal/>
    </border>
    <border>
      <left/>
      <right style="thin">
        <color rgb="FF5F5F5F"/>
      </right>
      <top style="thin">
        <color rgb="FF5F5F5F"/>
      </top>
      <bottom style="thin">
        <color rgb="FF5F5F5F"/>
      </bottom>
      <diagonal/>
    </border>
    <border>
      <left/>
      <right style="thin">
        <color rgb="FF5F5F5F"/>
      </right>
      <top/>
      <bottom style="thin">
        <color rgb="FF5F5F5F"/>
      </bottom>
      <diagonal/>
    </border>
    <border>
      <left/>
      <right/>
      <top/>
      <bottom style="thin">
        <color rgb="FF5F5F5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43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9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4" borderId="0" xfId="0" applyFill="1" applyAlignment="1">
      <alignment horizontal="left"/>
    </xf>
    <xf numFmtId="0" fontId="5" fillId="4" borderId="0" xfId="0" applyFont="1" applyFill="1" applyAlignment="1">
      <alignment vertical="center"/>
    </xf>
    <xf numFmtId="0" fontId="7" fillId="5" borderId="0" xfId="0" applyFont="1" applyFill="1"/>
    <xf numFmtId="17" fontId="7" fillId="5" borderId="0" xfId="0" applyNumberFormat="1" applyFont="1" applyFill="1"/>
    <xf numFmtId="0" fontId="0" fillId="6" borderId="0" xfId="0" applyFill="1"/>
    <xf numFmtId="4" fontId="0" fillId="2" borderId="0" xfId="0" applyNumberFormat="1" applyFill="1"/>
    <xf numFmtId="0" fontId="0" fillId="2" borderId="0" xfId="0" applyFill="1" applyAlignment="1">
      <alignment horizontal="left" indent="2"/>
    </xf>
    <xf numFmtId="0" fontId="3" fillId="2" borderId="0" xfId="0" applyFont="1" applyFill="1"/>
    <xf numFmtId="0" fontId="12" fillId="4" borderId="0" xfId="1" applyFont="1" applyFill="1" applyAlignment="1">
      <alignment horizontal="center" vertical="center"/>
    </xf>
    <xf numFmtId="0" fontId="12" fillId="4" borderId="0" xfId="1" applyFont="1" applyFill="1" applyAlignment="1">
      <alignment vertical="center"/>
    </xf>
    <xf numFmtId="0" fontId="13" fillId="4" borderId="0" xfId="0" applyFont="1" applyFill="1"/>
    <xf numFmtId="0" fontId="1" fillId="4" borderId="0" xfId="0" applyFont="1" applyFill="1"/>
    <xf numFmtId="0" fontId="11" fillId="4" borderId="0" xfId="0" applyFont="1" applyFill="1"/>
    <xf numFmtId="17" fontId="7" fillId="5" borderId="5" xfId="0" applyNumberFormat="1" applyFont="1" applyFill="1" applyBorder="1" applyAlignment="1">
      <alignment horizontal="right"/>
    </xf>
    <xf numFmtId="17" fontId="0" fillId="2" borderId="0" xfId="0" applyNumberFormat="1" applyFill="1"/>
    <xf numFmtId="0" fontId="1" fillId="5" borderId="0" xfId="0" applyFont="1" applyFill="1"/>
    <xf numFmtId="3" fontId="0" fillId="2" borderId="1" xfId="0" applyNumberFormat="1" applyFill="1" applyBorder="1"/>
    <xf numFmtId="0" fontId="8" fillId="5" borderId="0" xfId="0" applyFont="1" applyFill="1"/>
    <xf numFmtId="3" fontId="9" fillId="2" borderId="1" xfId="0" applyNumberFormat="1" applyFont="1" applyFill="1" applyBorder="1"/>
    <xf numFmtId="0" fontId="0" fillId="5" borderId="0" xfId="0" applyFill="1"/>
    <xf numFmtId="0" fontId="0" fillId="5" borderId="4" xfId="0" applyFill="1" applyBorder="1"/>
    <xf numFmtId="3" fontId="0" fillId="2" borderId="2" xfId="0" applyNumberFormat="1" applyFill="1" applyBorder="1"/>
    <xf numFmtId="3" fontId="0" fillId="2" borderId="3" xfId="0" applyNumberFormat="1" applyFill="1" applyBorder="1"/>
    <xf numFmtId="0" fontId="0" fillId="5" borderId="6" xfId="0" applyFill="1" applyBorder="1"/>
    <xf numFmtId="3" fontId="0" fillId="2" borderId="0" xfId="0" applyNumberFormat="1" applyFill="1"/>
    <xf numFmtId="0" fontId="14" fillId="4" borderId="0" xfId="0" applyFont="1" applyFill="1" applyAlignment="1">
      <alignment horizontal="center"/>
    </xf>
    <xf numFmtId="4" fontId="0" fillId="0" borderId="0" xfId="0" applyNumberFormat="1" applyProtection="1">
      <protection locked="0"/>
    </xf>
    <xf numFmtId="4" fontId="0" fillId="6" borderId="0" xfId="0" applyNumberFormat="1" applyFill="1"/>
    <xf numFmtId="165" fontId="8" fillId="0" borderId="0" xfId="0" applyNumberFormat="1" applyFont="1" applyProtection="1">
      <protection locked="0"/>
    </xf>
    <xf numFmtId="0" fontId="1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7" fillId="0" borderId="0" xfId="0" applyFont="1"/>
    <xf numFmtId="0" fontId="18" fillId="0" borderId="7" xfId="0" applyFont="1" applyBorder="1"/>
    <xf numFmtId="0" fontId="18" fillId="0" borderId="8" xfId="0" applyFont="1" applyBorder="1"/>
    <xf numFmtId="0" fontId="18" fillId="0" borderId="9" xfId="0" applyFont="1" applyBorder="1"/>
    <xf numFmtId="0" fontId="19" fillId="0" borderId="0" xfId="0" applyFont="1"/>
    <xf numFmtId="0" fontId="10" fillId="0" borderId="0" xfId="1"/>
    <xf numFmtId="0" fontId="20" fillId="7" borderId="7" xfId="0" applyFont="1" applyFill="1" applyBorder="1"/>
    <xf numFmtId="0" fontId="21" fillId="7" borderId="7" xfId="0" applyFont="1" applyFill="1" applyBorder="1"/>
    <xf numFmtId="0" fontId="22" fillId="7" borderId="7" xfId="0" applyFont="1" applyFill="1" applyBorder="1"/>
    <xf numFmtId="0" fontId="23" fillId="0" borderId="0" xfId="0" applyFont="1"/>
    <xf numFmtId="6" fontId="0" fillId="0" borderId="0" xfId="0" applyNumberFormat="1"/>
    <xf numFmtId="6" fontId="17" fillId="0" borderId="0" xfId="0" applyNumberFormat="1" applyFont="1"/>
    <xf numFmtId="8" fontId="0" fillId="0" borderId="0" xfId="0" applyNumberFormat="1"/>
    <xf numFmtId="8" fontId="24" fillId="8" borderId="0" xfId="0" applyNumberFormat="1" applyFont="1" applyFill="1" applyAlignment="1">
      <alignment wrapText="1"/>
    </xf>
    <xf numFmtId="8" fontId="17" fillId="0" borderId="0" xfId="0" applyNumberFormat="1" applyFont="1"/>
    <xf numFmtId="8" fontId="25" fillId="0" borderId="0" xfId="0" applyNumberFormat="1" applyFont="1"/>
    <xf numFmtId="0" fontId="26" fillId="0" borderId="0" xfId="0" applyFont="1"/>
    <xf numFmtId="0" fontId="17" fillId="0" borderId="0" xfId="0" applyFont="1" applyAlignment="1">
      <alignment wrapText="1"/>
    </xf>
    <xf numFmtId="0" fontId="27" fillId="0" borderId="0" xfId="0" applyFont="1"/>
    <xf numFmtId="0" fontId="25" fillId="0" borderId="0" xfId="0" applyFont="1"/>
    <xf numFmtId="0" fontId="16" fillId="2" borderId="0" xfId="0" applyFont="1" applyFill="1" applyAlignment="1">
      <alignment horizontal="left" indent="2"/>
    </xf>
    <xf numFmtId="0" fontId="16" fillId="0" borderId="0" xfId="0" applyFont="1"/>
    <xf numFmtId="4" fontId="28" fillId="0" borderId="0" xfId="0" applyNumberFormat="1" applyFont="1"/>
    <xf numFmtId="0" fontId="29" fillId="0" borderId="0" xfId="0" applyFont="1"/>
    <xf numFmtId="0" fontId="30" fillId="0" borderId="0" xfId="0" applyFont="1"/>
    <xf numFmtId="9" fontId="0" fillId="0" borderId="0" xfId="0" applyNumberFormat="1"/>
    <xf numFmtId="43" fontId="0" fillId="0" borderId="0" xfId="2" applyFont="1"/>
    <xf numFmtId="166" fontId="0" fillId="0" borderId="0" xfId="2" applyNumberFormat="1" applyFont="1"/>
    <xf numFmtId="2" fontId="0" fillId="0" borderId="0" xfId="0" applyNumberFormat="1"/>
    <xf numFmtId="43" fontId="0" fillId="6" borderId="0" xfId="2" applyFont="1" applyFill="1"/>
    <xf numFmtId="10" fontId="22" fillId="7" borderId="10" xfId="0" applyNumberFormat="1" applyFont="1" applyFill="1" applyBorder="1"/>
    <xf numFmtId="167" fontId="0" fillId="6" borderId="0" xfId="2" applyNumberFormat="1" applyFont="1" applyFill="1"/>
    <xf numFmtId="9" fontId="0" fillId="2" borderId="0" xfId="4" applyFont="1" applyFill="1"/>
    <xf numFmtId="166" fontId="17" fillId="0" borderId="0" xfId="2" applyNumberFormat="1" applyFont="1"/>
    <xf numFmtId="166" fontId="17" fillId="0" borderId="0" xfId="3" applyNumberFormat="1" applyFont="1"/>
    <xf numFmtId="9" fontId="17" fillId="0" borderId="0" xfId="0" applyNumberFormat="1" applyFont="1"/>
    <xf numFmtId="0" fontId="5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11" fillId="4" borderId="0" xfId="1" applyFont="1" applyFill="1" applyAlignment="1" applyProtection="1">
      <alignment horizont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6" fillId="4" borderId="0" xfId="0" applyFont="1" applyFill="1" applyAlignment="1">
      <alignment horizontal="center" vertical="center"/>
    </xf>
    <xf numFmtId="0" fontId="11" fillId="4" borderId="0" xfId="1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43" fontId="8" fillId="0" borderId="0" xfId="2" applyFont="1" applyProtection="1">
      <protection locked="0"/>
    </xf>
    <xf numFmtId="43" fontId="0" fillId="2" borderId="0" xfId="2" applyFont="1" applyFill="1"/>
    <xf numFmtId="43" fontId="8" fillId="2" borderId="0" xfId="2" applyFont="1" applyFill="1" applyProtection="1">
      <protection locked="0"/>
    </xf>
    <xf numFmtId="0" fontId="31" fillId="9" borderId="0" xfId="0" applyFont="1" applyFill="1"/>
    <xf numFmtId="0" fontId="0" fillId="9" borderId="0" xfId="0" applyFill="1"/>
    <xf numFmtId="43" fontId="32" fillId="2" borderId="0" xfId="2" applyFont="1" applyFill="1" applyProtection="1">
      <protection locked="0"/>
    </xf>
    <xf numFmtId="0" fontId="17" fillId="9" borderId="0" xfId="0" applyFont="1" applyFill="1"/>
    <xf numFmtId="43" fontId="0" fillId="0" borderId="0" xfId="2" applyFont="1" applyProtection="1">
      <protection locked="0"/>
    </xf>
    <xf numFmtId="17" fontId="10" fillId="0" borderId="0" xfId="1" applyNumberFormat="1"/>
    <xf numFmtId="17" fontId="17" fillId="0" borderId="0" xfId="0" applyNumberFormat="1" applyFont="1"/>
    <xf numFmtId="17" fontId="0" fillId="0" borderId="0" xfId="0" applyNumberFormat="1"/>
    <xf numFmtId="6" fontId="0" fillId="0" borderId="0" xfId="2" applyNumberFormat="1" applyFont="1" applyProtection="1">
      <protection locked="0"/>
    </xf>
    <xf numFmtId="8" fontId="0" fillId="0" borderId="0" xfId="2" applyNumberFormat="1" applyFont="1" applyProtection="1">
      <protection locked="0"/>
    </xf>
    <xf numFmtId="0" fontId="17" fillId="2" borderId="0" xfId="0" applyFont="1" applyFill="1" applyAlignment="1">
      <alignment horizontal="left" indent="2"/>
    </xf>
    <xf numFmtId="0" fontId="0" fillId="2" borderId="0" xfId="0" applyFill="1" applyAlignment="1">
      <alignment horizontal="left"/>
    </xf>
    <xf numFmtId="169" fontId="0" fillId="2" borderId="0" xfId="0" applyNumberFormat="1" applyFill="1"/>
    <xf numFmtId="0" fontId="34" fillId="11" borderId="0" xfId="0" applyFont="1" applyFill="1"/>
    <xf numFmtId="43" fontId="0" fillId="10" borderId="0" xfId="2" applyFont="1" applyFill="1"/>
    <xf numFmtId="43" fontId="0" fillId="12" borderId="0" xfId="2" applyFont="1" applyFill="1"/>
    <xf numFmtId="8" fontId="0" fillId="5" borderId="0" xfId="0" applyNumberFormat="1" applyFill="1"/>
    <xf numFmtId="4" fontId="0" fillId="5" borderId="0" xfId="0" applyNumberFormat="1" applyFill="1"/>
    <xf numFmtId="0" fontId="0" fillId="13" borderId="0" xfId="0" applyFill="1"/>
    <xf numFmtId="169" fontId="0" fillId="10" borderId="0" xfId="0" applyNumberFormat="1" applyFill="1"/>
    <xf numFmtId="0" fontId="33" fillId="14" borderId="0" xfId="0" applyFont="1" applyFill="1"/>
    <xf numFmtId="0" fontId="0" fillId="14" borderId="0" xfId="0" applyFill="1"/>
    <xf numFmtId="43" fontId="0" fillId="15" borderId="0" xfId="2" applyFont="1" applyFill="1"/>
    <xf numFmtId="0" fontId="35" fillId="5" borderId="0" xfId="0" applyFont="1" applyFill="1" applyAlignment="1">
      <alignment horizontal="center"/>
    </xf>
    <xf numFmtId="8" fontId="1" fillId="5" borderId="0" xfId="0" applyNumberFormat="1" applyFont="1" applyFill="1"/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31"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C4C51"/>
        <name val="Segoe UI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C4C51"/>
        <name val="Segoe UI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C4C51"/>
        <name val="Segoe UI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C4C5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429"/>
        <name val="Segoe UI"/>
        <family val="2"/>
        <scheme val="none"/>
      </font>
    </dxf>
  </dxfs>
  <tableStyles count="0" defaultTableStyle="TableStyleMedium2" defaultPivotStyle="PivotStyleLight16"/>
  <colors>
    <mruColors>
      <color rgb="FF5F5F5F"/>
      <color rgb="FFFF0000"/>
      <color rgb="FF008000"/>
      <color rgb="FF33CC33"/>
      <color rgb="FF0099CC"/>
      <color rgb="FF808080"/>
      <color rgb="FFCCECFF"/>
      <color rgb="FFFF7C80"/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chemeClr val="bg1"/>
                </a:solidFill>
              </a:rPr>
              <a:t>Year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Summary!$F$4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cat>
            <c:numRef>
              <c:f>Summary!$G$3:$R$3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Summary!$G$4:$R$4</c:f>
              <c:numCache>
                <c:formatCode>#,##0</c:formatCode>
                <c:ptCount val="12"/>
                <c:pt idx="0">
                  <c:v>155000</c:v>
                </c:pt>
                <c:pt idx="1">
                  <c:v>55000</c:v>
                </c:pt>
                <c:pt idx="2">
                  <c:v>55000</c:v>
                </c:pt>
                <c:pt idx="3">
                  <c:v>55000</c:v>
                </c:pt>
                <c:pt idx="4">
                  <c:v>55000</c:v>
                </c:pt>
                <c:pt idx="5">
                  <c:v>55000</c:v>
                </c:pt>
                <c:pt idx="6">
                  <c:v>55000</c:v>
                </c:pt>
                <c:pt idx="7">
                  <c:v>55000</c:v>
                </c:pt>
                <c:pt idx="8">
                  <c:v>55000</c:v>
                </c:pt>
                <c:pt idx="9">
                  <c:v>55000</c:v>
                </c:pt>
                <c:pt idx="10">
                  <c:v>55000</c:v>
                </c:pt>
                <c:pt idx="11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2-4827-92A7-BF3659947DC5}"/>
            </c:ext>
          </c:extLst>
        </c:ser>
        <c:ser>
          <c:idx val="1"/>
          <c:order val="1"/>
          <c:tx>
            <c:strRef>
              <c:f>Summary!$F$7</c:f>
              <c:strCache>
                <c:ptCount val="1"/>
                <c:pt idx="0">
                  <c:v>Expenditure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numRef>
              <c:f>Summary!$G$3:$R$3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Summary!$G$7:$R$7</c:f>
              <c:numCache>
                <c:formatCode>#,##0</c:formatCode>
                <c:ptCount val="12"/>
                <c:pt idx="0">
                  <c:v>-67671.25</c:v>
                </c:pt>
                <c:pt idx="1">
                  <c:v>-43073.25</c:v>
                </c:pt>
                <c:pt idx="2">
                  <c:v>-43073.25</c:v>
                </c:pt>
                <c:pt idx="3">
                  <c:v>-43163.25</c:v>
                </c:pt>
                <c:pt idx="4">
                  <c:v>-43163.25</c:v>
                </c:pt>
                <c:pt idx="5">
                  <c:v>-45913.25</c:v>
                </c:pt>
                <c:pt idx="6">
                  <c:v>-45973.25</c:v>
                </c:pt>
                <c:pt idx="7">
                  <c:v>-45973.25</c:v>
                </c:pt>
                <c:pt idx="8">
                  <c:v>-48723.25</c:v>
                </c:pt>
                <c:pt idx="9">
                  <c:v>-48723.25</c:v>
                </c:pt>
                <c:pt idx="10">
                  <c:v>-48723.25</c:v>
                </c:pt>
                <c:pt idx="11">
                  <c:v>-37506.25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42-4827-92A7-BF3659947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86194031"/>
        <c:axId val="1750775359"/>
      </c:barChart>
      <c:lineChart>
        <c:grouping val="standard"/>
        <c:varyColors val="0"/>
        <c:ser>
          <c:idx val="2"/>
          <c:order val="2"/>
          <c:tx>
            <c:strRef>
              <c:f>Summary!$F$6</c:f>
              <c:strCache>
                <c:ptCount val="1"/>
                <c:pt idx="0">
                  <c:v>Accumulated NPV</c:v>
                </c:pt>
              </c:strCache>
            </c:strRef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Summary!$G$3:$R$3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Summary!$G$6:$R$6</c:f>
              <c:numCache>
                <c:formatCode>#,##0</c:formatCode>
                <c:ptCount val="12"/>
                <c:pt idx="0">
                  <c:v>87328.75</c:v>
                </c:pt>
                <c:pt idx="1">
                  <c:v>99255.5</c:v>
                </c:pt>
                <c:pt idx="2">
                  <c:v>111182.25</c:v>
                </c:pt>
                <c:pt idx="3">
                  <c:v>123019</c:v>
                </c:pt>
                <c:pt idx="4">
                  <c:v>134855.75</c:v>
                </c:pt>
                <c:pt idx="5">
                  <c:v>143942.5</c:v>
                </c:pt>
                <c:pt idx="6">
                  <c:v>152969.25</c:v>
                </c:pt>
                <c:pt idx="7">
                  <c:v>161996</c:v>
                </c:pt>
                <c:pt idx="8">
                  <c:v>168272.75</c:v>
                </c:pt>
                <c:pt idx="9">
                  <c:v>174549.5</c:v>
                </c:pt>
                <c:pt idx="10">
                  <c:v>180826.25</c:v>
                </c:pt>
                <c:pt idx="11">
                  <c:v>198320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42-4827-92A7-BF3659947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194031"/>
        <c:axId val="1750775359"/>
      </c:lineChart>
      <c:dateAx>
        <c:axId val="1686194031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75359"/>
        <c:crosses val="autoZero"/>
        <c:auto val="1"/>
        <c:lblOffset val="100"/>
        <c:baseTimeUnit val="months"/>
      </c:dateAx>
      <c:valAx>
        <c:axId val="17507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5F5F5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chemeClr val="bg1"/>
                </a:solidFill>
              </a:rPr>
              <a:t>Year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Summary!$F$11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cat>
            <c:numRef>
              <c:f>Summary!$G$3:$R$3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Summary!$G$11:$R$11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96215.999999999985</c:v>
                </c:pt>
                <c:pt idx="3">
                  <c:v>48107.999999999993</c:v>
                </c:pt>
                <c:pt idx="4">
                  <c:v>0</c:v>
                </c:pt>
                <c:pt idx="5">
                  <c:v>144323.99999999997</c:v>
                </c:pt>
                <c:pt idx="6">
                  <c:v>48107.999999999993</c:v>
                </c:pt>
                <c:pt idx="7">
                  <c:v>48107.999999999993</c:v>
                </c:pt>
                <c:pt idx="8">
                  <c:v>144323.99999999997</c:v>
                </c:pt>
                <c:pt idx="9">
                  <c:v>48107.999999999993</c:v>
                </c:pt>
                <c:pt idx="10">
                  <c:v>48107.999999999993</c:v>
                </c:pt>
                <c:pt idx="11">
                  <c:v>144323.99999999997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B-468D-9FFE-A3E598D2F766}"/>
            </c:ext>
          </c:extLst>
        </c:ser>
        <c:ser>
          <c:idx val="1"/>
          <c:order val="1"/>
          <c:tx>
            <c:strRef>
              <c:f>Summary!$F$14</c:f>
              <c:strCache>
                <c:ptCount val="1"/>
                <c:pt idx="0">
                  <c:v>Expenditure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cat>
            <c:numRef>
              <c:f>Summary!$G$3:$R$3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Summary!$G$14:$R$14</c:f>
              <c:numCache>
                <c:formatCode>#,##0</c:formatCode>
                <c:ptCount val="12"/>
                <c:pt idx="0">
                  <c:v>-63399.229999999996</c:v>
                </c:pt>
                <c:pt idx="1">
                  <c:v>-56905.229999999996</c:v>
                </c:pt>
                <c:pt idx="2">
                  <c:v>-63481.72</c:v>
                </c:pt>
                <c:pt idx="3">
                  <c:v>-70158.209999999992</c:v>
                </c:pt>
                <c:pt idx="4">
                  <c:v>-113258.20999999999</c:v>
                </c:pt>
                <c:pt idx="5">
                  <c:v>-70058.209999999992</c:v>
                </c:pt>
                <c:pt idx="6">
                  <c:v>-70058.209999999992</c:v>
                </c:pt>
                <c:pt idx="7">
                  <c:v>-75586.334999999992</c:v>
                </c:pt>
                <c:pt idx="8">
                  <c:v>-75586.334999999992</c:v>
                </c:pt>
                <c:pt idx="9">
                  <c:v>-98566.334999999992</c:v>
                </c:pt>
                <c:pt idx="10">
                  <c:v>-75586.334999999992</c:v>
                </c:pt>
                <c:pt idx="11">
                  <c:v>-78390.584999999992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DB-468D-9FFE-A3E598D2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686194031"/>
        <c:axId val="1750775359"/>
      </c:barChart>
      <c:lineChart>
        <c:grouping val="standard"/>
        <c:varyColors val="0"/>
        <c:ser>
          <c:idx val="2"/>
          <c:order val="2"/>
          <c:tx>
            <c:strRef>
              <c:f>Summary!$F$13</c:f>
              <c:strCache>
                <c:ptCount val="1"/>
                <c:pt idx="0">
                  <c:v>Accumulated NPV</c:v>
                </c:pt>
              </c:strCache>
            </c:strRef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Summary!$G$3:$R$3</c:f>
              <c:numCache>
                <c:formatCode>mmm\-yy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Summary!$G$13:$R$13</c:f>
              <c:numCache>
                <c:formatCode>#,##0</c:formatCode>
                <c:ptCount val="12"/>
                <c:pt idx="0">
                  <c:v>124546.183191812</c:v>
                </c:pt>
                <c:pt idx="1">
                  <c:v>67640.953191812005</c:v>
                </c:pt>
                <c:pt idx="2">
                  <c:v>100375.23319181199</c:v>
                </c:pt>
                <c:pt idx="3">
                  <c:v>78325.023191811983</c:v>
                </c:pt>
                <c:pt idx="4">
                  <c:v>-34933.186808188009</c:v>
                </c:pt>
                <c:pt idx="5">
                  <c:v>39332.60319181197</c:v>
                </c:pt>
                <c:pt idx="6">
                  <c:v>17382.393191811971</c:v>
                </c:pt>
                <c:pt idx="7">
                  <c:v>-10095.941808188029</c:v>
                </c:pt>
                <c:pt idx="8">
                  <c:v>58641.723191811951</c:v>
                </c:pt>
                <c:pt idx="9">
                  <c:v>8183.3881918119514</c:v>
                </c:pt>
                <c:pt idx="10">
                  <c:v>-19294.946808188048</c:v>
                </c:pt>
                <c:pt idx="11">
                  <c:v>46638.468191811931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B-468D-9FFE-A3E598D2F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6194031"/>
        <c:axId val="1750775359"/>
      </c:lineChart>
      <c:dateAx>
        <c:axId val="1686194031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775359"/>
        <c:crosses val="autoZero"/>
        <c:auto val="1"/>
        <c:lblOffset val="100"/>
        <c:baseTimeUnit val="months"/>
      </c:dateAx>
      <c:valAx>
        <c:axId val="17507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19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5F5F5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xlteq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19</xdr:row>
      <xdr:rowOff>28575</xdr:rowOff>
    </xdr:from>
    <xdr:to>
      <xdr:col>3</xdr:col>
      <xdr:colOff>365516</xdr:colOff>
      <xdr:row>22</xdr:row>
      <xdr:rowOff>57150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8BD65-B5B1-43A8-BAD4-716C141B1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4133850"/>
          <a:ext cx="1422791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77390</xdr:colOff>
      <xdr:row>17</xdr:row>
      <xdr:rowOff>39289</xdr:rowOff>
    </xdr:from>
    <xdr:to>
      <xdr:col>10</xdr:col>
      <xdr:colOff>827482</xdr:colOff>
      <xdr:row>33</xdr:row>
      <xdr:rowOff>130968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D7105-390F-4F7E-AA5E-1AB1DB0E8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95250</xdr:colOff>
      <xdr:row>17</xdr:row>
      <xdr:rowOff>35718</xdr:rowOff>
    </xdr:from>
    <xdr:to>
      <xdr:col>19</xdr:col>
      <xdr:colOff>35719</xdr:colOff>
      <xdr:row>33</xdr:row>
      <xdr:rowOff>127397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B442-54F4-41AE-BA55-6065C826E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50800</xdr:colOff>
      <xdr:row>25</xdr:row>
      <xdr:rowOff>69850</xdr:rowOff>
    </xdr:from>
    <xdr:to>
      <xdr:col>21</xdr:col>
      <xdr:colOff>660400</xdr:colOff>
      <xdr:row>37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DA8359-F52C-E38C-F089-A1D1E1972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686300"/>
          <a:ext cx="1828800" cy="229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158750</xdr:colOff>
      <xdr:row>24</xdr:row>
      <xdr:rowOff>158750</xdr:rowOff>
    </xdr:from>
    <xdr:to>
      <xdr:col>23</xdr:col>
      <xdr:colOff>1003300</xdr:colOff>
      <xdr:row>42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D25606-1C2F-A001-8724-31577D067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7150" y="4591050"/>
          <a:ext cx="1733550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114300</xdr:colOff>
      <xdr:row>25</xdr:row>
      <xdr:rowOff>0</xdr:rowOff>
    </xdr:from>
    <xdr:to>
      <xdr:col>36</xdr:col>
      <xdr:colOff>552450</xdr:colOff>
      <xdr:row>36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1DC822-F169-C3AA-CC11-C2094B792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51500" y="4616450"/>
          <a:ext cx="7143750" cy="210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107950</xdr:colOff>
      <xdr:row>38</xdr:row>
      <xdr:rowOff>0</xdr:rowOff>
    </xdr:from>
    <xdr:to>
      <xdr:col>33</xdr:col>
      <xdr:colOff>107950</xdr:colOff>
      <xdr:row>62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96E302-2B89-6AA1-8AB2-DAC90A19C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3950" y="6826250"/>
          <a:ext cx="3048000" cy="458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571500</xdr:colOff>
      <xdr:row>25</xdr:row>
      <xdr:rowOff>50800</xdr:rowOff>
    </xdr:from>
    <xdr:to>
      <xdr:col>46</xdr:col>
      <xdr:colOff>476250</xdr:colOff>
      <xdr:row>35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DDF29B4-5B25-B71A-A603-CF5984E1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14300" y="4667250"/>
          <a:ext cx="600075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431800</xdr:colOff>
      <xdr:row>25</xdr:row>
      <xdr:rowOff>76200</xdr:rowOff>
    </xdr:from>
    <xdr:to>
      <xdr:col>65</xdr:col>
      <xdr:colOff>139700</xdr:colOff>
      <xdr:row>40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8CBF450-99BD-233D-F8AB-69460C3C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76200" y="4692650"/>
          <a:ext cx="45847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304800</xdr:colOff>
      <xdr:row>25</xdr:row>
      <xdr:rowOff>31750</xdr:rowOff>
    </xdr:from>
    <xdr:to>
      <xdr:col>74</xdr:col>
      <xdr:colOff>76200</xdr:colOff>
      <xdr:row>37</xdr:row>
      <xdr:rowOff>120650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833E28-85FB-3863-1D56-485DBC3E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0" y="4648200"/>
          <a:ext cx="5257800" cy="229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368300</xdr:colOff>
      <xdr:row>25</xdr:row>
      <xdr:rowOff>82550</xdr:rowOff>
    </xdr:from>
    <xdr:to>
      <xdr:col>82</xdr:col>
      <xdr:colOff>76200</xdr:colOff>
      <xdr:row>39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DDAC8F0-FDFE-DD0D-3B2F-3CF6198B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75900" y="4699000"/>
          <a:ext cx="4584700" cy="254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273050</xdr:colOff>
      <xdr:row>25</xdr:row>
      <xdr:rowOff>19050</xdr:rowOff>
    </xdr:from>
    <xdr:to>
      <xdr:col>89</xdr:col>
      <xdr:colOff>590550</xdr:colOff>
      <xdr:row>40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233968F-501C-ED33-B02B-BA0C982C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57450" y="4635500"/>
          <a:ext cx="4584700" cy="276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165100</xdr:colOff>
      <xdr:row>42</xdr:row>
      <xdr:rowOff>82550</xdr:rowOff>
    </xdr:from>
    <xdr:to>
      <xdr:col>89</xdr:col>
      <xdr:colOff>482600</xdr:colOff>
      <xdr:row>58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7580D9-1CDD-08A2-6404-F86D05AA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0" y="7645400"/>
          <a:ext cx="4584700" cy="296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208615</xdr:colOff>
      <xdr:row>25</xdr:row>
      <xdr:rowOff>107950</xdr:rowOff>
    </xdr:from>
    <xdr:to>
      <xdr:col>56</xdr:col>
      <xdr:colOff>488357</xdr:colOff>
      <xdr:row>38</xdr:row>
      <xdr:rowOff>4322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6A2333B-CF03-8C6E-171F-2FB3F2CB4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130315" y="4724400"/>
          <a:ext cx="5156542" cy="2290322"/>
        </a:xfrm>
        <a:prstGeom prst="rect">
          <a:avLst/>
        </a:prstGeom>
      </xdr:spPr>
    </xdr:pic>
    <xdr:clientData/>
  </xdr:twoCellAnchor>
  <xdr:twoCellAnchor>
    <xdr:from>
      <xdr:col>0</xdr:col>
      <xdr:colOff>69850</xdr:colOff>
      <xdr:row>52</xdr:row>
      <xdr:rowOff>50800</xdr:rowOff>
    </xdr:from>
    <xdr:to>
      <xdr:col>0</xdr:col>
      <xdr:colOff>3060700</xdr:colOff>
      <xdr:row>58</xdr:row>
      <xdr:rowOff>95250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F90575A-6293-31EA-2E98-27212F282C1E}"/>
            </a:ext>
          </a:extLst>
        </xdr:cNvPr>
        <xdr:cNvSpPr txBox="1"/>
      </xdr:nvSpPr>
      <xdr:spPr>
        <a:xfrm>
          <a:off x="69850" y="9569450"/>
          <a:ext cx="2990850" cy="114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assumed that the company is receiving a 3 month payable of a fourth of the yearly savings ffrom each company. The company will not pay right away for the first year, due to the colaboration and fine tuning of the final product.</a:t>
          </a:r>
        </a:p>
        <a:p>
          <a:endParaRPr lang="en-US" sz="1100"/>
        </a:p>
      </xdr:txBody>
    </xdr:sp>
    <xdr:clientData/>
  </xdr:twoCellAnchor>
  <xdr:twoCellAnchor>
    <xdr:from>
      <xdr:col>0</xdr:col>
      <xdr:colOff>44450</xdr:colOff>
      <xdr:row>59</xdr:row>
      <xdr:rowOff>133350</xdr:rowOff>
    </xdr:from>
    <xdr:to>
      <xdr:col>0</xdr:col>
      <xdr:colOff>3086100</xdr:colOff>
      <xdr:row>70</xdr:row>
      <xdr:rowOff>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30DB556-7775-45AB-8F7B-2F8FBFCF5ACB}"/>
            </a:ext>
          </a:extLst>
        </xdr:cNvPr>
        <xdr:cNvSpPr txBox="1"/>
      </xdr:nvSpPr>
      <xdr:spPr>
        <a:xfrm>
          <a:off x="44450" y="10941050"/>
          <a:ext cx="3041650" cy="189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calculation for the</a:t>
          </a:r>
          <a:r>
            <a:rPr lang="en-US" sz="1100" baseline="0"/>
            <a:t> Systematic price is 80% of the costs that they would have saved, if they can retain 1 employee in their organization.</a:t>
          </a:r>
        </a:p>
        <a:p>
          <a:endParaRPr lang="en-US" sz="1100" baseline="0"/>
        </a:p>
        <a:p>
          <a:r>
            <a:rPr lang="en-US" sz="1100" baseline="0"/>
            <a:t>15% of the price for Systematic is subtracted and helps incentivize Systematic to buy the product and save money. </a:t>
          </a:r>
        </a:p>
        <a:p>
          <a:r>
            <a:rPr lang="en-US" sz="1100" baseline="0"/>
            <a:t>5 % is subtracted for training within the organization, and resources they might need to learn how the application works. 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E59B3-584D-4680-BC7E-28C8204F7619}" name="Table2" displayName="Table2" ref="U3:Y9" totalsRowShown="0" headerRowDxfId="30" dataDxfId="29">
  <autoFilter ref="U3:Y9" xr:uid="{7A4E59B3-584D-4680-BC7E-28C8204F7619}"/>
  <tableColumns count="5">
    <tableColumn id="1" xr3:uid="{9E22BE47-8AD5-479A-85CD-77499ACC45E7}" name="vCORE" dataDxfId="28"/>
    <tableColumn id="2" xr3:uid="{E80CA43A-9B27-4059-BD05-22AE150F190E}" name="Memory (GB)" dataDxfId="27"/>
    <tableColumn id="3" xr3:uid="{A02A2A33-891E-4911-800C-371D736437D9}" name="Pay as you go" dataDxfId="26"/>
    <tableColumn id="4" xr3:uid="{4D5C9B90-9E80-4954-AFE9-23047D132DC7}" name="1-års reserveret kapacitet" dataDxfId="25"/>
    <tableColumn id="5" xr3:uid="{844E6214-9101-43AB-98BC-1A6B78CFD61B}" name="3-års reserveret kapacitet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E02984-5A69-4B0E-879A-73683DF04AFD}" name="Table4" displayName="Table4" ref="G42:I43" totalsRowShown="0" headerRowDxfId="23" dataDxfId="22">
  <autoFilter ref="G42:I43" xr:uid="{59E02984-5A69-4B0E-879A-73683DF04AFD}"/>
  <tableColumns count="3">
    <tableColumn id="1" xr3:uid="{4F3086EA-F53E-450D-B9FA-B9AE536A7FCF}" name="Column1" dataDxfId="21"/>
    <tableColumn id="2" xr3:uid="{239AEAD6-1533-4558-B14B-35BD01B1D725}" name="savings" dataDxfId="20"/>
    <tableColumn id="3" xr3:uid="{5564DB1E-E39B-421A-A2E4-2131A271DC89}" name="training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xlteq.com?subject=Excel%20download%20enquiry" TargetMode="External"/><Relationship Id="rId2" Type="http://schemas.openxmlformats.org/officeDocument/2006/relationships/hyperlink" Target="http://www.xlteq.com/" TargetMode="External"/><Relationship Id="rId1" Type="http://schemas.openxmlformats.org/officeDocument/2006/relationships/hyperlink" Target="http://www.xlteq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ister.dk/mobilabonnement/oister-mobil-fri-tale-35-gb/" TargetMode="External"/><Relationship Id="rId13" Type="http://schemas.openxmlformats.org/officeDocument/2006/relationships/hyperlink" Target="https://azure.microsoft.com/da-dk/pricing/details/azure-sql-database/single/" TargetMode="External"/><Relationship Id="rId18" Type="http://schemas.openxmlformats.org/officeDocument/2006/relationships/hyperlink" Target="https://www.contractoruk.com/limited_companies/what_depreciation_period_and_rate_business_laptops_or_computers.html" TargetMode="External"/><Relationship Id="rId3" Type="http://schemas.openxmlformats.org/officeDocument/2006/relationships/hyperlink" Target="https://www.power.dk/computere-og-tablets/computere/baerbar-pc/asus-vivobook-pro-15-oled-k3500pa-l1058t-156-baerbar-pc/p-1211543/store/3812?gclid=Cj0KCQiA4OybBhCzARIsAIcfn9ng4YIxqgGQtDDwqZkyWttLcmiKl0_vX1dXNnJ70f6ANub5w93XTE8aAv8-EALw_wcB&amp;gclsrc=aw.ds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www.proshop.dk/Mobil/Nokia-X10-5G-64GB6GB-Forest/2963745?utm_source=google&amp;utm_medium=cpc&amp;utm_campaign=searchengine&amp;gclid=Cj0KCQiA4OybBhCzARIsAIcfn9nlo-iETvFLwecJs0p0GVLtMmqLWPKy6elEiM-bR36Y6N8ibNDOHaMaAqxoEALw_wcB" TargetMode="External"/><Relationship Id="rId12" Type="http://schemas.openxmlformats.org/officeDocument/2006/relationships/hyperlink" Target="https://forsyningstilsynet.dk/tal-fakta/priser/elpriser" TargetMode="External"/><Relationship Id="rId17" Type="http://schemas.openxmlformats.org/officeDocument/2006/relationships/hyperlink" Target="https://www.linkedin.com/campaignmanager/accounts/510472998/campaigns/new/details?isNewAdvertiser=true" TargetMode="External"/><Relationship Id="rId2" Type="http://schemas.openxmlformats.org/officeDocument/2006/relationships/hyperlink" Target="https://www.one.com/admin/hotelchangeprepare.do?prepare=Upgrade&amp;newSize=ppslarge" TargetMode="External"/><Relationship Id="rId16" Type="http://schemas.openxmlformats.org/officeDocument/2006/relationships/hyperlink" Target="https://www.facebook.com/adsmanager/manage/adsets/edit?act=155818820&amp;selected_campaign_ids=6280794527077&amp;selected_adset_ids=6280794527677&amp;selected_ad_ids=6280794528677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pages.stern.nyu.edu/~adamodar/New_Home_Page/datafile/wacc.htm" TargetMode="External"/><Relationship Id="rId6" Type="http://schemas.openxmlformats.org/officeDocument/2006/relationships/hyperlink" Target="https://www.power.dk/computere-og-tablets/routere-og-netvaerk/routere/d-link-dir-2150-ac2100-gigabit-router/p-1129522/store/3808?gclid=Cj0KCQiA99ybBhD9ARIsALvZavWY_wMCIS8q7r1XwC98vV1ip8lbfT1I2M6kAqy-TG7iMds8zvTGUfEaAjX8EALw_wcB&amp;gclsrc=aw.ds" TargetMode="External"/><Relationship Id="rId11" Type="http://schemas.openxmlformats.org/officeDocument/2006/relationships/hyperlink" Target="https://innovationsfonden.dk/en/p/innofounder" TargetMode="External"/><Relationship Id="rId5" Type="http://schemas.openxmlformats.org/officeDocument/2006/relationships/hyperlink" Target="https://www.inventarland.dk/kontormobler/populaere-kontorsaet/hjemmearbejdsplads-saettilbud-basic/" TargetMode="External"/><Relationship Id="rId15" Type="http://schemas.openxmlformats.org/officeDocument/2006/relationships/hyperlink" Target="https://www.hi-industri.dk/bliv-udstiller/reserver-en-stand" TargetMode="External"/><Relationship Id="rId10" Type="http://schemas.openxmlformats.org/officeDocument/2006/relationships/hyperlink" Target="https://www.microsoft.com/en-ww/microsoft-365/business?market=af" TargetMode="External"/><Relationship Id="rId19" Type="http://schemas.openxmlformats.org/officeDocument/2006/relationships/drawing" Target="../drawings/drawing3.xml"/><Relationship Id="rId4" Type="http://schemas.openxmlformats.org/officeDocument/2006/relationships/hyperlink" Target="https://www.komplett.dk/product/1167954/gaming/spiludstyr/gamingskaerme/samsung-34-odyssey-g5-c34g55t-curved?channable=00a56069640031313637393534f2&amp;utm_source=pricerunner&amp;utm_medium=listing&amp;utm_campaign=Peripherals_Monitor&amp;utm_content=Gaming&amp;utm_term=in_stock" TargetMode="External"/><Relationship Id="rId9" Type="http://schemas.openxmlformats.org/officeDocument/2006/relationships/hyperlink" Target="https://www.ejendomstorvet.dk/ledigelokaler/leje/oestjylland/aarhus/kontor/312342" TargetMode="External"/><Relationship Id="rId14" Type="http://schemas.openxmlformats.org/officeDocument/2006/relationships/hyperlink" Target="https://www.eot.dk/for-udstillere/priser-og-stand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192-5A7F-446B-84ED-DC30B91E560A}">
  <sheetPr>
    <tabColor theme="1"/>
  </sheetPr>
  <dimension ref="A1:O24"/>
  <sheetViews>
    <sheetView showRowColHeaders="0" workbookViewId="0">
      <selection activeCell="C22" sqref="C22"/>
    </sheetView>
  </sheetViews>
  <sheetFormatPr defaultColWidth="0" defaultRowHeight="14.5" zeroHeight="1"/>
  <cols>
    <col min="1" max="1" width="4" customWidth="1"/>
    <col min="2" max="2" width="4.453125" customWidth="1"/>
    <col min="3" max="4" width="9.1796875" customWidth="1"/>
    <col min="5" max="6" width="11.1796875" customWidth="1"/>
    <col min="7" max="7" width="6.1796875" customWidth="1"/>
    <col min="8" max="9" width="11.1796875" customWidth="1"/>
    <col min="10" max="10" width="6.1796875" customWidth="1"/>
    <col min="11" max="12" width="11.1796875" customWidth="1"/>
    <col min="13" max="13" width="9.1796875" customWidth="1"/>
    <col min="14" max="15" width="4.54296875" customWidth="1"/>
    <col min="16" max="16384" width="9.1796875" hidden="1"/>
  </cols>
  <sheetData>
    <row r="1" spans="1:15" ht="23.5">
      <c r="A1" s="16" t="s">
        <v>36</v>
      </c>
      <c r="B1" s="17"/>
      <c r="C1" s="17"/>
      <c r="D1" s="4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>
      <c r="A2" s="17"/>
      <c r="B2" s="17"/>
      <c r="C2" s="17"/>
      <c r="D2" s="4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8.5">
      <c r="A3" s="17"/>
      <c r="B3" s="18" t="s">
        <v>46</v>
      </c>
      <c r="C3" s="17"/>
      <c r="D3" s="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>
      <c r="A4" s="17"/>
      <c r="B4" s="17"/>
      <c r="C4" s="17" t="s">
        <v>37</v>
      </c>
      <c r="D4" s="4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>
      <c r="A5" s="17"/>
      <c r="B5" s="17"/>
      <c r="C5" s="17" t="s">
        <v>38</v>
      </c>
      <c r="D5" s="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>
      <c r="A6" s="17"/>
      <c r="B6" s="17"/>
      <c r="C6" s="17"/>
      <c r="D6" s="4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18.5">
      <c r="A7" s="17"/>
      <c r="B7" s="18" t="s">
        <v>29</v>
      </c>
      <c r="C7" s="17"/>
      <c r="D7" s="4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>
      <c r="A8" s="17"/>
      <c r="B8" s="17"/>
      <c r="C8" s="17" t="s">
        <v>39</v>
      </c>
      <c r="D8" s="4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>
      <c r="A9" s="17"/>
      <c r="B9" s="17"/>
      <c r="C9" s="17"/>
      <c r="D9" s="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ht="18.5">
      <c r="A10" s="17"/>
      <c r="B10" s="18" t="s">
        <v>40</v>
      </c>
      <c r="C10" s="17"/>
      <c r="D10" s="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>
      <c r="A11" s="17"/>
      <c r="B11" s="17"/>
      <c r="C11" s="17" t="s">
        <v>41</v>
      </c>
      <c r="D11" s="4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>
      <c r="A12" s="17"/>
      <c r="B12" s="17"/>
      <c r="C12" s="17" t="s">
        <v>42</v>
      </c>
      <c r="D12" s="4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>
      <c r="A13" s="17"/>
      <c r="B13" s="17"/>
      <c r="C13" s="17" t="s">
        <v>51</v>
      </c>
      <c r="D13" s="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>
      <c r="A14" s="17"/>
      <c r="B14" s="17"/>
      <c r="C14" s="17" t="s">
        <v>45</v>
      </c>
      <c r="D14" s="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A15" s="17"/>
      <c r="B15" s="17"/>
      <c r="C15" s="17"/>
      <c r="D15" s="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ht="18.5">
      <c r="A16" s="17"/>
      <c r="B16" s="18" t="s">
        <v>43</v>
      </c>
      <c r="C16" s="17"/>
      <c r="D16" s="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>
      <c r="A17" s="17"/>
      <c r="B17" s="17"/>
      <c r="C17" s="17" t="s">
        <v>44</v>
      </c>
      <c r="D17" s="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>
      <c r="A18" s="4"/>
      <c r="B18" s="4"/>
      <c r="C18" s="4"/>
      <c r="D18" s="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>
      <c r="A19" s="4"/>
      <c r="B19" s="4"/>
      <c r="C19" s="4"/>
      <c r="D19" s="4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21">
      <c r="A20" s="4"/>
      <c r="B20" s="4"/>
      <c r="C20" s="7"/>
      <c r="D20" s="7"/>
      <c r="E20" s="73" t="s">
        <v>47</v>
      </c>
      <c r="F20" s="73"/>
      <c r="G20" s="73"/>
      <c r="H20" s="73"/>
      <c r="I20" s="73"/>
      <c r="J20" s="73"/>
      <c r="K20" s="73"/>
      <c r="L20" s="73"/>
      <c r="M20" s="17"/>
      <c r="N20" s="17"/>
      <c r="O20" s="17"/>
    </row>
    <row r="21" spans="1:15" ht="6" customHeight="1">
      <c r="A21" s="4"/>
      <c r="B21" s="4"/>
      <c r="C21" s="4"/>
      <c r="D21" s="4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ht="21">
      <c r="A22" s="4"/>
      <c r="B22" s="4"/>
      <c r="C22" s="14" t="s">
        <v>35</v>
      </c>
      <c r="D22" s="15"/>
      <c r="E22" s="74" t="s">
        <v>48</v>
      </c>
      <c r="F22" s="74"/>
      <c r="G22" s="31" t="s">
        <v>50</v>
      </c>
      <c r="H22" s="75" t="s">
        <v>49</v>
      </c>
      <c r="I22" s="75"/>
      <c r="J22" s="31" t="s">
        <v>50</v>
      </c>
      <c r="K22" s="75" t="s">
        <v>35</v>
      </c>
      <c r="L22" s="75"/>
      <c r="M22" s="17"/>
      <c r="N22" s="17"/>
      <c r="O22" s="17"/>
    </row>
    <row r="23" spans="1:15">
      <c r="A23" s="4"/>
      <c r="B23" s="4"/>
      <c r="C23" s="4"/>
      <c r="D23" s="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A24" s="4"/>
      <c r="B24" s="4"/>
      <c r="C24" s="4"/>
      <c r="D24" s="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</sheetData>
  <sheetProtection sheet="1" objects="1" scenarios="1"/>
  <mergeCells count="4">
    <mergeCell ref="E20:L20"/>
    <mergeCell ref="E22:F22"/>
    <mergeCell ref="H22:I22"/>
    <mergeCell ref="K22:L22"/>
  </mergeCells>
  <hyperlinks>
    <hyperlink ref="C22:D22" r:id="rId1" display="www.xlteq.com" xr:uid="{7412E4C5-B6B1-4955-90FC-E668D5BD8AB2}"/>
    <hyperlink ref="K22:L22" r:id="rId2" display="www.xlteq.com" xr:uid="{2F6F7243-6242-44EA-8A08-2B52FCEF0890}"/>
    <hyperlink ref="H22:I22" r:id="rId3" display="info@xlteq.com" xr:uid="{AAA5383C-800D-4728-87B8-A14D31F922B6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0FAD-491E-4099-B1B4-CD7F833688DC}">
  <sheetPr codeName="Sheet5">
    <tabColor rgb="FF0099CC"/>
  </sheetPr>
  <dimension ref="A1:BG70"/>
  <sheetViews>
    <sheetView showRowColHeaders="0" zoomScaleNormal="100" zoomScaleSheetLayoutView="200" workbookViewId="0">
      <selection activeCell="E9" sqref="E9"/>
    </sheetView>
  </sheetViews>
  <sheetFormatPr defaultColWidth="9.1796875" defaultRowHeight="14.5"/>
  <cols>
    <col min="1" max="1" width="3.81640625" customWidth="1"/>
    <col min="2" max="8" width="7.54296875" customWidth="1"/>
    <col min="9" max="9" width="9.1796875" customWidth="1"/>
    <col min="10" max="10" width="11.1796875" customWidth="1"/>
    <col min="11" max="11" width="11.1796875" style="3" customWidth="1"/>
    <col min="12" max="12" width="4" style="3" customWidth="1"/>
    <col min="13" max="14" width="11.1796875" style="3" customWidth="1"/>
    <col min="15" max="15" width="4" style="3" customWidth="1"/>
    <col min="16" max="17" width="11.1796875" style="3" customWidth="1"/>
    <col min="18" max="59" width="9.1796875" style="3" customWidth="1"/>
  </cols>
  <sheetData>
    <row r="1" spans="1:1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" customHeight="1">
      <c r="A2" s="4"/>
      <c r="B2" s="78" t="s">
        <v>11</v>
      </c>
      <c r="C2" s="78"/>
      <c r="D2" s="78"/>
      <c r="E2" s="78"/>
      <c r="F2" s="78"/>
      <c r="G2" s="78"/>
      <c r="H2" s="78"/>
      <c r="I2" s="78"/>
      <c r="J2" s="5"/>
      <c r="K2" s="5"/>
      <c r="L2" s="5"/>
      <c r="M2" s="5"/>
      <c r="N2" s="4"/>
      <c r="O2" s="4"/>
      <c r="P2" s="4"/>
      <c r="Q2" s="4"/>
      <c r="R2" s="4"/>
    </row>
    <row r="3" spans="1:18" ht="15" customHeight="1">
      <c r="A3" s="4"/>
      <c r="B3" s="78"/>
      <c r="C3" s="78"/>
      <c r="D3" s="78"/>
      <c r="E3" s="78"/>
      <c r="F3" s="78"/>
      <c r="G3" s="78"/>
      <c r="H3" s="78"/>
      <c r="I3" s="78"/>
      <c r="J3" s="5"/>
      <c r="K3" s="5"/>
      <c r="L3" s="5"/>
      <c r="M3" s="5"/>
      <c r="N3" s="4"/>
      <c r="O3" s="4"/>
      <c r="P3" s="4"/>
      <c r="Q3" s="4"/>
      <c r="R3" s="4"/>
    </row>
    <row r="4" spans="1:1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1">
      <c r="A6" s="4"/>
      <c r="B6" s="7" t="s">
        <v>10</v>
      </c>
      <c r="C6" s="7"/>
      <c r="D6" s="7"/>
      <c r="E6" s="76" t="s">
        <v>52</v>
      </c>
      <c r="F6" s="76"/>
      <c r="G6" s="76"/>
      <c r="H6" s="76"/>
      <c r="I6" s="4"/>
      <c r="J6" s="73"/>
      <c r="K6" s="73"/>
      <c r="L6" s="73"/>
      <c r="M6" s="73"/>
      <c r="N6" s="73"/>
      <c r="O6" s="73"/>
      <c r="P6" s="73"/>
      <c r="Q6" s="73"/>
      <c r="R6" s="4"/>
    </row>
    <row r="7" spans="1:18">
      <c r="A7" s="4"/>
      <c r="B7" s="6"/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3" customFormat="1" ht="21">
      <c r="A8" s="4"/>
      <c r="B8" s="7" t="s">
        <v>26</v>
      </c>
      <c r="C8" s="7"/>
      <c r="D8" s="7"/>
      <c r="E8" s="77">
        <v>44927</v>
      </c>
      <c r="F8" s="77"/>
      <c r="G8" s="77"/>
      <c r="H8" s="77"/>
      <c r="I8" s="4"/>
      <c r="J8" s="74"/>
      <c r="K8" s="74"/>
      <c r="L8" s="31"/>
      <c r="M8" s="79"/>
      <c r="N8" s="79"/>
      <c r="O8" s="31"/>
      <c r="P8" s="79"/>
      <c r="Q8" s="79"/>
      <c r="R8" s="4"/>
    </row>
    <row r="9" spans="1:18" s="3" customForma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s="3" customForma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s="3" customFormat="1"/>
    <row r="12" spans="1:18" s="3" customFormat="1"/>
    <row r="13" spans="1:18" s="3" customFormat="1"/>
    <row r="14" spans="1:18" s="3" customFormat="1"/>
    <row r="15" spans="1:18" s="3" customFormat="1"/>
    <row r="16" spans="1:18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</sheetData>
  <sheetProtection formatCells="0" formatColumns="0" formatRows="0" insertColumns="0" insertRows="0" insertHyperlinks="0" deleteColumns="0" deleteRows="0" sort="0" autoFilter="0" pivotTables="0"/>
  <mergeCells count="7">
    <mergeCell ref="E6:H6"/>
    <mergeCell ref="E8:H8"/>
    <mergeCell ref="B2:I3"/>
    <mergeCell ref="J6:Q6"/>
    <mergeCell ref="J8:K8"/>
    <mergeCell ref="M8:N8"/>
    <mergeCell ref="P8:Q8"/>
  </mergeCells>
  <dataValidations count="1">
    <dataValidation type="date" operator="greaterThan" allowBlank="1" showInputMessage="1" showErrorMessage="1" sqref="E8:H8" xr:uid="{0A3023EA-3BD7-433B-9636-DF912EE34BB7}">
      <formula1>36526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874D-4475-41E7-B637-31F57ABBF14C}">
  <sheetPr codeName="Sheet1">
    <tabColor rgb="FF008000"/>
  </sheetPr>
  <dimension ref="A1:S75"/>
  <sheetViews>
    <sheetView showRowColHeaders="0" zoomScale="80" zoomScaleNormal="80" workbookViewId="0">
      <pane xSplit="2" ySplit="4" topLeftCell="C9" activePane="bottomRight" state="frozen"/>
      <selection pane="topRight" activeCell="C1" sqref="C1"/>
      <selection pane="bottomLeft" activeCell="A5" sqref="A5"/>
      <selection pane="bottomRight" activeCell="O45" sqref="O45"/>
    </sheetView>
  </sheetViews>
  <sheetFormatPr defaultColWidth="0" defaultRowHeight="14.5" zeroHeight="1"/>
  <cols>
    <col min="1" max="1" width="3.26953125" customWidth="1"/>
    <col min="2" max="2" width="31.7265625" bestFit="1" customWidth="1"/>
    <col min="3" max="3" width="10.54296875" bestFit="1" customWidth="1"/>
    <col min="4" max="4" width="10.6328125" bestFit="1" customWidth="1"/>
    <col min="5" max="7" width="11.54296875" bestFit="1" customWidth="1"/>
    <col min="8" max="10" width="11.6328125" bestFit="1" customWidth="1"/>
    <col min="11" max="14" width="11.54296875" bestFit="1" customWidth="1"/>
    <col min="15" max="15" width="10.6328125" bestFit="1" customWidth="1"/>
    <col min="16" max="16" width="10.81640625" bestFit="1" customWidth="1"/>
    <col min="17" max="19" width="0" hidden="1" customWidth="1"/>
    <col min="20" max="16384" width="9.1796875" hidden="1"/>
  </cols>
  <sheetData>
    <row r="1" spans="1:16" s="36" customFormat="1" ht="30.75" customHeight="1">
      <c r="A1" s="35" t="str">
        <f>"Cash Flow Forecast for:  "&amp;rCompanyName</f>
        <v>Cash Flow Forecast for:  Sociolite</v>
      </c>
    </row>
    <row r="2" spans="1:16" ht="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5">
      <c r="A3" s="2"/>
      <c r="B3" s="8"/>
      <c r="C3" s="9">
        <f>rStartDate</f>
        <v>44927</v>
      </c>
      <c r="D3" s="9">
        <f>EDATE(C3,1)</f>
        <v>44958</v>
      </c>
      <c r="E3" s="9">
        <f t="shared" ref="E3:N3" si="0">EDATE(D3,1)</f>
        <v>44986</v>
      </c>
      <c r="F3" s="9">
        <f t="shared" si="0"/>
        <v>45017</v>
      </c>
      <c r="G3" s="9">
        <f t="shared" si="0"/>
        <v>45047</v>
      </c>
      <c r="H3" s="9">
        <f t="shared" si="0"/>
        <v>45078</v>
      </c>
      <c r="I3" s="9">
        <f t="shared" si="0"/>
        <v>45108</v>
      </c>
      <c r="J3" s="9">
        <f t="shared" si="0"/>
        <v>45139</v>
      </c>
      <c r="K3" s="9">
        <f t="shared" si="0"/>
        <v>45170</v>
      </c>
      <c r="L3" s="9">
        <f t="shared" si="0"/>
        <v>45200</v>
      </c>
      <c r="M3" s="9">
        <f t="shared" si="0"/>
        <v>45231</v>
      </c>
      <c r="N3" s="9">
        <f t="shared" si="0"/>
        <v>45261</v>
      </c>
      <c r="O3" s="9" t="s">
        <v>4</v>
      </c>
      <c r="P3" s="9" t="s">
        <v>159</v>
      </c>
    </row>
    <row r="4" spans="1:16" ht="18.5">
      <c r="A4" s="2"/>
      <c r="B4" s="13" t="s">
        <v>7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11"/>
      <c r="P4" s="2"/>
    </row>
    <row r="5" spans="1:16">
      <c r="A5" s="2"/>
      <c r="B5" s="12" t="s">
        <v>0</v>
      </c>
      <c r="O5" s="11"/>
      <c r="P5" s="69">
        <f>O5/$O$9</f>
        <v>0</v>
      </c>
    </row>
    <row r="6" spans="1:16">
      <c r="A6" s="2"/>
      <c r="B6" s="12" t="s">
        <v>148</v>
      </c>
      <c r="C6" s="32">
        <f>Inputs!$B$37</f>
        <v>55000</v>
      </c>
      <c r="D6" s="32">
        <f>Inputs!$B$37</f>
        <v>55000</v>
      </c>
      <c r="E6" s="32">
        <f>Inputs!$B$37</f>
        <v>55000</v>
      </c>
      <c r="F6" s="32">
        <f>Inputs!$B$37</f>
        <v>55000</v>
      </c>
      <c r="G6" s="32">
        <f>Inputs!$B$37</f>
        <v>55000</v>
      </c>
      <c r="H6" s="32">
        <f>Inputs!$B$37</f>
        <v>55000</v>
      </c>
      <c r="I6" s="32">
        <f>Inputs!$B$37</f>
        <v>55000</v>
      </c>
      <c r="J6" s="32">
        <f>Inputs!$B$37</f>
        <v>55000</v>
      </c>
      <c r="K6" s="32">
        <f>Inputs!$B$37</f>
        <v>55000</v>
      </c>
      <c r="L6" s="32">
        <f>Inputs!$B$37</f>
        <v>55000</v>
      </c>
      <c r="M6" s="32">
        <f>Inputs!$B$37</f>
        <v>55000</v>
      </c>
      <c r="N6" s="32">
        <f>Inputs!$B$37</f>
        <v>55000</v>
      </c>
      <c r="O6" s="11">
        <f>SUM(C6:N6)</f>
        <v>660000</v>
      </c>
      <c r="P6" s="69">
        <f>O6/$O$9</f>
        <v>0.86842105263157898</v>
      </c>
    </row>
    <row r="7" spans="1:16">
      <c r="A7" s="2"/>
      <c r="B7" s="12" t="s">
        <v>3</v>
      </c>
      <c r="C7" s="32">
        <f>Inputs!B36</f>
        <v>100000</v>
      </c>
      <c r="O7" s="11">
        <f>SUM(C7:N7)</f>
        <v>100000</v>
      </c>
      <c r="P7" s="69">
        <f>O7/$O$9</f>
        <v>0.13157894736842105</v>
      </c>
    </row>
    <row r="8" spans="1:16">
      <c r="A8" s="2"/>
      <c r="B8" s="12" t="s">
        <v>1</v>
      </c>
      <c r="O8" s="11">
        <f>SUM(C8:N8)</f>
        <v>0</v>
      </c>
      <c r="P8" s="2"/>
    </row>
    <row r="9" spans="1:16">
      <c r="A9" s="2"/>
      <c r="B9" s="10" t="s">
        <v>2</v>
      </c>
      <c r="C9" s="33">
        <f>SUM(C6:C8)</f>
        <v>155000</v>
      </c>
      <c r="D9" s="33">
        <f t="shared" ref="D9:N9" si="1">SUM(D6:D7)</f>
        <v>55000</v>
      </c>
      <c r="E9" s="33">
        <f t="shared" si="1"/>
        <v>55000</v>
      </c>
      <c r="F9" s="33">
        <f t="shared" si="1"/>
        <v>55000</v>
      </c>
      <c r="G9" s="33">
        <f t="shared" si="1"/>
        <v>55000</v>
      </c>
      <c r="H9" s="33">
        <f t="shared" si="1"/>
        <v>55000</v>
      </c>
      <c r="I9" s="33">
        <f t="shared" si="1"/>
        <v>55000</v>
      </c>
      <c r="J9" s="33">
        <f t="shared" si="1"/>
        <v>55000</v>
      </c>
      <c r="K9" s="33">
        <f t="shared" si="1"/>
        <v>55000</v>
      </c>
      <c r="L9" s="33">
        <f t="shared" si="1"/>
        <v>55000</v>
      </c>
      <c r="M9" s="33">
        <f t="shared" si="1"/>
        <v>55000</v>
      </c>
      <c r="N9" s="33">
        <f t="shared" si="1"/>
        <v>55000</v>
      </c>
      <c r="O9" s="33">
        <f>SUM(O5:O8)</f>
        <v>760000</v>
      </c>
      <c r="P9" s="2"/>
    </row>
    <row r="10" spans="1:16" ht="7.5" customHeight="1">
      <c r="A10" s="2"/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2"/>
    </row>
    <row r="11" spans="1:16" ht="18.5">
      <c r="A11" s="2"/>
      <c r="B11" s="13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2"/>
    </row>
    <row r="12" spans="1:16">
      <c r="A12" s="2"/>
      <c r="B12" s="12" t="s">
        <v>8</v>
      </c>
      <c r="C12" s="34">
        <f>Inputs!$B$37*0.3</f>
        <v>16500</v>
      </c>
      <c r="D12" s="34">
        <f>Inputs!$B$37*0.3</f>
        <v>16500</v>
      </c>
      <c r="E12" s="34">
        <f>Inputs!$B$37*0.3</f>
        <v>16500</v>
      </c>
      <c r="F12" s="34">
        <f>Inputs!$B$37*0.3</f>
        <v>16500</v>
      </c>
      <c r="G12" s="34">
        <f>Inputs!$B$37*0.3</f>
        <v>16500</v>
      </c>
      <c r="H12" s="34">
        <f>Inputs!$B$37*0.35</f>
        <v>19250</v>
      </c>
      <c r="I12" s="34">
        <f>Inputs!$B$37*0.35</f>
        <v>19250</v>
      </c>
      <c r="J12" s="34">
        <f>Inputs!$B$37*0.35</f>
        <v>19250</v>
      </c>
      <c r="K12" s="34">
        <f>Inputs!$B$37*0.4</f>
        <v>22000</v>
      </c>
      <c r="L12" s="34">
        <f>Inputs!$B$37*0.4</f>
        <v>22000</v>
      </c>
      <c r="M12" s="34">
        <f>Inputs!$B$37*0.4</f>
        <v>22000</v>
      </c>
      <c r="N12" s="34">
        <f>Inputs!$B$37*0.4</f>
        <v>22000</v>
      </c>
      <c r="O12" s="11">
        <f t="shared" ref="O12:O33" si="2">SUM(C12:N12)</f>
        <v>228250</v>
      </c>
      <c r="P12" s="69">
        <f t="shared" ref="P12:P37" si="3">O12/$O$38</f>
        <v>0.40637017518871954</v>
      </c>
    </row>
    <row r="13" spans="1:16">
      <c r="A13" s="2"/>
      <c r="B13" s="12" t="s">
        <v>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11">
        <f t="shared" si="2"/>
        <v>0</v>
      </c>
      <c r="P13" s="69">
        <f t="shared" si="3"/>
        <v>0</v>
      </c>
    </row>
    <row r="14" spans="1:16">
      <c r="A14" s="2"/>
      <c r="B14" s="12" t="s">
        <v>20</v>
      </c>
      <c r="C14" s="32">
        <f>Inputs!$B$24</f>
        <v>8125</v>
      </c>
      <c r="D14" s="32">
        <f>Inputs!$B$24</f>
        <v>8125</v>
      </c>
      <c r="E14" s="32">
        <f>Inputs!$B$24</f>
        <v>8125</v>
      </c>
      <c r="F14" s="32">
        <f>Inputs!$B$24</f>
        <v>8125</v>
      </c>
      <c r="G14" s="32">
        <f>Inputs!$B$24</f>
        <v>8125</v>
      </c>
      <c r="H14" s="32">
        <f>Inputs!$B$24</f>
        <v>8125</v>
      </c>
      <c r="I14" s="32">
        <f>Inputs!$B$24</f>
        <v>8125</v>
      </c>
      <c r="J14" s="32">
        <f>Inputs!$B$24</f>
        <v>8125</v>
      </c>
      <c r="K14" s="32">
        <f>Inputs!$B$24</f>
        <v>8125</v>
      </c>
      <c r="L14" s="32">
        <f>Inputs!$B$24</f>
        <v>8125</v>
      </c>
      <c r="M14" s="32">
        <f>Inputs!$B$24</f>
        <v>8125</v>
      </c>
      <c r="N14" s="32">
        <f>Inputs!$B$24</f>
        <v>8125</v>
      </c>
      <c r="O14" s="11">
        <f t="shared" si="2"/>
        <v>97500</v>
      </c>
      <c r="P14" s="69">
        <f t="shared" si="3"/>
        <v>0.17358638370602478</v>
      </c>
    </row>
    <row r="15" spans="1:16">
      <c r="A15" s="2"/>
      <c r="B15" s="12" t="s">
        <v>12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11">
        <f t="shared" si="2"/>
        <v>0</v>
      </c>
      <c r="P15" s="69">
        <f t="shared" si="3"/>
        <v>0</v>
      </c>
    </row>
    <row r="16" spans="1:16">
      <c r="A16" s="2"/>
      <c r="B16" s="12" t="s">
        <v>13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11">
        <f t="shared" si="2"/>
        <v>0</v>
      </c>
      <c r="P16" s="69">
        <f t="shared" si="3"/>
        <v>0</v>
      </c>
    </row>
    <row r="17" spans="1:16">
      <c r="A17" s="2"/>
      <c r="B17" s="12" t="s">
        <v>14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1">
        <f t="shared" si="2"/>
        <v>0</v>
      </c>
      <c r="P17" s="69">
        <f t="shared" si="3"/>
        <v>0</v>
      </c>
    </row>
    <row r="18" spans="1:16">
      <c r="A18" s="2"/>
      <c r="B18" s="12" t="s">
        <v>15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11">
        <f t="shared" si="2"/>
        <v>0</v>
      </c>
      <c r="P18" s="69">
        <f t="shared" si="3"/>
        <v>0</v>
      </c>
    </row>
    <row r="19" spans="1:16">
      <c r="A19" s="2"/>
      <c r="B19" s="12" t="s">
        <v>16</v>
      </c>
      <c r="C19" s="32">
        <f>Inputs!$B$23*1000</f>
        <v>2522.5</v>
      </c>
      <c r="D19" s="32">
        <f>Inputs!$B$23*1000</f>
        <v>2522.5</v>
      </c>
      <c r="E19" s="32">
        <f>Inputs!$B$23*1000</f>
        <v>2522.5</v>
      </c>
      <c r="F19" s="32">
        <f>Inputs!$B$23*1000</f>
        <v>2522.5</v>
      </c>
      <c r="G19" s="32">
        <f>Inputs!$B$23*1000</f>
        <v>2522.5</v>
      </c>
      <c r="H19" s="32">
        <f>Inputs!$B$23*1000</f>
        <v>2522.5</v>
      </c>
      <c r="I19" s="32">
        <f>Inputs!$B$23*1000</f>
        <v>2522.5</v>
      </c>
      <c r="J19" s="32">
        <f>Inputs!$B$23*1000</f>
        <v>2522.5</v>
      </c>
      <c r="K19" s="32">
        <f>Inputs!$B$23*1000</f>
        <v>2522.5</v>
      </c>
      <c r="L19" s="32">
        <f>Inputs!$B$23*1000</f>
        <v>2522.5</v>
      </c>
      <c r="M19" s="32">
        <f>Inputs!$B$23*1000</f>
        <v>2522.5</v>
      </c>
      <c r="N19" s="32">
        <f>Inputs!$B$23*1000</f>
        <v>2522.5</v>
      </c>
      <c r="O19" s="11">
        <f t="shared" si="2"/>
        <v>30270</v>
      </c>
      <c r="P19" s="69">
        <f t="shared" si="3"/>
        <v>5.3891895741347388E-2</v>
      </c>
    </row>
    <row r="20" spans="1:16">
      <c r="A20" s="2"/>
      <c r="B20" s="12" t="s">
        <v>127</v>
      </c>
      <c r="C20" s="32">
        <f>Inputs!B17</f>
        <v>278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11">
        <f>SUM(C20:N20)</f>
        <v>278</v>
      </c>
      <c r="P20" s="69">
        <f t="shared" si="3"/>
        <v>4.9494374020794764E-4</v>
      </c>
    </row>
    <row r="21" spans="1:16">
      <c r="A21" s="2"/>
      <c r="B21" s="12" t="s">
        <v>128</v>
      </c>
      <c r="C21" s="32">
        <f>Inputs!$B$18</f>
        <v>179</v>
      </c>
      <c r="D21" s="32">
        <f>Inputs!$B$18</f>
        <v>179</v>
      </c>
      <c r="E21" s="32">
        <f>Inputs!$B$18</f>
        <v>179</v>
      </c>
      <c r="F21" s="32">
        <f>Inputs!$B$18</f>
        <v>179</v>
      </c>
      <c r="G21" s="32">
        <f>Inputs!$B$18</f>
        <v>179</v>
      </c>
      <c r="H21" s="32">
        <f>Inputs!$B$18</f>
        <v>179</v>
      </c>
      <c r="I21" s="32">
        <f>Inputs!$B$19</f>
        <v>239</v>
      </c>
      <c r="J21" s="32">
        <f>Inputs!$B$19</f>
        <v>239</v>
      </c>
      <c r="K21" s="32">
        <f>Inputs!$B$19</f>
        <v>239</v>
      </c>
      <c r="L21" s="32">
        <f>Inputs!$B$19</f>
        <v>239</v>
      </c>
      <c r="M21" s="32">
        <f>Inputs!$B$19</f>
        <v>239</v>
      </c>
      <c r="N21" s="32">
        <f>Inputs!$B$19</f>
        <v>239</v>
      </c>
      <c r="O21" s="11">
        <f t="shared" si="2"/>
        <v>2508</v>
      </c>
      <c r="P21" s="69">
        <f t="shared" si="3"/>
        <v>4.4651759008688223E-3</v>
      </c>
    </row>
    <row r="22" spans="1:16">
      <c r="A22" s="2"/>
      <c r="B22" s="12" t="s">
        <v>17</v>
      </c>
      <c r="C22" s="32">
        <f>Inputs!$B$16*2</f>
        <v>6598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11">
        <f t="shared" si="2"/>
        <v>6598</v>
      </c>
      <c r="P22" s="69">
        <f t="shared" si="3"/>
        <v>1.1746902150690785E-2</v>
      </c>
    </row>
    <row r="23" spans="1:16">
      <c r="A23" s="2"/>
      <c r="B23" s="12" t="s">
        <v>135</v>
      </c>
      <c r="C23" s="65">
        <f>Inputs!$B$25*2</f>
        <v>180</v>
      </c>
      <c r="D23" s="65">
        <f>Inputs!$B$25*2</f>
        <v>180</v>
      </c>
      <c r="E23" s="65">
        <f>Inputs!$B$25*2</f>
        <v>180</v>
      </c>
      <c r="F23" s="65">
        <f>Inputs!$B$25*2</f>
        <v>180</v>
      </c>
      <c r="G23" s="65">
        <f>Inputs!$B$25*2</f>
        <v>180</v>
      </c>
      <c r="H23" s="65">
        <f>Inputs!$B$25*2</f>
        <v>180</v>
      </c>
      <c r="I23" s="65">
        <f>Inputs!$B$25*2</f>
        <v>180</v>
      </c>
      <c r="J23" s="65">
        <f>Inputs!$B$25*2</f>
        <v>180</v>
      </c>
      <c r="K23" s="65">
        <f>Inputs!$B$25*2</f>
        <v>180</v>
      </c>
      <c r="L23" s="65">
        <f>Inputs!$B$25*2</f>
        <v>180</v>
      </c>
      <c r="M23" s="65">
        <f>Inputs!$B$25*2</f>
        <v>180</v>
      </c>
      <c r="N23" s="65">
        <f>Inputs!$B$25*2</f>
        <v>180</v>
      </c>
      <c r="O23" s="11">
        <f t="shared" si="2"/>
        <v>2160</v>
      </c>
      <c r="P23" s="69">
        <f t="shared" si="3"/>
        <v>3.8456060390257797E-3</v>
      </c>
    </row>
    <row r="24" spans="1:16">
      <c r="A24" s="2"/>
      <c r="B24" s="12" t="s">
        <v>80</v>
      </c>
      <c r="C24" s="65">
        <f>Inputs!$B$13*2</f>
        <v>9776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11">
        <f>SUM(C24:N24)</f>
        <v>9776</v>
      </c>
      <c r="P24" s="69">
        <f t="shared" si="3"/>
        <v>1.7404928072924084E-2</v>
      </c>
    </row>
    <row r="25" spans="1:16">
      <c r="A25" s="2"/>
      <c r="B25" s="12" t="s">
        <v>136</v>
      </c>
      <c r="C25" s="65">
        <f>Inputs!$B$14*2</f>
        <v>5180</v>
      </c>
      <c r="O25" s="11">
        <f>SUM(C25:N25)</f>
        <v>5180</v>
      </c>
      <c r="P25" s="69">
        <f t="shared" si="3"/>
        <v>9.222333000997009E-3</v>
      </c>
    </row>
    <row r="26" spans="1:16">
      <c r="A26" s="2"/>
      <c r="B26" s="12" t="s">
        <v>151</v>
      </c>
      <c r="N26" s="63">
        <f>(C24+C25)*(Inputs!B15-1)</f>
        <v>-11217</v>
      </c>
      <c r="O26" s="11">
        <f>SUM(C26:N26)</f>
        <v>-11217</v>
      </c>
      <c r="P26" s="69">
        <f t="shared" si="3"/>
        <v>-1.9970445805440822E-2</v>
      </c>
    </row>
    <row r="27" spans="1:16">
      <c r="A27" s="2"/>
      <c r="B27" s="12" t="s">
        <v>132</v>
      </c>
      <c r="C27" s="32">
        <f>Inputs!$B$21*2</f>
        <v>88</v>
      </c>
      <c r="D27" s="32">
        <f>Inputs!$B$21*2</f>
        <v>88</v>
      </c>
      <c r="E27" s="32">
        <f>Inputs!$B$21*2</f>
        <v>88</v>
      </c>
      <c r="F27" s="32">
        <f>Inputs!$B$22*2</f>
        <v>178</v>
      </c>
      <c r="G27" s="32">
        <f>Inputs!$B$22*2</f>
        <v>178</v>
      </c>
      <c r="H27" s="32">
        <f>Inputs!$B$22*2</f>
        <v>178</v>
      </c>
      <c r="I27" s="32">
        <f>Inputs!$B$22*2</f>
        <v>178</v>
      </c>
      <c r="J27" s="32">
        <f>Inputs!$B$22*2</f>
        <v>178</v>
      </c>
      <c r="K27" s="32">
        <f>Inputs!$B$22*2</f>
        <v>178</v>
      </c>
      <c r="L27" s="32">
        <f>Inputs!$B$22*2</f>
        <v>178</v>
      </c>
      <c r="M27" s="32">
        <f>Inputs!$B$22*2</f>
        <v>178</v>
      </c>
      <c r="N27" s="32">
        <f>Inputs!$B$22*2</f>
        <v>178</v>
      </c>
      <c r="O27" s="11">
        <f>SUM(C27:N27)</f>
        <v>1866</v>
      </c>
      <c r="P27" s="69">
        <f t="shared" si="3"/>
        <v>3.322176328158382E-3</v>
      </c>
    </row>
    <row r="28" spans="1:16">
      <c r="A28" s="2"/>
      <c r="B28" s="12" t="s">
        <v>21</v>
      </c>
      <c r="C28" s="32">
        <f>Inputs!$B$30+Inputs!$B$31</f>
        <v>15478.75</v>
      </c>
      <c r="D28" s="32">
        <f>Inputs!$B$30+Inputs!$B$31</f>
        <v>15478.75</v>
      </c>
      <c r="E28" s="32">
        <f>Inputs!$B$30+Inputs!$B$31</f>
        <v>15478.75</v>
      </c>
      <c r="F28" s="32">
        <f>Inputs!$B$30+Inputs!$B$31</f>
        <v>15478.75</v>
      </c>
      <c r="G28" s="32">
        <f>Inputs!$B$30+Inputs!$B$31</f>
        <v>15478.75</v>
      </c>
      <c r="H28" s="32">
        <f>Inputs!$B$30+Inputs!$B$31</f>
        <v>15478.75</v>
      </c>
      <c r="I28" s="32">
        <f>Inputs!$B$30+Inputs!$B$31</f>
        <v>15478.75</v>
      </c>
      <c r="J28" s="32">
        <f>Inputs!$B$30+Inputs!$B$31</f>
        <v>15478.75</v>
      </c>
      <c r="K28" s="32">
        <f>Inputs!$B$30+Inputs!$B$31</f>
        <v>15478.75</v>
      </c>
      <c r="L28" s="32">
        <f>Inputs!$B$30+Inputs!$B$31</f>
        <v>15478.75</v>
      </c>
      <c r="M28" s="32">
        <f>Inputs!$B$30+Inputs!$B$31</f>
        <v>15478.75</v>
      </c>
      <c r="N28" s="32">
        <f>Inputs!$B$30+Inputs!$B$31</f>
        <v>15478.75</v>
      </c>
      <c r="O28" s="11">
        <f t="shared" si="2"/>
        <v>185745</v>
      </c>
      <c r="P28" s="69">
        <f t="shared" si="3"/>
        <v>0.33069541375872386</v>
      </c>
    </row>
    <row r="29" spans="1:16">
      <c r="A29" s="2"/>
      <c r="B29" s="12" t="s">
        <v>18</v>
      </c>
      <c r="C29" s="32">
        <f>Inputs!$B$20*2</f>
        <v>2666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11">
        <f>SUM(C29:N29)</f>
        <v>2666</v>
      </c>
      <c r="P29" s="69">
        <f t="shared" si="3"/>
        <v>4.7464748611308928E-3</v>
      </c>
    </row>
    <row r="30" spans="1:16">
      <c r="A30" s="2"/>
      <c r="B30" s="12" t="s">
        <v>74</v>
      </c>
      <c r="C30" s="32">
        <f>Inputs!B26</f>
        <v>100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11">
        <f t="shared" si="2"/>
        <v>100</v>
      </c>
      <c r="P30" s="69">
        <f t="shared" si="3"/>
        <v>1.7803731662156388E-4</v>
      </c>
    </row>
    <row r="31" spans="1:16">
      <c r="A31" s="2"/>
      <c r="B31" s="1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11">
        <f t="shared" si="2"/>
        <v>0</v>
      </c>
      <c r="P31" s="69">
        <f t="shared" si="3"/>
        <v>0</v>
      </c>
    </row>
    <row r="32" spans="1:16">
      <c r="A32" s="2"/>
      <c r="B32" s="12" t="s">
        <v>28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11">
        <f t="shared" si="2"/>
        <v>0</v>
      </c>
      <c r="P32" s="69">
        <f t="shared" si="3"/>
        <v>0</v>
      </c>
    </row>
    <row r="33" spans="1:16">
      <c r="A33" s="2"/>
      <c r="B33" s="12" t="s">
        <v>23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11">
        <f t="shared" si="2"/>
        <v>0</v>
      </c>
      <c r="P33" s="69">
        <f t="shared" si="3"/>
        <v>0</v>
      </c>
    </row>
    <row r="34" spans="1:16">
      <c r="A34" s="2"/>
      <c r="B34" s="57" t="s">
        <v>137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1">
        <f>SUM(C34:N34)</f>
        <v>0</v>
      </c>
      <c r="P34" s="69">
        <f t="shared" si="3"/>
        <v>0</v>
      </c>
    </row>
    <row r="35" spans="1:16">
      <c r="A35" s="2"/>
      <c r="B35" s="12" t="s">
        <v>149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11">
        <f>SUM(C35:N35)</f>
        <v>0</v>
      </c>
      <c r="P35" s="69">
        <f t="shared" si="3"/>
        <v>0</v>
      </c>
    </row>
    <row r="36" spans="1:16">
      <c r="A36" s="2"/>
      <c r="B36" s="12" t="s">
        <v>74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11">
        <f>SUM(C36:N36)</f>
        <v>0</v>
      </c>
      <c r="P36" s="69">
        <f t="shared" si="3"/>
        <v>0</v>
      </c>
    </row>
    <row r="37" spans="1:16">
      <c r="A37" s="2"/>
      <c r="B37" s="12" t="s">
        <v>150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11">
        <f>SUM(C37:N37)</f>
        <v>0</v>
      </c>
      <c r="P37" s="69">
        <f t="shared" si="3"/>
        <v>0</v>
      </c>
    </row>
    <row r="38" spans="1:16">
      <c r="A38" s="2"/>
      <c r="B38" s="10" t="s">
        <v>24</v>
      </c>
      <c r="C38" s="33">
        <f t="shared" ref="C38:O38" si="4">SUM(C12:C37)</f>
        <v>67671.25</v>
      </c>
      <c r="D38" s="33">
        <f t="shared" si="4"/>
        <v>43073.25</v>
      </c>
      <c r="E38" s="33">
        <f t="shared" si="4"/>
        <v>43073.25</v>
      </c>
      <c r="F38" s="33">
        <f t="shared" si="4"/>
        <v>43163.25</v>
      </c>
      <c r="G38" s="33">
        <f t="shared" si="4"/>
        <v>43163.25</v>
      </c>
      <c r="H38" s="33">
        <f t="shared" si="4"/>
        <v>45913.25</v>
      </c>
      <c r="I38" s="33">
        <f t="shared" si="4"/>
        <v>45973.25</v>
      </c>
      <c r="J38" s="33">
        <f t="shared" si="4"/>
        <v>45973.25</v>
      </c>
      <c r="K38" s="33">
        <f t="shared" si="4"/>
        <v>48723.25</v>
      </c>
      <c r="L38" s="33">
        <f t="shared" si="4"/>
        <v>48723.25</v>
      </c>
      <c r="M38" s="33">
        <f t="shared" si="4"/>
        <v>48723.25</v>
      </c>
      <c r="N38" s="33">
        <f t="shared" si="4"/>
        <v>37506.25</v>
      </c>
      <c r="O38" s="33">
        <f t="shared" si="4"/>
        <v>561680</v>
      </c>
      <c r="P38" s="2"/>
    </row>
    <row r="39" spans="1:16">
      <c r="A39" s="2"/>
      <c r="B39" s="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2"/>
    </row>
    <row r="40" spans="1:16">
      <c r="A40" s="2"/>
      <c r="B40" s="10" t="s">
        <v>25</v>
      </c>
      <c r="C40" s="33">
        <f t="shared" ref="C40:O40" si="5">C9-C38</f>
        <v>87328.75</v>
      </c>
      <c r="D40" s="33">
        <f t="shared" si="5"/>
        <v>11926.75</v>
      </c>
      <c r="E40" s="33">
        <f t="shared" si="5"/>
        <v>11926.75</v>
      </c>
      <c r="F40" s="33">
        <f t="shared" si="5"/>
        <v>11836.75</v>
      </c>
      <c r="G40" s="33">
        <f t="shared" si="5"/>
        <v>11836.75</v>
      </c>
      <c r="H40" s="33">
        <f t="shared" si="5"/>
        <v>9086.75</v>
      </c>
      <c r="I40" s="33">
        <f t="shared" si="5"/>
        <v>9026.75</v>
      </c>
      <c r="J40" s="33">
        <f t="shared" si="5"/>
        <v>9026.75</v>
      </c>
      <c r="K40" s="33">
        <f t="shared" si="5"/>
        <v>6276.75</v>
      </c>
      <c r="L40" s="33">
        <f t="shared" si="5"/>
        <v>6276.75</v>
      </c>
      <c r="M40" s="33">
        <f t="shared" si="5"/>
        <v>6276.75</v>
      </c>
      <c r="N40" s="33">
        <f t="shared" si="5"/>
        <v>17493.75</v>
      </c>
      <c r="O40" s="33"/>
      <c r="P40" s="2"/>
    </row>
    <row r="41" spans="1:16" ht="7.5" customHeight="1">
      <c r="A41" s="2"/>
      <c r="B41" s="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2"/>
    </row>
    <row r="42" spans="1:16">
      <c r="A42" s="2"/>
      <c r="B42" s="10" t="s">
        <v>195</v>
      </c>
      <c r="C42" s="66">
        <f>C40</f>
        <v>87328.75</v>
      </c>
      <c r="D42" s="66">
        <f>D40+C42</f>
        <v>99255.5</v>
      </c>
      <c r="E42" s="66">
        <f t="shared" ref="E42:N42" si="6">E40+D42</f>
        <v>111182.25</v>
      </c>
      <c r="F42" s="66">
        <f t="shared" si="6"/>
        <v>123019</v>
      </c>
      <c r="G42" s="66">
        <f t="shared" si="6"/>
        <v>134855.75</v>
      </c>
      <c r="H42" s="66">
        <f t="shared" si="6"/>
        <v>143942.5</v>
      </c>
      <c r="I42" s="66">
        <f t="shared" si="6"/>
        <v>152969.25</v>
      </c>
      <c r="J42" s="66">
        <f t="shared" si="6"/>
        <v>161996</v>
      </c>
      <c r="K42" s="66">
        <f t="shared" si="6"/>
        <v>168272.75</v>
      </c>
      <c r="L42" s="66">
        <f t="shared" si="6"/>
        <v>174549.5</v>
      </c>
      <c r="M42" s="66">
        <f t="shared" si="6"/>
        <v>180826.25</v>
      </c>
      <c r="N42" s="66">
        <f t="shared" si="6"/>
        <v>198320</v>
      </c>
      <c r="O42" s="33"/>
      <c r="P42" s="2"/>
    </row>
    <row r="43" spans="1:16" ht="7.5" customHeight="1">
      <c r="A43" s="2"/>
      <c r="B43" s="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2"/>
    </row>
    <row r="44" spans="1:16">
      <c r="A44" s="2"/>
      <c r="B44" s="10" t="s">
        <v>196</v>
      </c>
      <c r="C44" s="66"/>
      <c r="D44" s="66"/>
      <c r="E44" s="68"/>
      <c r="F44" s="68"/>
      <c r="G44" s="68"/>
      <c r="H44" s="66"/>
      <c r="I44" s="66"/>
      <c r="J44" s="66"/>
      <c r="K44" s="68"/>
      <c r="L44" s="68"/>
      <c r="M44" s="68"/>
      <c r="N44" s="68"/>
      <c r="O44" s="68">
        <f>N42/(1+Inputs!K3)^1</f>
        <v>187945.413191812</v>
      </c>
      <c r="P44" s="2"/>
    </row>
    <row r="45" spans="1:16">
      <c r="A45" s="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2"/>
    </row>
    <row r="46" spans="1:16">
      <c r="A46" s="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2"/>
    </row>
    <row r="47" spans="1:16">
      <c r="A47" s="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2"/>
    </row>
    <row r="48" spans="1:16" hidden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 hidden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 hidden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 hidden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 hidden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 hidden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3:15" hidden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3:15" hidden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idden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idden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idden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idden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idden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hidden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3:15" hidden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3:15" hidden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idden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idden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idden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idden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idden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idden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idden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idden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idden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idden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idden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/>
  </sheetData>
  <sheetProtection selectLockedCells="1"/>
  <phoneticPr fontId="2" type="noConversion"/>
  <conditionalFormatting sqref="C40:O40">
    <cfRule type="cellIs" dxfId="18" priority="5" operator="lessThan">
      <formula>0</formula>
    </cfRule>
  </conditionalFormatting>
  <conditionalFormatting sqref="C12:N12">
    <cfRule type="expression" dxfId="17" priority="3">
      <formula>_xlfn.ISFORMULA(C12)=FALSE</formula>
    </cfRule>
  </conditionalFormatting>
  <conditionalFormatting sqref="C42:O42">
    <cfRule type="cellIs" dxfId="16" priority="2" operator="lessThan">
      <formula>0</formula>
    </cfRule>
  </conditionalFormatting>
  <conditionalFormatting sqref="C44:O44">
    <cfRule type="cellIs" dxfId="1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45FD-F276-4900-8C09-8C6B30F81E38}">
  <sheetPr codeName="Sheet2">
    <tabColor rgb="FF008000"/>
  </sheetPr>
  <dimension ref="A1:AF78"/>
  <sheetViews>
    <sheetView showRowColHeaders="0" zoomScale="80" zoomScaleNormal="80" workbookViewId="0">
      <selection activeCell="I40" sqref="I40"/>
    </sheetView>
  </sheetViews>
  <sheetFormatPr defaultColWidth="0" defaultRowHeight="14.5" zeroHeight="1"/>
  <cols>
    <col min="1" max="1" width="3.26953125" customWidth="1"/>
    <col min="2" max="2" width="31.7265625" bestFit="1" customWidth="1"/>
    <col min="3" max="3" width="11.6328125" bestFit="1" customWidth="1"/>
    <col min="4" max="4" width="11.54296875" bestFit="1" customWidth="1"/>
    <col min="5" max="6" width="12.90625" bestFit="1" customWidth="1"/>
    <col min="7" max="7" width="11.54296875" bestFit="1" customWidth="1"/>
    <col min="8" max="8" width="12.90625" bestFit="1" customWidth="1"/>
    <col min="9" max="10" width="11.81640625" bestFit="1" customWidth="1"/>
    <col min="11" max="11" width="12.90625" bestFit="1" customWidth="1"/>
    <col min="12" max="12" width="10.6328125" bestFit="1" customWidth="1"/>
    <col min="13" max="13" width="11.81640625" bestFit="1" customWidth="1"/>
    <col min="14" max="14" width="12.90625" bestFit="1" customWidth="1"/>
    <col min="15" max="15" width="11.54296875" bestFit="1" customWidth="1"/>
    <col min="16" max="16" width="10.81640625" bestFit="1" customWidth="1"/>
    <col min="17" max="19" width="0" hidden="1" customWidth="1"/>
    <col min="20" max="16384" width="9.1796875" hidden="1"/>
  </cols>
  <sheetData>
    <row r="1" spans="1:16" ht="30.75" customHeight="1">
      <c r="A1" s="35" t="str">
        <f>"Year 1 Cash Flow for  "&amp;rCompanyName</f>
        <v>Year 1 Cash Flow for  Sociolite</v>
      </c>
      <c r="B1" s="36"/>
      <c r="C1" s="36"/>
      <c r="D1" s="36"/>
      <c r="E1" s="36"/>
      <c r="F1" s="80" t="s">
        <v>27</v>
      </c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6" ht="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5">
      <c r="A3" s="2"/>
      <c r="B3" s="8"/>
      <c r="C3" s="9">
        <f>EDATE(rStartDate,12)</f>
        <v>45292</v>
      </c>
      <c r="D3" s="9">
        <f>EDATE(C3,1)</f>
        <v>45323</v>
      </c>
      <c r="E3" s="9">
        <f t="shared" ref="E3:N3" si="0">EDATE(D3,1)</f>
        <v>45352</v>
      </c>
      <c r="F3" s="9">
        <f t="shared" si="0"/>
        <v>45383</v>
      </c>
      <c r="G3" s="9">
        <f t="shared" si="0"/>
        <v>45413</v>
      </c>
      <c r="H3" s="9">
        <f t="shared" si="0"/>
        <v>45444</v>
      </c>
      <c r="I3" s="9">
        <f t="shared" si="0"/>
        <v>45474</v>
      </c>
      <c r="J3" s="9">
        <f t="shared" si="0"/>
        <v>45505</v>
      </c>
      <c r="K3" s="9">
        <f t="shared" si="0"/>
        <v>45536</v>
      </c>
      <c r="L3" s="9">
        <f t="shared" si="0"/>
        <v>45566</v>
      </c>
      <c r="M3" s="9">
        <f t="shared" si="0"/>
        <v>45597</v>
      </c>
      <c r="N3" s="9">
        <f t="shared" si="0"/>
        <v>45627</v>
      </c>
      <c r="O3" s="9" t="s">
        <v>4</v>
      </c>
      <c r="P3" s="9" t="s">
        <v>159</v>
      </c>
    </row>
    <row r="4" spans="1:16" ht="18.5">
      <c r="A4" s="2"/>
      <c r="B4" s="13" t="s">
        <v>7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11"/>
      <c r="P4" s="2"/>
    </row>
    <row r="5" spans="1:16">
      <c r="A5" s="2"/>
      <c r="B5" s="95" t="s">
        <v>0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11">
        <f>SUM(C5:N5)</f>
        <v>0</v>
      </c>
      <c r="P5" s="69">
        <f>O5/$O$13</f>
        <v>0</v>
      </c>
    </row>
    <row r="6" spans="1:16">
      <c r="A6" s="2"/>
      <c r="B6" s="12" t="s">
        <v>121</v>
      </c>
      <c r="C6" s="88"/>
      <c r="D6" s="88"/>
      <c r="E6" s="88">
        <f>Inputs!$C$40</f>
        <v>96215.999999999985</v>
      </c>
      <c r="F6" s="88"/>
      <c r="G6" s="88"/>
      <c r="H6" s="93">
        <f>Inputs!$C$40</f>
        <v>96215.999999999985</v>
      </c>
      <c r="I6" s="88"/>
      <c r="J6" s="88"/>
      <c r="K6" s="88">
        <f>Inputs!$C$40</f>
        <v>96215.999999999985</v>
      </c>
      <c r="L6" s="88"/>
      <c r="M6" s="88"/>
      <c r="N6" s="88">
        <f>Inputs!$C$40</f>
        <v>96215.999999999985</v>
      </c>
      <c r="O6" s="11">
        <f t="shared" ref="O6" si="1">SUM(C6:N6)</f>
        <v>384863.99999999994</v>
      </c>
      <c r="P6" s="69">
        <f>O6/$O$13</f>
        <v>0.5</v>
      </c>
    </row>
    <row r="7" spans="1:16">
      <c r="A7" s="2"/>
      <c r="B7" s="94" t="s">
        <v>185</v>
      </c>
      <c r="C7" s="88"/>
      <c r="D7" s="88"/>
      <c r="E7" s="88"/>
      <c r="F7" s="88">
        <f>Inputs!$C$41</f>
        <v>24053.999999999996</v>
      </c>
      <c r="G7" s="88"/>
      <c r="H7" s="88"/>
      <c r="I7" s="88">
        <f>Inputs!$C$41</f>
        <v>24053.999999999996</v>
      </c>
      <c r="J7" s="88"/>
      <c r="K7" s="88"/>
      <c r="L7" s="88">
        <f>Inputs!$C$41</f>
        <v>24053.999999999996</v>
      </c>
      <c r="M7" s="88"/>
      <c r="N7" s="88"/>
      <c r="O7" s="11">
        <f t="shared" ref="O7:O12" si="2">SUM(C7:N7)</f>
        <v>72161.999999999985</v>
      </c>
      <c r="P7" s="69">
        <f t="shared" ref="P7:P12" si="3">O7/$O$13</f>
        <v>9.375E-2</v>
      </c>
    </row>
    <row r="8" spans="1:16">
      <c r="A8" s="2"/>
      <c r="B8" s="94" t="s">
        <v>186</v>
      </c>
      <c r="C8" s="88"/>
      <c r="D8" s="88"/>
      <c r="E8" s="88"/>
      <c r="F8" s="88">
        <f>Inputs!$C$42</f>
        <v>24053.999999999996</v>
      </c>
      <c r="G8" s="88"/>
      <c r="H8" s="88"/>
      <c r="I8" s="88">
        <f>Inputs!$C$42</f>
        <v>24053.999999999996</v>
      </c>
      <c r="J8" s="88"/>
      <c r="K8" s="88"/>
      <c r="L8" s="88">
        <f>Inputs!$C$42</f>
        <v>24053.999999999996</v>
      </c>
      <c r="M8" s="88"/>
      <c r="N8" s="88"/>
      <c r="O8" s="11">
        <f t="shared" si="2"/>
        <v>72161.999999999985</v>
      </c>
      <c r="P8" s="69">
        <f t="shared" si="3"/>
        <v>9.375E-2</v>
      </c>
    </row>
    <row r="9" spans="1:16">
      <c r="A9" s="2"/>
      <c r="B9" s="94" t="s">
        <v>187</v>
      </c>
      <c r="C9" s="88"/>
      <c r="D9" s="88"/>
      <c r="E9" s="88"/>
      <c r="F9" s="88"/>
      <c r="G9" s="88"/>
      <c r="H9" s="88">
        <f>Inputs!$C$44</f>
        <v>48107.999999999993</v>
      </c>
      <c r="I9" s="88"/>
      <c r="J9" s="88"/>
      <c r="K9" s="88">
        <f>Inputs!$C$44</f>
        <v>48107.999999999993</v>
      </c>
      <c r="L9" s="88"/>
      <c r="M9" s="88"/>
      <c r="N9" s="88">
        <f>Inputs!$C$44</f>
        <v>48107.999999999993</v>
      </c>
      <c r="O9" s="11">
        <f t="shared" si="2"/>
        <v>144323.99999999997</v>
      </c>
      <c r="P9" s="69">
        <f t="shared" si="3"/>
        <v>0.1875</v>
      </c>
    </row>
    <row r="10" spans="1:16">
      <c r="A10" s="2"/>
      <c r="B10" s="94" t="s">
        <v>188</v>
      </c>
      <c r="C10" s="88"/>
      <c r="D10" s="88"/>
      <c r="E10" s="88"/>
      <c r="F10" s="88"/>
      <c r="G10" s="88"/>
      <c r="H10" s="88"/>
      <c r="I10" s="88"/>
      <c r="J10" s="93">
        <f>Inputs!$C$43</f>
        <v>48107.999999999993</v>
      </c>
      <c r="K10" s="88"/>
      <c r="L10" s="88"/>
      <c r="M10" s="93">
        <f>Inputs!$C$43</f>
        <v>48107.999999999993</v>
      </c>
      <c r="N10" s="88"/>
      <c r="O10" s="11">
        <f t="shared" si="2"/>
        <v>96215.999999999985</v>
      </c>
      <c r="P10" s="69">
        <f t="shared" si="3"/>
        <v>0.125</v>
      </c>
    </row>
    <row r="11" spans="1:16">
      <c r="A11" s="2"/>
      <c r="B11" s="12" t="s">
        <v>3</v>
      </c>
      <c r="C11" s="88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11">
        <f t="shared" si="2"/>
        <v>0</v>
      </c>
      <c r="P11" s="69">
        <f t="shared" si="3"/>
        <v>0</v>
      </c>
    </row>
    <row r="12" spans="1:16">
      <c r="A12" s="2"/>
      <c r="B12" s="12" t="s">
        <v>1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11">
        <f t="shared" si="2"/>
        <v>0</v>
      </c>
      <c r="P12" s="69">
        <f t="shared" si="3"/>
        <v>0</v>
      </c>
    </row>
    <row r="13" spans="1:16">
      <c r="A13" s="2"/>
      <c r="B13" s="10" t="s">
        <v>2</v>
      </c>
      <c r="C13" s="66">
        <f>SUM(C5:C12)</f>
        <v>0</v>
      </c>
      <c r="D13" s="66">
        <f>SUM(D5:D12)</f>
        <v>0</v>
      </c>
      <c r="E13" s="66">
        <f>SUM(E5:E12)</f>
        <v>96215.999999999985</v>
      </c>
      <c r="F13" s="66">
        <f>SUM(F5:F12)</f>
        <v>48107.999999999993</v>
      </c>
      <c r="G13" s="66">
        <f>SUM(G5:G12)</f>
        <v>0</v>
      </c>
      <c r="H13" s="66">
        <f>SUM(H5:H12)</f>
        <v>144323.99999999997</v>
      </c>
      <c r="I13" s="66">
        <f>SUM(I5:I12)</f>
        <v>48107.999999999993</v>
      </c>
      <c r="J13" s="66">
        <f>SUM(J5:J12)</f>
        <v>48107.999999999993</v>
      </c>
      <c r="K13" s="66">
        <f>SUM(K5:K12)</f>
        <v>144323.99999999997</v>
      </c>
      <c r="L13" s="66">
        <f>SUM(L5:L12)</f>
        <v>48107.999999999993</v>
      </c>
      <c r="M13" s="66">
        <f>SUM(M5:M12)</f>
        <v>48107.999999999993</v>
      </c>
      <c r="N13" s="66">
        <f>SUM(N5:N12)</f>
        <v>144323.99999999997</v>
      </c>
      <c r="O13" s="33">
        <f>SUM(O5:O12)</f>
        <v>769727.99999999988</v>
      </c>
      <c r="P13" s="2"/>
    </row>
    <row r="14" spans="1:16" ht="7.5" customHeight="1">
      <c r="A14" s="2"/>
      <c r="B14" s="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11"/>
      <c r="P14" s="2"/>
    </row>
    <row r="15" spans="1:16" ht="18.5">
      <c r="A15" s="2"/>
      <c r="B15" s="13" t="s">
        <v>6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11"/>
      <c r="P15" s="2"/>
    </row>
    <row r="16" spans="1:16">
      <c r="A16" s="2"/>
      <c r="B16" s="12" t="s">
        <v>8</v>
      </c>
      <c r="C16" s="81">
        <f>Inputs!$B$37*0.3</f>
        <v>16500</v>
      </c>
      <c r="D16" s="81">
        <f>Inputs!$B$37*0.3</f>
        <v>16500</v>
      </c>
      <c r="E16" s="81">
        <f>Inputs!$B$37*0.3</f>
        <v>16500</v>
      </c>
      <c r="F16" s="81">
        <f>Inputs!$B$37*0.3</f>
        <v>16500</v>
      </c>
      <c r="G16" s="81">
        <f>Inputs!$B$37*0.3</f>
        <v>16500</v>
      </c>
      <c r="H16" s="81">
        <f>Inputs!$B$37*0.3</f>
        <v>16500</v>
      </c>
      <c r="I16" s="81">
        <f>Inputs!$B$37*0.3</f>
        <v>16500</v>
      </c>
      <c r="J16" s="81">
        <f>Inputs!$B$37*0.3</f>
        <v>16500</v>
      </c>
      <c r="K16" s="81">
        <f>Inputs!$B$37*0.3</f>
        <v>16500</v>
      </c>
      <c r="L16" s="81">
        <f>Inputs!$B$37*0.3</f>
        <v>16500</v>
      </c>
      <c r="M16" s="81">
        <f>Inputs!$B$37*0.3</f>
        <v>16500</v>
      </c>
      <c r="N16" s="81">
        <f>Inputs!$B$37*0.3</f>
        <v>16500</v>
      </c>
      <c r="O16" s="82">
        <f t="shared" ref="O16:O38" si="4">SUM(C16:N16)</f>
        <v>198000</v>
      </c>
      <c r="P16" s="69">
        <f>O16/$O$43</f>
        <v>0.22004451133723502</v>
      </c>
    </row>
    <row r="17" spans="1:16">
      <c r="A17" s="2"/>
      <c r="B17" s="12" t="s">
        <v>9</v>
      </c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2">
        <f t="shared" si="4"/>
        <v>0</v>
      </c>
      <c r="P17" s="69">
        <f t="shared" ref="P17:P42" si="5">O17/$O$43</f>
        <v>0</v>
      </c>
    </row>
    <row r="18" spans="1:16">
      <c r="A18" s="2"/>
      <c r="B18" s="12" t="s">
        <v>20</v>
      </c>
      <c r="C18" s="88">
        <f>Inputs!$B$24</f>
        <v>8125</v>
      </c>
      <c r="D18" s="88">
        <f>Inputs!$B$24</f>
        <v>8125</v>
      </c>
      <c r="E18" s="88">
        <f>Inputs!$B$24</f>
        <v>8125</v>
      </c>
      <c r="F18" s="88">
        <f>Inputs!$B$24</f>
        <v>8125</v>
      </c>
      <c r="G18" s="88">
        <f>Inputs!$B$24</f>
        <v>8125</v>
      </c>
      <c r="H18" s="88">
        <f>Inputs!$B$24</f>
        <v>8125</v>
      </c>
      <c r="I18" s="88">
        <f>Inputs!$B$24</f>
        <v>8125</v>
      </c>
      <c r="J18" s="88">
        <f>Inputs!$B$24</f>
        <v>8125</v>
      </c>
      <c r="K18" s="88">
        <f>Inputs!$B$24</f>
        <v>8125</v>
      </c>
      <c r="L18" s="88">
        <f>Inputs!$B$24</f>
        <v>8125</v>
      </c>
      <c r="M18" s="88">
        <f>Inputs!$B$24</f>
        <v>8125</v>
      </c>
      <c r="N18" s="88">
        <f>Inputs!$B$24</f>
        <v>8125</v>
      </c>
      <c r="O18" s="82">
        <f t="shared" si="4"/>
        <v>97500</v>
      </c>
      <c r="P18" s="69">
        <f t="shared" si="5"/>
        <v>0.10835525179485057</v>
      </c>
    </row>
    <row r="19" spans="1:16">
      <c r="A19" s="2"/>
      <c r="B19" s="12" t="s">
        <v>12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2">
        <f t="shared" si="4"/>
        <v>0</v>
      </c>
      <c r="P19" s="69">
        <f t="shared" si="5"/>
        <v>0</v>
      </c>
    </row>
    <row r="20" spans="1:16">
      <c r="A20" s="2"/>
      <c r="B20" s="12" t="s">
        <v>13</v>
      </c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2">
        <f t="shared" si="4"/>
        <v>0</v>
      </c>
      <c r="P20" s="69">
        <f t="shared" si="5"/>
        <v>0</v>
      </c>
    </row>
    <row r="21" spans="1:16">
      <c r="A21" s="2"/>
      <c r="B21" s="12" t="s">
        <v>14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2">
        <f t="shared" si="4"/>
        <v>0</v>
      </c>
      <c r="P21" s="69">
        <f t="shared" si="5"/>
        <v>0</v>
      </c>
    </row>
    <row r="22" spans="1:16">
      <c r="A22" s="2"/>
      <c r="B22" s="12" t="s">
        <v>15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2">
        <f t="shared" si="4"/>
        <v>0</v>
      </c>
      <c r="P22" s="69">
        <f t="shared" si="5"/>
        <v>0</v>
      </c>
    </row>
    <row r="23" spans="1:16">
      <c r="A23" s="2"/>
      <c r="B23" s="12" t="s">
        <v>16</v>
      </c>
      <c r="C23" s="88">
        <f>Inputs!$B$23*1000</f>
        <v>2522.5</v>
      </c>
      <c r="D23" s="88">
        <f>Inputs!$B$23*1000</f>
        <v>2522.5</v>
      </c>
      <c r="E23" s="88">
        <f>Inputs!$B$23*1000</f>
        <v>2522.5</v>
      </c>
      <c r="F23" s="88">
        <f>Inputs!$B$23*1000</f>
        <v>2522.5</v>
      </c>
      <c r="G23" s="88">
        <f>Inputs!$B$23*1000</f>
        <v>2522.5</v>
      </c>
      <c r="H23" s="88">
        <f>Inputs!$B$23*1000</f>
        <v>2522.5</v>
      </c>
      <c r="I23" s="88">
        <f>Inputs!$B$23*1000</f>
        <v>2522.5</v>
      </c>
      <c r="J23" s="88">
        <f>Inputs!$B$23*1000</f>
        <v>2522.5</v>
      </c>
      <c r="K23" s="88">
        <f>Inputs!$B$23*1000</f>
        <v>2522.5</v>
      </c>
      <c r="L23" s="88">
        <f>Inputs!$B$23*1000</f>
        <v>2522.5</v>
      </c>
      <c r="M23" s="88">
        <f>Inputs!$B$23*1000</f>
        <v>2522.5</v>
      </c>
      <c r="N23" s="88">
        <f>Inputs!$B$23*1000</f>
        <v>2522.5</v>
      </c>
      <c r="O23" s="82">
        <f t="shared" si="4"/>
        <v>30270</v>
      </c>
      <c r="P23" s="69">
        <f t="shared" si="5"/>
        <v>3.3640138172616685E-2</v>
      </c>
    </row>
    <row r="24" spans="1:16">
      <c r="A24" s="2"/>
      <c r="B24" s="12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2">
        <f>SUM(C24:N24)</f>
        <v>0</v>
      </c>
      <c r="P24" s="69">
        <f t="shared" si="5"/>
        <v>0</v>
      </c>
    </row>
    <row r="25" spans="1:16">
      <c r="A25" s="2"/>
      <c r="B25" s="12" t="s">
        <v>128</v>
      </c>
      <c r="C25" s="88">
        <f>Inputs!$B$19</f>
        <v>239</v>
      </c>
      <c r="D25" s="88">
        <f>Inputs!$B$19</f>
        <v>239</v>
      </c>
      <c r="E25" s="88">
        <f>Inputs!$B$19</f>
        <v>239</v>
      </c>
      <c r="F25" s="88">
        <f>Inputs!$B$19</f>
        <v>239</v>
      </c>
      <c r="G25" s="88">
        <f>Inputs!$B$19</f>
        <v>239</v>
      </c>
      <c r="H25" s="88">
        <f>Inputs!$B$19</f>
        <v>239</v>
      </c>
      <c r="I25" s="88">
        <f>Inputs!$B$19</f>
        <v>239</v>
      </c>
      <c r="J25" s="88">
        <f>Inputs!$B$19</f>
        <v>239</v>
      </c>
      <c r="K25" s="88">
        <f>Inputs!$B$19</f>
        <v>239</v>
      </c>
      <c r="L25" s="88">
        <f>Inputs!$B$19</f>
        <v>239</v>
      </c>
      <c r="M25" s="88">
        <f>Inputs!$B$19</f>
        <v>239</v>
      </c>
      <c r="N25" s="88">
        <f>Inputs!$B$19</f>
        <v>239</v>
      </c>
      <c r="O25" s="82">
        <f t="shared" si="4"/>
        <v>2868</v>
      </c>
      <c r="P25" s="69">
        <f t="shared" si="5"/>
        <v>3.1873114066423738E-3</v>
      </c>
    </row>
    <row r="26" spans="1:16">
      <c r="A26" s="2"/>
      <c r="B26" s="12" t="s">
        <v>17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2">
        <f t="shared" si="4"/>
        <v>0</v>
      </c>
      <c r="P26" s="69">
        <f t="shared" si="5"/>
        <v>0</v>
      </c>
    </row>
    <row r="27" spans="1:16">
      <c r="A27" s="2"/>
      <c r="B27" s="12" t="s">
        <v>135</v>
      </c>
      <c r="C27" s="63">
        <f>Inputs!$B$25*2</f>
        <v>180</v>
      </c>
      <c r="D27" s="63">
        <f>Inputs!$B$25*2</f>
        <v>180</v>
      </c>
      <c r="E27" s="63">
        <f>Inputs!$B$25*2</f>
        <v>180</v>
      </c>
      <c r="F27" s="63">
        <f>Inputs!$B$25*2</f>
        <v>180</v>
      </c>
      <c r="G27" s="63">
        <f>Inputs!$B$25*2</f>
        <v>180</v>
      </c>
      <c r="H27" s="63">
        <f>Inputs!$B$25*2</f>
        <v>180</v>
      </c>
      <c r="I27" s="63">
        <f>Inputs!$B$25*2</f>
        <v>180</v>
      </c>
      <c r="J27" s="63">
        <f>Inputs!$B$25*2</f>
        <v>180</v>
      </c>
      <c r="K27" s="63">
        <f>Inputs!$B$25*2</f>
        <v>180</v>
      </c>
      <c r="L27" s="63">
        <f>Inputs!$B$25*2</f>
        <v>180</v>
      </c>
      <c r="M27" s="63">
        <f>Inputs!$B$25*2</f>
        <v>180</v>
      </c>
      <c r="N27" s="63">
        <f>Inputs!$B$25*2</f>
        <v>180</v>
      </c>
      <c r="O27" s="82">
        <f t="shared" si="4"/>
        <v>2160</v>
      </c>
      <c r="P27" s="69">
        <f t="shared" si="5"/>
        <v>2.4004855782243819E-3</v>
      </c>
    </row>
    <row r="28" spans="1:16">
      <c r="A28" s="2"/>
      <c r="B28" s="12" t="s">
        <v>158</v>
      </c>
      <c r="C28" s="63">
        <f>-'Year 1'!N26</f>
        <v>11217</v>
      </c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2"/>
      <c r="P28" s="69">
        <f t="shared" si="5"/>
        <v>0</v>
      </c>
    </row>
    <row r="29" spans="1:16">
      <c r="A29" s="2"/>
      <c r="B29" s="12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82"/>
      <c r="P29" s="69">
        <f t="shared" si="5"/>
        <v>0</v>
      </c>
    </row>
    <row r="30" spans="1:16">
      <c r="A30" s="2"/>
      <c r="B30" s="12" t="s">
        <v>151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>
        <f>C28*0.25</f>
        <v>2804.25</v>
      </c>
      <c r="O30" s="82">
        <f>SUM(C30:N30)</f>
        <v>2804.25</v>
      </c>
      <c r="P30" s="69">
        <f t="shared" si="5"/>
        <v>3.1164637420072793E-3</v>
      </c>
    </row>
    <row r="31" spans="1:16">
      <c r="A31" s="2"/>
      <c r="B31" s="12" t="s">
        <v>132</v>
      </c>
      <c r="C31" s="88">
        <f>Inputs!$B$22*2</f>
        <v>178</v>
      </c>
      <c r="D31" s="88">
        <f>Inputs!$B$22*2</f>
        <v>178</v>
      </c>
      <c r="E31" s="88">
        <f>Inputs!$B$22*2</f>
        <v>178</v>
      </c>
      <c r="F31" s="88">
        <f>Inputs!$B$22*2</f>
        <v>178</v>
      </c>
      <c r="G31" s="88">
        <f>Inputs!$B$22*2</f>
        <v>178</v>
      </c>
      <c r="H31" s="88">
        <f>Inputs!$B$22*2</f>
        <v>178</v>
      </c>
      <c r="I31" s="88">
        <f>Inputs!$B$22*2</f>
        <v>178</v>
      </c>
      <c r="J31" s="88">
        <f>Inputs!$B$22*2</f>
        <v>178</v>
      </c>
      <c r="K31" s="88">
        <f>Inputs!$B$22*2</f>
        <v>178</v>
      </c>
      <c r="L31" s="88">
        <f>Inputs!$B$22*2</f>
        <v>178</v>
      </c>
      <c r="M31" s="88">
        <f>Inputs!$B$22*2</f>
        <v>178</v>
      </c>
      <c r="N31" s="88">
        <f>Inputs!$B$22*2</f>
        <v>178</v>
      </c>
      <c r="O31" s="82">
        <f>SUM(C31:N31)</f>
        <v>2136</v>
      </c>
      <c r="P31" s="69">
        <f t="shared" si="5"/>
        <v>2.3738135162441111E-3</v>
      </c>
    </row>
    <row r="32" spans="1:16">
      <c r="A32" s="2"/>
      <c r="B32" s="12" t="s">
        <v>21</v>
      </c>
      <c r="C32" s="88">
        <f>Inputs!$B$30+Inputs!$B$31</f>
        <v>15478.75</v>
      </c>
      <c r="D32" s="88">
        <f>Inputs!$B$30+Inputs!$B$31</f>
        <v>15478.75</v>
      </c>
      <c r="E32" s="88">
        <f>Inputs!$B$30+Inputs!$B$31</f>
        <v>15478.75</v>
      </c>
      <c r="F32" s="88">
        <f>Inputs!$B$30+Inputs!$B$31</f>
        <v>15478.75</v>
      </c>
      <c r="G32" s="88">
        <f>Inputs!$B$30+Inputs!$B$31</f>
        <v>15478.75</v>
      </c>
      <c r="H32" s="88">
        <f>Inputs!$B$30+Inputs!$B$31</f>
        <v>15478.75</v>
      </c>
      <c r="I32" s="88">
        <f>Inputs!$B$30+Inputs!$B$31</f>
        <v>15478.75</v>
      </c>
      <c r="J32" s="88">
        <f>Inputs!$B$30+Inputs!$B$31+Inputs!$B$32</f>
        <v>21006.875</v>
      </c>
      <c r="K32" s="88">
        <f>Inputs!$B$30+Inputs!$B$31+Inputs!$B$32</f>
        <v>21006.875</v>
      </c>
      <c r="L32" s="88">
        <f>Inputs!$B$30+Inputs!$B$31+Inputs!$B$32</f>
        <v>21006.875</v>
      </c>
      <c r="M32" s="88">
        <f>Inputs!$B$30+Inputs!$B$31+Inputs!$B$32</f>
        <v>21006.875</v>
      </c>
      <c r="N32" s="88">
        <f>Inputs!$B$30+Inputs!$B$31+Inputs!$B$32</f>
        <v>21006.875</v>
      </c>
      <c r="O32" s="82">
        <f t="shared" si="4"/>
        <v>213385.625</v>
      </c>
      <c r="P32" s="69">
        <f t="shared" si="5"/>
        <v>0.23714310898745192</v>
      </c>
    </row>
    <row r="33" spans="1:16">
      <c r="A33" s="2"/>
      <c r="B33" s="12" t="s">
        <v>162</v>
      </c>
      <c r="C33" s="88"/>
      <c r="D33" s="88"/>
      <c r="E33" s="88"/>
      <c r="F33" s="88"/>
      <c r="G33" s="88">
        <f>Inputs!B29</f>
        <v>43200</v>
      </c>
      <c r="H33" s="88"/>
      <c r="I33" s="88"/>
      <c r="J33" s="88"/>
      <c r="K33" s="88"/>
      <c r="L33" s="88">
        <f>Inputs!B28</f>
        <v>22980</v>
      </c>
      <c r="M33" s="88"/>
      <c r="N33" s="88"/>
      <c r="O33" s="82">
        <f>SUM(C33:N33)</f>
        <v>66180</v>
      </c>
      <c r="P33" s="69">
        <f>O33/$O$43</f>
        <v>7.3548210910597031E-2</v>
      </c>
    </row>
    <row r="34" spans="1:16">
      <c r="A34" s="2"/>
      <c r="B34" s="12" t="s">
        <v>19</v>
      </c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2">
        <f t="shared" si="4"/>
        <v>0</v>
      </c>
      <c r="P34" s="69">
        <f t="shared" si="5"/>
        <v>0</v>
      </c>
    </row>
    <row r="35" spans="1:16">
      <c r="A35" s="2"/>
      <c r="B35" s="12" t="s">
        <v>74</v>
      </c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2">
        <f t="shared" si="4"/>
        <v>0</v>
      </c>
      <c r="P35" s="69">
        <f t="shared" si="5"/>
        <v>0</v>
      </c>
    </row>
    <row r="36" spans="1:16">
      <c r="A36" s="2"/>
      <c r="B36" s="12" t="s">
        <v>22</v>
      </c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2">
        <f t="shared" si="4"/>
        <v>0</v>
      </c>
      <c r="P36" s="69">
        <f t="shared" si="5"/>
        <v>0</v>
      </c>
    </row>
    <row r="37" spans="1:16">
      <c r="A37" s="2"/>
      <c r="B37" s="12" t="s">
        <v>28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2">
        <f t="shared" si="4"/>
        <v>0</v>
      </c>
      <c r="P37" s="69">
        <f t="shared" si="5"/>
        <v>0</v>
      </c>
    </row>
    <row r="38" spans="1:16">
      <c r="A38" s="2"/>
      <c r="B38" s="12" t="s">
        <v>23</v>
      </c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2">
        <f t="shared" si="4"/>
        <v>0</v>
      </c>
      <c r="P38" s="69">
        <f t="shared" si="5"/>
        <v>0</v>
      </c>
    </row>
    <row r="39" spans="1:16">
      <c r="A39" s="2"/>
      <c r="B39" s="57" t="s">
        <v>137</v>
      </c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2">
        <f>SUM(C39:N39)</f>
        <v>0</v>
      </c>
      <c r="P39" s="69">
        <f t="shared" si="5"/>
        <v>0</v>
      </c>
    </row>
    <row r="40" spans="1:16">
      <c r="A40" s="2"/>
      <c r="B40" s="12" t="s">
        <v>149</v>
      </c>
      <c r="C40" s="92">
        <f>Inputs!$B$9</f>
        <v>129</v>
      </c>
      <c r="D40" s="88">
        <f>Inputs!$B$9*3</f>
        <v>387</v>
      </c>
      <c r="E40" s="88">
        <f>Inputs!$B$9*4</f>
        <v>516</v>
      </c>
      <c r="F40" s="88">
        <f>Inputs!$B$9*5</f>
        <v>645</v>
      </c>
      <c r="G40" s="88">
        <f>Inputs!$B$9*5</f>
        <v>645</v>
      </c>
      <c r="H40" s="88">
        <f>Inputs!$B$9*5</f>
        <v>645</v>
      </c>
      <c r="I40" s="88">
        <f>Inputs!$B$9*5</f>
        <v>645</v>
      </c>
      <c r="J40" s="88">
        <f>Inputs!$B$9*5</f>
        <v>645</v>
      </c>
      <c r="K40" s="88">
        <f>Inputs!$B$9*5</f>
        <v>645</v>
      </c>
      <c r="L40" s="88">
        <f>Inputs!$B$9*5</f>
        <v>645</v>
      </c>
      <c r="M40" s="88">
        <f>Inputs!$B$9*5</f>
        <v>645</v>
      </c>
      <c r="N40" s="88">
        <f>Inputs!$B$9*5</f>
        <v>645</v>
      </c>
      <c r="O40" s="82">
        <f>SUM(C40:N40)</f>
        <v>6837</v>
      </c>
      <c r="P40" s="69">
        <f t="shared" si="5"/>
        <v>7.5982036566296755E-3</v>
      </c>
    </row>
    <row r="41" spans="1:16">
      <c r="A41" s="2"/>
      <c r="B41" s="12" t="s">
        <v>74</v>
      </c>
      <c r="C41" s="92">
        <f>Inputs!$B$26</f>
        <v>100</v>
      </c>
      <c r="D41" s="92">
        <f>Inputs!$B$26*2</f>
        <v>200</v>
      </c>
      <c r="E41" s="92">
        <f>Inputs!$B$26</f>
        <v>100</v>
      </c>
      <c r="F41" s="92">
        <f>Inputs!$B$26</f>
        <v>100</v>
      </c>
      <c r="G41" s="88"/>
      <c r="H41" s="88"/>
      <c r="I41" s="88"/>
      <c r="J41" s="88"/>
      <c r="K41" s="88"/>
      <c r="L41" s="88"/>
      <c r="M41" s="88"/>
      <c r="N41" s="88"/>
      <c r="O41" s="82">
        <f>SUM(C41:N41)</f>
        <v>500</v>
      </c>
      <c r="P41" s="69">
        <f t="shared" si="5"/>
        <v>5.5566795792231062E-4</v>
      </c>
    </row>
    <row r="42" spans="1:16">
      <c r="A42" s="2"/>
      <c r="B42" s="12" t="s">
        <v>150</v>
      </c>
      <c r="C42" s="88">
        <f>Inputs!$X$7</f>
        <v>8729.98</v>
      </c>
      <c r="D42" s="88">
        <f>Inputs!$X$7+Inputs!$X$4+Inputs!$X$4</f>
        <v>13094.98</v>
      </c>
      <c r="E42" s="88">
        <f>Inputs!$X$7+Inputs!$X$4+Inputs!$X$4+Inputs!$X$6</f>
        <v>19642.47</v>
      </c>
      <c r="F42" s="88">
        <f>Inputs!$X$7+Inputs!$X$4+Inputs!$X$4+Inputs!$X$6+Inputs!$X$6</f>
        <v>26189.96</v>
      </c>
      <c r="G42" s="88">
        <f>Inputs!$X$7+Inputs!$X$4+Inputs!$X$4+Inputs!$X$6+Inputs!$X$6</f>
        <v>26189.96</v>
      </c>
      <c r="H42" s="88">
        <f>Inputs!$X$7+Inputs!$X$4+Inputs!$X$4+Inputs!$X$6+Inputs!$X$6</f>
        <v>26189.96</v>
      </c>
      <c r="I42" s="88">
        <f>Inputs!$X$7+Inputs!$X$4+Inputs!$X$4+Inputs!$X$6+Inputs!$X$6</f>
        <v>26189.96</v>
      </c>
      <c r="J42" s="88">
        <f>Inputs!$X$7+Inputs!$X$4+Inputs!$X$4+Inputs!$X$6+Inputs!$X$6</f>
        <v>26189.96</v>
      </c>
      <c r="K42" s="88">
        <f>Inputs!$X$7+Inputs!$X$4+Inputs!$X$4+Inputs!$X$6+Inputs!$X$6</f>
        <v>26189.96</v>
      </c>
      <c r="L42" s="88">
        <f>Inputs!$X$7+Inputs!$X$4+Inputs!$X$4+Inputs!$X$6+Inputs!$X$6</f>
        <v>26189.96</v>
      </c>
      <c r="M42" s="88">
        <f>Inputs!$X$7+Inputs!$X$4+Inputs!$X$4+Inputs!$X$6+Inputs!$X$6</f>
        <v>26189.96</v>
      </c>
      <c r="N42" s="88">
        <f>Inputs!$X$7+Inputs!$X$4+Inputs!$X$4+Inputs!$X$6+Inputs!$X$6</f>
        <v>26189.96</v>
      </c>
      <c r="O42" s="82">
        <f>SUM(C42:N42)</f>
        <v>277177.06999999995</v>
      </c>
      <c r="P42" s="69">
        <f t="shared" si="5"/>
        <v>0.30803683293957862</v>
      </c>
    </row>
    <row r="43" spans="1:16">
      <c r="A43" s="2"/>
      <c r="B43" s="10" t="s">
        <v>24</v>
      </c>
      <c r="C43" s="66">
        <f t="shared" ref="C43:O43" si="6">SUM(C16:C42)</f>
        <v>63399.229999999996</v>
      </c>
      <c r="D43" s="66">
        <f t="shared" si="6"/>
        <v>56905.229999999996</v>
      </c>
      <c r="E43" s="66">
        <f t="shared" si="6"/>
        <v>63481.72</v>
      </c>
      <c r="F43" s="66">
        <f t="shared" si="6"/>
        <v>70158.209999999992</v>
      </c>
      <c r="G43" s="66">
        <f t="shared" si="6"/>
        <v>113258.20999999999</v>
      </c>
      <c r="H43" s="66">
        <f t="shared" si="6"/>
        <v>70058.209999999992</v>
      </c>
      <c r="I43" s="66">
        <f t="shared" si="6"/>
        <v>70058.209999999992</v>
      </c>
      <c r="J43" s="66">
        <f t="shared" si="6"/>
        <v>75586.334999999992</v>
      </c>
      <c r="K43" s="66">
        <f t="shared" si="6"/>
        <v>75586.334999999992</v>
      </c>
      <c r="L43" s="66">
        <f t="shared" si="6"/>
        <v>98566.334999999992</v>
      </c>
      <c r="M43" s="66">
        <f t="shared" si="6"/>
        <v>75586.334999999992</v>
      </c>
      <c r="N43" s="66">
        <f t="shared" si="6"/>
        <v>78390.584999999992</v>
      </c>
      <c r="O43" s="66">
        <f t="shared" si="6"/>
        <v>899817.94499999995</v>
      </c>
      <c r="P43" s="2"/>
    </row>
    <row r="44" spans="1:16" ht="7.5" customHeight="1">
      <c r="A44" s="2"/>
      <c r="B44" s="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2"/>
    </row>
    <row r="45" spans="1:16">
      <c r="A45" s="2"/>
      <c r="B45" s="10" t="s">
        <v>25</v>
      </c>
      <c r="C45" s="66">
        <f>C13-C43+'Year 1'!O44</f>
        <v>124546.183191812</v>
      </c>
      <c r="D45" s="66">
        <f>D13-D43</f>
        <v>-56905.229999999996</v>
      </c>
      <c r="E45" s="66">
        <f t="shared" ref="C45:N45" si="7">E13-E43</f>
        <v>32734.279999999984</v>
      </c>
      <c r="F45" s="66">
        <f t="shared" si="7"/>
        <v>-22050.21</v>
      </c>
      <c r="G45" s="66">
        <f t="shared" si="7"/>
        <v>-113258.20999999999</v>
      </c>
      <c r="H45" s="66">
        <f t="shared" si="7"/>
        <v>74265.789999999979</v>
      </c>
      <c r="I45" s="66">
        <f t="shared" si="7"/>
        <v>-21950.21</v>
      </c>
      <c r="J45" s="66">
        <f>J13-J43</f>
        <v>-27478.334999999999</v>
      </c>
      <c r="K45" s="66">
        <f t="shared" si="7"/>
        <v>68737.664999999979</v>
      </c>
      <c r="L45" s="66">
        <f t="shared" si="7"/>
        <v>-50458.334999999999</v>
      </c>
      <c r="M45" s="66">
        <f t="shared" si="7"/>
        <v>-27478.334999999999</v>
      </c>
      <c r="N45" s="66">
        <f t="shared" si="7"/>
        <v>65933.414999999979</v>
      </c>
      <c r="O45" s="66">
        <f>O13-O43</f>
        <v>-130089.94500000007</v>
      </c>
      <c r="P45" s="2"/>
    </row>
    <row r="46" spans="1:16">
      <c r="A46" s="2"/>
      <c r="B46" s="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11"/>
      <c r="P46" s="2"/>
    </row>
    <row r="47" spans="1:16">
      <c r="A47" s="2"/>
      <c r="B47" s="10" t="s">
        <v>195</v>
      </c>
      <c r="C47" s="66">
        <f>C45</f>
        <v>124546.183191812</v>
      </c>
      <c r="D47" s="66">
        <f>D45+C47</f>
        <v>67640.953191812005</v>
      </c>
      <c r="E47" s="66">
        <f t="shared" ref="E47:N47" si="8">E45+D47</f>
        <v>100375.23319181199</v>
      </c>
      <c r="F47" s="66">
        <f t="shared" si="8"/>
        <v>78325.023191811983</v>
      </c>
      <c r="G47" s="66">
        <f t="shared" si="8"/>
        <v>-34933.186808188009</v>
      </c>
      <c r="H47" s="66">
        <f t="shared" si="8"/>
        <v>39332.60319181197</v>
      </c>
      <c r="I47" s="66">
        <f t="shared" si="8"/>
        <v>17382.393191811971</v>
      </c>
      <c r="J47" s="66">
        <f t="shared" si="8"/>
        <v>-10095.941808188029</v>
      </c>
      <c r="K47" s="66">
        <f t="shared" si="8"/>
        <v>58641.723191811951</v>
      </c>
      <c r="L47" s="66">
        <f t="shared" si="8"/>
        <v>8183.3881918119514</v>
      </c>
      <c r="M47" s="66">
        <f t="shared" si="8"/>
        <v>-19294.946808188048</v>
      </c>
      <c r="N47" s="66">
        <f t="shared" si="8"/>
        <v>46638.468191811931</v>
      </c>
      <c r="O47" s="33">
        <f>N47</f>
        <v>46638.468191811931</v>
      </c>
      <c r="P47" s="2"/>
    </row>
    <row r="48" spans="1:16">
      <c r="A48" s="2"/>
      <c r="B48" s="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2"/>
    </row>
    <row r="49" spans="2:32" s="2" customFormat="1">
      <c r="B49" s="10" t="s">
        <v>154</v>
      </c>
      <c r="C49" s="66"/>
      <c r="D49" s="66"/>
      <c r="E49" s="68"/>
      <c r="F49" s="68"/>
      <c r="G49" s="68"/>
      <c r="H49" s="66"/>
      <c r="I49" s="66"/>
      <c r="J49" s="66"/>
      <c r="K49" s="68"/>
      <c r="L49" s="68"/>
      <c r="M49" s="68"/>
      <c r="N49" s="68"/>
      <c r="O49" s="68">
        <f>O47/(1+Inputs!K3)^2</f>
        <v>41886.561745956002</v>
      </c>
      <c r="R49" s="2" t="s">
        <v>154</v>
      </c>
      <c r="S49" s="82">
        <f>C45/(1+Inputs!$K$4)^C4</f>
        <v>118030.87868822215</v>
      </c>
      <c r="T49" s="82">
        <f>D45/(1+Inputs!$K$4)^D4</f>
        <v>-51107.262362473928</v>
      </c>
      <c r="U49" s="82">
        <f>E45/(1+Inputs!$K$4)^E4</f>
        <v>27861.111949052272</v>
      </c>
      <c r="V49" s="82">
        <f>F45/(1+Inputs!$K$4)^F4</f>
        <v>-17785.808001089987</v>
      </c>
      <c r="W49" s="82">
        <f>G45/(1+Inputs!$K$4)^G4</f>
        <v>-86575.653974735833</v>
      </c>
      <c r="X49" s="82">
        <f>H45/(1+Inputs!$K$4)^H4</f>
        <v>53799.731716908616</v>
      </c>
      <c r="Y49" s="82">
        <f>I45/(1+Inputs!$K$4)^I4</f>
        <v>-15069.373659938756</v>
      </c>
      <c r="Z49" s="82">
        <f>J45/(1+Inputs!$K$4)^J4</f>
        <v>-17877.720925980972</v>
      </c>
      <c r="AA49" s="82">
        <f>K45/(1+Inputs!$K$4)^K4</f>
        <v>42382.027831438332</v>
      </c>
      <c r="AB49" s="82">
        <f>L45/(1+Inputs!$K$4)^L4</f>
        <v>-29483.910920095292</v>
      </c>
      <c r="AC49" s="82">
        <f>M45/(1+Inputs!$K$4)^M4</f>
        <v>-15216.255989521398</v>
      </c>
      <c r="AD49" s="82">
        <f>N45/(1+Inputs!$K$4)^N4</f>
        <v>34600.962517201981</v>
      </c>
      <c r="AE49" s="82"/>
    </row>
    <row r="50" spans="2:32" hidden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R50" s="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2"/>
    </row>
    <row r="51" spans="2:32" hidden="1">
      <c r="R51" s="10" t="s">
        <v>155</v>
      </c>
      <c r="S51" s="66">
        <f>'Year 1'!O44+S49</f>
        <v>305976.29188003414</v>
      </c>
      <c r="T51" s="66">
        <f>S51+T49</f>
        <v>254869.02951756021</v>
      </c>
      <c r="U51" s="66">
        <f>T51+U49</f>
        <v>282730.14146661246</v>
      </c>
      <c r="V51" s="66">
        <f t="shared" ref="V51:AD51" si="9">U51+V49</f>
        <v>264944.3334655225</v>
      </c>
      <c r="W51" s="66">
        <f t="shared" si="9"/>
        <v>178368.67949078669</v>
      </c>
      <c r="X51" s="66">
        <f t="shared" si="9"/>
        <v>232168.41120769532</v>
      </c>
      <c r="Y51" s="66">
        <f t="shared" si="9"/>
        <v>217099.03754775657</v>
      </c>
      <c r="Z51" s="66">
        <f>Y51+Z49</f>
        <v>199221.31662177559</v>
      </c>
      <c r="AA51" s="66">
        <f t="shared" si="9"/>
        <v>241603.34445321391</v>
      </c>
      <c r="AB51" s="66">
        <f t="shared" si="9"/>
        <v>212119.43353311863</v>
      </c>
      <c r="AC51" s="66">
        <f t="shared" si="9"/>
        <v>196903.17754359724</v>
      </c>
      <c r="AD51" s="66">
        <f t="shared" si="9"/>
        <v>231504.14006079923</v>
      </c>
      <c r="AE51" s="66">
        <f>AD51</f>
        <v>231504.14006079923</v>
      </c>
      <c r="AF51" s="2"/>
    </row>
    <row r="52" spans="2:32" hidden="1"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2" hidden="1"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2" hidden="1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2" hidden="1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2" hidden="1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2" hidden="1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2" hidden="1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2" hidden="1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2" hidden="1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2" hidden="1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2" hidden="1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:32" hidden="1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:32" hidden="1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9:31" hidden="1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9:31" hidden="1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9:31" hidden="1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9:31" hidden="1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9:31" hidden="1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9:31" hidden="1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9:31" hidden="1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9:31" hidden="1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9:31" hidden="1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9:31" hidden="1"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9:31" hidden="1"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9:31" hidden="1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9:31" hidden="1"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9:31" hidden="1"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</sheetData>
  <sheetProtection selectLockedCells="1"/>
  <mergeCells count="1">
    <mergeCell ref="F1:P1"/>
  </mergeCells>
  <conditionalFormatting sqref="C45:O45">
    <cfRule type="cellIs" dxfId="14" priority="7" operator="lessThan">
      <formula>0</formula>
    </cfRule>
  </conditionalFormatting>
  <conditionalFormatting sqref="C16:N16">
    <cfRule type="expression" dxfId="13" priority="6">
      <formula>_xlfn.ISFORMULA(C16)=FALSE</formula>
    </cfRule>
  </conditionalFormatting>
  <conditionalFormatting sqref="S49:AE49">
    <cfRule type="cellIs" dxfId="12" priority="5" operator="lessThan">
      <formula>0</formula>
    </cfRule>
  </conditionalFormatting>
  <conditionalFormatting sqref="S51:AE51">
    <cfRule type="cellIs" dxfId="11" priority="4" operator="lessThan">
      <formula>0</formula>
    </cfRule>
  </conditionalFormatting>
  <conditionalFormatting sqref="C49:O49">
    <cfRule type="cellIs" dxfId="10" priority="3" operator="lessThan">
      <formula>0</formula>
    </cfRule>
  </conditionalFormatting>
  <conditionalFormatting sqref="C46:O46">
    <cfRule type="cellIs" dxfId="9" priority="2" operator="lessThan">
      <formula>0</formula>
    </cfRule>
  </conditionalFormatting>
  <conditionalFormatting sqref="C47:O47">
    <cfRule type="cellIs" dxfId="8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D176-0883-4867-B969-057523A11CED}">
  <sheetPr codeName="Sheet3">
    <tabColor rgb="FF0099CC"/>
  </sheetPr>
  <dimension ref="E1:AB43"/>
  <sheetViews>
    <sheetView showRowColHeaders="0" tabSelected="1" topLeftCell="E1" zoomScale="80" zoomScaleNormal="80" workbookViewId="0">
      <selection activeCell="F40" sqref="F40"/>
    </sheetView>
  </sheetViews>
  <sheetFormatPr defaultColWidth="0" defaultRowHeight="14.5" zeroHeight="1"/>
  <cols>
    <col min="1" max="4" width="9.1796875" hidden="1"/>
    <col min="5" max="5" width="16.453125" bestFit="1" customWidth="1"/>
    <col min="6" max="6" width="22.54296875" customWidth="1"/>
    <col min="7" max="19" width="12.7265625" customWidth="1"/>
    <col min="20" max="20" width="3.26953125" customWidth="1"/>
    <col min="21" max="27" width="0" hidden="1" customWidth="1"/>
    <col min="29" max="16384" width="9.1796875" hidden="1"/>
  </cols>
  <sheetData>
    <row r="1" spans="5:20" ht="30.75" customHeight="1">
      <c r="E1" s="35" t="str">
        <f>"Cash Flow Summary:  "&amp;rCompanyName</f>
        <v>Cash Flow Summary:  Sociolite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5:20" ht="6.75" customHeight="1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5:20" ht="15.5">
      <c r="E3" s="8"/>
      <c r="F3" s="8"/>
      <c r="G3" s="9">
        <f>'Year 1'!C3</f>
        <v>44927</v>
      </c>
      <c r="H3" s="9">
        <f>'Year 1'!D3</f>
        <v>44958</v>
      </c>
      <c r="I3" s="9">
        <f>'Year 1'!E3</f>
        <v>44986</v>
      </c>
      <c r="J3" s="9">
        <f>'Year 1'!F3</f>
        <v>45017</v>
      </c>
      <c r="K3" s="9">
        <f>'Year 1'!G3</f>
        <v>45047</v>
      </c>
      <c r="L3" s="9">
        <f>'Year 1'!H3</f>
        <v>45078</v>
      </c>
      <c r="M3" s="9">
        <f>'Year 1'!I3</f>
        <v>45108</v>
      </c>
      <c r="N3" s="9">
        <f>'Year 1'!J3</f>
        <v>45139</v>
      </c>
      <c r="O3" s="9">
        <f>'Year 1'!K3</f>
        <v>45170</v>
      </c>
      <c r="P3" s="9">
        <f>'Year 1'!L3</f>
        <v>45200</v>
      </c>
      <c r="Q3" s="9">
        <f>'Year 1'!M3</f>
        <v>45231</v>
      </c>
      <c r="R3" s="9">
        <f>'Year 1'!N3</f>
        <v>45261</v>
      </c>
      <c r="S3" s="19" t="s">
        <v>31</v>
      </c>
      <c r="T3" s="20"/>
    </row>
    <row r="4" spans="5:20">
      <c r="E4" s="21" t="s">
        <v>157</v>
      </c>
      <c r="F4" s="21" t="s">
        <v>30</v>
      </c>
      <c r="G4" s="22">
        <f>'Year 1'!C9</f>
        <v>155000</v>
      </c>
      <c r="H4" s="22">
        <f>'Year 1'!D9</f>
        <v>55000</v>
      </c>
      <c r="I4" s="22">
        <f>'Year 1'!E9</f>
        <v>55000</v>
      </c>
      <c r="J4" s="22">
        <f>'Year 1'!F9</f>
        <v>55000</v>
      </c>
      <c r="K4" s="22">
        <f>'Year 1'!G9</f>
        <v>55000</v>
      </c>
      <c r="L4" s="22">
        <f>'Year 1'!H9</f>
        <v>55000</v>
      </c>
      <c r="M4" s="22">
        <f>'Year 1'!I9</f>
        <v>55000</v>
      </c>
      <c r="N4" s="22">
        <f>'Year 1'!J9</f>
        <v>55000</v>
      </c>
      <c r="O4" s="22">
        <f>'Year 1'!K9</f>
        <v>55000</v>
      </c>
      <c r="P4" s="22">
        <f>'Year 1'!L9</f>
        <v>55000</v>
      </c>
      <c r="Q4" s="22">
        <f>'Year 1'!M9</f>
        <v>55000</v>
      </c>
      <c r="R4" s="22">
        <f>'Year 1'!N9</f>
        <v>55000</v>
      </c>
      <c r="S4" s="22">
        <f>SUM(G4:R4)</f>
        <v>760000</v>
      </c>
      <c r="T4" s="20"/>
    </row>
    <row r="5" spans="5:20">
      <c r="E5" s="21"/>
      <c r="F5" s="21" t="s">
        <v>5</v>
      </c>
      <c r="G5" s="22">
        <f>'Year 1'!C38</f>
        <v>67671.25</v>
      </c>
      <c r="H5" s="22">
        <f>'Year 1'!D38</f>
        <v>43073.25</v>
      </c>
      <c r="I5" s="22">
        <f>'Year 1'!E38</f>
        <v>43073.25</v>
      </c>
      <c r="J5" s="22">
        <f>'Year 1'!F38</f>
        <v>43163.25</v>
      </c>
      <c r="K5" s="22">
        <f>'Year 1'!G38</f>
        <v>43163.25</v>
      </c>
      <c r="L5" s="22">
        <f>'Year 1'!H38</f>
        <v>45913.25</v>
      </c>
      <c r="M5" s="22">
        <f>'Year 1'!I38</f>
        <v>45973.25</v>
      </c>
      <c r="N5" s="22">
        <f>'Year 1'!J38</f>
        <v>45973.25</v>
      </c>
      <c r="O5" s="22">
        <f>'Year 1'!K38</f>
        <v>48723.25</v>
      </c>
      <c r="P5" s="22">
        <f>'Year 1'!L38</f>
        <v>48723.25</v>
      </c>
      <c r="Q5" s="22">
        <f>'Year 1'!M38</f>
        <v>48723.25</v>
      </c>
      <c r="R5" s="22">
        <f>'Year 1'!N38</f>
        <v>37506.25</v>
      </c>
      <c r="S5" s="22">
        <f t="shared" ref="S5" si="0">SUM(G5:R5)</f>
        <v>561680</v>
      </c>
      <c r="T5" s="20"/>
    </row>
    <row r="6" spans="5:20">
      <c r="E6" s="21"/>
      <c r="F6" s="21" t="s">
        <v>155</v>
      </c>
      <c r="G6" s="22">
        <f>'Year 1'!C42</f>
        <v>87328.75</v>
      </c>
      <c r="H6" s="22">
        <f>'Year 1'!D42</f>
        <v>99255.5</v>
      </c>
      <c r="I6" s="22">
        <f>'Year 1'!E42</f>
        <v>111182.25</v>
      </c>
      <c r="J6" s="22">
        <f>'Year 1'!F42</f>
        <v>123019</v>
      </c>
      <c r="K6" s="22">
        <f>'Year 1'!G42</f>
        <v>134855.75</v>
      </c>
      <c r="L6" s="22">
        <f>'Year 1'!H42</f>
        <v>143942.5</v>
      </c>
      <c r="M6" s="22">
        <f>'Year 1'!I42</f>
        <v>152969.25</v>
      </c>
      <c r="N6" s="22">
        <f>'Year 1'!J42</f>
        <v>161996</v>
      </c>
      <c r="O6" s="22">
        <f>'Year 1'!K42</f>
        <v>168272.75</v>
      </c>
      <c r="P6" s="22">
        <f>'Year 1'!L42</f>
        <v>174549.5</v>
      </c>
      <c r="Q6" s="22">
        <f>'Year 1'!M42</f>
        <v>180826.25</v>
      </c>
      <c r="R6" s="22">
        <f>'Year 1'!N42</f>
        <v>198320</v>
      </c>
      <c r="S6" s="22">
        <f>R6</f>
        <v>198320</v>
      </c>
      <c r="T6" s="20"/>
    </row>
    <row r="7" spans="5:20" ht="1" customHeight="1">
      <c r="E7" s="23" t="s">
        <v>32</v>
      </c>
      <c r="F7" s="23" t="s">
        <v>5</v>
      </c>
      <c r="G7" s="24">
        <f t="shared" ref="G7:R7" si="1">-G5</f>
        <v>-67671.25</v>
      </c>
      <c r="H7" s="24">
        <f t="shared" si="1"/>
        <v>-43073.25</v>
      </c>
      <c r="I7" s="24">
        <f t="shared" si="1"/>
        <v>-43073.25</v>
      </c>
      <c r="J7" s="24">
        <f t="shared" si="1"/>
        <v>-43163.25</v>
      </c>
      <c r="K7" s="24">
        <f t="shared" si="1"/>
        <v>-43163.25</v>
      </c>
      <c r="L7" s="24">
        <f t="shared" si="1"/>
        <v>-45913.25</v>
      </c>
      <c r="M7" s="24">
        <f t="shared" si="1"/>
        <v>-45973.25</v>
      </c>
      <c r="N7" s="24">
        <f t="shared" si="1"/>
        <v>-45973.25</v>
      </c>
      <c r="O7" s="24">
        <f t="shared" si="1"/>
        <v>-48723.25</v>
      </c>
      <c r="P7" s="24">
        <f t="shared" si="1"/>
        <v>-48723.25</v>
      </c>
      <c r="Q7" s="24">
        <f t="shared" si="1"/>
        <v>-48723.25</v>
      </c>
      <c r="R7" s="24">
        <f t="shared" si="1"/>
        <v>-37506.25</v>
      </c>
      <c r="S7" s="22"/>
      <c r="T7" s="20"/>
    </row>
    <row r="8" spans="5:20" ht="1" customHeight="1">
      <c r="E8" s="23" t="s">
        <v>33</v>
      </c>
      <c r="F8" s="23" t="s">
        <v>34</v>
      </c>
      <c r="G8" s="24">
        <f t="shared" ref="G8:R8" si="2">G4-G5</f>
        <v>87328.75</v>
      </c>
      <c r="H8" s="24">
        <f t="shared" si="2"/>
        <v>11926.75</v>
      </c>
      <c r="I8" s="24">
        <f t="shared" si="2"/>
        <v>11926.75</v>
      </c>
      <c r="J8" s="24">
        <f t="shared" si="2"/>
        <v>11836.75</v>
      </c>
      <c r="K8" s="24">
        <f t="shared" si="2"/>
        <v>11836.75</v>
      </c>
      <c r="L8" s="24">
        <f t="shared" si="2"/>
        <v>9086.75</v>
      </c>
      <c r="M8" s="24">
        <f t="shared" si="2"/>
        <v>9026.75</v>
      </c>
      <c r="N8" s="24">
        <f t="shared" si="2"/>
        <v>9026.75</v>
      </c>
      <c r="O8" s="24">
        <f t="shared" si="2"/>
        <v>6276.75</v>
      </c>
      <c r="P8" s="24">
        <f t="shared" si="2"/>
        <v>6276.75</v>
      </c>
      <c r="Q8" s="24">
        <f t="shared" si="2"/>
        <v>6276.75</v>
      </c>
      <c r="R8" s="24">
        <f t="shared" si="2"/>
        <v>17493.75</v>
      </c>
      <c r="S8" s="22"/>
      <c r="T8" s="20"/>
    </row>
    <row r="9" spans="5:20" ht="5.25" customHeight="1"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0"/>
    </row>
    <row r="10" spans="5:20" ht="15.5">
      <c r="E10" s="21" t="s">
        <v>156</v>
      </c>
      <c r="F10" s="8"/>
      <c r="G10" s="9">
        <f>'Year 2'!C3</f>
        <v>45292</v>
      </c>
      <c r="H10" s="9">
        <f>'Year 2'!D3</f>
        <v>45323</v>
      </c>
      <c r="I10" s="9">
        <f>'Year 2'!E3</f>
        <v>45352</v>
      </c>
      <c r="J10" s="9">
        <f>'Year 2'!F3</f>
        <v>45383</v>
      </c>
      <c r="K10" s="9">
        <f>'Year 2'!G3</f>
        <v>45413</v>
      </c>
      <c r="L10" s="9">
        <f>'Year 2'!H3</f>
        <v>45444</v>
      </c>
      <c r="M10" s="9">
        <f>'Year 2'!I3</f>
        <v>45474</v>
      </c>
      <c r="N10" s="9">
        <f>'Year 2'!J3</f>
        <v>45505</v>
      </c>
      <c r="O10" s="9">
        <f>'Year 2'!K3</f>
        <v>45536</v>
      </c>
      <c r="P10" s="9">
        <f>'Year 2'!L3</f>
        <v>45566</v>
      </c>
      <c r="Q10" s="9">
        <f>'Year 2'!M3</f>
        <v>45597</v>
      </c>
      <c r="R10" s="9">
        <f>'Year 2'!N3</f>
        <v>45627</v>
      </c>
      <c r="S10" s="19" t="s">
        <v>31</v>
      </c>
      <c r="T10" s="20"/>
    </row>
    <row r="11" spans="5:20">
      <c r="E11" s="21"/>
      <c r="F11" s="21" t="s">
        <v>30</v>
      </c>
      <c r="G11" s="22">
        <f>'Year 2'!C13</f>
        <v>0</v>
      </c>
      <c r="H11" s="22">
        <f>'Year 2'!D13</f>
        <v>0</v>
      </c>
      <c r="I11" s="22">
        <f>'Year 2'!E13</f>
        <v>96215.999999999985</v>
      </c>
      <c r="J11" s="22">
        <f>'Year 2'!F13</f>
        <v>48107.999999999993</v>
      </c>
      <c r="K11" s="22">
        <f>'Year 2'!G13</f>
        <v>0</v>
      </c>
      <c r="L11" s="22">
        <f>'Year 2'!H13</f>
        <v>144323.99999999997</v>
      </c>
      <c r="M11" s="22">
        <f>'Year 2'!I13</f>
        <v>48107.999999999993</v>
      </c>
      <c r="N11" s="22">
        <f>'Year 2'!J13</f>
        <v>48107.999999999993</v>
      </c>
      <c r="O11" s="22">
        <f>'Year 2'!K13</f>
        <v>144323.99999999997</v>
      </c>
      <c r="P11" s="22">
        <f>'Year 2'!L13</f>
        <v>48107.999999999993</v>
      </c>
      <c r="Q11" s="22">
        <f>'Year 2'!M13</f>
        <v>48107.999999999993</v>
      </c>
      <c r="R11" s="22">
        <f>'Year 2'!N13</f>
        <v>144323.99999999997</v>
      </c>
      <c r="S11" s="22">
        <f>SUM(G11:R11)</f>
        <v>769727.99999999988</v>
      </c>
      <c r="T11" s="20"/>
    </row>
    <row r="12" spans="5:20">
      <c r="E12" s="21"/>
      <c r="F12" s="21" t="s">
        <v>5</v>
      </c>
      <c r="G12" s="22">
        <f>'Year 2'!C43</f>
        <v>63399.229999999996</v>
      </c>
      <c r="H12" s="22">
        <f>'Year 2'!D43</f>
        <v>56905.229999999996</v>
      </c>
      <c r="I12" s="22">
        <f>'Year 2'!E43</f>
        <v>63481.72</v>
      </c>
      <c r="J12" s="22">
        <f>'Year 2'!F43</f>
        <v>70158.209999999992</v>
      </c>
      <c r="K12" s="22">
        <f>'Year 2'!G43</f>
        <v>113258.20999999999</v>
      </c>
      <c r="L12" s="22">
        <f>'Year 2'!H43</f>
        <v>70058.209999999992</v>
      </c>
      <c r="M12" s="22">
        <f>'Year 2'!I43</f>
        <v>70058.209999999992</v>
      </c>
      <c r="N12" s="22">
        <f>'Year 2'!J43</f>
        <v>75586.334999999992</v>
      </c>
      <c r="O12" s="22">
        <f>'Year 2'!K43</f>
        <v>75586.334999999992</v>
      </c>
      <c r="P12" s="22">
        <f>'Year 2'!L43</f>
        <v>98566.334999999992</v>
      </c>
      <c r="Q12" s="22">
        <f>'Year 2'!M43</f>
        <v>75586.334999999992</v>
      </c>
      <c r="R12" s="22">
        <f>'Year 2'!N43</f>
        <v>78390.584999999992</v>
      </c>
      <c r="S12" s="22">
        <f t="shared" ref="S12" si="3">SUM(G12:R12)</f>
        <v>911034.94499999972</v>
      </c>
      <c r="T12" s="20"/>
    </row>
    <row r="13" spans="5:20" ht="15" thickBot="1">
      <c r="E13" s="21"/>
      <c r="F13" s="21" t="s">
        <v>155</v>
      </c>
      <c r="G13" s="27">
        <f>'Year 2'!C47</f>
        <v>124546.183191812</v>
      </c>
      <c r="H13" s="27">
        <f>'Year 2'!D47</f>
        <v>67640.953191812005</v>
      </c>
      <c r="I13" s="27">
        <f>'Year 2'!E47</f>
        <v>100375.23319181199</v>
      </c>
      <c r="J13" s="27">
        <f>'Year 2'!F47</f>
        <v>78325.023191811983</v>
      </c>
      <c r="K13" s="27">
        <f>'Year 2'!G47</f>
        <v>-34933.186808188009</v>
      </c>
      <c r="L13" s="27">
        <f>'Year 2'!H47</f>
        <v>39332.60319181197</v>
      </c>
      <c r="M13" s="27">
        <f>'Year 2'!I47</f>
        <v>17382.393191811971</v>
      </c>
      <c r="N13" s="27">
        <f>'Year 2'!J47</f>
        <v>-10095.941808188029</v>
      </c>
      <c r="O13" s="27">
        <f>'Year 2'!K47</f>
        <v>58641.723191811951</v>
      </c>
      <c r="P13" s="27">
        <f>'Year 2'!L47</f>
        <v>8183.3881918119514</v>
      </c>
      <c r="Q13" s="27">
        <f>'Year 2'!M47</f>
        <v>-19294.946808188048</v>
      </c>
      <c r="R13" s="27">
        <f>'Year 2'!N47</f>
        <v>46638.468191811931</v>
      </c>
      <c r="S13" s="27">
        <f>'Year 2'!O47</f>
        <v>46638.468191811931</v>
      </c>
      <c r="T13" s="2"/>
    </row>
    <row r="14" spans="5:20" ht="1" customHeight="1" thickTop="1">
      <c r="E14" s="21" t="s">
        <v>32</v>
      </c>
      <c r="F14" s="21" t="s">
        <v>5</v>
      </c>
      <c r="G14" s="28">
        <f>-G12</f>
        <v>-63399.229999999996</v>
      </c>
      <c r="H14" s="28">
        <f t="shared" ref="H14:R14" si="4">-H12</f>
        <v>-56905.229999999996</v>
      </c>
      <c r="I14" s="28">
        <f t="shared" si="4"/>
        <v>-63481.72</v>
      </c>
      <c r="J14" s="28">
        <f t="shared" si="4"/>
        <v>-70158.209999999992</v>
      </c>
      <c r="K14" s="28">
        <f t="shared" si="4"/>
        <v>-113258.20999999999</v>
      </c>
      <c r="L14" s="28">
        <f t="shared" si="4"/>
        <v>-70058.209999999992</v>
      </c>
      <c r="M14" s="28">
        <f t="shared" si="4"/>
        <v>-70058.209999999992</v>
      </c>
      <c r="N14" s="28">
        <f t="shared" si="4"/>
        <v>-75586.334999999992</v>
      </c>
      <c r="O14" s="28">
        <f t="shared" si="4"/>
        <v>-75586.334999999992</v>
      </c>
      <c r="P14" s="28">
        <f t="shared" si="4"/>
        <v>-98566.334999999992</v>
      </c>
      <c r="Q14" s="28">
        <f t="shared" si="4"/>
        <v>-75586.334999999992</v>
      </c>
      <c r="R14" s="28">
        <f t="shared" si="4"/>
        <v>-78390.584999999992</v>
      </c>
      <c r="S14" s="28"/>
      <c r="T14" s="2"/>
    </row>
    <row r="15" spans="5:20" ht="1" customHeight="1">
      <c r="E15" s="21" t="s">
        <v>33</v>
      </c>
      <c r="F15" s="21" t="s">
        <v>34</v>
      </c>
      <c r="G15" s="24">
        <f t="shared" ref="G15:R15" si="5">G11-G12</f>
        <v>-63399.229999999996</v>
      </c>
      <c r="H15" s="24">
        <f t="shared" si="5"/>
        <v>-56905.229999999996</v>
      </c>
      <c r="I15" s="24">
        <f t="shared" si="5"/>
        <v>32734.279999999984</v>
      </c>
      <c r="J15" s="24">
        <f t="shared" si="5"/>
        <v>-22050.21</v>
      </c>
      <c r="K15" s="24">
        <f t="shared" si="5"/>
        <v>-113258.20999999999</v>
      </c>
      <c r="L15" s="24">
        <f t="shared" si="5"/>
        <v>74265.789999999979</v>
      </c>
      <c r="M15" s="24">
        <f t="shared" si="5"/>
        <v>-21950.21</v>
      </c>
      <c r="N15" s="24">
        <f t="shared" si="5"/>
        <v>-27478.334999999999</v>
      </c>
      <c r="O15" s="24">
        <f t="shared" si="5"/>
        <v>68737.664999999979</v>
      </c>
      <c r="P15" s="24">
        <f t="shared" si="5"/>
        <v>-50458.334999999999</v>
      </c>
      <c r="Q15" s="24">
        <f t="shared" si="5"/>
        <v>-27478.334999999999</v>
      </c>
      <c r="R15" s="24">
        <f t="shared" si="5"/>
        <v>65933.414999999979</v>
      </c>
      <c r="S15" s="2"/>
      <c r="T15" s="2"/>
    </row>
    <row r="16" spans="5:20" ht="6" customHeight="1"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6"/>
      <c r="T16" s="2"/>
    </row>
    <row r="17" spans="5:20">
      <c r="E17" s="30"/>
      <c r="F17" s="2"/>
      <c r="G17" s="30"/>
      <c r="H17" s="30"/>
      <c r="I17" s="30"/>
      <c r="J17" s="30"/>
      <c r="K17" s="30"/>
      <c r="L17" s="30"/>
      <c r="M17" s="30"/>
      <c r="N17" s="30"/>
      <c r="O17" s="30"/>
      <c r="P17" s="2"/>
      <c r="Q17" s="30"/>
      <c r="R17" s="30"/>
      <c r="S17" s="2"/>
      <c r="T17" s="2"/>
    </row>
    <row r="18" spans="5:20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5:20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5:20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5:20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5:20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5:20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5:20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5:20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5:20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5:20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5:20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5:20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5:20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5:20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5:20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5:20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5:20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5:20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5:20">
      <c r="E36" s="21"/>
      <c r="F36" s="21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"/>
    </row>
    <row r="37" spans="5:20" ht="15.5">
      <c r="E37" s="107" t="s">
        <v>201</v>
      </c>
      <c r="F37" s="107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"/>
    </row>
    <row r="38" spans="5:20">
      <c r="E38" s="21" t="s">
        <v>203</v>
      </c>
      <c r="F38" s="108">
        <f>Inputs!B41-(Inputs!B9+Inputs!X4)*12+Inputs!B26</f>
        <v>68577.999999999985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"/>
    </row>
    <row r="39" spans="5:20">
      <c r="E39" s="21" t="s">
        <v>202</v>
      </c>
      <c r="F39" s="108">
        <f>Inputs!B43-(Inputs!B9+Inputs!X5)*12+Inputs!B26</f>
        <v>138604.11999999997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"/>
    </row>
    <row r="40" spans="5:20">
      <c r="E40" s="21" t="s">
        <v>204</v>
      </c>
      <c r="F40" s="108">
        <f>Inputs!B40-(Inputs!B9+Inputs!X7)*12+Inputs!B26</f>
        <v>278656.23999999993</v>
      </c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"/>
    </row>
    <row r="41" spans="5:20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5:20" ht="18.5" hidden="1" customHeight="1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5:20" hidden="1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</sheetData>
  <mergeCells count="1">
    <mergeCell ref="E37:F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6A8C-6309-4190-AF38-360CD3A6F409}">
  <sheetPr>
    <tabColor rgb="FF008000"/>
  </sheetPr>
  <dimension ref="A1:T75"/>
  <sheetViews>
    <sheetView showRowColHeaders="0" zoomScale="80" zoomScaleNormal="80" workbookViewId="0">
      <pane xSplit="2" ySplit="4" topLeftCell="C34" activePane="bottomRight" state="frozen"/>
      <selection pane="topRight" activeCell="C1" sqref="C1"/>
      <selection pane="bottomLeft" activeCell="A5" sqref="A5"/>
      <selection pane="bottomRight" activeCell="B46" sqref="B46"/>
    </sheetView>
  </sheetViews>
  <sheetFormatPr defaultColWidth="0" defaultRowHeight="14.5" customHeight="1" zeroHeight="1"/>
  <cols>
    <col min="1" max="1" width="3.26953125" customWidth="1"/>
    <col min="2" max="2" width="49.08984375" bestFit="1" customWidth="1"/>
    <col min="3" max="3" width="14.26953125" bestFit="1" customWidth="1"/>
    <col min="4" max="4" width="11.6328125" bestFit="1" customWidth="1"/>
    <col min="5" max="6" width="11.54296875" bestFit="1" customWidth="1"/>
    <col min="7" max="10" width="11.6328125" bestFit="1" customWidth="1"/>
    <col min="11" max="11" width="14.26953125" bestFit="1" customWidth="1"/>
    <col min="12" max="12" width="14.26953125" customWidth="1"/>
    <col min="13" max="13" width="3.6328125" customWidth="1"/>
    <col min="21" max="16384" width="9.1796875" hidden="1"/>
  </cols>
  <sheetData>
    <row r="1" spans="1:13" s="36" customFormat="1" ht="30.75" customHeight="1">
      <c r="A1" s="35" t="str">
        <f>"Expected value:  "&amp;rCompanyName</f>
        <v>Expected value:  Sociolite</v>
      </c>
    </row>
    <row r="2" spans="1:13" ht="7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5">
      <c r="A3" s="25"/>
      <c r="B3" s="8"/>
      <c r="C3" s="9">
        <f>EDATE(rStartDate,0)</f>
        <v>44927</v>
      </c>
      <c r="D3" s="9">
        <f>EDATE(C3,3)</f>
        <v>45017</v>
      </c>
      <c r="E3" s="9">
        <f t="shared" ref="E3:I3" si="0">EDATE(D3,3)</f>
        <v>45108</v>
      </c>
      <c r="F3" s="9">
        <f t="shared" si="0"/>
        <v>45200</v>
      </c>
      <c r="G3" s="9">
        <f t="shared" si="0"/>
        <v>45292</v>
      </c>
      <c r="H3" s="9">
        <f t="shared" si="0"/>
        <v>45383</v>
      </c>
      <c r="I3" s="9">
        <f t="shared" si="0"/>
        <v>45474</v>
      </c>
      <c r="J3" s="9">
        <f>EDATE(I3,3)</f>
        <v>45566</v>
      </c>
      <c r="K3" s="9" t="s">
        <v>31</v>
      </c>
      <c r="L3" s="9" t="s">
        <v>178</v>
      </c>
      <c r="M3" s="25"/>
    </row>
    <row r="4" spans="1:13" ht="18.5">
      <c r="A4" s="25"/>
      <c r="B4" s="13" t="s">
        <v>177</v>
      </c>
      <c r="C4" s="2">
        <v>3</v>
      </c>
      <c r="D4" s="2">
        <v>6</v>
      </c>
      <c r="E4" s="2">
        <v>9</v>
      </c>
      <c r="F4" s="2">
        <v>12</v>
      </c>
      <c r="G4" s="2">
        <v>15</v>
      </c>
      <c r="H4" s="2">
        <v>18</v>
      </c>
      <c r="I4" s="2">
        <v>21</v>
      </c>
      <c r="J4" s="2">
        <v>24</v>
      </c>
      <c r="K4" s="11"/>
      <c r="L4" s="2"/>
      <c r="M4" s="25"/>
    </row>
    <row r="5" spans="1:13" ht="18.5">
      <c r="A5" s="25"/>
      <c r="B5" s="13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2"/>
      <c r="M5" s="25"/>
    </row>
    <row r="6" spans="1:13">
      <c r="A6" s="25"/>
      <c r="B6" s="12" t="s">
        <v>0</v>
      </c>
      <c r="C6" s="82">
        <f>SUM(Summary!G4:I4)</f>
        <v>265000</v>
      </c>
      <c r="D6" s="82">
        <f>SUM(Summary!J4:L4)</f>
        <v>165000</v>
      </c>
      <c r="E6" s="82">
        <f>SUM(Summary!M4:O4)</f>
        <v>165000</v>
      </c>
      <c r="F6" s="82">
        <f>SUM(Summary!P4:R4)</f>
        <v>165000</v>
      </c>
      <c r="G6" s="82">
        <f>SUM(Summary!G11:I11)</f>
        <v>96215.999999999985</v>
      </c>
      <c r="H6" s="82">
        <f>SUM(Summary!J11:L11)</f>
        <v>192431.99999999997</v>
      </c>
      <c r="I6" s="82">
        <f>SUM(Summary!M11:O11)</f>
        <v>240539.99999999994</v>
      </c>
      <c r="J6" s="82">
        <f>SUM(Summary!P11:R11)</f>
        <v>240539.99999999994</v>
      </c>
      <c r="K6" s="82">
        <f>SUM(C6:J6)</f>
        <v>1529728</v>
      </c>
      <c r="L6" s="69"/>
      <c r="M6" s="25"/>
    </row>
    <row r="7" spans="1:13">
      <c r="A7" s="25"/>
      <c r="B7" s="10" t="s">
        <v>2</v>
      </c>
      <c r="C7" s="66">
        <f>SUM(C6)</f>
        <v>265000</v>
      </c>
      <c r="D7" s="66">
        <f t="shared" ref="D7:F7" si="1">SUM(D6)</f>
        <v>165000</v>
      </c>
      <c r="E7" s="66">
        <f t="shared" si="1"/>
        <v>165000</v>
      </c>
      <c r="F7" s="66">
        <f t="shared" si="1"/>
        <v>165000</v>
      </c>
      <c r="G7" s="66">
        <f>SUM(G6)</f>
        <v>96215.999999999985</v>
      </c>
      <c r="H7" s="66">
        <f t="shared" ref="H7" si="2">SUM(H6)</f>
        <v>192431.99999999997</v>
      </c>
      <c r="I7" s="66">
        <f t="shared" ref="I7" si="3">SUM(I6)</f>
        <v>240539.99999999994</v>
      </c>
      <c r="J7" s="66">
        <f t="shared" ref="J7" si="4">SUM(J6)</f>
        <v>240539.99999999994</v>
      </c>
      <c r="K7" s="66">
        <f>SUM(K6:K6)</f>
        <v>1529728</v>
      </c>
      <c r="L7" s="2"/>
      <c r="M7" s="25"/>
    </row>
    <row r="8" spans="1:13">
      <c r="A8" s="25"/>
      <c r="B8" s="2"/>
      <c r="C8" s="82"/>
      <c r="D8" s="82"/>
      <c r="E8" s="82"/>
      <c r="F8" s="82"/>
      <c r="G8" s="82"/>
      <c r="H8" s="82"/>
      <c r="I8" s="82"/>
      <c r="J8" s="82"/>
      <c r="K8" s="82"/>
      <c r="L8" s="2"/>
      <c r="M8" s="25"/>
    </row>
    <row r="9" spans="1:13" ht="18.5">
      <c r="A9" s="25"/>
      <c r="B9" s="13" t="s">
        <v>6</v>
      </c>
      <c r="C9" s="82"/>
      <c r="D9" s="82"/>
      <c r="E9" s="82"/>
      <c r="F9" s="82"/>
      <c r="G9" s="82"/>
      <c r="H9" s="82"/>
      <c r="I9" s="82"/>
      <c r="J9" s="82"/>
      <c r="K9" s="82"/>
      <c r="L9" s="2"/>
      <c r="M9" s="25"/>
    </row>
    <row r="10" spans="1:13">
      <c r="A10" s="25"/>
      <c r="B10" s="12" t="s">
        <v>138</v>
      </c>
      <c r="C10" s="83">
        <f>SUM(Summary!G5:I5)</f>
        <v>153817.75</v>
      </c>
      <c r="D10" s="83">
        <f>SUM(Summary!J5:L5)</f>
        <v>132239.75</v>
      </c>
      <c r="E10" s="83">
        <f>SUM(Summary!M5:O5)</f>
        <v>140669.75</v>
      </c>
      <c r="F10" s="83">
        <f>SUM(Summary!P5:R5)</f>
        <v>134952.75</v>
      </c>
      <c r="G10" s="83">
        <f>SUM(Summary!G12:I12)</f>
        <v>183786.18</v>
      </c>
      <c r="H10" s="83">
        <f>SUM(Summary!J12:L12)</f>
        <v>253474.62999999998</v>
      </c>
      <c r="I10" s="83">
        <f>SUM(Summary!M12:O12)</f>
        <v>221230.87999999998</v>
      </c>
      <c r="J10" s="83">
        <f>SUM(Summary!P12:R12)</f>
        <v>252543.25499999998</v>
      </c>
      <c r="K10" s="82">
        <f>SUM(C10:J10)</f>
        <v>1472714.9449999998</v>
      </c>
      <c r="L10" s="69"/>
      <c r="M10" s="25"/>
    </row>
    <row r="11" spans="1:13">
      <c r="A11" s="25"/>
      <c r="B11" s="10" t="s">
        <v>24</v>
      </c>
      <c r="C11" s="82">
        <f>SUM(C10:C10)</f>
        <v>153817.75</v>
      </c>
      <c r="D11" s="82">
        <f t="shared" ref="D11:I11" si="5">SUM(D10:D10)</f>
        <v>132239.75</v>
      </c>
      <c r="E11" s="82">
        <f t="shared" si="5"/>
        <v>140669.75</v>
      </c>
      <c r="F11" s="82">
        <f t="shared" si="5"/>
        <v>134952.75</v>
      </c>
      <c r="G11" s="82">
        <f t="shared" si="5"/>
        <v>183786.18</v>
      </c>
      <c r="H11" s="82">
        <f t="shared" si="5"/>
        <v>253474.62999999998</v>
      </c>
      <c r="I11" s="82">
        <f t="shared" si="5"/>
        <v>221230.87999999998</v>
      </c>
      <c r="J11" s="82">
        <f>SUM(J10)</f>
        <v>252543.25499999998</v>
      </c>
      <c r="K11" s="66">
        <f>SUM(K10:K10)</f>
        <v>1472714.9449999998</v>
      </c>
      <c r="L11" s="2"/>
      <c r="M11" s="25"/>
    </row>
    <row r="12" spans="1:13">
      <c r="A12" s="25"/>
      <c r="B12" s="10" t="s">
        <v>25</v>
      </c>
      <c r="C12" s="66">
        <f>C7-C11</f>
        <v>111182.25</v>
      </c>
      <c r="D12" s="66">
        <f>D7-D11</f>
        <v>32760.25</v>
      </c>
      <c r="E12" s="66">
        <f>E7-E11</f>
        <v>24330.25</v>
      </c>
      <c r="F12" s="66">
        <f>F7-F11</f>
        <v>30047.25</v>
      </c>
      <c r="G12" s="66">
        <f>G7-G11</f>
        <v>-87570.180000000008</v>
      </c>
      <c r="H12" s="66">
        <f>H7-H11</f>
        <v>-61042.630000000005</v>
      </c>
      <c r="I12" s="66">
        <f>I7-I11</f>
        <v>19309.119999999966</v>
      </c>
      <c r="J12" s="66">
        <f>J7-J11</f>
        <v>-12003.255000000034</v>
      </c>
      <c r="K12" s="66"/>
      <c r="L12" s="2"/>
      <c r="M12" s="25"/>
    </row>
    <row r="13" spans="1:13">
      <c r="A13" s="25"/>
      <c r="B13" s="2"/>
      <c r="C13" s="82"/>
      <c r="D13" s="82"/>
      <c r="E13" s="82"/>
      <c r="F13" s="82"/>
      <c r="G13" s="82"/>
      <c r="H13" s="82"/>
      <c r="I13" s="82"/>
      <c r="J13" s="82"/>
      <c r="K13" s="82"/>
      <c r="L13" s="2"/>
      <c r="M13" s="25"/>
    </row>
    <row r="14" spans="1:13">
      <c r="A14" s="25"/>
      <c r="B14" s="10" t="s">
        <v>154</v>
      </c>
      <c r="C14" s="66">
        <f>C12/(1+Inputs!$K$4)^C4</f>
        <v>94630.49482064425</v>
      </c>
      <c r="D14" s="66">
        <f>D12/(1+Inputs!$K$4)^D4</f>
        <v>23732.228001329495</v>
      </c>
      <c r="E14" s="66">
        <f>E12/(1+Inputs!$K$4)^E4</f>
        <v>15001.460009528295</v>
      </c>
      <c r="F14" s="66">
        <f>F12/(1+Inputs!$K$4)^F4</f>
        <v>15768.389533516467</v>
      </c>
      <c r="G14" s="66">
        <f>G12/(1+Inputs!$K$4)^G4</f>
        <v>-39114.204705434597</v>
      </c>
      <c r="H14" s="66">
        <f>H12/(1+Inputs!$K$4)^H4</f>
        <v>-23206.366728380584</v>
      </c>
      <c r="I14" s="66">
        <f>I12/(1+Inputs!$K$4)^I4</f>
        <v>6247.870916290809</v>
      </c>
      <c r="J14" s="66">
        <f>J12/(1+Inputs!$K$4)^J4</f>
        <v>-3305.7061939733931</v>
      </c>
      <c r="K14" s="66">
        <f>SUM(C14:J14)</f>
        <v>89754.165653520744</v>
      </c>
      <c r="L14" s="2"/>
      <c r="M14" s="25"/>
    </row>
    <row r="15" spans="1:13">
      <c r="A15" s="25"/>
      <c r="B15" s="2"/>
      <c r="C15" s="82"/>
      <c r="D15" s="82"/>
      <c r="E15" s="82"/>
      <c r="F15" s="82"/>
      <c r="G15" s="82"/>
      <c r="H15" s="82"/>
      <c r="I15" s="82"/>
      <c r="J15" s="82"/>
      <c r="K15" s="82"/>
      <c r="L15" s="2"/>
      <c r="M15" s="25"/>
    </row>
    <row r="16" spans="1:13">
      <c r="A16" s="25"/>
      <c r="B16" s="10" t="s">
        <v>155</v>
      </c>
      <c r="C16" s="66">
        <f>C14</f>
        <v>94630.49482064425</v>
      </c>
      <c r="D16" s="66">
        <f>C16+D14</f>
        <v>118362.72282197374</v>
      </c>
      <c r="E16" s="66">
        <f>D16+E14</f>
        <v>133364.18283150205</v>
      </c>
      <c r="F16" s="66">
        <f t="shared" ref="F16:I16" si="6">E16+F14</f>
        <v>149132.57236501851</v>
      </c>
      <c r="G16" s="66">
        <f>F16+G14</f>
        <v>110018.36765958392</v>
      </c>
      <c r="H16" s="66">
        <f t="shared" si="6"/>
        <v>86812.000931203336</v>
      </c>
      <c r="I16" s="66">
        <f t="shared" si="6"/>
        <v>93059.871847494142</v>
      </c>
      <c r="J16" s="66">
        <f>I16+J14</f>
        <v>89754.165653520744</v>
      </c>
      <c r="K16" s="66">
        <f>J16</f>
        <v>89754.165653520744</v>
      </c>
      <c r="L16" s="2"/>
      <c r="M16" s="25"/>
    </row>
    <row r="17" spans="1:13">
      <c r="A17" s="25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5"/>
    </row>
    <row r="18" spans="1:13">
      <c r="A18" s="25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25"/>
    </row>
    <row r="19" spans="1:13">
      <c r="A19" s="25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5"/>
    </row>
    <row r="20" spans="1:13" ht="23.5">
      <c r="A20" s="25"/>
      <c r="B20" s="84" t="s">
        <v>191</v>
      </c>
      <c r="C20" s="85"/>
      <c r="D20" s="85"/>
      <c r="E20" s="85"/>
      <c r="F20" s="85"/>
      <c r="G20" s="85"/>
      <c r="H20" s="85"/>
      <c r="I20" s="85"/>
      <c r="J20" s="85"/>
      <c r="K20" s="85"/>
      <c r="L20" s="2"/>
      <c r="M20" s="25"/>
    </row>
    <row r="21" spans="1:13" ht="18.5">
      <c r="A21" s="25"/>
      <c r="B21" s="97" t="s">
        <v>194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5"/>
    </row>
    <row r="22" spans="1:13" ht="18.5">
      <c r="A22" s="25"/>
      <c r="B22" s="13" t="s">
        <v>7</v>
      </c>
      <c r="C22" s="11"/>
      <c r="D22" s="11"/>
      <c r="E22" s="11"/>
      <c r="F22" s="11"/>
      <c r="G22" s="11"/>
      <c r="H22" s="11"/>
      <c r="I22" s="11"/>
      <c r="J22" s="11"/>
      <c r="K22" s="11"/>
      <c r="L22" s="2"/>
      <c r="M22" s="25"/>
    </row>
    <row r="23" spans="1:13">
      <c r="A23" s="25"/>
      <c r="B23" s="12" t="s">
        <v>0</v>
      </c>
      <c r="C23" s="82">
        <f>$C$6</f>
        <v>265000</v>
      </c>
      <c r="D23" s="82">
        <f>$D$6</f>
        <v>165000</v>
      </c>
      <c r="E23" s="82">
        <f t="shared" ref="E23:F23" si="7">$D$6</f>
        <v>165000</v>
      </c>
      <c r="F23" s="82">
        <f t="shared" si="7"/>
        <v>165000</v>
      </c>
      <c r="G23" s="82">
        <f>$G$6+Inputs!$C$47</f>
        <v>120269.99999999999</v>
      </c>
      <c r="H23" s="82">
        <f>$H$6+Inputs!$C$47+Inputs!$C$48</f>
        <v>264593.99999999994</v>
      </c>
      <c r="I23" s="82">
        <f>$I$6+Inputs!$C$47+Inputs!$C$48</f>
        <v>312701.99999999994</v>
      </c>
      <c r="J23" s="82">
        <f>$J$6+Inputs!$C$47+Inputs!$C$48</f>
        <v>312701.99999999994</v>
      </c>
      <c r="K23" s="82">
        <f>SUM(C23:J23)</f>
        <v>1770268</v>
      </c>
      <c r="L23" s="2"/>
      <c r="M23" s="25"/>
    </row>
    <row r="24" spans="1:13">
      <c r="A24" s="25"/>
      <c r="B24" s="10" t="s">
        <v>2</v>
      </c>
      <c r="C24" s="66">
        <f>SUM(C23)</f>
        <v>265000</v>
      </c>
      <c r="D24" s="66">
        <f t="shared" ref="D24" si="8">SUM(D23)</f>
        <v>165000</v>
      </c>
      <c r="E24" s="66">
        <f t="shared" ref="E24" si="9">SUM(E23)</f>
        <v>165000</v>
      </c>
      <c r="F24" s="66">
        <f t="shared" ref="F24" si="10">SUM(F23)</f>
        <v>165000</v>
      </c>
      <c r="G24" s="66">
        <f t="shared" ref="G24" si="11">SUM(G23)</f>
        <v>120269.99999999999</v>
      </c>
      <c r="H24" s="66">
        <f t="shared" ref="H24" si="12">SUM(H23)</f>
        <v>264593.99999999994</v>
      </c>
      <c r="I24" s="66">
        <f t="shared" ref="I24" si="13">SUM(I23)</f>
        <v>312701.99999999994</v>
      </c>
      <c r="J24" s="66">
        <f t="shared" ref="J24" si="14">SUM(J23)</f>
        <v>312701.99999999994</v>
      </c>
      <c r="K24" s="66">
        <f>SUM(K23:K23)</f>
        <v>1770268</v>
      </c>
      <c r="L24" s="2"/>
      <c r="M24" s="25"/>
    </row>
    <row r="25" spans="1:13">
      <c r="A25" s="2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5"/>
    </row>
    <row r="26" spans="1:13" ht="18.5">
      <c r="A26" s="25"/>
      <c r="B26" s="13" t="s">
        <v>6</v>
      </c>
      <c r="C26" s="82"/>
      <c r="D26" s="82"/>
      <c r="E26" s="82"/>
      <c r="F26" s="82"/>
      <c r="G26" s="82"/>
      <c r="H26" s="82"/>
      <c r="I26" s="82"/>
      <c r="J26" s="82"/>
      <c r="K26" s="82"/>
      <c r="L26" s="2"/>
      <c r="M26" s="25"/>
    </row>
    <row r="27" spans="1:13">
      <c r="A27" s="25"/>
      <c r="B27" s="12" t="s">
        <v>138</v>
      </c>
      <c r="C27" s="86">
        <f>$C$11</f>
        <v>153817.75</v>
      </c>
      <c r="D27" s="86">
        <f>$D$11</f>
        <v>132239.75</v>
      </c>
      <c r="E27" s="86">
        <f>$E$11</f>
        <v>140669.75</v>
      </c>
      <c r="F27" s="86">
        <f>$F$11</f>
        <v>134952.75</v>
      </c>
      <c r="G27" s="86">
        <f>$G$11+Inputs!$F$47</f>
        <v>190820.68</v>
      </c>
      <c r="H27" s="86">
        <f>$H$11+Inputs!$F$47+Inputs!$F$48</f>
        <v>274091.09999999998</v>
      </c>
      <c r="I27" s="86">
        <f>$I$11+Inputs!$F$47+Inputs!$F$48</f>
        <v>241847.34999999998</v>
      </c>
      <c r="J27" s="86">
        <f>$J$11+Inputs!$F$47+Inputs!$F$48</f>
        <v>273159.72499999998</v>
      </c>
      <c r="K27" s="82">
        <f>SUM(C27:J27)</f>
        <v>1541598.855</v>
      </c>
      <c r="L27" s="2"/>
      <c r="M27" s="25"/>
    </row>
    <row r="28" spans="1:13">
      <c r="A28" s="25"/>
      <c r="B28" s="10" t="s">
        <v>24</v>
      </c>
      <c r="C28" s="66">
        <f>SUM(C27)</f>
        <v>153817.75</v>
      </c>
      <c r="D28" s="66">
        <f t="shared" ref="D28" si="15">SUM(D27)</f>
        <v>132239.75</v>
      </c>
      <c r="E28" s="66">
        <f t="shared" ref="E28" si="16">SUM(E27)</f>
        <v>140669.75</v>
      </c>
      <c r="F28" s="66">
        <f>SUM(F27)</f>
        <v>134952.75</v>
      </c>
      <c r="G28" s="66">
        <f t="shared" ref="G28" si="17">SUM(G27)</f>
        <v>190820.68</v>
      </c>
      <c r="H28" s="66">
        <f t="shared" ref="H28" si="18">SUM(H27)</f>
        <v>274091.09999999998</v>
      </c>
      <c r="I28" s="66">
        <f t="shared" ref="I28" si="19">SUM(I27)</f>
        <v>241847.34999999998</v>
      </c>
      <c r="J28" s="66">
        <f t="shared" ref="J28" si="20">SUM(J27)</f>
        <v>273159.72499999998</v>
      </c>
      <c r="K28" s="66">
        <f>SUM(K27:K27)</f>
        <v>1541598.855</v>
      </c>
      <c r="L28" s="2"/>
      <c r="M28" s="25"/>
    </row>
    <row r="29" spans="1:13">
      <c r="A29" s="25"/>
      <c r="B29" s="2" t="s">
        <v>179</v>
      </c>
      <c r="C29" s="82">
        <f>C24-C27</f>
        <v>111182.25</v>
      </c>
      <c r="D29" s="82">
        <f t="shared" ref="D29:J29" si="21">D24-D27</f>
        <v>32760.25</v>
      </c>
      <c r="E29" s="82">
        <f t="shared" si="21"/>
        <v>24330.25</v>
      </c>
      <c r="F29" s="82">
        <f t="shared" si="21"/>
        <v>30047.25</v>
      </c>
      <c r="G29" s="82">
        <f t="shared" si="21"/>
        <v>-70550.680000000008</v>
      </c>
      <c r="H29" s="82">
        <f t="shared" si="21"/>
        <v>-9497.1000000000349</v>
      </c>
      <c r="I29" s="82">
        <f t="shared" si="21"/>
        <v>70854.649999999965</v>
      </c>
      <c r="J29" s="82">
        <f t="shared" si="21"/>
        <v>39542.274999999965</v>
      </c>
      <c r="K29" s="96">
        <f>SUM(C29:J29)</f>
        <v>228669.1449999999</v>
      </c>
      <c r="L29" s="96"/>
      <c r="M29" s="25"/>
    </row>
    <row r="30" spans="1:13">
      <c r="A30" s="25"/>
      <c r="B30" s="2" t="s">
        <v>154</v>
      </c>
      <c r="C30" s="82"/>
      <c r="D30" s="82"/>
      <c r="E30" s="82"/>
      <c r="F30" s="82">
        <f>SUM(C29:F29)/((1+Inputs!K3)^1)</f>
        <v>187945.413191812</v>
      </c>
      <c r="G30" s="82"/>
      <c r="H30" s="82"/>
      <c r="I30" s="82"/>
      <c r="J30" s="82">
        <f>SUM(G29:J29)/((1+Inputs!O3)^2)</f>
        <v>30349.144999999888</v>
      </c>
      <c r="K30" s="98">
        <f>SUM(C30:J30)</f>
        <v>218294.5581918119</v>
      </c>
      <c r="L30" s="99">
        <f>K30*30%</f>
        <v>65488.367457543565</v>
      </c>
      <c r="M30" s="25"/>
    </row>
    <row r="31" spans="1:13">
      <c r="A31" s="25"/>
      <c r="B31" s="2"/>
      <c r="C31" s="69"/>
      <c r="D31" s="2"/>
      <c r="E31" s="2"/>
      <c r="F31" s="2"/>
      <c r="G31" s="2"/>
      <c r="H31" s="2"/>
      <c r="I31" s="2"/>
      <c r="J31" s="2"/>
      <c r="K31" s="2"/>
      <c r="L31" s="2"/>
      <c r="M31" s="25"/>
    </row>
    <row r="32" spans="1:13" ht="14.5" customHeight="1">
      <c r="A32" s="25"/>
      <c r="B32" s="25"/>
      <c r="C32" s="100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ht="23.5">
      <c r="A33" s="102"/>
      <c r="B33" s="84" t="s">
        <v>192</v>
      </c>
      <c r="C33" s="85"/>
      <c r="D33" s="85"/>
      <c r="E33" s="85"/>
      <c r="F33" s="85"/>
      <c r="G33" s="85"/>
      <c r="H33" s="85"/>
      <c r="I33" s="85"/>
      <c r="J33" s="85"/>
      <c r="K33" s="85"/>
      <c r="L33" s="2"/>
      <c r="M33" s="102"/>
    </row>
    <row r="34" spans="1:13" ht="18.5">
      <c r="A34" s="102"/>
      <c r="B34" s="97" t="s">
        <v>193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102"/>
    </row>
    <row r="35" spans="1:13" ht="18.5">
      <c r="A35" s="102"/>
      <c r="B35" s="13" t="s">
        <v>7</v>
      </c>
      <c r="C35" s="11"/>
      <c r="D35" s="11"/>
      <c r="E35" s="11"/>
      <c r="F35" s="11"/>
      <c r="G35" s="11"/>
      <c r="H35" s="11"/>
      <c r="I35" s="11"/>
      <c r="J35" s="11"/>
      <c r="K35" s="11"/>
      <c r="L35" s="2"/>
      <c r="M35" s="102"/>
    </row>
    <row r="36" spans="1:13">
      <c r="A36" s="102"/>
      <c r="B36" s="12" t="s">
        <v>0</v>
      </c>
      <c r="C36" s="82">
        <f>$C$6</f>
        <v>265000</v>
      </c>
      <c r="D36" s="82">
        <f>$D$6</f>
        <v>165000</v>
      </c>
      <c r="E36" s="82">
        <f t="shared" ref="E36:F36" si="22">$D$6</f>
        <v>165000</v>
      </c>
      <c r="F36" s="82">
        <f t="shared" si="22"/>
        <v>165000</v>
      </c>
      <c r="G36" s="82">
        <f>$G$6</f>
        <v>96215.999999999985</v>
      </c>
      <c r="H36" s="82">
        <f>$H$6</f>
        <v>192431.99999999997</v>
      </c>
      <c r="I36" s="82">
        <f>$I$6</f>
        <v>240539.99999999994</v>
      </c>
      <c r="J36" s="82">
        <f>$J$6</f>
        <v>240539.99999999994</v>
      </c>
      <c r="K36" s="82">
        <f>SUM(C36:J36)</f>
        <v>1529728</v>
      </c>
      <c r="L36" s="2"/>
      <c r="M36" s="102"/>
    </row>
    <row r="37" spans="1:13">
      <c r="A37" s="102"/>
      <c r="B37" s="10" t="s">
        <v>2</v>
      </c>
      <c r="C37" s="66">
        <f>SUM(C36)</f>
        <v>265000</v>
      </c>
      <c r="D37" s="66">
        <f t="shared" ref="D37" si="23">SUM(D36)</f>
        <v>165000</v>
      </c>
      <c r="E37" s="66">
        <f t="shared" ref="E37" si="24">SUM(E36)</f>
        <v>165000</v>
      </c>
      <c r="F37" s="66">
        <f t="shared" ref="F37" si="25">SUM(F36)</f>
        <v>165000</v>
      </c>
      <c r="G37" s="66">
        <f t="shared" ref="G37" si="26">SUM(G36)</f>
        <v>96215.999999999985</v>
      </c>
      <c r="H37" s="66">
        <f t="shared" ref="H37" si="27">SUM(H36)</f>
        <v>192431.99999999997</v>
      </c>
      <c r="I37" s="66">
        <f t="shared" ref="I37" si="28">SUM(I36)</f>
        <v>240539.99999999994</v>
      </c>
      <c r="J37" s="66">
        <f t="shared" ref="J37" si="29">SUM(J36)</f>
        <v>240539.99999999994</v>
      </c>
      <c r="K37" s="66">
        <f>SUM(K36:K36)</f>
        <v>1529728</v>
      </c>
      <c r="L37" s="2"/>
      <c r="M37" s="102"/>
    </row>
    <row r="38" spans="1:13">
      <c r="A38" s="10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02"/>
    </row>
    <row r="39" spans="1:13" ht="18.5">
      <c r="A39" s="102"/>
      <c r="B39" s="13" t="s">
        <v>6</v>
      </c>
      <c r="C39" s="82"/>
      <c r="D39" s="82"/>
      <c r="E39" s="82"/>
      <c r="F39" s="82"/>
      <c r="G39" s="82"/>
      <c r="H39" s="82"/>
      <c r="I39" s="82"/>
      <c r="J39" s="82"/>
      <c r="K39" s="82"/>
      <c r="L39" s="2"/>
      <c r="M39" s="102"/>
    </row>
    <row r="40" spans="1:13">
      <c r="A40" s="102"/>
      <c r="B40" s="12" t="s">
        <v>138</v>
      </c>
      <c r="C40" s="86">
        <f>$C$11</f>
        <v>153817.75</v>
      </c>
      <c r="D40" s="86">
        <f>$D$11</f>
        <v>132239.75</v>
      </c>
      <c r="E40" s="86">
        <f>$E$11</f>
        <v>140669.75</v>
      </c>
      <c r="F40" s="86">
        <f>$F$11</f>
        <v>134952.75</v>
      </c>
      <c r="G40" s="86">
        <f>$G$11</f>
        <v>183786.18</v>
      </c>
      <c r="H40" s="86">
        <f>$H$11</f>
        <v>253474.62999999998</v>
      </c>
      <c r="I40" s="86">
        <f>$I$11</f>
        <v>221230.87999999998</v>
      </c>
      <c r="J40" s="86">
        <f>$J$11</f>
        <v>252543.25499999998</v>
      </c>
      <c r="K40" s="82">
        <f>SUM(C40:J40)</f>
        <v>1472714.9449999998</v>
      </c>
      <c r="L40" s="2"/>
      <c r="M40" s="102"/>
    </row>
    <row r="41" spans="1:13">
      <c r="A41" s="102"/>
      <c r="B41" s="10" t="s">
        <v>24</v>
      </c>
      <c r="C41" s="66">
        <f>SUM(C40)</f>
        <v>153817.75</v>
      </c>
      <c r="D41" s="66">
        <f t="shared" ref="D41" si="30">SUM(D40)</f>
        <v>132239.75</v>
      </c>
      <c r="E41" s="66">
        <f t="shared" ref="E41" si="31">SUM(E40)</f>
        <v>140669.75</v>
      </c>
      <c r="F41" s="66">
        <f>SUM(F40)</f>
        <v>134952.75</v>
      </c>
      <c r="G41" s="66">
        <f t="shared" ref="G41" si="32">SUM(G40)</f>
        <v>183786.18</v>
      </c>
      <c r="H41" s="66">
        <f t="shared" ref="H41" si="33">SUM(H40)</f>
        <v>253474.62999999998</v>
      </c>
      <c r="I41" s="66">
        <f t="shared" ref="I41" si="34">SUM(I40)</f>
        <v>221230.87999999998</v>
      </c>
      <c r="J41" s="66">
        <f t="shared" ref="J41" si="35">SUM(J40)</f>
        <v>252543.25499999998</v>
      </c>
      <c r="K41" s="66">
        <f>SUM(K40:K40)</f>
        <v>1472714.9449999998</v>
      </c>
      <c r="L41" s="2"/>
      <c r="M41" s="102"/>
    </row>
    <row r="42" spans="1:13">
      <c r="A42" s="102"/>
      <c r="B42" s="2" t="s">
        <v>179</v>
      </c>
      <c r="C42" s="82">
        <f>C37-C40</f>
        <v>111182.25</v>
      </c>
      <c r="D42" s="82">
        <f t="shared" ref="D42:J42" si="36">D37-D40</f>
        <v>32760.25</v>
      </c>
      <c r="E42" s="82">
        <f t="shared" si="36"/>
        <v>24330.25</v>
      </c>
      <c r="F42" s="82">
        <f t="shared" si="36"/>
        <v>30047.25</v>
      </c>
      <c r="G42" s="82">
        <f t="shared" si="36"/>
        <v>-87570.180000000008</v>
      </c>
      <c r="H42" s="82">
        <f t="shared" si="36"/>
        <v>-61042.630000000005</v>
      </c>
      <c r="I42" s="82">
        <f t="shared" si="36"/>
        <v>19309.119999999966</v>
      </c>
      <c r="J42" s="82">
        <f t="shared" si="36"/>
        <v>-12003.255000000034</v>
      </c>
      <c r="K42" s="96">
        <f>SUM(C42:J42)</f>
        <v>57013.05499999992</v>
      </c>
      <c r="L42" s="96"/>
      <c r="M42" s="102"/>
    </row>
    <row r="43" spans="1:13">
      <c r="A43" s="102"/>
      <c r="B43" t="s">
        <v>154</v>
      </c>
      <c r="C43" s="82"/>
      <c r="D43" s="82"/>
      <c r="E43" s="82"/>
      <c r="F43" s="82">
        <f>SUM($C$42:$F$42)/(1+Inputs!K3)^1</f>
        <v>187945.413191812</v>
      </c>
      <c r="G43" s="82"/>
      <c r="H43" s="82"/>
      <c r="I43" s="82"/>
      <c r="J43" s="82">
        <f>SUM($G$42:$J$42)/((1+Inputs!O3)^2)</f>
        <v>-141306.94500000007</v>
      </c>
      <c r="K43" s="98">
        <f>SUM(C43:J43)</f>
        <v>46638.468191811931</v>
      </c>
      <c r="L43" s="99">
        <f>K43*40%</f>
        <v>18655.387276724774</v>
      </c>
      <c r="M43" s="102"/>
    </row>
    <row r="44" spans="1:13" ht="14.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</row>
    <row r="45" spans="1:13" ht="23.5">
      <c r="A45" s="102"/>
      <c r="B45" s="84" t="s">
        <v>197</v>
      </c>
      <c r="C45" s="85"/>
      <c r="D45" s="85"/>
      <c r="E45" s="85"/>
      <c r="F45" s="85"/>
      <c r="G45" s="85"/>
      <c r="H45" s="85"/>
      <c r="I45" s="85"/>
      <c r="J45" s="85"/>
      <c r="K45" s="85"/>
      <c r="L45" s="2"/>
      <c r="M45" s="102"/>
    </row>
    <row r="46" spans="1:13" ht="18.5">
      <c r="A46" s="102"/>
      <c r="B46" s="97" t="s">
        <v>198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102"/>
    </row>
    <row r="47" spans="1:13" ht="18.5">
      <c r="A47" s="102"/>
      <c r="B47" s="13" t="s">
        <v>7</v>
      </c>
      <c r="C47" s="11"/>
      <c r="D47" s="11"/>
      <c r="E47" s="11"/>
      <c r="F47" s="11"/>
      <c r="G47" s="11"/>
      <c r="H47" s="11"/>
      <c r="I47" s="11"/>
      <c r="J47" s="11"/>
      <c r="K47" s="11"/>
      <c r="L47" s="2"/>
      <c r="M47" s="102"/>
    </row>
    <row r="48" spans="1:13">
      <c r="A48" s="102"/>
      <c r="B48" s="12" t="s">
        <v>0</v>
      </c>
      <c r="C48" s="82">
        <f>$C$6</f>
        <v>265000</v>
      </c>
      <c r="D48" s="82">
        <f>$D$6</f>
        <v>165000</v>
      </c>
      <c r="E48" s="82">
        <f t="shared" ref="E48:F48" si="37">$D$6</f>
        <v>165000</v>
      </c>
      <c r="F48" s="82">
        <f t="shared" si="37"/>
        <v>165000</v>
      </c>
      <c r="G48" s="82">
        <f>$G$6-Inputs!$C$47</f>
        <v>72161.999999999985</v>
      </c>
      <c r="H48" s="82">
        <f>$H$6-Inputs!$C$47-Inputs!C48</f>
        <v>120269.99999999997</v>
      </c>
      <c r="I48" s="82">
        <f>$I$6-Inputs!$C$47-Inputs!C48</f>
        <v>168377.99999999994</v>
      </c>
      <c r="J48" s="82">
        <f>$J$6-Inputs!$C$47-Inputs!$C$48</f>
        <v>168377.99999999994</v>
      </c>
      <c r="K48" s="82">
        <f>SUM(C48:J48)</f>
        <v>1289188</v>
      </c>
      <c r="L48" s="2"/>
      <c r="M48" s="102"/>
    </row>
    <row r="49" spans="1:13">
      <c r="A49" s="102"/>
      <c r="B49" s="10" t="s">
        <v>2</v>
      </c>
      <c r="C49" s="66">
        <f>SUM(C48)</f>
        <v>265000</v>
      </c>
      <c r="D49" s="66">
        <f t="shared" ref="D49" si="38">SUM(D48)</f>
        <v>165000</v>
      </c>
      <c r="E49" s="66">
        <f t="shared" ref="E49" si="39">SUM(E48)</f>
        <v>165000</v>
      </c>
      <c r="F49" s="66">
        <f t="shared" ref="F49" si="40">SUM(F48)</f>
        <v>165000</v>
      </c>
      <c r="G49" s="66">
        <f t="shared" ref="G49" si="41">SUM(G48)</f>
        <v>72161.999999999985</v>
      </c>
      <c r="H49" s="66">
        <f t="shared" ref="H49" si="42">SUM(H48)</f>
        <v>120269.99999999997</v>
      </c>
      <c r="I49" s="66">
        <f t="shared" ref="I49" si="43">SUM(I48)</f>
        <v>168377.99999999994</v>
      </c>
      <c r="J49" s="66">
        <f t="shared" ref="J49" si="44">SUM(J48)</f>
        <v>168377.99999999994</v>
      </c>
      <c r="K49" s="66">
        <f>SUM(K48:K48)</f>
        <v>1289188</v>
      </c>
      <c r="L49" s="2"/>
      <c r="M49" s="102"/>
    </row>
    <row r="50" spans="1:13">
      <c r="A50" s="10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02"/>
    </row>
    <row r="51" spans="1:13" ht="18.5">
      <c r="A51" s="102"/>
      <c r="B51" s="13" t="s">
        <v>6</v>
      </c>
      <c r="C51" s="82"/>
      <c r="D51" s="82"/>
      <c r="E51" s="82"/>
      <c r="F51" s="82"/>
      <c r="G51" s="82"/>
      <c r="H51" s="82"/>
      <c r="I51" s="82"/>
      <c r="J51" s="82"/>
      <c r="K51" s="82"/>
      <c r="L51" s="2"/>
      <c r="M51" s="102"/>
    </row>
    <row r="52" spans="1:13">
      <c r="A52" s="102"/>
      <c r="B52" s="12" t="s">
        <v>138</v>
      </c>
      <c r="C52" s="86">
        <f>$C$11</f>
        <v>153817.75</v>
      </c>
      <c r="D52" s="86">
        <f>$D$11</f>
        <v>132239.75</v>
      </c>
      <c r="E52" s="86">
        <f>$E$11</f>
        <v>140669.75</v>
      </c>
      <c r="F52" s="86">
        <f>$F$11</f>
        <v>134952.75</v>
      </c>
      <c r="G52" s="86">
        <f>G11-Inputs!$F$47</f>
        <v>176751.68</v>
      </c>
      <c r="H52" s="86">
        <f>H11-Inputs!$F$47-Inputs!$F$48</f>
        <v>232858.15999999997</v>
      </c>
      <c r="I52" s="86">
        <f>I11-Inputs!$F$47-Inputs!$F$48</f>
        <v>200614.40999999997</v>
      </c>
      <c r="J52" s="86">
        <f>J11-Inputs!$F$47-Inputs!$F$48</f>
        <v>231926.78499999997</v>
      </c>
      <c r="K52" s="82">
        <f>SUM(C52:J52)</f>
        <v>1403831.0349999997</v>
      </c>
      <c r="L52" s="2"/>
      <c r="M52" s="102"/>
    </row>
    <row r="53" spans="1:13">
      <c r="A53" s="102"/>
      <c r="B53" s="10" t="s">
        <v>24</v>
      </c>
      <c r="C53" s="66">
        <f>SUM(C52)</f>
        <v>153817.75</v>
      </c>
      <c r="D53" s="66">
        <f t="shared" ref="D53" si="45">SUM(D52)</f>
        <v>132239.75</v>
      </c>
      <c r="E53" s="66">
        <f t="shared" ref="E53" si="46">SUM(E52)</f>
        <v>140669.75</v>
      </c>
      <c r="F53" s="66">
        <f>SUM(F52)</f>
        <v>134952.75</v>
      </c>
      <c r="G53" s="66">
        <f t="shared" ref="G53" si="47">SUM(G52)</f>
        <v>176751.68</v>
      </c>
      <c r="H53" s="66">
        <f t="shared" ref="H53" si="48">SUM(H52)</f>
        <v>232858.15999999997</v>
      </c>
      <c r="I53" s="66">
        <f t="shared" ref="I53" si="49">SUM(I52)</f>
        <v>200614.40999999997</v>
      </c>
      <c r="J53" s="66">
        <f t="shared" ref="J53" si="50">SUM(J52)</f>
        <v>231926.78499999997</v>
      </c>
      <c r="K53" s="66">
        <f>SUM(K52:K52)</f>
        <v>1403831.0349999997</v>
      </c>
      <c r="L53" s="2"/>
      <c r="M53" s="102"/>
    </row>
    <row r="54" spans="1:13">
      <c r="A54" s="102"/>
      <c r="B54" s="2" t="s">
        <v>179</v>
      </c>
      <c r="C54" s="82">
        <f>C49-C53</f>
        <v>111182.25</v>
      </c>
      <c r="D54" s="82">
        <f t="shared" ref="D54:J54" si="51">D49-D53</f>
        <v>32760.25</v>
      </c>
      <c r="E54" s="82">
        <f t="shared" si="51"/>
        <v>24330.25</v>
      </c>
      <c r="F54" s="82">
        <f t="shared" si="51"/>
        <v>30047.25</v>
      </c>
      <c r="G54" s="82">
        <f t="shared" si="51"/>
        <v>-104589.68000000001</v>
      </c>
      <c r="H54" s="82">
        <f t="shared" si="51"/>
        <v>-112588.16</v>
      </c>
      <c r="I54" s="82">
        <f t="shared" si="51"/>
        <v>-32236.410000000033</v>
      </c>
      <c r="J54" s="82">
        <f t="shared" si="51"/>
        <v>-63548.785000000033</v>
      </c>
      <c r="K54" s="96">
        <f>SUM(C54:J54)</f>
        <v>-114643.03500000008</v>
      </c>
      <c r="L54" s="96"/>
      <c r="M54" s="102"/>
    </row>
    <row r="55" spans="1:13">
      <c r="A55" s="102"/>
      <c r="B55" t="s">
        <v>154</v>
      </c>
      <c r="C55" s="82"/>
      <c r="D55" s="82"/>
      <c r="E55" s="82"/>
      <c r="F55" s="82">
        <f>SUM($C$54:$F$54)/(1+Inputs!K15)^1</f>
        <v>198320</v>
      </c>
      <c r="G55" s="82"/>
      <c r="H55" s="82"/>
      <c r="I55" s="82"/>
      <c r="J55" s="82">
        <f>SUM($G$54:$J$54)/((1+Inputs!O15)^2)</f>
        <v>-312963.03500000009</v>
      </c>
      <c r="K55" s="106">
        <f>SUM(C55:J55)</f>
        <v>-114643.03500000009</v>
      </c>
      <c r="L55" s="99">
        <f>K55*40%</f>
        <v>-45857.214000000036</v>
      </c>
      <c r="M55" s="102"/>
    </row>
    <row r="56" spans="1:13" ht="14.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</row>
    <row r="57" spans="1:13" ht="23">
      <c r="A57" s="102"/>
      <c r="B57" s="104" t="s">
        <v>200</v>
      </c>
      <c r="C57" s="105"/>
      <c r="D57" s="102"/>
    </row>
    <row r="58" spans="1:13" ht="14.5" customHeight="1">
      <c r="A58" s="102"/>
      <c r="B58" t="s">
        <v>199</v>
      </c>
      <c r="C58" s="103">
        <f>SUM(L55+L43+L30)</f>
        <v>38286.540734268303</v>
      </c>
      <c r="D58" s="102"/>
    </row>
    <row r="59" spans="1:13" ht="14.5" customHeight="1">
      <c r="A59" s="102"/>
      <c r="B59" s="102"/>
      <c r="C59" s="102"/>
      <c r="D59" s="102"/>
    </row>
    <row r="60" spans="1:13" ht="14.5" customHeight="1"/>
    <row r="61" spans="1:13" ht="14.5" customHeight="1"/>
    <row r="62" spans="1:13" ht="14.5" customHeight="1"/>
    <row r="63" spans="1:13" ht="14.5" customHeight="1"/>
    <row r="64" spans="1:13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</sheetData>
  <sheetProtection selectLockedCells="1"/>
  <conditionalFormatting sqref="C12:K12 C14:K14 C16:K16">
    <cfRule type="cellIs" dxfId="7" priority="10" operator="lessThan">
      <formula>0</formula>
    </cfRule>
  </conditionalFormatting>
  <conditionalFormatting sqref="C10:J10">
    <cfRule type="expression" dxfId="6" priority="9">
      <formula>_xlfn.ISFORMULA(C10)=FALSE</formula>
    </cfRule>
  </conditionalFormatting>
  <conditionalFormatting sqref="C27:J27">
    <cfRule type="expression" dxfId="5" priority="6">
      <formula>_xlfn.ISFORMULA(C27)=FALSE</formula>
    </cfRule>
  </conditionalFormatting>
  <conditionalFormatting sqref="C40:J40">
    <cfRule type="expression" dxfId="1" priority="2">
      <formula>_xlfn.ISFORMULA(C40)=FALSE</formula>
    </cfRule>
  </conditionalFormatting>
  <conditionalFormatting sqref="C52:J52">
    <cfRule type="expression" dxfId="0" priority="1">
      <formula>_xlfn.ISFORMULA(C52)=FALSE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5AD1-A1F3-4DEF-B49A-95CC1AA27162}">
  <sheetPr>
    <tabColor rgb="FF008000"/>
  </sheetPr>
  <dimension ref="A1:CI59"/>
  <sheetViews>
    <sheetView topLeftCell="A24" workbookViewId="0">
      <selection activeCell="F48" sqref="F48"/>
    </sheetView>
  </sheetViews>
  <sheetFormatPr defaultRowHeight="14.5"/>
  <cols>
    <col min="1" max="1" width="84.36328125" bestFit="1" customWidth="1"/>
    <col min="2" max="2" width="14.54296875" bestFit="1" customWidth="1"/>
    <col min="3" max="3" width="18.7265625" bestFit="1" customWidth="1"/>
    <col min="4" max="4" width="8.7265625" customWidth="1"/>
    <col min="5" max="5" width="10.26953125" customWidth="1"/>
    <col min="6" max="6" width="14.26953125" bestFit="1" customWidth="1"/>
    <col min="7" max="7" width="9.26953125" customWidth="1"/>
    <col min="9" max="9" width="18.36328125" bestFit="1" customWidth="1"/>
    <col min="11" max="11" width="12.90625" bestFit="1" customWidth="1"/>
    <col min="22" max="22" width="12.26953125" customWidth="1"/>
    <col min="23" max="23" width="12.7265625" customWidth="1"/>
    <col min="24" max="25" width="21.1796875" customWidth="1"/>
  </cols>
  <sheetData>
    <row r="1" spans="1:87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</row>
    <row r="2" spans="1:87">
      <c r="A2" s="38" t="s">
        <v>53</v>
      </c>
      <c r="B2" s="38" t="s">
        <v>54</v>
      </c>
      <c r="C2" s="38" t="s">
        <v>55</v>
      </c>
      <c r="D2" s="39" t="s">
        <v>56</v>
      </c>
      <c r="E2" s="38" t="s">
        <v>57</v>
      </c>
      <c r="F2" s="38" t="s">
        <v>58</v>
      </c>
      <c r="G2" s="39" t="s">
        <v>59</v>
      </c>
      <c r="H2" s="38" t="s">
        <v>60</v>
      </c>
      <c r="I2" s="39" t="s">
        <v>61</v>
      </c>
      <c r="J2" s="39" t="s">
        <v>62</v>
      </c>
      <c r="K2" s="40" t="s">
        <v>63</v>
      </c>
      <c r="L2" s="42" t="s">
        <v>64</v>
      </c>
      <c r="M2" s="37"/>
      <c r="N2" s="37"/>
      <c r="O2" s="37"/>
      <c r="P2" s="37"/>
      <c r="Q2" s="37"/>
      <c r="R2" s="37"/>
      <c r="S2" s="37"/>
      <c r="T2" s="37"/>
      <c r="U2" s="37" t="s">
        <v>141</v>
      </c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</row>
    <row r="3" spans="1:87" ht="15.5">
      <c r="A3" s="43" t="s">
        <v>65</v>
      </c>
      <c r="B3" s="44">
        <v>36</v>
      </c>
      <c r="C3" s="44" t="s">
        <v>66</v>
      </c>
      <c r="D3" s="45" t="s">
        <v>67</v>
      </c>
      <c r="E3" s="45" t="s">
        <v>68</v>
      </c>
      <c r="F3" s="45" t="s">
        <v>69</v>
      </c>
      <c r="G3" s="45" t="s">
        <v>70</v>
      </c>
      <c r="H3" s="45" t="s">
        <v>71</v>
      </c>
      <c r="I3" s="45" t="s">
        <v>72</v>
      </c>
      <c r="J3" s="45" t="s">
        <v>73</v>
      </c>
      <c r="K3" s="67">
        <v>5.5199999999999999E-2</v>
      </c>
      <c r="L3" s="37"/>
      <c r="M3" s="37"/>
      <c r="N3" s="37"/>
      <c r="O3" s="37"/>
      <c r="P3" s="37"/>
      <c r="Q3" s="37"/>
      <c r="R3" s="37"/>
      <c r="S3" s="37"/>
      <c r="T3" s="37"/>
      <c r="U3" s="61" t="s">
        <v>142</v>
      </c>
      <c r="V3" s="60" t="s">
        <v>146</v>
      </c>
      <c r="W3" s="60" t="s">
        <v>145</v>
      </c>
      <c r="X3" s="60" t="s">
        <v>143</v>
      </c>
      <c r="Y3" s="60" t="s">
        <v>144</v>
      </c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</row>
    <row r="4" spans="1:87" ht="16">
      <c r="A4" s="37"/>
      <c r="B4" s="37"/>
      <c r="C4" s="37"/>
      <c r="D4" s="37"/>
      <c r="E4" s="37"/>
      <c r="F4" s="37"/>
      <c r="G4" s="37"/>
      <c r="H4" s="37"/>
      <c r="I4" s="37"/>
      <c r="J4" s="37"/>
      <c r="K4" s="37">
        <v>5.5199999999999999E-2</v>
      </c>
      <c r="L4" s="37"/>
      <c r="M4" s="37"/>
      <c r="N4" s="37"/>
      <c r="O4" s="37"/>
      <c r="P4" s="37"/>
      <c r="Q4" s="37"/>
      <c r="R4" s="37"/>
      <c r="S4" s="37"/>
      <c r="T4" s="37"/>
      <c r="U4" s="37">
        <v>2</v>
      </c>
      <c r="V4" s="37">
        <v>10.199999999999999</v>
      </c>
      <c r="W4" s="37">
        <v>2773.02</v>
      </c>
      <c r="X4" s="59">
        <v>2182.5</v>
      </c>
      <c r="Y4" s="59">
        <v>1845.14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</row>
    <row r="5" spans="1:87" ht="16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>
        <v>4</v>
      </c>
      <c r="V5" s="37">
        <v>20.399999999999999</v>
      </c>
      <c r="W5" s="59">
        <v>5546.03</v>
      </c>
      <c r="X5" s="59">
        <v>4364.99</v>
      </c>
      <c r="Y5" s="59">
        <v>3690.28</v>
      </c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87" ht="16">
      <c r="A6" s="46" t="s">
        <v>137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>
        <v>6</v>
      </c>
      <c r="V6" s="37">
        <v>30.6</v>
      </c>
      <c r="W6" s="59">
        <v>8319.0400000000009</v>
      </c>
      <c r="X6" s="59">
        <v>6547.49</v>
      </c>
      <c r="Y6" s="59">
        <v>5535.42</v>
      </c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</row>
    <row r="7" spans="1:87" ht="16"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>
        <v>8</v>
      </c>
      <c r="V7" s="37">
        <v>40.799999999999997</v>
      </c>
      <c r="W7" s="59">
        <v>11092.05</v>
      </c>
      <c r="X7" s="59">
        <v>8729.98</v>
      </c>
      <c r="Y7" s="59">
        <v>7380.56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</row>
    <row r="8" spans="1:87" ht="16">
      <c r="A8" s="37" t="s">
        <v>76</v>
      </c>
      <c r="B8" s="48">
        <v>45</v>
      </c>
      <c r="C8" s="37" t="s">
        <v>77</v>
      </c>
      <c r="D8" s="42" t="s">
        <v>78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>
        <v>10</v>
      </c>
      <c r="V8" s="37">
        <v>51</v>
      </c>
      <c r="W8" s="59">
        <v>13865.06</v>
      </c>
      <c r="X8" s="59">
        <v>10912.48</v>
      </c>
      <c r="Y8" s="59">
        <v>9225.7000000000007</v>
      </c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</row>
    <row r="9" spans="1:87" ht="16">
      <c r="A9" s="37"/>
      <c r="B9" s="48">
        <v>129</v>
      </c>
      <c r="C9" s="37" t="s">
        <v>79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>
        <v>12</v>
      </c>
      <c r="V9" s="37">
        <v>61.2</v>
      </c>
      <c r="W9" s="59">
        <v>16638.07</v>
      </c>
      <c r="X9" s="59">
        <v>13094.97</v>
      </c>
      <c r="Y9" s="59">
        <v>11070.84</v>
      </c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</row>
    <row r="10" spans="1:87">
      <c r="A10" s="37" t="s">
        <v>139</v>
      </c>
      <c r="B10" s="47">
        <f>B26+B8*6+B9*6</f>
        <v>1144</v>
      </c>
      <c r="C10" s="37" t="s">
        <v>140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</row>
    <row r="11" spans="1:87">
      <c r="A11" s="37"/>
      <c r="B11" s="51"/>
      <c r="C11" s="37"/>
      <c r="D11" s="42"/>
      <c r="E11" s="37"/>
      <c r="J11" s="37"/>
      <c r="K11" s="37"/>
      <c r="L11" s="37"/>
      <c r="M11" s="37"/>
      <c r="N11" s="42" t="s">
        <v>91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</row>
    <row r="12" spans="1:87">
      <c r="A12" s="58" t="s">
        <v>138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</row>
    <row r="13" spans="1:87">
      <c r="A13" s="37" t="s">
        <v>80</v>
      </c>
      <c r="B13" s="50">
        <v>4888</v>
      </c>
      <c r="C13" s="37" t="s">
        <v>81</v>
      </c>
      <c r="D13" s="42" t="s">
        <v>82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</row>
    <row r="14" spans="1:87">
      <c r="A14" s="37" t="s">
        <v>83</v>
      </c>
      <c r="B14" s="48">
        <v>2590</v>
      </c>
      <c r="C14" s="37" t="s">
        <v>81</v>
      </c>
      <c r="D14" s="42" t="s">
        <v>84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</row>
    <row r="15" spans="1:87">
      <c r="A15" s="37" t="s">
        <v>152</v>
      </c>
      <c r="B15" s="62">
        <v>0.25</v>
      </c>
      <c r="C15" s="37" t="s">
        <v>122</v>
      </c>
      <c r="D15" s="42" t="s">
        <v>153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</row>
    <row r="16" spans="1:87">
      <c r="A16" s="37" t="s">
        <v>85</v>
      </c>
      <c r="B16" s="48">
        <v>3299</v>
      </c>
      <c r="C16" s="37" t="s">
        <v>81</v>
      </c>
      <c r="D16" s="42" t="s">
        <v>86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</row>
    <row r="17" spans="1:87">
      <c r="A17" s="37" t="s">
        <v>129</v>
      </c>
      <c r="B17" s="48">
        <v>278</v>
      </c>
      <c r="C17" s="37" t="s">
        <v>87</v>
      </c>
      <c r="D17" s="42" t="s">
        <v>88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</row>
    <row r="18" spans="1:87">
      <c r="A18" s="37" t="s">
        <v>133</v>
      </c>
      <c r="B18" s="47">
        <v>179</v>
      </c>
      <c r="C18" s="37" t="s">
        <v>130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</row>
    <row r="19" spans="1:87">
      <c r="A19" s="37" t="s">
        <v>134</v>
      </c>
      <c r="B19" s="47">
        <v>239</v>
      </c>
      <c r="C19" s="37" t="s">
        <v>131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</row>
    <row r="20" spans="1:87">
      <c r="A20" s="37" t="s">
        <v>89</v>
      </c>
      <c r="B20" s="48">
        <v>1333</v>
      </c>
      <c r="C20" s="37" t="s">
        <v>81</v>
      </c>
      <c r="D20" s="42" t="s">
        <v>90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</row>
    <row r="21" spans="1:87">
      <c r="A21" s="37" t="s">
        <v>92</v>
      </c>
      <c r="B21" s="48">
        <v>44</v>
      </c>
      <c r="C21" s="37" t="s">
        <v>93</v>
      </c>
      <c r="D21" s="42" t="s">
        <v>94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</row>
    <row r="22" spans="1:87">
      <c r="A22" s="37"/>
      <c r="B22" s="48">
        <v>89</v>
      </c>
      <c r="C22" s="37" t="s">
        <v>95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</row>
    <row r="23" spans="1:87">
      <c r="A23" s="37" t="s">
        <v>16</v>
      </c>
      <c r="B23" s="51">
        <v>2.5225</v>
      </c>
      <c r="C23" s="37" t="s">
        <v>125</v>
      </c>
      <c r="D23" s="42"/>
      <c r="E23" s="42" t="s">
        <v>126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</row>
    <row r="24" spans="1:87">
      <c r="A24" s="37" t="s">
        <v>96</v>
      </c>
      <c r="B24" s="52">
        <v>8125</v>
      </c>
      <c r="C24" s="37" t="s">
        <v>97</v>
      </c>
      <c r="D24" s="42" t="s">
        <v>98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</row>
    <row r="25" spans="1:87">
      <c r="A25" s="37" t="s">
        <v>99</v>
      </c>
      <c r="B25" s="48">
        <v>90</v>
      </c>
      <c r="C25" s="37" t="s">
        <v>100</v>
      </c>
      <c r="D25" s="42" t="s">
        <v>101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 t="s">
        <v>102</v>
      </c>
      <c r="V25" s="37"/>
      <c r="W25" s="37"/>
      <c r="X25" s="37" t="s">
        <v>103</v>
      </c>
      <c r="Y25" s="37"/>
      <c r="Z25" s="37"/>
      <c r="AA25" s="37"/>
      <c r="AB25" s="37"/>
      <c r="AC25" s="37"/>
      <c r="AD25" s="37"/>
      <c r="AE25" s="37" t="s">
        <v>104</v>
      </c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 t="s">
        <v>105</v>
      </c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 t="s">
        <v>106</v>
      </c>
      <c r="BB25" s="37"/>
      <c r="BC25" s="37"/>
      <c r="BD25" s="37"/>
      <c r="BE25" s="37"/>
      <c r="BF25" s="37"/>
      <c r="BG25" s="37"/>
      <c r="BH25" s="37"/>
      <c r="BI25" s="37"/>
      <c r="BJ25" s="37" t="s">
        <v>107</v>
      </c>
      <c r="BK25" s="37"/>
      <c r="BL25" s="37"/>
      <c r="BM25" s="37"/>
      <c r="BN25" s="37"/>
      <c r="BO25" s="37"/>
      <c r="BP25" s="37"/>
      <c r="BQ25" s="37"/>
      <c r="BR25" s="37"/>
      <c r="BS25" s="37" t="s">
        <v>89</v>
      </c>
      <c r="BT25" s="37"/>
      <c r="BU25" s="37"/>
      <c r="BV25" s="37"/>
      <c r="BW25" s="37"/>
      <c r="BX25" s="37"/>
      <c r="BY25" s="37"/>
      <c r="BZ25" s="37"/>
      <c r="CA25" s="37" t="s">
        <v>80</v>
      </c>
      <c r="CB25" s="37"/>
      <c r="CC25" s="37"/>
      <c r="CD25" s="37"/>
      <c r="CE25" s="37"/>
      <c r="CF25" s="37"/>
      <c r="CG25" s="37"/>
      <c r="CH25" s="37" t="s">
        <v>108</v>
      </c>
      <c r="CI25" s="37"/>
    </row>
    <row r="26" spans="1:87">
      <c r="A26" s="37" t="s">
        <v>74</v>
      </c>
      <c r="B26" s="48">
        <v>100</v>
      </c>
      <c r="C26" s="37" t="s">
        <v>75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54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</row>
    <row r="27" spans="1:87">
      <c r="A27" s="53" t="s">
        <v>109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</row>
    <row r="28" spans="1:87">
      <c r="A28" s="37" t="s">
        <v>165</v>
      </c>
      <c r="B28" s="71">
        <f>(1540*12)+4500</f>
        <v>22980</v>
      </c>
      <c r="C28" s="37" t="s">
        <v>87</v>
      </c>
      <c r="D28" s="42" t="s">
        <v>163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</row>
    <row r="29" spans="1:87">
      <c r="A29" s="37" t="s">
        <v>164</v>
      </c>
      <c r="B29" s="70">
        <v>43200</v>
      </c>
      <c r="C29" s="37" t="s">
        <v>87</v>
      </c>
      <c r="D29" s="42" t="s">
        <v>161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G29" s="37"/>
      <c r="CH29" s="37"/>
      <c r="CI29" s="37"/>
    </row>
    <row r="30" spans="1:87">
      <c r="A30" s="37" t="s">
        <v>110</v>
      </c>
      <c r="B30" s="51">
        <f>610*7.25</f>
        <v>4422.5</v>
      </c>
      <c r="C30" s="37" t="s">
        <v>173</v>
      </c>
      <c r="D30" t="s">
        <v>171</v>
      </c>
      <c r="E30" s="42" t="s">
        <v>111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I30" s="37"/>
      <c r="BJ30" s="37"/>
      <c r="BK30" s="37"/>
      <c r="BL30" s="37"/>
      <c r="BM30" s="37"/>
      <c r="BN30" s="37"/>
      <c r="BO30" s="37"/>
      <c r="BP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</row>
    <row r="31" spans="1:87">
      <c r="A31" s="37" t="s">
        <v>112</v>
      </c>
      <c r="B31" s="51">
        <f>1525*7.25</f>
        <v>11056.25</v>
      </c>
      <c r="C31" s="37" t="s">
        <v>172</v>
      </c>
      <c r="D31" t="s">
        <v>170</v>
      </c>
      <c r="E31" s="42" t="s">
        <v>113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CA31" s="37"/>
      <c r="CB31" s="37"/>
      <c r="CC31" s="37"/>
      <c r="CD31" s="37"/>
      <c r="CE31" s="37"/>
      <c r="CF31" s="37"/>
      <c r="CG31" s="37"/>
      <c r="CH31" s="37"/>
      <c r="CI31" s="37"/>
    </row>
    <row r="32" spans="1:87">
      <c r="A32" s="37" t="s">
        <v>169</v>
      </c>
      <c r="B32" s="64">
        <f>(2287.5*7.25)-B31</f>
        <v>5528.125</v>
      </c>
      <c r="C32" s="37" t="s">
        <v>176</v>
      </c>
      <c r="D32" t="s">
        <v>175</v>
      </c>
      <c r="E32" t="s">
        <v>174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</row>
    <row r="33" spans="1:87">
      <c r="A33" s="46" t="s">
        <v>114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</row>
    <row r="34" spans="1:87">
      <c r="A34" s="55" t="s">
        <v>115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41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</row>
    <row r="35" spans="1:87">
      <c r="A35" s="37" t="s">
        <v>116</v>
      </c>
      <c r="B35" s="37"/>
      <c r="C35" s="37"/>
      <c r="D35" s="42" t="s">
        <v>117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</row>
    <row r="36" spans="1:87">
      <c r="A36" s="37" t="s">
        <v>118</v>
      </c>
      <c r="B36" s="51">
        <v>100000</v>
      </c>
      <c r="C36" s="37" t="s">
        <v>87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</row>
    <row r="37" spans="1:87">
      <c r="A37" s="37" t="s">
        <v>119</v>
      </c>
      <c r="B37" s="51">
        <v>55000</v>
      </c>
      <c r="C37" s="37" t="s">
        <v>120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</row>
    <row r="38" spans="1:87">
      <c r="A38" s="37"/>
      <c r="B38" s="37"/>
      <c r="C38" s="37"/>
      <c r="D38" s="37" t="s">
        <v>123</v>
      </c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</row>
    <row r="39" spans="1:87">
      <c r="A39" s="53" t="s">
        <v>121</v>
      </c>
      <c r="B39" s="37" t="s">
        <v>140</v>
      </c>
      <c r="C39" s="37" t="s">
        <v>160</v>
      </c>
      <c r="D39" s="37" t="s">
        <v>181</v>
      </c>
      <c r="E39" s="37" t="s">
        <v>182</v>
      </c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</row>
    <row r="40" spans="1:87">
      <c r="A40" s="37" t="s">
        <v>183</v>
      </c>
      <c r="B40" s="51" cm="1">
        <f t="array" ref="B40">481080*(1-Table4[savings]-Table4[training])</f>
        <v>384863.99999999994</v>
      </c>
      <c r="C40" s="51">
        <f>B40/4</f>
        <v>96215.999999999985</v>
      </c>
      <c r="D40" s="89">
        <v>45292</v>
      </c>
      <c r="E40" s="90">
        <v>45352</v>
      </c>
      <c r="F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</row>
    <row r="41" spans="1:87">
      <c r="A41" s="37" t="s">
        <v>185</v>
      </c>
      <c r="B41" s="51">
        <f>B40/4</f>
        <v>96215.999999999985</v>
      </c>
      <c r="C41" s="51">
        <f>B41/4</f>
        <v>24053.999999999996</v>
      </c>
      <c r="D41" s="91">
        <v>45323</v>
      </c>
      <c r="E41" s="91">
        <v>45383</v>
      </c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</row>
    <row r="42" spans="1:87">
      <c r="A42" s="37" t="s">
        <v>186</v>
      </c>
      <c r="B42" s="51">
        <f>$B$40/4</f>
        <v>96215.999999999985</v>
      </c>
      <c r="C42" s="51">
        <f>B42/4</f>
        <v>24053.999999999996</v>
      </c>
      <c r="D42" s="91">
        <v>45323</v>
      </c>
      <c r="E42" s="91">
        <v>45383</v>
      </c>
      <c r="G42" s="37" t="s">
        <v>147</v>
      </c>
      <c r="H42" s="37" t="s">
        <v>166</v>
      </c>
      <c r="I42" s="37" t="s">
        <v>167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56" t="s">
        <v>124</v>
      </c>
      <c r="CG42" s="37"/>
      <c r="CH42" s="37"/>
      <c r="CI42" s="37"/>
    </row>
    <row r="43" spans="1:87">
      <c r="A43" s="37" t="s">
        <v>187</v>
      </c>
      <c r="B43" s="51">
        <f>B44</f>
        <v>192431.99999999997</v>
      </c>
      <c r="C43" s="51">
        <f>C44</f>
        <v>48107.999999999993</v>
      </c>
      <c r="D43" s="90">
        <v>45383</v>
      </c>
      <c r="E43" s="90">
        <v>45505</v>
      </c>
      <c r="F43" s="37"/>
      <c r="G43" s="37" t="s">
        <v>168</v>
      </c>
      <c r="H43" s="72">
        <v>0.15</v>
      </c>
      <c r="I43" s="72">
        <v>0.05</v>
      </c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</row>
    <row r="44" spans="1:87">
      <c r="A44" s="37" t="s">
        <v>188</v>
      </c>
      <c r="B44" s="51">
        <f>$B$40/2</f>
        <v>192431.99999999997</v>
      </c>
      <c r="C44" s="51">
        <f>B44/4</f>
        <v>48107.999999999993</v>
      </c>
      <c r="D44" s="90">
        <v>45352</v>
      </c>
      <c r="E44" s="90">
        <v>45444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F44" s="37"/>
      <c r="CG44" s="37"/>
      <c r="CH44" s="37"/>
      <c r="CI44" s="37"/>
    </row>
    <row r="45" spans="1:87">
      <c r="A45" s="37" t="s">
        <v>31</v>
      </c>
      <c r="B45" s="49">
        <f ca="1">SUM(B40:B45)</f>
        <v>721620</v>
      </c>
      <c r="C45" s="51">
        <f>SUM(C40:C44)</f>
        <v>240539.99999999997</v>
      </c>
      <c r="D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</row>
    <row r="46" spans="1:87">
      <c r="A46" s="87" t="s">
        <v>180</v>
      </c>
      <c r="D46" s="37"/>
      <c r="F46" t="s">
        <v>189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</row>
    <row r="47" spans="1:87">
      <c r="A47" s="37" t="s">
        <v>184</v>
      </c>
      <c r="B47" s="49">
        <f>B42</f>
        <v>96215.999999999985</v>
      </c>
      <c r="C47" s="51">
        <f>C41</f>
        <v>24053.999999999996</v>
      </c>
      <c r="D47" s="91">
        <v>45292</v>
      </c>
      <c r="E47" s="90">
        <v>45352</v>
      </c>
      <c r="F47" s="49">
        <f>((X4+B9)*3)+B26</f>
        <v>7034.5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</row>
    <row r="48" spans="1:87">
      <c r="A48" s="37" t="s">
        <v>190</v>
      </c>
      <c r="B48" s="49">
        <f>B44</f>
        <v>192431.99999999997</v>
      </c>
      <c r="C48" s="49">
        <f>C44</f>
        <v>48107.999999999993</v>
      </c>
      <c r="D48" s="91">
        <v>45323</v>
      </c>
      <c r="E48" s="91">
        <v>45383</v>
      </c>
      <c r="F48" s="49">
        <f>((X5+B9)*3)+B26</f>
        <v>13581.97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</row>
    <row r="49" spans="1:87">
      <c r="A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</row>
    <row r="50" spans="1:87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</row>
    <row r="51" spans="1:87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</row>
    <row r="52" spans="1:87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</row>
    <row r="53" spans="1:87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</row>
    <row r="54" spans="1:87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</row>
    <row r="55" spans="1:87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</row>
    <row r="56" spans="1:87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</row>
    <row r="57" spans="1:8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</row>
    <row r="58" spans="1:87">
      <c r="A58" s="37"/>
      <c r="B58" s="37"/>
      <c r="C58" s="37"/>
      <c r="D58" s="37"/>
    </row>
    <row r="59" spans="1:87">
      <c r="A59" s="37"/>
      <c r="B59" s="37"/>
      <c r="C59" s="37"/>
    </row>
  </sheetData>
  <hyperlinks>
    <hyperlink ref="L2" r:id="rId1" xr:uid="{5D243765-CED0-438C-8038-3A7EB11527AA}"/>
    <hyperlink ref="D8" r:id="rId2" xr:uid="{9CDADC98-FD75-4CFE-B2F4-AA5D4F2C11BB}"/>
    <hyperlink ref="D13" r:id="rId3" xr:uid="{3C365366-EE6F-4459-BE34-5DE48A5760AB}"/>
    <hyperlink ref="D14" r:id="rId4" display="https://www.komplett.dk/product/1167954/gaming/spiludstyr/gamingskaerme/samsung-34-odyssey-g5-c34g55t-curved?channable=00a56069640031313637393534f2&amp;utm_source=pricerunner&amp;utm_medium=listing&amp;utm_campaign=Peripherals_Monitor&amp;utm_content=Gaming&amp;utm_term=in_stock" xr:uid="{1C0B6E47-63AA-4740-9EF9-1F5C651733F7}"/>
    <hyperlink ref="D16" r:id="rId5" xr:uid="{6F6DE95A-4B03-42FA-9F16-9F86039ADF1B}"/>
    <hyperlink ref="D17" r:id="rId6" xr:uid="{17311089-654D-49BD-931B-23FB1B6B9539}"/>
    <hyperlink ref="D20" r:id="rId7" xr:uid="{38C9371E-AD4A-4FF3-928C-B5503A120AAF}"/>
    <hyperlink ref="D21" r:id="rId8" xr:uid="{ED728631-4707-4E7D-9698-5BD54CA47656}"/>
    <hyperlink ref="D24" r:id="rId9" xr:uid="{45E6F9FD-F781-43F6-8317-F560FE3FD72C}"/>
    <hyperlink ref="D25" r:id="rId10" location="coreui-heading-hiatrep" display="https://www.microsoft.com/en-ww/microsoft-365/business?market=af - coreui-heading-hiatrep" xr:uid="{211CB7CF-9DF6-4C7E-BC77-0AFEB973AF0A}"/>
    <hyperlink ref="D35" r:id="rId11" xr:uid="{88458C6F-7513-4577-9A03-F3861E13185A}"/>
    <hyperlink ref="E23" r:id="rId12" xr:uid="{D0729992-861B-4A37-AC94-E6694F6B4F02}"/>
    <hyperlink ref="N11" r:id="rId13" xr:uid="{8D5493B3-919C-4C6A-A527-411F1E397D09}"/>
    <hyperlink ref="D29" r:id="rId14" xr:uid="{A9E97A35-74B8-4757-B130-FEC0B8475DA4}"/>
    <hyperlink ref="D28" r:id="rId15" xr:uid="{A15C5E80-B475-404E-993D-FDFD32A53EB0}"/>
    <hyperlink ref="E30" r:id="rId16" xr:uid="{01E891AC-28CA-4766-9C2C-256316A1D632}"/>
    <hyperlink ref="E31" r:id="rId17" xr:uid="{6B412997-3C31-41F6-8E2D-B80AA52EBFED}"/>
    <hyperlink ref="D15" r:id="rId18" location=":~:text=What%20is%20a%20sensible%20depreciation,written%20off%20after%20four%20years." xr:uid="{C809647F-FC26-4ACD-976F-9ECAA087F103}"/>
  </hyperlinks>
  <pageMargins left="0.7" right="0.7" top="0.75" bottom="0.75" header="0.3" footer="0.3"/>
  <drawing r:id="rId19"/>
  <tableParts count="2">
    <tablePart r:id="rId20"/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02B1691F477A48937B007981115188" ma:contentTypeVersion="13" ma:contentTypeDescription="Create a new document." ma:contentTypeScope="" ma:versionID="a49624a0c49982679f0ca62ec64c486e">
  <xsd:schema xmlns:xsd="http://www.w3.org/2001/XMLSchema" xmlns:xs="http://www.w3.org/2001/XMLSchema" xmlns:p="http://schemas.microsoft.com/office/2006/metadata/properties" xmlns:ns3="b7cfa9d7-da31-4cd2-b7b9-eb17d98380ac" xmlns:ns4="47e689b1-1778-40f8-a786-c735f445e8e9" targetNamespace="http://schemas.microsoft.com/office/2006/metadata/properties" ma:root="true" ma:fieldsID="0e6dcb65a8aa76972bc51647ef0502bd" ns3:_="" ns4:_="">
    <xsd:import namespace="b7cfa9d7-da31-4cd2-b7b9-eb17d98380ac"/>
    <xsd:import namespace="47e689b1-1778-40f8-a786-c735f445e8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fa9d7-da31-4cd2-b7b9-eb17d98380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689b1-1778-40f8-a786-c735f445e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D915A9-6E51-42DD-8131-9ABDD721C7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C0EBC7-4F02-44E5-81E8-1455825D7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fa9d7-da31-4cd2-b7b9-eb17d98380ac"/>
    <ds:schemaRef ds:uri="47e689b1-1778-40f8-a786-c735f445e8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B7F0A6-946F-4C74-9E20-2F0BFC7087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Help</vt:lpstr>
      <vt:lpstr>Company Information</vt:lpstr>
      <vt:lpstr>Year 1</vt:lpstr>
      <vt:lpstr>Year 2</vt:lpstr>
      <vt:lpstr>Summary</vt:lpstr>
      <vt:lpstr>Expected Value</vt:lpstr>
      <vt:lpstr>Inputs</vt:lpstr>
      <vt:lpstr>rCompanyName</vt:lpstr>
      <vt:lpstr>rStartDate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Rasmus Kristensen</cp:lastModifiedBy>
  <dcterms:created xsi:type="dcterms:W3CDTF">2020-11-20T15:34:02Z</dcterms:created>
  <dcterms:modified xsi:type="dcterms:W3CDTF">2022-11-24T15:36:16Z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0x0101002502B1691F477A48937B007981115188</vt:lpwstr>
  </property>
</Properties>
</file>