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5315" windowHeight="7995" firstSheet="2" activeTab="3"/>
  </bookViews>
  <sheets>
    <sheet name="7.11" sheetId="1" r:id="rId1"/>
    <sheet name="7.14(a)" sheetId="2" r:id="rId2"/>
    <sheet name="7.20" sheetId="3" r:id="rId3"/>
    <sheet name="7.23" sheetId="4" r:id="rId4"/>
    <sheet name="8.18" sheetId="5" r:id="rId5"/>
    <sheet name="8.28" sheetId="10" r:id="rId6"/>
    <sheet name="8.37" sheetId="11" r:id="rId7"/>
    <sheet name="10.3" sheetId="6" r:id="rId8"/>
    <sheet name="10.8" sheetId="7" r:id="rId9"/>
    <sheet name="10.16" sheetId="8" r:id="rId10"/>
    <sheet name="10.28" sheetId="9" r:id="rId11"/>
  </sheets>
  <calcPr calcId="125725"/>
</workbook>
</file>

<file path=xl/calcChain.xml><?xml version="1.0" encoding="utf-8"?>
<calcChain xmlns="http://schemas.openxmlformats.org/spreadsheetml/2006/main">
  <c r="B1" i="6"/>
  <c r="H25" i="11"/>
  <c r="A25" s="1"/>
  <c r="H24"/>
  <c r="H23"/>
  <c r="A23" s="1"/>
  <c r="H22"/>
  <c r="C25"/>
  <c r="C24"/>
  <c r="A24"/>
  <c r="C23"/>
  <c r="C22"/>
  <c r="A22"/>
  <c r="C21"/>
  <c r="A21"/>
  <c r="F19"/>
  <c r="F18"/>
  <c r="F17"/>
  <c r="F16"/>
  <c r="C19"/>
  <c r="A19"/>
  <c r="C18"/>
  <c r="A18"/>
  <c r="C17"/>
  <c r="A17"/>
  <c r="C16"/>
  <c r="A16"/>
  <c r="C15"/>
  <c r="A15"/>
  <c r="E13"/>
  <c r="E12"/>
  <c r="E11"/>
  <c r="E10"/>
  <c r="C13"/>
  <c r="A13"/>
  <c r="G13" s="1"/>
  <c r="C12"/>
  <c r="A12"/>
  <c r="C11"/>
  <c r="A11"/>
  <c r="G11" s="1"/>
  <c r="C10"/>
  <c r="A10"/>
  <c r="C9"/>
  <c r="A9"/>
  <c r="A7"/>
  <c r="A6"/>
  <c r="G6" s="1"/>
  <c r="C7"/>
  <c r="C6"/>
  <c r="A5"/>
  <c r="A4"/>
  <c r="G4" s="1"/>
  <c r="C5"/>
  <c r="C4"/>
  <c r="C3"/>
  <c r="A3"/>
  <c r="G3" s="1"/>
  <c r="D4" i="10"/>
  <c r="D5"/>
  <c r="D6"/>
  <c r="D7"/>
  <c r="D8"/>
  <c r="D9"/>
  <c r="D10"/>
  <c r="D11"/>
  <c r="D12"/>
  <c r="D3"/>
  <c r="B4"/>
  <c r="B5"/>
  <c r="B6"/>
  <c r="B7"/>
  <c r="B8"/>
  <c r="B9"/>
  <c r="B10"/>
  <c r="B11"/>
  <c r="B12"/>
  <c r="B3"/>
  <c r="B4" i="5"/>
  <c r="B5"/>
  <c r="F5" s="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  <c r="F4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3"/>
  <c r="A5" i="9"/>
  <c r="A8"/>
  <c r="A7"/>
  <c r="A6"/>
  <c r="A4"/>
  <c r="A3"/>
  <c r="A2"/>
  <c r="A1"/>
  <c r="A1" i="8"/>
  <c r="A1" i="7"/>
  <c r="A1" i="6"/>
  <c r="A1" i="4"/>
  <c r="A2" i="3"/>
  <c r="A1"/>
  <c r="A2" i="2"/>
  <c r="A1"/>
  <c r="D5" i="1"/>
  <c r="G7" i="11" l="1"/>
  <c r="G9"/>
  <c r="G16"/>
  <c r="G18"/>
  <c r="G21"/>
  <c r="G25"/>
  <c r="G5"/>
  <c r="G10"/>
  <c r="G15"/>
  <c r="G17"/>
  <c r="G19"/>
  <c r="G24"/>
  <c r="G23"/>
  <c r="G22"/>
  <c r="G12"/>
</calcChain>
</file>

<file path=xl/sharedStrings.xml><?xml version="1.0" encoding="utf-8"?>
<sst xmlns="http://schemas.openxmlformats.org/spreadsheetml/2006/main" count="129" uniqueCount="104">
  <si>
    <t>Item</t>
  </si>
  <si>
    <t>AW of disbenefits, $ per year</t>
  </si>
  <si>
    <t>First cost, $</t>
  </si>
  <si>
    <t>M&amp;O costs, $ per year</t>
  </si>
  <si>
    <t>Li fe of project, years</t>
  </si>
  <si>
    <t>Cash Flow</t>
  </si>
  <si>
    <t>PW of benefits, $</t>
  </si>
  <si>
    <t>i</t>
  </si>
  <si>
    <t>PV Opt 1</t>
  </si>
  <si>
    <t>PV Opt 2</t>
  </si>
  <si>
    <t>n</t>
  </si>
  <si>
    <t>Q</t>
  </si>
  <si>
    <t>Order</t>
  </si>
  <si>
    <t>In-House</t>
  </si>
  <si>
    <t>P</t>
  </si>
  <si>
    <t>S</t>
  </si>
  <si>
    <t>AOC</t>
  </si>
  <si>
    <t>total</t>
  </si>
  <si>
    <t>R</t>
  </si>
  <si>
    <t>=PMT(15%,10,180000)</t>
  </si>
  <si>
    <t>=PMT(15%,10,180000*1.1)</t>
  </si>
  <si>
    <t>=PMT(15%,10,180000*1.2)</t>
  </si>
  <si>
    <t>=PMT(15%,10,180000*0.9)</t>
  </si>
  <si>
    <t>=PMT(15%,10,180000*0.8)</t>
  </si>
  <si>
    <t>=PMT(15%,J24,180000)</t>
  </si>
  <si>
    <t>=PMT(15%,I20,180000)</t>
  </si>
  <si>
    <t>=PMT(15%,I21,180000)</t>
  </si>
  <si>
    <t>=PMT(15%,I22,180000)</t>
  </si>
  <si>
    <t>=PMT(15%,I23,180000)</t>
  </si>
  <si>
    <t>=PMT(15%,10,,-20000)</t>
  </si>
  <si>
    <t>=PMT(15%,I20,,-20000)</t>
  </si>
  <si>
    <t>=PMT(15%,I21,,-20000)</t>
  </si>
  <si>
    <t>=PMT(15%,I22,,-20000)</t>
  </si>
  <si>
    <t>=PMT(15%,I23,,-20000)</t>
  </si>
  <si>
    <t>=PMT(15%,I24,,-20000)</t>
  </si>
  <si>
    <t>=PV(6%,5,175000)</t>
  </si>
  <si>
    <t>=PV(6%,5,75000)</t>
  </si>
  <si>
    <t>=PV(7%,20,-600)</t>
  </si>
  <si>
    <t>=-PV(1.25%,A2,800)</t>
  </si>
  <si>
    <t>=-PV(1.25%,A3,800)</t>
  </si>
  <si>
    <t>=-PV(1.25%,A4,800)</t>
  </si>
  <si>
    <t>=-PV(1.25%,A5,800)</t>
  </si>
  <si>
    <t>=-PV(1.25%,A6,800)</t>
  </si>
  <si>
    <t>=-PV(1.25%,A7,800)</t>
  </si>
  <si>
    <t>=-PV(1.25%,A8,800)</t>
  </si>
  <si>
    <t>=-PV(1.25%,A9,800)</t>
  </si>
  <si>
    <t>=-PV(1.25%,A10,800)</t>
  </si>
  <si>
    <t>=-PV(1.25%,A11,800)</t>
  </si>
  <si>
    <t>=-PV(1.25%,A12,800)</t>
  </si>
  <si>
    <t>=-PV(1.25%,A13,800)</t>
  </si>
  <si>
    <t>=-PV(1.25%,A14,800)</t>
  </si>
  <si>
    <t>=-PV(1.25%,A15,800)</t>
  </si>
  <si>
    <t>=-PV(1.25%,A16,800)</t>
  </si>
  <si>
    <t>=-PV(1.25%,A17,800)</t>
  </si>
  <si>
    <t>=-PV(1.25%,A18,800)</t>
  </si>
  <si>
    <t>=-PV(1.25%,A19,800)</t>
  </si>
  <si>
    <t>=-PV(1.25%,A20,800)</t>
  </si>
  <si>
    <t>=-PV(1.25%,A21,800)</t>
  </si>
  <si>
    <t>=-PV(1.25%,A22,800)</t>
  </si>
  <si>
    <t>=-PV(1.25%,A23,800)</t>
  </si>
  <si>
    <t>=-PV(1.25%,A24,800)</t>
  </si>
  <si>
    <t>=8500-PV(1.25%,A2,75)</t>
  </si>
  <si>
    <t>=8500-PV(1.25%,A3,75)</t>
  </si>
  <si>
    <t>=8500-PV(1.25%,A4,75)</t>
  </si>
  <si>
    <t>=8500-PV(1.25%,A5,75)</t>
  </si>
  <si>
    <t>=8500-PV(1.25%,A6,75)</t>
  </si>
  <si>
    <t>=8500-PV(1.25%,A7,75)</t>
  </si>
  <si>
    <t>=8500-PV(1.25%,A8,75)</t>
  </si>
  <si>
    <t>=8500-PV(1.25%,A9,75)</t>
  </si>
  <si>
    <t>=8500-PV(1.25%,A10,75)</t>
  </si>
  <si>
    <t>=8500-PV(1.25%,A11,75)</t>
  </si>
  <si>
    <t>=8500-PV(1.25%,A12,75)</t>
  </si>
  <si>
    <t>=8500-PV(1.25%,A13,75)</t>
  </si>
  <si>
    <t>=8500-PV(1.25%,A14,75)</t>
  </si>
  <si>
    <t>=8500-PV(1.25%,A15,75)</t>
  </si>
  <si>
    <t>=8500-PV(1.25%,A16,75)</t>
  </si>
  <si>
    <t>=8500-PV(1.25%,A17,75)</t>
  </si>
  <si>
    <t>=8500-PV(1.25%,A18,75)</t>
  </si>
  <si>
    <t>=8500-PV(1.25%,A19,75)</t>
  </si>
  <si>
    <t>=8500-PV(1.25%,A20,75)</t>
  </si>
  <si>
    <t>=8500-PV(1.25%,A21,75)</t>
  </si>
  <si>
    <t>=8500-PV(1.25%,A22,75)</t>
  </si>
  <si>
    <t>=8500-PV(1.25%,A23,75)</t>
  </si>
  <si>
    <t>=8500-PV(1.25%,A24,75)</t>
  </si>
  <si>
    <t>=PV(12%,5,B2*25)</t>
  </si>
  <si>
    <t>=PV(12%,5,B3*25)</t>
  </si>
  <si>
    <t>=PV(12%,5,B4*25)</t>
  </si>
  <si>
    <t>=PV(12%,5,B5*25)</t>
  </si>
  <si>
    <t>=PV(12%,5,B6*25)</t>
  </si>
  <si>
    <t>=PV(12%,5,B7*25)</t>
  </si>
  <si>
    <t>=PV(12%,5,B8*25)</t>
  </si>
  <si>
    <t>=PV(12%,5,B9*25)</t>
  </si>
  <si>
    <t>=PV(12%,5,B10*25)</t>
  </si>
  <si>
    <t>=PV(12%,5,B11*25)</t>
  </si>
  <si>
    <t>=PV(12%,5,35000+B2*5)-150000+PV(12%,5,,15000)</t>
  </si>
  <si>
    <t>=PV(12%,5,35000+B3*5)-150000+PV(12%,5,,15000)</t>
  </si>
  <si>
    <t>=PV(12%,5,35000+B4*5)-150000+PV(12%,5,,15000)</t>
  </si>
  <si>
    <t>=PV(12%,5,35000+B5*5)-150000+PV(12%,5,,15000)</t>
  </si>
  <si>
    <t>=PV(12%,5,35000+B6*5)-150000+PV(12%,5,,15000)</t>
  </si>
  <si>
    <t>=PV(12%,5,35000+B7*5)-150000+PV(12%,5,,15000)</t>
  </si>
  <si>
    <t>=PV(12%,5,35000+B8*5)-150000+PV(12%,5,,15000)</t>
  </si>
  <si>
    <t>=PV(12%,5,35000+B9*5)-150000+PV(12%,5,,15000)</t>
  </si>
  <si>
    <t>=PV(12%,5,35000+B10*5)-150000+PV(12%,5,,15000)</t>
  </si>
  <si>
    <t>=PV(12%,5,35000+B11*5)-150000+PV(12%,5,,15000)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</si>
</sst>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/>
    <xf numFmtId="9" fontId="0" fillId="0" borderId="0" xfId="0" applyNumberFormat="1"/>
    <xf numFmtId="8" fontId="0" fillId="0" borderId="0" xfId="0" applyNumberFormat="1"/>
    <xf numFmtId="164" fontId="0" fillId="0" borderId="0" xfId="0" applyNumberFormat="1"/>
    <xf numFmtId="8" fontId="0" fillId="0" borderId="0" xfId="0" quotePrefix="1" applyNumberFormat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workbookViewId="0">
      <selection activeCell="C10" sqref="C10"/>
    </sheetView>
  </sheetViews>
  <sheetFormatPr defaultRowHeight="15"/>
  <cols>
    <col min="1" max="1" width="27.140625" bestFit="1" customWidth="1"/>
    <col min="2" max="2" width="12.7109375" bestFit="1" customWidth="1"/>
    <col min="4" max="4" width="12.5703125" bestFit="1" customWidth="1"/>
  </cols>
  <sheetData>
    <row r="1" spans="1:4">
      <c r="A1" s="2" t="s">
        <v>0</v>
      </c>
      <c r="B1" s="2" t="s">
        <v>5</v>
      </c>
    </row>
    <row r="2" spans="1:4">
      <c r="A2" t="s">
        <v>6</v>
      </c>
      <c r="B2" s="1">
        <v>3800000</v>
      </c>
    </row>
    <row r="3" spans="1:4">
      <c r="A3" t="s">
        <v>1</v>
      </c>
      <c r="B3" s="1">
        <v>65000</v>
      </c>
    </row>
    <row r="4" spans="1:4">
      <c r="A4" t="s">
        <v>2</v>
      </c>
      <c r="B4" s="1">
        <v>12000000</v>
      </c>
    </row>
    <row r="5" spans="1:4">
      <c r="A5" t="s">
        <v>3</v>
      </c>
      <c r="B5" s="1">
        <v>300000</v>
      </c>
      <c r="D5" s="4">
        <f>PV(8%,20,95000)</f>
        <v>-932724.00370768283</v>
      </c>
    </row>
    <row r="6" spans="1:4">
      <c r="A6" t="s">
        <v>4</v>
      </c>
      <c r="B6" s="1">
        <v>20</v>
      </c>
    </row>
    <row r="7" spans="1:4">
      <c r="A7" t="s">
        <v>7</v>
      </c>
      <c r="B7" s="3">
        <v>0.08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3" sqref="G3"/>
    </sheetView>
  </sheetViews>
  <sheetFormatPr defaultRowHeight="15"/>
  <cols>
    <col min="1" max="1" width="14.28515625" bestFit="1" customWidth="1"/>
  </cols>
  <sheetData>
    <row r="1" spans="1:1">
      <c r="A1" s="4">
        <f>PV(16%,2,,2100000)</f>
        <v>-1560642.0927467302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4" sqref="B4"/>
    </sheetView>
  </sheetViews>
  <sheetFormatPr defaultRowHeight="15"/>
  <cols>
    <col min="1" max="1" width="14.28515625" bestFit="1" customWidth="1"/>
  </cols>
  <sheetData>
    <row r="1" spans="1:1">
      <c r="A1" s="4">
        <f>FV(7%,4,,7000000)</f>
        <v>-9175572.0700000003</v>
      </c>
    </row>
    <row r="2" spans="1:1">
      <c r="A2" s="4">
        <f>FV(6%,4,,7000000)</f>
        <v>-8837338.7200000025</v>
      </c>
    </row>
    <row r="3" spans="1:1">
      <c r="A3" s="4">
        <f>FV(5%,4,,7000000)</f>
        <v>-8508543.75</v>
      </c>
    </row>
    <row r="4" spans="1:1">
      <c r="A4" s="4">
        <f>FV(4%,4,,7000000)</f>
        <v>-8189009.9200000018</v>
      </c>
    </row>
    <row r="5" spans="1:1">
      <c r="A5" s="4">
        <f>FV(3.4%,4,,7000000)</f>
        <v>-8001661.8663519993</v>
      </c>
    </row>
    <row r="6" spans="1:1">
      <c r="A6" s="4">
        <f>FV(3%,4,,7000000)</f>
        <v>-7878561.669999999</v>
      </c>
    </row>
    <row r="7" spans="1:1">
      <c r="A7" s="4">
        <f>FV(2%,4,,7000000)</f>
        <v>-7577025.1200000001</v>
      </c>
    </row>
    <row r="8" spans="1:1">
      <c r="A8" s="4">
        <f>FV(1%,4,,7000000)</f>
        <v>-7284228.0700000003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L5" sqref="L5"/>
    </sheetView>
  </sheetViews>
  <sheetFormatPr defaultRowHeight="15"/>
  <cols>
    <col min="1" max="1" width="14.28515625" bestFit="1" customWidth="1"/>
  </cols>
  <sheetData>
    <row r="1" spans="1:1">
      <c r="A1" s="4">
        <f>PV(6%,1200,340000)</f>
        <v>-5666666.666666667</v>
      </c>
    </row>
    <row r="2" spans="1:1">
      <c r="A2" s="4">
        <f>PV(6%,1200,160000)</f>
        <v>-2666666.666666667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A11" sqref="A11"/>
    </sheetView>
  </sheetViews>
  <sheetFormatPr defaultRowHeight="15"/>
  <cols>
    <col min="1" max="1" width="12.5703125" bestFit="1" customWidth="1"/>
    <col min="2" max="2" width="16.7109375" bestFit="1" customWidth="1"/>
  </cols>
  <sheetData>
    <row r="1" spans="1:2">
      <c r="A1" s="4">
        <f>PV(6%,5,175000)</f>
        <v>-737163.66247400071</v>
      </c>
      <c r="B1" s="6" t="s">
        <v>35</v>
      </c>
    </row>
    <row r="2" spans="1:2">
      <c r="A2" s="4">
        <f>PV(6%,5,75000)</f>
        <v>-315927.28391742893</v>
      </c>
      <c r="B2" s="6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"/>
  <sheetViews>
    <sheetView tabSelected="1" workbookViewId="0">
      <selection activeCell="A3" sqref="A3"/>
    </sheetView>
  </sheetViews>
  <sheetFormatPr defaultRowHeight="15"/>
  <cols>
    <col min="1" max="1" width="9.85546875" bestFit="1" customWidth="1"/>
    <col min="2" max="2" width="15.42578125" bestFit="1" customWidth="1"/>
  </cols>
  <sheetData>
    <row r="1" spans="1:2">
      <c r="A1" s="4">
        <f>PV(7%,20,-600)</f>
        <v>6356.4085473096966</v>
      </c>
      <c r="B1" s="6" t="s">
        <v>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I18" sqref="I18"/>
    </sheetView>
  </sheetViews>
  <sheetFormatPr defaultRowHeight="15"/>
  <cols>
    <col min="2" max="2" width="11.5703125" bestFit="1" customWidth="1"/>
    <col min="3" max="3" width="19.42578125" bestFit="1" customWidth="1"/>
    <col min="4" max="4" width="11.140625" bestFit="1" customWidth="1"/>
    <col min="5" max="5" width="22.5703125" bestFit="1" customWidth="1"/>
    <col min="6" max="6" width="11.5703125" bestFit="1" customWidth="1"/>
  </cols>
  <sheetData>
    <row r="1" spans="1:6">
      <c r="A1">
        <v>8.18</v>
      </c>
    </row>
    <row r="2" spans="1:6">
      <c r="A2" t="s">
        <v>10</v>
      </c>
      <c r="B2" t="s">
        <v>8</v>
      </c>
      <c r="D2" t="s">
        <v>9</v>
      </c>
    </row>
    <row r="3" spans="1:6">
      <c r="A3">
        <v>1</v>
      </c>
      <c r="B3" s="4">
        <f>-PV(1.25%,A3,800)</f>
        <v>790.12345679012071</v>
      </c>
      <c r="C3" s="6" t="s">
        <v>38</v>
      </c>
      <c r="D3" s="5">
        <f>8500-PV(1.25%,A3,75)</f>
        <v>8574.074074074073</v>
      </c>
      <c r="E3" s="7" t="s">
        <v>61</v>
      </c>
      <c r="F3" s="4">
        <f>B3-D3</f>
        <v>-7783.9506172839519</v>
      </c>
    </row>
    <row r="4" spans="1:6">
      <c r="A4">
        <v>2</v>
      </c>
      <c r="B4" s="4">
        <f t="shared" ref="B4:B25" si="0">-PV(1.25%,A4,800)</f>
        <v>1570.4923030025907</v>
      </c>
      <c r="C4" s="6" t="s">
        <v>39</v>
      </c>
      <c r="D4" s="5">
        <f t="shared" ref="D4:D25" si="1">8500-PV(1.25%,A4,75)</f>
        <v>8647.2336534064925</v>
      </c>
      <c r="E4" s="7" t="s">
        <v>62</v>
      </c>
      <c r="F4" s="4">
        <f t="shared" ref="F4:F25" si="2">B4-D4</f>
        <v>-7076.7413504039014</v>
      </c>
    </row>
    <row r="5" spans="1:6">
      <c r="A5">
        <v>3</v>
      </c>
      <c r="B5" s="4">
        <f t="shared" si="0"/>
        <v>2341.2269659284752</v>
      </c>
      <c r="C5" s="6" t="s">
        <v>40</v>
      </c>
      <c r="D5" s="5">
        <f t="shared" si="1"/>
        <v>8719.490028055794</v>
      </c>
      <c r="E5" s="7" t="s">
        <v>63</v>
      </c>
      <c r="F5" s="4">
        <f t="shared" si="2"/>
        <v>-6378.2630621273183</v>
      </c>
    </row>
    <row r="6" spans="1:6">
      <c r="A6">
        <v>4</v>
      </c>
      <c r="B6" s="4">
        <f t="shared" si="0"/>
        <v>3102.4463861022041</v>
      </c>
      <c r="C6" s="6" t="s">
        <v>41</v>
      </c>
      <c r="D6" s="5">
        <f t="shared" si="1"/>
        <v>8790.8543486970812</v>
      </c>
      <c r="E6" s="7" t="s">
        <v>64</v>
      </c>
      <c r="F6" s="4">
        <f t="shared" si="2"/>
        <v>-5688.4079625948771</v>
      </c>
    </row>
    <row r="7" spans="1:6">
      <c r="A7">
        <v>5</v>
      </c>
      <c r="B7" s="4">
        <f t="shared" si="0"/>
        <v>3854.2680356564897</v>
      </c>
      <c r="C7" s="6" t="s">
        <v>42</v>
      </c>
      <c r="D7" s="5">
        <f t="shared" si="1"/>
        <v>8861.3376283427951</v>
      </c>
      <c r="E7" s="7" t="s">
        <v>65</v>
      </c>
      <c r="F7" s="4">
        <f t="shared" si="2"/>
        <v>-5007.0695926863054</v>
      </c>
    </row>
    <row r="8" spans="1:6">
      <c r="A8">
        <v>6</v>
      </c>
      <c r="B8" s="4">
        <f t="shared" si="0"/>
        <v>4596.8079364508567</v>
      </c>
      <c r="C8" s="6" t="s">
        <v>43</v>
      </c>
      <c r="D8" s="5">
        <f t="shared" si="1"/>
        <v>8930.9507440422676</v>
      </c>
      <c r="E8" s="7" t="s">
        <v>66</v>
      </c>
      <c r="F8" s="4">
        <f t="shared" si="2"/>
        <v>-4334.1428075914109</v>
      </c>
    </row>
    <row r="9" spans="1:6">
      <c r="A9">
        <v>7</v>
      </c>
      <c r="B9" s="4">
        <f t="shared" si="0"/>
        <v>5330.1806779761464</v>
      </c>
      <c r="C9" s="6" t="s">
        <v>44</v>
      </c>
      <c r="D9" s="5">
        <f t="shared" si="1"/>
        <v>8999.704438560264</v>
      </c>
      <c r="E9" s="7" t="s">
        <v>67</v>
      </c>
      <c r="F9" s="4">
        <f t="shared" si="2"/>
        <v>-3669.5237605841176</v>
      </c>
    </row>
    <row r="10" spans="1:6">
      <c r="A10">
        <v>8</v>
      </c>
      <c r="B10" s="4">
        <f t="shared" si="0"/>
        <v>6054.4994350381794</v>
      </c>
      <c r="C10" s="6" t="s">
        <v>45</v>
      </c>
      <c r="D10" s="5">
        <f t="shared" si="1"/>
        <v>9067.6093220348303</v>
      </c>
      <c r="E10" s="7" t="s">
        <v>68</v>
      </c>
      <c r="F10" s="4">
        <f t="shared" si="2"/>
        <v>-3013.1098869966509</v>
      </c>
    </row>
    <row r="11" spans="1:6">
      <c r="A11">
        <v>9</v>
      </c>
      <c r="B11" s="4">
        <f t="shared" si="0"/>
        <v>6769.8759852228904</v>
      </c>
      <c r="C11" s="6" t="s">
        <v>46</v>
      </c>
      <c r="D11" s="5">
        <f t="shared" si="1"/>
        <v>9134.6758736146458</v>
      </c>
      <c r="E11" s="7" t="s">
        <v>69</v>
      </c>
      <c r="F11" s="4">
        <f t="shared" si="2"/>
        <v>-2364.7998883917553</v>
      </c>
    </row>
    <row r="12" spans="1:6">
      <c r="A12">
        <v>10</v>
      </c>
      <c r="B12" s="4">
        <f t="shared" si="0"/>
        <v>7476.4207261460706</v>
      </c>
      <c r="C12" s="6" t="s">
        <v>47</v>
      </c>
      <c r="D12" s="5">
        <f t="shared" si="1"/>
        <v>9200.9144430761935</v>
      </c>
      <c r="E12" s="7" t="s">
        <v>70</v>
      </c>
      <c r="F12" s="4">
        <f t="shared" si="2"/>
        <v>-1724.4937169301229</v>
      </c>
    </row>
    <row r="13" spans="1:6">
      <c r="A13">
        <v>11</v>
      </c>
      <c r="B13" s="4">
        <f t="shared" si="0"/>
        <v>8174.242692489931</v>
      </c>
      <c r="C13" s="6" t="s">
        <v>48</v>
      </c>
      <c r="D13" s="5">
        <f t="shared" si="1"/>
        <v>9266.3352524209313</v>
      </c>
      <c r="E13" s="7" t="s">
        <v>71</v>
      </c>
      <c r="F13" s="4">
        <f t="shared" si="2"/>
        <v>-1092.0925599310003</v>
      </c>
    </row>
    <row r="14" spans="1:6">
      <c r="A14">
        <v>12</v>
      </c>
      <c r="B14" s="4">
        <f t="shared" si="0"/>
        <v>8863.4495728295715</v>
      </c>
      <c r="C14" s="6" t="s">
        <v>49</v>
      </c>
      <c r="D14" s="5">
        <f t="shared" si="1"/>
        <v>9330.948397452772</v>
      </c>
      <c r="E14" s="7" t="s">
        <v>72</v>
      </c>
      <c r="F14" s="4">
        <f t="shared" si="2"/>
        <v>-467.49882462320056</v>
      </c>
    </row>
    <row r="15" spans="1:6">
      <c r="A15">
        <v>13</v>
      </c>
      <c r="B15" s="4">
        <f t="shared" si="0"/>
        <v>9544.1477262514181</v>
      </c>
      <c r="C15" s="6" t="s">
        <v>50</v>
      </c>
      <c r="D15" s="5">
        <f t="shared" si="1"/>
        <v>9394.7638493360701</v>
      </c>
      <c r="E15" s="7" t="s">
        <v>73</v>
      </c>
      <c r="F15" s="4">
        <f t="shared" si="2"/>
        <v>149.38387691534808</v>
      </c>
    </row>
    <row r="16" spans="1:6">
      <c r="A16">
        <v>14</v>
      </c>
      <c r="B16" s="4">
        <f t="shared" si="0"/>
        <v>10216.442198766843</v>
      </c>
      <c r="C16" s="6" t="s">
        <v>51</v>
      </c>
      <c r="D16" s="5">
        <f t="shared" si="1"/>
        <v>9457.7914561343914</v>
      </c>
      <c r="E16" s="7" t="s">
        <v>74</v>
      </c>
      <c r="F16" s="4">
        <f t="shared" si="2"/>
        <v>758.65074263245151</v>
      </c>
    </row>
    <row r="17" spans="1:6">
      <c r="A17">
        <v>15</v>
      </c>
      <c r="B17" s="4">
        <f t="shared" si="0"/>
        <v>10880.436739522796</v>
      </c>
      <c r="C17" s="6" t="s">
        <v>52</v>
      </c>
      <c r="D17" s="5">
        <f t="shared" si="1"/>
        <v>9520.0409443302615</v>
      </c>
      <c r="E17" s="7" t="s">
        <v>75</v>
      </c>
      <c r="F17" s="4">
        <f t="shared" si="2"/>
        <v>1360.3957951925349</v>
      </c>
    </row>
    <row r="18" spans="1:6">
      <c r="A18">
        <v>16</v>
      </c>
      <c r="B18" s="4">
        <f t="shared" si="0"/>
        <v>11536.233816812648</v>
      </c>
      <c r="C18" s="6" t="s">
        <v>53</v>
      </c>
      <c r="D18" s="5">
        <f t="shared" si="1"/>
        <v>9581.5219203261859</v>
      </c>
      <c r="E18" s="7" t="s">
        <v>76</v>
      </c>
      <c r="F18" s="4">
        <f t="shared" si="2"/>
        <v>1954.7118964864621</v>
      </c>
    </row>
    <row r="19" spans="1:6">
      <c r="A19">
        <v>17</v>
      </c>
      <c r="B19" s="4">
        <f t="shared" si="0"/>
        <v>12183.934633889034</v>
      </c>
      <c r="C19" s="6" t="s">
        <v>54</v>
      </c>
      <c r="D19" s="5">
        <f t="shared" si="1"/>
        <v>9642.2438719270976</v>
      </c>
      <c r="E19" s="7" t="s">
        <v>77</v>
      </c>
      <c r="F19" s="4">
        <f t="shared" si="2"/>
        <v>2541.690761961936</v>
      </c>
    </row>
    <row r="20" spans="1:6">
      <c r="A20">
        <v>18</v>
      </c>
      <c r="B20" s="4">
        <f t="shared" si="0"/>
        <v>12823.639144581766</v>
      </c>
      <c r="C20" s="6" t="s">
        <v>55</v>
      </c>
      <c r="D20" s="5">
        <f t="shared" si="1"/>
        <v>9702.2161698045402</v>
      </c>
      <c r="E20" s="7" t="s">
        <v>78</v>
      </c>
      <c r="F20" s="4">
        <f t="shared" si="2"/>
        <v>3121.422974777226</v>
      </c>
    </row>
    <row r="21" spans="1:6">
      <c r="A21">
        <v>19</v>
      </c>
      <c r="B21" s="4">
        <f t="shared" si="0"/>
        <v>13455.446068722726</v>
      </c>
      <c r="C21" s="6" t="s">
        <v>56</v>
      </c>
      <c r="D21" s="5">
        <f t="shared" si="1"/>
        <v>9761.4480689427546</v>
      </c>
      <c r="E21" s="7" t="s">
        <v>79</v>
      </c>
      <c r="F21" s="4">
        <f t="shared" si="2"/>
        <v>3693.997999779971</v>
      </c>
    </row>
    <row r="22" spans="1:6">
      <c r="A22">
        <v>20</v>
      </c>
      <c r="B22" s="4">
        <f t="shared" si="0"/>
        <v>14079.452907380468</v>
      </c>
      <c r="C22" s="6" t="s">
        <v>57</v>
      </c>
      <c r="D22" s="5">
        <f t="shared" si="1"/>
        <v>9819.9487100669194</v>
      </c>
      <c r="E22" s="7" t="s">
        <v>80</v>
      </c>
      <c r="F22" s="4">
        <f t="shared" si="2"/>
        <v>4259.5041973135485</v>
      </c>
    </row>
    <row r="23" spans="1:6">
      <c r="A23">
        <v>21</v>
      </c>
      <c r="B23" s="4">
        <f t="shared" si="0"/>
        <v>14695.755957906631</v>
      </c>
      <c r="C23" s="6" t="s">
        <v>58</v>
      </c>
      <c r="D23" s="5">
        <f t="shared" si="1"/>
        <v>9877.7271210537474</v>
      </c>
      <c r="E23" s="7" t="s">
        <v>81</v>
      </c>
      <c r="F23" s="4">
        <f t="shared" si="2"/>
        <v>4818.0288368528836</v>
      </c>
    </row>
    <row r="24" spans="1:6">
      <c r="A24">
        <v>22</v>
      </c>
      <c r="B24" s="4">
        <f t="shared" si="0"/>
        <v>15304.450328796673</v>
      </c>
      <c r="C24" s="6" t="s">
        <v>59</v>
      </c>
      <c r="D24" s="5">
        <f t="shared" si="1"/>
        <v>9934.7922183246883</v>
      </c>
      <c r="E24" s="7" t="s">
        <v>82</v>
      </c>
      <c r="F24" s="4">
        <f t="shared" si="2"/>
        <v>5369.6581104719844</v>
      </c>
    </row>
    <row r="25" spans="1:6">
      <c r="A25">
        <v>23</v>
      </c>
      <c r="B25" s="4">
        <f t="shared" si="0"/>
        <v>15905.629954367081</v>
      </c>
      <c r="C25" s="6" t="s">
        <v>60</v>
      </c>
      <c r="D25" s="5">
        <f t="shared" si="1"/>
        <v>9991.1528082219138</v>
      </c>
      <c r="E25" s="7" t="s">
        <v>83</v>
      </c>
      <c r="F25" s="4">
        <f t="shared" si="2"/>
        <v>5914.4771461451674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"/>
  <sheetViews>
    <sheetView workbookViewId="0">
      <selection activeCell="A2" sqref="A2"/>
    </sheetView>
  </sheetViews>
  <sheetFormatPr defaultRowHeight="15"/>
  <cols>
    <col min="2" max="2" width="12.5703125" bestFit="1" customWidth="1"/>
    <col min="3" max="3" width="18" bestFit="1" customWidth="1"/>
    <col min="4" max="4" width="12.5703125" bestFit="1" customWidth="1"/>
    <col min="5" max="5" width="46.85546875" bestFit="1" customWidth="1"/>
  </cols>
  <sheetData>
    <row r="1" spans="1:5">
      <c r="A1">
        <v>8.2799999999999994</v>
      </c>
    </row>
    <row r="2" spans="1:5">
      <c r="A2" t="s">
        <v>11</v>
      </c>
      <c r="B2" t="s">
        <v>12</v>
      </c>
      <c r="D2" t="s">
        <v>13</v>
      </c>
    </row>
    <row r="3" spans="1:5">
      <c r="A3">
        <v>1000</v>
      </c>
      <c r="B3" s="4">
        <f>PV(12%,5,A3*25)</f>
        <v>-90119.405058625169</v>
      </c>
      <c r="C3" s="6" t="s">
        <v>84</v>
      </c>
      <c r="D3" s="4">
        <f>PV(12%,5,35000+A3*5)-150000+PV(12%,5,,15000)</f>
        <v>-302702.45092957927</v>
      </c>
      <c r="E3" s="6" t="s">
        <v>94</v>
      </c>
    </row>
    <row r="4" spans="1:5">
      <c r="A4">
        <v>2000</v>
      </c>
      <c r="B4" s="4">
        <f t="shared" ref="B4:B12" si="0">PV(12%,5,A4*25)</f>
        <v>-180238.81011725034</v>
      </c>
      <c r="C4" s="6" t="s">
        <v>85</v>
      </c>
      <c r="D4" s="4">
        <f t="shared" ref="D4:D12" si="1">PV(12%,5,35000+A4*5)-150000+PV(12%,5,,15000)</f>
        <v>-320726.33194130432</v>
      </c>
      <c r="E4" s="6" t="s">
        <v>95</v>
      </c>
    </row>
    <row r="5" spans="1:5">
      <c r="A5">
        <v>3000</v>
      </c>
      <c r="B5" s="4">
        <f t="shared" si="0"/>
        <v>-270358.21517587552</v>
      </c>
      <c r="C5" s="6" t="s">
        <v>86</v>
      </c>
      <c r="D5" s="4">
        <f t="shared" si="1"/>
        <v>-338750.21295302932</v>
      </c>
      <c r="E5" s="6" t="s">
        <v>96</v>
      </c>
    </row>
    <row r="6" spans="1:5">
      <c r="A6">
        <v>4000</v>
      </c>
      <c r="B6" s="4">
        <f t="shared" si="0"/>
        <v>-360477.62023450067</v>
      </c>
      <c r="C6" s="6" t="s">
        <v>87</v>
      </c>
      <c r="D6" s="4">
        <f t="shared" si="1"/>
        <v>-356774.09396475437</v>
      </c>
      <c r="E6" s="6" t="s">
        <v>97</v>
      </c>
    </row>
    <row r="7" spans="1:5">
      <c r="A7">
        <v>5000</v>
      </c>
      <c r="B7" s="4">
        <f t="shared" si="0"/>
        <v>-450597.02529312583</v>
      </c>
      <c r="C7" s="6" t="s">
        <v>88</v>
      </c>
      <c r="D7" s="4">
        <f t="shared" si="1"/>
        <v>-374797.97497647943</v>
      </c>
      <c r="E7" s="6" t="s">
        <v>98</v>
      </c>
    </row>
    <row r="8" spans="1:5">
      <c r="A8">
        <v>6000</v>
      </c>
      <c r="B8" s="4">
        <f t="shared" si="0"/>
        <v>-540716.43035175104</v>
      </c>
      <c r="C8" s="6" t="s">
        <v>89</v>
      </c>
      <c r="D8" s="4">
        <f t="shared" si="1"/>
        <v>-392821.85598820442</v>
      </c>
      <c r="E8" s="6" t="s">
        <v>99</v>
      </c>
    </row>
    <row r="9" spans="1:5">
      <c r="A9">
        <v>7000</v>
      </c>
      <c r="B9" s="4">
        <f t="shared" si="0"/>
        <v>-630835.8354103762</v>
      </c>
      <c r="C9" s="6" t="s">
        <v>90</v>
      </c>
      <c r="D9" s="4">
        <f t="shared" si="1"/>
        <v>-410845.73699992948</v>
      </c>
      <c r="E9" s="6" t="s">
        <v>100</v>
      </c>
    </row>
    <row r="10" spans="1:5">
      <c r="A10">
        <v>8000</v>
      </c>
      <c r="B10" s="4">
        <f t="shared" si="0"/>
        <v>-720955.24046900135</v>
      </c>
      <c r="C10" s="6" t="s">
        <v>91</v>
      </c>
      <c r="D10" s="4">
        <f t="shared" si="1"/>
        <v>-428869.61801165453</v>
      </c>
      <c r="E10" s="6" t="s">
        <v>101</v>
      </c>
    </row>
    <row r="11" spans="1:5">
      <c r="A11">
        <v>9000</v>
      </c>
      <c r="B11" s="4">
        <f t="shared" si="0"/>
        <v>-811074.6455276265</v>
      </c>
      <c r="C11" s="6" t="s">
        <v>92</v>
      </c>
      <c r="D11" s="4">
        <f t="shared" si="1"/>
        <v>-446893.49902337953</v>
      </c>
      <c r="E11" s="6" t="s">
        <v>102</v>
      </c>
    </row>
    <row r="12" spans="1:5">
      <c r="A12">
        <v>10000</v>
      </c>
      <c r="B12" s="4">
        <f t="shared" si="0"/>
        <v>-901194.05058625166</v>
      </c>
      <c r="C12" s="6" t="s">
        <v>93</v>
      </c>
      <c r="D12" s="4">
        <f t="shared" si="1"/>
        <v>-464917.38003510458</v>
      </c>
      <c r="E12" s="6" t="s">
        <v>103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25"/>
  <sheetViews>
    <sheetView workbookViewId="0">
      <selection activeCell="A2" sqref="A2"/>
    </sheetView>
  </sheetViews>
  <sheetFormatPr defaultRowHeight="15"/>
  <cols>
    <col min="1" max="1" width="12.5703125" bestFit="1" customWidth="1"/>
    <col min="2" max="2" width="24" bestFit="1" customWidth="1"/>
    <col min="3" max="3" width="10.85546875" bestFit="1" customWidth="1"/>
    <col min="4" max="4" width="21.140625" bestFit="1" customWidth="1"/>
    <col min="7" max="7" width="12.5703125" bestFit="1" customWidth="1"/>
  </cols>
  <sheetData>
    <row r="1" spans="1:7">
      <c r="A1">
        <v>8.3699999999999992</v>
      </c>
    </row>
    <row r="2" spans="1:7">
      <c r="A2" t="s">
        <v>14</v>
      </c>
      <c r="C2" t="s">
        <v>15</v>
      </c>
      <c r="E2" t="s">
        <v>16</v>
      </c>
      <c r="F2" t="s">
        <v>18</v>
      </c>
      <c r="G2" t="s">
        <v>17</v>
      </c>
    </row>
    <row r="3" spans="1:7">
      <c r="A3" s="4">
        <f>PMT(15%,10,180000)</f>
        <v>-35865.371253165271</v>
      </c>
      <c r="B3" s="6" t="s">
        <v>19</v>
      </c>
      <c r="C3" s="4">
        <f>PMT(15%,10,,-20000)</f>
        <v>985.04125035169704</v>
      </c>
      <c r="D3" s="6" t="s">
        <v>29</v>
      </c>
      <c r="E3">
        <v>-30000</v>
      </c>
      <c r="F3">
        <v>70000</v>
      </c>
      <c r="G3" s="4">
        <f>SUM(A3:F3)</f>
        <v>5119.6699971864291</v>
      </c>
    </row>
    <row r="4" spans="1:7">
      <c r="A4" s="4">
        <f>PMT(15%,10,180000*1.1)</f>
        <v>-39451.908378481799</v>
      </c>
      <c r="B4" s="6" t="s">
        <v>20</v>
      </c>
      <c r="C4" s="4">
        <f>PMT(15%,10,,-20000)</f>
        <v>985.04125035169704</v>
      </c>
      <c r="D4" s="6" t="s">
        <v>29</v>
      </c>
      <c r="E4">
        <v>-30000</v>
      </c>
      <c r="F4">
        <v>70000</v>
      </c>
      <c r="G4" s="4">
        <f>SUM(A4:F4)</f>
        <v>1533.1328718698933</v>
      </c>
    </row>
    <row r="5" spans="1:7">
      <c r="A5" s="4">
        <f>PMT(15%,10,180000*1.2)</f>
        <v>-43038.445503798328</v>
      </c>
      <c r="B5" s="6" t="s">
        <v>21</v>
      </c>
      <c r="C5" s="4">
        <f>PMT(15%,10,,-20000)</f>
        <v>985.04125035169704</v>
      </c>
      <c r="D5" s="6" t="s">
        <v>29</v>
      </c>
      <c r="E5">
        <v>-30000</v>
      </c>
      <c r="F5">
        <v>70000</v>
      </c>
      <c r="G5" s="4">
        <f>SUM(A5:F5)</f>
        <v>-2053.404253446628</v>
      </c>
    </row>
    <row r="6" spans="1:7">
      <c r="A6" s="4">
        <f>PMT(15%,10,180000*0.9)</f>
        <v>-32278.834127848746</v>
      </c>
      <c r="B6" s="6" t="s">
        <v>22</v>
      </c>
      <c r="C6" s="4">
        <f>PMT(15%,10,,-20000)</f>
        <v>985.04125035169704</v>
      </c>
      <c r="D6" s="6" t="s">
        <v>29</v>
      </c>
      <c r="E6">
        <v>-30000</v>
      </c>
      <c r="F6">
        <v>70000</v>
      </c>
      <c r="G6" s="4">
        <f>SUM(A6:F6)</f>
        <v>8706.2071225029504</v>
      </c>
    </row>
    <row r="7" spans="1:7">
      <c r="A7" s="4">
        <f>PMT(15%,10,180000*0.8)</f>
        <v>-28692.297002532217</v>
      </c>
      <c r="B7" s="6" t="s">
        <v>23</v>
      </c>
      <c r="C7" s="4">
        <f>PMT(15%,10,,-20000)</f>
        <v>985.04125035169704</v>
      </c>
      <c r="D7" s="6" t="s">
        <v>29</v>
      </c>
      <c r="E7">
        <v>-30000</v>
      </c>
      <c r="F7">
        <v>70000</v>
      </c>
      <c r="G7" s="4">
        <f>SUM(A7:F7)</f>
        <v>12292.744247819479</v>
      </c>
    </row>
    <row r="9" spans="1:7">
      <c r="A9" s="4">
        <f>PMT(15%,10,180000)</f>
        <v>-35865.371253165271</v>
      </c>
      <c r="B9" s="6" t="s">
        <v>19</v>
      </c>
      <c r="C9" s="4">
        <f>PMT(15%,10,,-20000)</f>
        <v>985.04125035169704</v>
      </c>
      <c r="D9" s="6" t="s">
        <v>29</v>
      </c>
      <c r="E9">
        <v>-30000</v>
      </c>
      <c r="F9">
        <v>70000</v>
      </c>
      <c r="G9" s="4">
        <f>SUM(A9:F9)</f>
        <v>5119.6699971864291</v>
      </c>
    </row>
    <row r="10" spans="1:7">
      <c r="A10" s="4">
        <f>PMT(15%,10,180000)</f>
        <v>-35865.371253165271</v>
      </c>
      <c r="B10" s="6" t="s">
        <v>19</v>
      </c>
      <c r="C10" s="4">
        <f>PMT(15%,10,,-20000)</f>
        <v>985.04125035169704</v>
      </c>
      <c r="D10" s="6" t="s">
        <v>29</v>
      </c>
      <c r="E10">
        <f>E9*1.1</f>
        <v>-33000</v>
      </c>
      <c r="F10">
        <v>70000</v>
      </c>
      <c r="G10" s="4">
        <f>SUM(A10:F10)</f>
        <v>2119.6699971864291</v>
      </c>
    </row>
    <row r="11" spans="1:7">
      <c r="A11" s="4">
        <f>PMT(15%,10,180000)</f>
        <v>-35865.371253165271</v>
      </c>
      <c r="B11" s="6" t="s">
        <v>19</v>
      </c>
      <c r="C11" s="4">
        <f>PMT(15%,10,,-20000)</f>
        <v>985.04125035169704</v>
      </c>
      <c r="D11" s="6" t="s">
        <v>29</v>
      </c>
      <c r="E11">
        <f>E9*1.2</f>
        <v>-36000</v>
      </c>
      <c r="F11">
        <v>70000</v>
      </c>
      <c r="G11" s="4">
        <f>SUM(A11:F11)</f>
        <v>-880.3300028135709</v>
      </c>
    </row>
    <row r="12" spans="1:7">
      <c r="A12" s="4">
        <f>PMT(15%,10,180000)</f>
        <v>-35865.371253165271</v>
      </c>
      <c r="B12" s="6" t="s">
        <v>19</v>
      </c>
      <c r="C12" s="4">
        <f>PMT(15%,10,,-20000)</f>
        <v>985.04125035169704</v>
      </c>
      <c r="D12" s="6" t="s">
        <v>29</v>
      </c>
      <c r="E12">
        <f>E9*0.9</f>
        <v>-27000</v>
      </c>
      <c r="F12">
        <v>70000</v>
      </c>
      <c r="G12" s="4">
        <f>SUM(A12:F12)</f>
        <v>8119.6699971864291</v>
      </c>
    </row>
    <row r="13" spans="1:7">
      <c r="A13" s="4">
        <f>PMT(15%,10,180000)</f>
        <v>-35865.371253165271</v>
      </c>
      <c r="B13" s="6" t="s">
        <v>19</v>
      </c>
      <c r="C13" s="4">
        <f>PMT(15%,10,,-20000)</f>
        <v>985.04125035169704</v>
      </c>
      <c r="D13" s="6" t="s">
        <v>29</v>
      </c>
      <c r="E13">
        <f>E9*0.8</f>
        <v>-24000</v>
      </c>
      <c r="F13">
        <v>70000</v>
      </c>
      <c r="G13" s="4">
        <f>SUM(A13:F13)</f>
        <v>11119.669997186429</v>
      </c>
    </row>
    <row r="15" spans="1:7">
      <c r="A15" s="4">
        <f>PMT(15%,10,180000)</f>
        <v>-35865.371253165271</v>
      </c>
      <c r="B15" s="6" t="s">
        <v>19</v>
      </c>
      <c r="C15" s="4">
        <f>PMT(15%,10,,-20000)</f>
        <v>985.04125035169704</v>
      </c>
      <c r="D15" s="6" t="s">
        <v>29</v>
      </c>
      <c r="E15">
        <v>-30000</v>
      </c>
      <c r="F15">
        <v>70000</v>
      </c>
      <c r="G15" s="4">
        <f>SUM(A15:F15)</f>
        <v>5119.6699971864291</v>
      </c>
    </row>
    <row r="16" spans="1:7">
      <c r="A16" s="4">
        <f>PMT(15%,10,180000)</f>
        <v>-35865.371253165271</v>
      </c>
      <c r="B16" s="6" t="s">
        <v>19</v>
      </c>
      <c r="C16" s="4">
        <f>PMT(15%,10,,-20000)</f>
        <v>985.04125035169704</v>
      </c>
      <c r="D16" s="6" t="s">
        <v>29</v>
      </c>
      <c r="E16">
        <v>-30000</v>
      </c>
      <c r="F16">
        <f>F15*1.1</f>
        <v>77000</v>
      </c>
      <c r="G16" s="4">
        <f>SUM(A16:F16)</f>
        <v>12119.669997186429</v>
      </c>
    </row>
    <row r="17" spans="1:8">
      <c r="A17" s="4">
        <f>PMT(15%,10,180000)</f>
        <v>-35865.371253165271</v>
      </c>
      <c r="B17" s="6" t="s">
        <v>19</v>
      </c>
      <c r="C17" s="4">
        <f>PMT(15%,10,,-20000)</f>
        <v>985.04125035169704</v>
      </c>
      <c r="D17" s="6" t="s">
        <v>29</v>
      </c>
      <c r="E17">
        <v>-30000</v>
      </c>
      <c r="F17">
        <f>F15*1.2</f>
        <v>84000</v>
      </c>
      <c r="G17" s="4">
        <f>SUM(A17:F17)</f>
        <v>19119.669997186429</v>
      </c>
    </row>
    <row r="18" spans="1:8">
      <c r="A18" s="4">
        <f>PMT(15%,10,180000)</f>
        <v>-35865.371253165271</v>
      </c>
      <c r="B18" s="6" t="s">
        <v>19</v>
      </c>
      <c r="C18" s="4">
        <f>PMT(15%,10,,-20000)</f>
        <v>985.04125035169704</v>
      </c>
      <c r="D18" s="6" t="s">
        <v>29</v>
      </c>
      <c r="E18">
        <v>-30000</v>
      </c>
      <c r="F18">
        <f>F15*0.9</f>
        <v>63000</v>
      </c>
      <c r="G18" s="4">
        <f>SUM(A18:F18)</f>
        <v>-1880.3300028135709</v>
      </c>
    </row>
    <row r="19" spans="1:8">
      <c r="A19" s="4">
        <f>PMT(15%,10,180000)</f>
        <v>-35865.371253165271</v>
      </c>
      <c r="B19" s="6" t="s">
        <v>19</v>
      </c>
      <c r="C19" s="4">
        <f>PMT(15%,10,,-20000)</f>
        <v>985.04125035169704</v>
      </c>
      <c r="D19" s="6" t="s">
        <v>29</v>
      </c>
      <c r="E19">
        <v>-30000</v>
      </c>
      <c r="F19">
        <f>F15*0.8</f>
        <v>56000</v>
      </c>
      <c r="G19" s="4">
        <f>SUM(A19:F19)</f>
        <v>-8880.3300028135709</v>
      </c>
    </row>
    <row r="20" spans="1:8">
      <c r="H20" t="s">
        <v>10</v>
      </c>
    </row>
    <row r="21" spans="1:8">
      <c r="A21" s="4">
        <f>PMT(15%,H21,180000)</f>
        <v>-35865.371253165271</v>
      </c>
      <c r="B21" s="6" t="s">
        <v>25</v>
      </c>
      <c r="C21" s="4">
        <f>PMT(15%,H21,,-20000)</f>
        <v>985.04125035169704</v>
      </c>
      <c r="D21" s="6" t="s">
        <v>30</v>
      </c>
      <c r="E21">
        <v>-30000</v>
      </c>
      <c r="F21">
        <v>70000</v>
      </c>
      <c r="G21" s="4">
        <f>SUM(A21:F21)</f>
        <v>5119.6699971864291</v>
      </c>
      <c r="H21">
        <v>10</v>
      </c>
    </row>
    <row r="22" spans="1:8">
      <c r="A22" s="4">
        <f>PMT(15%,H22,180000)</f>
        <v>-34392.41693239555</v>
      </c>
      <c r="B22" s="6" t="s">
        <v>26</v>
      </c>
      <c r="C22" s="4">
        <f>PMT(15%,H22,,-20000)</f>
        <v>821.37965915506061</v>
      </c>
      <c r="D22" s="6" t="s">
        <v>31</v>
      </c>
      <c r="E22">
        <v>-30000</v>
      </c>
      <c r="F22">
        <v>70000</v>
      </c>
      <c r="G22" s="4">
        <f>SUM(A22:F22)</f>
        <v>6428.9627267595133</v>
      </c>
      <c r="H22">
        <f>H21*1.1</f>
        <v>11</v>
      </c>
    </row>
    <row r="23" spans="1:8">
      <c r="A23" s="4">
        <f>PMT(15%,H23,180000)</f>
        <v>-33206.53970355112</v>
      </c>
      <c r="B23" s="6" t="s">
        <v>27</v>
      </c>
      <c r="C23" s="4">
        <f>PMT(15%,H23,,-20000)</f>
        <v>689.61552261679117</v>
      </c>
      <c r="D23" s="6" t="s">
        <v>32</v>
      </c>
      <c r="E23">
        <v>-30000</v>
      </c>
      <c r="F23">
        <v>70000</v>
      </c>
      <c r="G23" s="4">
        <f>SUM(A23:F23)</f>
        <v>7483.0758190656707</v>
      </c>
      <c r="H23">
        <f>H21*1.2</f>
        <v>12</v>
      </c>
    </row>
    <row r="24" spans="1:8">
      <c r="A24" s="4">
        <f>PMT(15%,H24,180000)</f>
        <v>-37723.322701216624</v>
      </c>
      <c r="B24" s="6" t="s">
        <v>28</v>
      </c>
      <c r="C24" s="4">
        <f>PMT(15%,H24,,-20000)</f>
        <v>1191.4803001351802</v>
      </c>
      <c r="D24" s="6" t="s">
        <v>33</v>
      </c>
      <c r="E24">
        <v>-30000</v>
      </c>
      <c r="F24">
        <v>70000</v>
      </c>
      <c r="G24" s="4">
        <f>SUM(A24:F24)</f>
        <v>3468.1575989185658</v>
      </c>
      <c r="H24">
        <f>H21*0.9</f>
        <v>9</v>
      </c>
    </row>
    <row r="25" spans="1:8">
      <c r="A25" s="4">
        <f>PMT(15%,H25,180000)</f>
        <v>-40113.016125865281</v>
      </c>
      <c r="B25" s="6" t="s">
        <v>24</v>
      </c>
      <c r="C25" s="4">
        <f>PMT(15%,H25,,-20000)</f>
        <v>1457.0017917628095</v>
      </c>
      <c r="D25" s="6" t="s">
        <v>34</v>
      </c>
      <c r="E25">
        <v>-30000</v>
      </c>
      <c r="F25">
        <v>70000</v>
      </c>
      <c r="G25" s="4">
        <f>SUM(A25:F25)</f>
        <v>1343.9856658975186</v>
      </c>
      <c r="H25">
        <f>H21*0.8</f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B4" sqref="B4"/>
    </sheetView>
  </sheetViews>
  <sheetFormatPr defaultRowHeight="15"/>
  <cols>
    <col min="1" max="2" width="11.5703125" bestFit="1" customWidth="1"/>
  </cols>
  <sheetData>
    <row r="1" spans="1:2">
      <c r="A1" s="4">
        <f>PV(6%,15,,100000)</f>
        <v>-41726.506073554032</v>
      </c>
      <c r="B1" s="4">
        <f>PV(6%,15,,100000)</f>
        <v>-41726.506073554032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A2" sqref="A2"/>
    </sheetView>
  </sheetViews>
  <sheetFormatPr defaultRowHeight="15"/>
  <cols>
    <col min="1" max="1" width="14.28515625" bestFit="1" customWidth="1"/>
  </cols>
  <sheetData>
    <row r="1" spans="1:1">
      <c r="A1" s="4">
        <f>FV(4%,30,,1500000)</f>
        <v>-4865096.2650413131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7.11</vt:lpstr>
      <vt:lpstr>7.14(a)</vt:lpstr>
      <vt:lpstr>7.20</vt:lpstr>
      <vt:lpstr>7.23</vt:lpstr>
      <vt:lpstr>8.18</vt:lpstr>
      <vt:lpstr>8.28</vt:lpstr>
      <vt:lpstr>8.37</vt:lpstr>
      <vt:lpstr>10.3</vt:lpstr>
      <vt:lpstr>10.8</vt:lpstr>
      <vt:lpstr>10.16</vt:lpstr>
      <vt:lpstr>10.28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2011-06-03T17:41:51Z</dcterms:created>
  <dcterms:modified xsi:type="dcterms:W3CDTF">2011-06-03T20:19:59Z</dcterms:modified>
</cp:coreProperties>
</file>