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rasou\Desktop\"/>
    </mc:Choice>
  </mc:AlternateContent>
  <xr:revisionPtr revIDLastSave="0" documentId="13_ncr:1_{8E63F1CF-98F6-4E6B-B9A6-6E6ADA4536C4}" xr6:coauthVersionLast="47" xr6:coauthVersionMax="47" xr10:uidLastSave="{00000000-0000-0000-0000-000000000000}"/>
  <bookViews>
    <workbookView xWindow="-120" yWindow="-120" windowWidth="20730" windowHeight="11310" tabRatio="896" activeTab="6" xr2:uid="{00000000-000D-0000-FFFF-FFFF00000000}"/>
  </bookViews>
  <sheets>
    <sheet name="اطلاعات شرکت" sheetId="23" r:id="rId1"/>
    <sheet name="جدول مالیات حقوق سال 1403" sheetId="17" r:id="rId2"/>
    <sheet name="قوانین پایه " sheetId="1" r:id="rId3"/>
    <sheet name="معافیت های مالیاتی و بیمه" sheetId="22" r:id="rId4"/>
    <sheet name="جداول حقوق و دستمزد" sheetId="2" r:id="rId5"/>
    <sheet name="جدول تجمیعی" sheetId="20" r:id="rId6"/>
    <sheet name="لیست ارائه شده به دارایی" sheetId="21" r:id="rId7"/>
    <sheet name="فیش حقوق" sheetId="25" r:id="rId8"/>
  </sheets>
  <externalReferences>
    <externalReference r:id="rId9"/>
  </externalReferences>
  <definedNames>
    <definedName name="_xlnm.Print_Area" localSheetId="4">'جداول حقوق و دستمزد'!$C$2:$W$445</definedName>
    <definedName name="_xlnm.Print_Area" localSheetId="5">'جدول تجمیعی'!$B$2:$AK$38</definedName>
    <definedName name="_xlnm.Print_Area" localSheetId="1">'جدول مالیات حقوق سال 1403'!$B$2:$H$8</definedName>
    <definedName name="_xlnm.Print_Area" localSheetId="2">'قوانین پایه '!$B$2:$J$20</definedName>
    <definedName name="_xlnm.Print_Area" localSheetId="6">'لیست ارائه شده به دارایی'!$B$2:$X$20</definedName>
    <definedName name="پایه_سنوات_روزانه">'قوانین پایه '!$D$10</definedName>
    <definedName name="تعداد_روزهای_کاری_در_هفته">'قوانین پایه '!$D$17</definedName>
    <definedName name="حداقل_حقوق_پایه_روزانه">'قوانین پایه '!$D$4</definedName>
    <definedName name="حداقل_حقوق_ماهانه_30_روزه">'قوانین پایه '!$D$5</definedName>
    <definedName name="حداقل_عیدی">'قوانین پایه '!$D$12</definedName>
    <definedName name="حداکثر_حقوق_مشمول_بیمه_ماهانه">'قوانین پایه '!$D$20</definedName>
    <definedName name="حداکثر_عیدی">'قوانین پایه '!$D$13</definedName>
    <definedName name="حق_اولاد_یک_نفر">'قوانین پایه '!$D$8</definedName>
    <definedName name="حق_خواربار">'قوانین پایه '!$D$7</definedName>
    <definedName name="حق_سنوات">'قوانین پایه '!$D$11</definedName>
    <definedName name="حق_مسکن">'قوانین پایه '!$D$6</definedName>
    <definedName name="متوسط_ساعت_کاری_روزانه">'قوانین پایه '!$D$18</definedName>
    <definedName name="مرخصی_سالانه">'قوانین پایه '!$D$15</definedName>
    <definedName name="مرخصی_ماهانه">'قوانین پایه '!$D$16</definedName>
    <definedName name="معافیت_مالیاتی_ماهانه_حقوق">'قوانین پایه '!$D$14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18" i="2" l="1"/>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85" i="2"/>
  <c r="U86" i="2"/>
  <c r="U87" i="2"/>
  <c r="U88" i="2"/>
  <c r="U89" i="2"/>
  <c r="U90" i="2"/>
  <c r="U91" i="2"/>
  <c r="U92" i="2"/>
  <c r="U93" i="2"/>
  <c r="U94" i="2"/>
  <c r="U95" i="2"/>
  <c r="U96" i="2"/>
  <c r="U97" i="2"/>
  <c r="U98" i="2"/>
  <c r="U99" i="2"/>
  <c r="U100" i="2"/>
  <c r="U101" i="2"/>
  <c r="U102" i="2"/>
  <c r="U103" i="2"/>
  <c r="U104" i="2"/>
  <c r="U105" i="2"/>
  <c r="U106" i="2"/>
  <c r="U107" i="2"/>
  <c r="U108" i="2"/>
  <c r="U109" i="2"/>
  <c r="U110" i="2"/>
  <c r="U47" i="2"/>
  <c r="U48" i="2"/>
  <c r="U49" i="2"/>
  <c r="U50" i="2"/>
  <c r="U51" i="2"/>
  <c r="U52" i="2"/>
  <c r="U53" i="2"/>
  <c r="U54" i="2"/>
  <c r="U55" i="2"/>
  <c r="U56" i="2"/>
  <c r="U57" i="2"/>
  <c r="U58" i="2"/>
  <c r="U59" i="2"/>
  <c r="U60" i="2"/>
  <c r="U61" i="2"/>
  <c r="U62" i="2"/>
  <c r="U63" i="2"/>
  <c r="U64" i="2"/>
  <c r="U65" i="2"/>
  <c r="U66" i="2"/>
  <c r="U67" i="2"/>
  <c r="U68" i="2"/>
  <c r="U69" i="2"/>
  <c r="U70" i="2"/>
  <c r="U71" i="2"/>
  <c r="U72" i="2"/>
  <c r="U73" i="2"/>
  <c r="U10" i="2"/>
  <c r="U11" i="2"/>
  <c r="U12" i="2"/>
  <c r="U13" i="2"/>
  <c r="U14" i="2"/>
  <c r="U15" i="2"/>
  <c r="U16" i="2"/>
  <c r="U17" i="2"/>
  <c r="U18" i="2"/>
  <c r="U19" i="2"/>
  <c r="U20" i="2"/>
  <c r="U21" i="2"/>
  <c r="U22" i="2"/>
  <c r="U23" i="2"/>
  <c r="U24" i="2"/>
  <c r="U25" i="2"/>
  <c r="U26" i="2"/>
  <c r="U27" i="2"/>
  <c r="U28" i="2"/>
  <c r="U29" i="2"/>
  <c r="U30" i="2"/>
  <c r="U31" i="2"/>
  <c r="U32" i="2"/>
  <c r="U33" i="2"/>
  <c r="U34" i="2"/>
  <c r="U35" i="2"/>
  <c r="U36" i="2"/>
  <c r="AK11" i="20"/>
  <c r="AK12" i="20"/>
  <c r="AK13" i="20"/>
  <c r="AK14" i="20"/>
  <c r="AK15" i="20"/>
  <c r="AK16" i="20"/>
  <c r="AK17" i="20"/>
  <c r="AK18" i="20"/>
  <c r="AK19" i="20"/>
  <c r="AK20" i="20"/>
  <c r="AK21" i="20"/>
  <c r="AK22" i="20"/>
  <c r="AK23" i="20"/>
  <c r="AK24" i="20"/>
  <c r="AK25" i="20"/>
  <c r="AK26" i="20"/>
  <c r="AK27" i="20"/>
  <c r="AK28" i="20"/>
  <c r="AK29" i="20"/>
  <c r="AK30" i="20"/>
  <c r="AK31" i="20"/>
  <c r="AK32" i="20"/>
  <c r="AK33" i="20"/>
  <c r="AK34" i="20"/>
  <c r="AK35" i="20"/>
  <c r="AK36" i="20"/>
  <c r="AJ11" i="20"/>
  <c r="AJ12" i="20"/>
  <c r="AJ13" i="20"/>
  <c r="AJ14" i="20"/>
  <c r="AJ15" i="20"/>
  <c r="AJ16" i="20"/>
  <c r="AJ17" i="20"/>
  <c r="AJ18" i="20"/>
  <c r="AJ19" i="20"/>
  <c r="AJ20" i="20"/>
  <c r="AJ21" i="20"/>
  <c r="AJ22" i="20"/>
  <c r="AJ23" i="20"/>
  <c r="AJ24" i="20"/>
  <c r="AJ25" i="20"/>
  <c r="AJ26" i="20"/>
  <c r="AJ27" i="20"/>
  <c r="AJ28" i="20"/>
  <c r="AJ29" i="20"/>
  <c r="AJ30" i="20"/>
  <c r="AJ31" i="20"/>
  <c r="AJ32" i="20"/>
  <c r="AJ33" i="20"/>
  <c r="AJ34" i="20"/>
  <c r="AJ35" i="20"/>
  <c r="AJ36" i="20"/>
  <c r="AI11" i="20"/>
  <c r="AI12" i="20"/>
  <c r="AI13" i="20"/>
  <c r="AI14" i="20"/>
  <c r="AI15" i="20"/>
  <c r="AI16" i="20"/>
  <c r="AI17" i="20"/>
  <c r="AI18" i="20"/>
  <c r="AI19" i="20"/>
  <c r="AI20" i="20"/>
  <c r="AI21" i="20"/>
  <c r="AI22" i="20"/>
  <c r="AI23" i="20"/>
  <c r="AI24" i="20"/>
  <c r="AI25" i="20"/>
  <c r="AI26" i="20"/>
  <c r="AI27" i="20"/>
  <c r="AI28" i="20"/>
  <c r="AI29" i="20"/>
  <c r="AI30" i="20"/>
  <c r="AI31" i="20"/>
  <c r="AI32" i="20"/>
  <c r="AI33" i="20"/>
  <c r="AI34" i="20"/>
  <c r="AI35" i="20"/>
  <c r="AI36" i="20"/>
  <c r="N156" i="2"/>
  <c r="K156" i="2"/>
  <c r="N195" i="2"/>
  <c r="K195" i="2"/>
  <c r="N158" i="2"/>
  <c r="K158" i="2"/>
  <c r="N121" i="2"/>
  <c r="K121" i="2"/>
  <c r="M194" i="2"/>
  <c r="G414" i="2"/>
  <c r="H414" i="2" s="1"/>
  <c r="G415" i="2"/>
  <c r="H415" i="2" s="1"/>
  <c r="G416" i="2"/>
  <c r="J416" i="2" s="1"/>
  <c r="G417" i="2"/>
  <c r="J417" i="2" s="1"/>
  <c r="G418" i="2"/>
  <c r="J418" i="2" s="1"/>
  <c r="G419" i="2"/>
  <c r="J419" i="2" s="1"/>
  <c r="G420" i="2"/>
  <c r="H420" i="2" s="1"/>
  <c r="G421" i="2"/>
  <c r="H421" i="2" s="1"/>
  <c r="G422" i="2"/>
  <c r="J422" i="2" s="1"/>
  <c r="G423" i="2"/>
  <c r="J423" i="2" s="1"/>
  <c r="G424" i="2"/>
  <c r="H424" i="2" s="1"/>
  <c r="G425" i="2"/>
  <c r="H425" i="2" s="1"/>
  <c r="G426" i="2"/>
  <c r="J426" i="2" s="1"/>
  <c r="G427" i="2"/>
  <c r="J427" i="2" s="1"/>
  <c r="G428" i="2"/>
  <c r="H428" i="2" s="1"/>
  <c r="G429" i="2"/>
  <c r="H429" i="2" s="1"/>
  <c r="G430" i="2"/>
  <c r="J430" i="2" s="1"/>
  <c r="G431" i="2"/>
  <c r="J431" i="2" s="1"/>
  <c r="G432" i="2"/>
  <c r="H432" i="2" s="1"/>
  <c r="G433" i="2"/>
  <c r="H433" i="2" s="1"/>
  <c r="G434" i="2"/>
  <c r="J434" i="2" s="1"/>
  <c r="G435" i="2"/>
  <c r="J435" i="2" s="1"/>
  <c r="G436" i="2"/>
  <c r="H436" i="2" s="1"/>
  <c r="G437" i="2"/>
  <c r="H437" i="2" s="1"/>
  <c r="G438" i="2"/>
  <c r="J438" i="2" s="1"/>
  <c r="G439" i="2"/>
  <c r="J439" i="2" s="1"/>
  <c r="G440" i="2"/>
  <c r="H440" i="2" s="1"/>
  <c r="G441" i="2"/>
  <c r="H441" i="2" s="1"/>
  <c r="G442" i="2"/>
  <c r="J442" i="2" s="1"/>
  <c r="G443" i="2"/>
  <c r="J443" i="2" s="1"/>
  <c r="G377" i="2"/>
  <c r="J377" i="2" s="1"/>
  <c r="G378" i="2"/>
  <c r="J378" i="2" s="1"/>
  <c r="G379" i="2"/>
  <c r="H379" i="2" s="1"/>
  <c r="G380" i="2"/>
  <c r="H380" i="2" s="1"/>
  <c r="G381" i="2"/>
  <c r="J381" i="2" s="1"/>
  <c r="G382" i="2"/>
  <c r="H382" i="2" s="1"/>
  <c r="G383" i="2"/>
  <c r="H383" i="2" s="1"/>
  <c r="G384" i="2"/>
  <c r="J384" i="2" s="1"/>
  <c r="G385" i="2"/>
  <c r="J385" i="2" s="1"/>
  <c r="G386" i="2"/>
  <c r="H386" i="2" s="1"/>
  <c r="G387" i="2"/>
  <c r="H387" i="2" s="1"/>
  <c r="G388" i="2"/>
  <c r="J388" i="2" s="1"/>
  <c r="G389" i="2"/>
  <c r="J389" i="2" s="1"/>
  <c r="G390" i="2"/>
  <c r="H390" i="2" s="1"/>
  <c r="G391" i="2"/>
  <c r="H391" i="2" s="1"/>
  <c r="G392" i="2"/>
  <c r="J392" i="2" s="1"/>
  <c r="G393" i="2"/>
  <c r="J393" i="2" s="1"/>
  <c r="G394" i="2"/>
  <c r="H394" i="2" s="1"/>
  <c r="G395" i="2"/>
  <c r="H395" i="2" s="1"/>
  <c r="G396" i="2"/>
  <c r="J396" i="2" s="1"/>
  <c r="G397" i="2"/>
  <c r="J397" i="2" s="1"/>
  <c r="G398" i="2"/>
  <c r="H398" i="2" s="1"/>
  <c r="G399" i="2"/>
  <c r="H399" i="2" s="1"/>
  <c r="G400" i="2"/>
  <c r="J400" i="2" s="1"/>
  <c r="G401" i="2"/>
  <c r="J401" i="2" s="1"/>
  <c r="G402" i="2"/>
  <c r="H402" i="2" s="1"/>
  <c r="G403" i="2"/>
  <c r="H403" i="2" s="1"/>
  <c r="G404" i="2"/>
  <c r="J404" i="2" s="1"/>
  <c r="G405" i="2"/>
  <c r="J405" i="2" s="1"/>
  <c r="G406" i="2"/>
  <c r="J406" i="2" s="1"/>
  <c r="G340" i="2"/>
  <c r="J340" i="2" s="1"/>
  <c r="G341" i="2"/>
  <c r="J341" i="2" s="1"/>
  <c r="G342" i="2"/>
  <c r="J342" i="2" s="1"/>
  <c r="G343" i="2"/>
  <c r="H343" i="2" s="1"/>
  <c r="G344" i="2"/>
  <c r="J344" i="2" s="1"/>
  <c r="G345" i="2"/>
  <c r="J345" i="2" s="1"/>
  <c r="G346" i="2"/>
  <c r="J346" i="2" s="1"/>
  <c r="G347" i="2"/>
  <c r="H347" i="2" s="1"/>
  <c r="G348" i="2"/>
  <c r="J348" i="2" s="1"/>
  <c r="G349" i="2"/>
  <c r="J349" i="2" s="1"/>
  <c r="G350" i="2"/>
  <c r="J350" i="2" s="1"/>
  <c r="G351" i="2"/>
  <c r="H351" i="2" s="1"/>
  <c r="G352" i="2"/>
  <c r="J352" i="2" s="1"/>
  <c r="G353" i="2"/>
  <c r="J353" i="2" s="1"/>
  <c r="G354" i="2"/>
  <c r="H354" i="2" s="1"/>
  <c r="G355" i="2"/>
  <c r="H355" i="2" s="1"/>
  <c r="G356" i="2"/>
  <c r="J356" i="2" s="1"/>
  <c r="G357" i="2"/>
  <c r="J357" i="2" s="1"/>
  <c r="G358" i="2"/>
  <c r="J358" i="2" s="1"/>
  <c r="G359" i="2"/>
  <c r="H359" i="2" s="1"/>
  <c r="G360" i="2"/>
  <c r="J360" i="2" s="1"/>
  <c r="G361" i="2"/>
  <c r="J361" i="2" s="1"/>
  <c r="G362" i="2"/>
  <c r="J362" i="2" s="1"/>
  <c r="G363" i="2"/>
  <c r="H363" i="2" s="1"/>
  <c r="G364" i="2"/>
  <c r="J364" i="2" s="1"/>
  <c r="G365" i="2"/>
  <c r="J365" i="2" s="1"/>
  <c r="G366" i="2"/>
  <c r="J366" i="2" s="1"/>
  <c r="G367" i="2"/>
  <c r="H367" i="2" s="1"/>
  <c r="G368" i="2"/>
  <c r="J368" i="2" s="1"/>
  <c r="G369" i="2"/>
  <c r="J369" i="2" s="1"/>
  <c r="G303" i="2"/>
  <c r="J303" i="2" s="1"/>
  <c r="G304" i="2"/>
  <c r="J304" i="2" s="1"/>
  <c r="G305" i="2"/>
  <c r="J305" i="2" s="1"/>
  <c r="G306" i="2"/>
  <c r="H306" i="2" s="1"/>
  <c r="G307" i="2"/>
  <c r="H307" i="2" s="1"/>
  <c r="G308" i="2"/>
  <c r="J308" i="2" s="1"/>
  <c r="G309" i="2"/>
  <c r="H309" i="2" s="1"/>
  <c r="G310" i="2"/>
  <c r="H310" i="2" s="1"/>
  <c r="G311" i="2"/>
  <c r="H311" i="2" s="1"/>
  <c r="G312" i="2"/>
  <c r="J312" i="2" s="1"/>
  <c r="G313" i="2"/>
  <c r="H313" i="2" s="1"/>
  <c r="G314" i="2"/>
  <c r="H314" i="2" s="1"/>
  <c r="G315" i="2"/>
  <c r="H315" i="2" s="1"/>
  <c r="G316" i="2"/>
  <c r="J316" i="2" s="1"/>
  <c r="G317" i="2"/>
  <c r="H317" i="2" s="1"/>
  <c r="G318" i="2"/>
  <c r="H318" i="2" s="1"/>
  <c r="G319" i="2"/>
  <c r="H319" i="2" s="1"/>
  <c r="G320" i="2"/>
  <c r="J320" i="2" s="1"/>
  <c r="G321" i="2"/>
  <c r="H321" i="2" s="1"/>
  <c r="G322" i="2"/>
  <c r="H322" i="2" s="1"/>
  <c r="G323" i="2"/>
  <c r="H323" i="2" s="1"/>
  <c r="G324" i="2"/>
  <c r="J324" i="2" s="1"/>
  <c r="G325" i="2"/>
  <c r="H325" i="2" s="1"/>
  <c r="G326" i="2"/>
  <c r="H326" i="2" s="1"/>
  <c r="G327" i="2"/>
  <c r="H327" i="2" s="1"/>
  <c r="G328" i="2"/>
  <c r="J328" i="2" s="1"/>
  <c r="G329" i="2"/>
  <c r="H329" i="2" s="1"/>
  <c r="G330" i="2"/>
  <c r="H330" i="2" s="1"/>
  <c r="G331" i="2"/>
  <c r="H331" i="2" s="1"/>
  <c r="G332" i="2"/>
  <c r="H332" i="2" s="1"/>
  <c r="G266" i="2"/>
  <c r="J266" i="2" s="1"/>
  <c r="G267" i="2"/>
  <c r="J267" i="2" s="1"/>
  <c r="G268" i="2"/>
  <c r="J268" i="2" s="1"/>
  <c r="G269" i="2"/>
  <c r="H269" i="2" s="1"/>
  <c r="G270" i="2"/>
  <c r="H270" i="2" s="1"/>
  <c r="G271" i="2"/>
  <c r="J271" i="2" s="1"/>
  <c r="G272" i="2"/>
  <c r="J272" i="2" s="1"/>
  <c r="G273" i="2"/>
  <c r="H273" i="2" s="1"/>
  <c r="G274" i="2"/>
  <c r="H274" i="2" s="1"/>
  <c r="G275" i="2"/>
  <c r="J275" i="2" s="1"/>
  <c r="G276" i="2"/>
  <c r="J276" i="2" s="1"/>
  <c r="G277" i="2"/>
  <c r="H277" i="2" s="1"/>
  <c r="G278" i="2"/>
  <c r="H278" i="2" s="1"/>
  <c r="G279" i="2"/>
  <c r="J279" i="2" s="1"/>
  <c r="G280" i="2"/>
  <c r="J280" i="2" s="1"/>
  <c r="G281" i="2"/>
  <c r="H281" i="2" s="1"/>
  <c r="G282" i="2"/>
  <c r="H282" i="2" s="1"/>
  <c r="G283" i="2"/>
  <c r="J283" i="2" s="1"/>
  <c r="G284" i="2"/>
  <c r="J284" i="2" s="1"/>
  <c r="G285" i="2"/>
  <c r="H285" i="2" s="1"/>
  <c r="G286" i="2"/>
  <c r="H286" i="2" s="1"/>
  <c r="G287" i="2"/>
  <c r="J287" i="2" s="1"/>
  <c r="G288" i="2"/>
  <c r="J288" i="2" s="1"/>
  <c r="G289" i="2"/>
  <c r="H289" i="2" s="1"/>
  <c r="G290" i="2"/>
  <c r="H290" i="2" s="1"/>
  <c r="G291" i="2"/>
  <c r="J291" i="2" s="1"/>
  <c r="G292" i="2"/>
  <c r="J292" i="2" s="1"/>
  <c r="G293" i="2"/>
  <c r="H293" i="2" s="1"/>
  <c r="G294" i="2"/>
  <c r="H294" i="2" s="1"/>
  <c r="G295" i="2"/>
  <c r="H295" i="2" s="1"/>
  <c r="G229" i="2"/>
  <c r="J229" i="2" s="1"/>
  <c r="G230" i="2"/>
  <c r="J230" i="2" s="1"/>
  <c r="G231" i="2"/>
  <c r="J231" i="2" s="1"/>
  <c r="G232" i="2"/>
  <c r="H232" i="2" s="1"/>
  <c r="G233" i="2"/>
  <c r="H233" i="2" s="1"/>
  <c r="G234" i="2"/>
  <c r="J234" i="2" s="1"/>
  <c r="G235" i="2"/>
  <c r="J235" i="2" s="1"/>
  <c r="G236" i="2"/>
  <c r="H236" i="2" s="1"/>
  <c r="G237" i="2"/>
  <c r="H237" i="2" s="1"/>
  <c r="G238" i="2"/>
  <c r="J238" i="2" s="1"/>
  <c r="G239" i="2"/>
  <c r="J239" i="2" s="1"/>
  <c r="G240" i="2"/>
  <c r="H240" i="2" s="1"/>
  <c r="G241" i="2"/>
  <c r="H241" i="2" s="1"/>
  <c r="G242" i="2"/>
  <c r="J242" i="2" s="1"/>
  <c r="G243" i="2"/>
  <c r="J243" i="2" s="1"/>
  <c r="G244" i="2"/>
  <c r="H244" i="2" s="1"/>
  <c r="G245" i="2"/>
  <c r="H245" i="2" s="1"/>
  <c r="G246" i="2"/>
  <c r="J246" i="2" s="1"/>
  <c r="G247" i="2"/>
  <c r="J247" i="2" s="1"/>
  <c r="G248" i="2"/>
  <c r="H248" i="2" s="1"/>
  <c r="G249" i="2"/>
  <c r="H249" i="2" s="1"/>
  <c r="G250" i="2"/>
  <c r="J250" i="2" s="1"/>
  <c r="G251" i="2"/>
  <c r="J251" i="2" s="1"/>
  <c r="G252" i="2"/>
  <c r="H252" i="2" s="1"/>
  <c r="G253" i="2"/>
  <c r="H253" i="2" s="1"/>
  <c r="G254" i="2"/>
  <c r="J254" i="2" s="1"/>
  <c r="G255" i="2"/>
  <c r="J255" i="2" s="1"/>
  <c r="G256" i="2"/>
  <c r="H256" i="2" s="1"/>
  <c r="G257" i="2"/>
  <c r="H257" i="2" s="1"/>
  <c r="G258" i="2"/>
  <c r="H258" i="2" s="1"/>
  <c r="G192" i="2"/>
  <c r="H192" i="2" s="1"/>
  <c r="G193" i="2"/>
  <c r="J193" i="2" s="1"/>
  <c r="G194" i="2"/>
  <c r="J194" i="2" s="1"/>
  <c r="G195" i="2"/>
  <c r="J195" i="2" s="1"/>
  <c r="G196" i="2"/>
  <c r="H196" i="2" s="1"/>
  <c r="G197" i="2"/>
  <c r="J197" i="2" s="1"/>
  <c r="G198" i="2"/>
  <c r="J198" i="2" s="1"/>
  <c r="G199" i="2"/>
  <c r="J199" i="2" s="1"/>
  <c r="G200" i="2"/>
  <c r="H200" i="2" s="1"/>
  <c r="G201" i="2"/>
  <c r="J201" i="2" s="1"/>
  <c r="G202" i="2"/>
  <c r="J202" i="2" s="1"/>
  <c r="G203" i="2"/>
  <c r="J203" i="2" s="1"/>
  <c r="G204" i="2"/>
  <c r="J204" i="2" s="1"/>
  <c r="G205" i="2"/>
  <c r="J205" i="2" s="1"/>
  <c r="G206" i="2"/>
  <c r="J206" i="2" s="1"/>
  <c r="G207" i="2"/>
  <c r="J207" i="2" s="1"/>
  <c r="G208" i="2"/>
  <c r="H208" i="2" s="1"/>
  <c r="G209" i="2"/>
  <c r="J209" i="2" s="1"/>
  <c r="G210" i="2"/>
  <c r="J210" i="2" s="1"/>
  <c r="G211" i="2"/>
  <c r="J211" i="2" s="1"/>
  <c r="G212" i="2"/>
  <c r="H212" i="2" s="1"/>
  <c r="G213" i="2"/>
  <c r="J213" i="2" s="1"/>
  <c r="G214" i="2"/>
  <c r="J214" i="2" s="1"/>
  <c r="G215" i="2"/>
  <c r="J215" i="2" s="1"/>
  <c r="G216" i="2"/>
  <c r="H216" i="2" s="1"/>
  <c r="G217" i="2"/>
  <c r="J217" i="2" s="1"/>
  <c r="G218" i="2"/>
  <c r="J218" i="2" s="1"/>
  <c r="G219" i="2"/>
  <c r="J219" i="2" s="1"/>
  <c r="G220" i="2"/>
  <c r="J220" i="2" s="1"/>
  <c r="G221" i="2"/>
  <c r="H221" i="2" s="1"/>
  <c r="G155" i="2"/>
  <c r="J155" i="2" s="1"/>
  <c r="J159" i="2"/>
  <c r="J167" i="2"/>
  <c r="J175" i="2"/>
  <c r="J183" i="2"/>
  <c r="H159" i="2"/>
  <c r="H163" i="2"/>
  <c r="H171" i="2"/>
  <c r="H179" i="2"/>
  <c r="G156" i="2"/>
  <c r="J156" i="2" s="1"/>
  <c r="G157" i="2"/>
  <c r="J157" i="2" s="1"/>
  <c r="G158" i="2"/>
  <c r="H158" i="2" s="1"/>
  <c r="G159" i="2"/>
  <c r="G160" i="2"/>
  <c r="J160" i="2" s="1"/>
  <c r="G161" i="2"/>
  <c r="J161" i="2" s="1"/>
  <c r="G162" i="2"/>
  <c r="J162" i="2" s="1"/>
  <c r="G163" i="2"/>
  <c r="J163" i="2" s="1"/>
  <c r="G164" i="2"/>
  <c r="J164" i="2" s="1"/>
  <c r="G165" i="2"/>
  <c r="J165" i="2" s="1"/>
  <c r="G166" i="2"/>
  <c r="J166" i="2" s="1"/>
  <c r="G167" i="2"/>
  <c r="H167" i="2" s="1"/>
  <c r="G168" i="2"/>
  <c r="J168" i="2" s="1"/>
  <c r="G169" i="2"/>
  <c r="J169" i="2" s="1"/>
  <c r="G170" i="2"/>
  <c r="J170" i="2" s="1"/>
  <c r="G171" i="2"/>
  <c r="J171" i="2" s="1"/>
  <c r="G172" i="2"/>
  <c r="J172" i="2" s="1"/>
  <c r="G173" i="2"/>
  <c r="J173" i="2" s="1"/>
  <c r="G174" i="2"/>
  <c r="J174" i="2" s="1"/>
  <c r="G175" i="2"/>
  <c r="H175" i="2" s="1"/>
  <c r="G176" i="2"/>
  <c r="J176" i="2" s="1"/>
  <c r="G177" i="2"/>
  <c r="J177" i="2" s="1"/>
  <c r="G178" i="2"/>
  <c r="J178" i="2" s="1"/>
  <c r="G179" i="2"/>
  <c r="J179" i="2" s="1"/>
  <c r="G180" i="2"/>
  <c r="J180" i="2" s="1"/>
  <c r="G181" i="2"/>
  <c r="J181" i="2" s="1"/>
  <c r="G182" i="2"/>
  <c r="J182" i="2" s="1"/>
  <c r="G183" i="2"/>
  <c r="H183" i="2" s="1"/>
  <c r="G184" i="2"/>
  <c r="H184" i="2" s="1"/>
  <c r="G121" i="2"/>
  <c r="H121" i="2" s="1"/>
  <c r="G118" i="2"/>
  <c r="H118" i="2" s="1"/>
  <c r="G119" i="2"/>
  <c r="H119" i="2" s="1"/>
  <c r="G120" i="2"/>
  <c r="H120" i="2" s="1"/>
  <c r="G122" i="2"/>
  <c r="J122" i="2" s="1"/>
  <c r="G123" i="2"/>
  <c r="H123" i="2" s="1"/>
  <c r="G124" i="2"/>
  <c r="J124" i="2" s="1"/>
  <c r="G125" i="2"/>
  <c r="J125" i="2" s="1"/>
  <c r="G126" i="2"/>
  <c r="J126" i="2" s="1"/>
  <c r="G127" i="2"/>
  <c r="J127" i="2" s="1"/>
  <c r="G128" i="2"/>
  <c r="J128" i="2" s="1"/>
  <c r="G129" i="2"/>
  <c r="J129" i="2" s="1"/>
  <c r="G130" i="2"/>
  <c r="J130" i="2" s="1"/>
  <c r="G131" i="2"/>
  <c r="H131" i="2" s="1"/>
  <c r="G132" i="2"/>
  <c r="J132" i="2" s="1"/>
  <c r="G133" i="2"/>
  <c r="J133" i="2" s="1"/>
  <c r="G134" i="2"/>
  <c r="J134" i="2" s="1"/>
  <c r="G135" i="2"/>
  <c r="J135" i="2" s="1"/>
  <c r="G136" i="2"/>
  <c r="J136" i="2" s="1"/>
  <c r="G137" i="2"/>
  <c r="J137" i="2" s="1"/>
  <c r="G138" i="2"/>
  <c r="J138" i="2" s="1"/>
  <c r="G139" i="2"/>
  <c r="H139" i="2" s="1"/>
  <c r="G140" i="2"/>
  <c r="J140" i="2" s="1"/>
  <c r="G141" i="2"/>
  <c r="J141" i="2" s="1"/>
  <c r="G142" i="2"/>
  <c r="J142" i="2" s="1"/>
  <c r="G143" i="2"/>
  <c r="J143" i="2" s="1"/>
  <c r="G144" i="2"/>
  <c r="J144" i="2" s="1"/>
  <c r="G145" i="2"/>
  <c r="J145" i="2" s="1"/>
  <c r="G146" i="2"/>
  <c r="J146" i="2" s="1"/>
  <c r="G147" i="2"/>
  <c r="J147" i="2" s="1"/>
  <c r="G81" i="2"/>
  <c r="J81" i="2" s="1"/>
  <c r="G82" i="2"/>
  <c r="J82" i="2" s="1"/>
  <c r="G83" i="2"/>
  <c r="J83" i="2" s="1"/>
  <c r="G84" i="2"/>
  <c r="H84" i="2" s="1"/>
  <c r="G85" i="2"/>
  <c r="J85" i="2" s="1"/>
  <c r="G86" i="2"/>
  <c r="J86" i="2" s="1"/>
  <c r="G87" i="2"/>
  <c r="J87" i="2" s="1"/>
  <c r="G88" i="2"/>
  <c r="H88" i="2" s="1"/>
  <c r="G89" i="2"/>
  <c r="J89" i="2" s="1"/>
  <c r="G90" i="2"/>
  <c r="J90" i="2" s="1"/>
  <c r="G91" i="2"/>
  <c r="J91" i="2" s="1"/>
  <c r="G92" i="2"/>
  <c r="H92" i="2" s="1"/>
  <c r="G93" i="2"/>
  <c r="J93" i="2" s="1"/>
  <c r="G94" i="2"/>
  <c r="J94" i="2" s="1"/>
  <c r="G95" i="2"/>
  <c r="J95" i="2" s="1"/>
  <c r="G96" i="2"/>
  <c r="H96" i="2" s="1"/>
  <c r="G97" i="2"/>
  <c r="J97" i="2" s="1"/>
  <c r="G98" i="2"/>
  <c r="J98" i="2" s="1"/>
  <c r="G99" i="2"/>
  <c r="J99" i="2" s="1"/>
  <c r="G100" i="2"/>
  <c r="H100" i="2" s="1"/>
  <c r="G101" i="2"/>
  <c r="J101" i="2" s="1"/>
  <c r="G102" i="2"/>
  <c r="J102" i="2" s="1"/>
  <c r="G103" i="2"/>
  <c r="J103" i="2" s="1"/>
  <c r="G104" i="2"/>
  <c r="H104" i="2" s="1"/>
  <c r="G105" i="2"/>
  <c r="J105" i="2" s="1"/>
  <c r="G106" i="2"/>
  <c r="J106" i="2" s="1"/>
  <c r="G107" i="2"/>
  <c r="J107" i="2" s="1"/>
  <c r="G108" i="2"/>
  <c r="H108" i="2" s="1"/>
  <c r="G109" i="2"/>
  <c r="J109" i="2" s="1"/>
  <c r="G110" i="2"/>
  <c r="J110" i="2" s="1"/>
  <c r="G44" i="2"/>
  <c r="J44" i="2" s="1"/>
  <c r="G45" i="2"/>
  <c r="J45" i="2" s="1"/>
  <c r="G46" i="2"/>
  <c r="J46" i="2" s="1"/>
  <c r="G47" i="2"/>
  <c r="H47" i="2" s="1"/>
  <c r="G48" i="2"/>
  <c r="H48" i="2" s="1"/>
  <c r="G49" i="2"/>
  <c r="J49" i="2" s="1"/>
  <c r="G50" i="2"/>
  <c r="J50" i="2" s="1"/>
  <c r="G51" i="2"/>
  <c r="J51" i="2" s="1"/>
  <c r="G52" i="2"/>
  <c r="H52" i="2" s="1"/>
  <c r="G53" i="2"/>
  <c r="J53" i="2" s="1"/>
  <c r="G54" i="2"/>
  <c r="J54" i="2" s="1"/>
  <c r="G55" i="2"/>
  <c r="J55" i="2" s="1"/>
  <c r="G56" i="2"/>
  <c r="H56" i="2" s="1"/>
  <c r="G57" i="2"/>
  <c r="J57" i="2" s="1"/>
  <c r="G58" i="2"/>
  <c r="J58" i="2" s="1"/>
  <c r="G59" i="2"/>
  <c r="J59" i="2" s="1"/>
  <c r="G60" i="2"/>
  <c r="H60" i="2" s="1"/>
  <c r="G61" i="2"/>
  <c r="J61" i="2" s="1"/>
  <c r="G62" i="2"/>
  <c r="J62" i="2" s="1"/>
  <c r="G63" i="2"/>
  <c r="J63" i="2" s="1"/>
  <c r="G64" i="2"/>
  <c r="H64" i="2" s="1"/>
  <c r="G65" i="2"/>
  <c r="J65" i="2" s="1"/>
  <c r="G66" i="2"/>
  <c r="J66" i="2" s="1"/>
  <c r="G67" i="2"/>
  <c r="J67" i="2" s="1"/>
  <c r="G68" i="2"/>
  <c r="H68" i="2" s="1"/>
  <c r="G69" i="2"/>
  <c r="J69" i="2" s="1"/>
  <c r="G70" i="2"/>
  <c r="J70" i="2" s="1"/>
  <c r="G71" i="2"/>
  <c r="J71" i="2" s="1"/>
  <c r="G72" i="2"/>
  <c r="H72" i="2" s="1"/>
  <c r="G73" i="2"/>
  <c r="J73" i="2" s="1"/>
  <c r="G7" i="2"/>
  <c r="J7" i="2" s="1"/>
  <c r="G31" i="2"/>
  <c r="H31" i="2" s="1"/>
  <c r="G10" i="2"/>
  <c r="J10" i="2" s="1"/>
  <c r="G11" i="2"/>
  <c r="G12" i="2"/>
  <c r="G13" i="2"/>
  <c r="J13" i="2" s="1"/>
  <c r="G14" i="2"/>
  <c r="J14" i="2" s="1"/>
  <c r="G15" i="2"/>
  <c r="G16" i="2"/>
  <c r="G17" i="2"/>
  <c r="J17" i="2" s="1"/>
  <c r="G18" i="2"/>
  <c r="J18" i="2" s="1"/>
  <c r="G19" i="2"/>
  <c r="G20" i="2"/>
  <c r="G21" i="2"/>
  <c r="J21" i="2" s="1"/>
  <c r="G22" i="2"/>
  <c r="J22" i="2" s="1"/>
  <c r="G23" i="2"/>
  <c r="G24" i="2"/>
  <c r="G25" i="2"/>
  <c r="J25" i="2" s="1"/>
  <c r="G26" i="2"/>
  <c r="J26" i="2" s="1"/>
  <c r="G27" i="2"/>
  <c r="G28" i="2"/>
  <c r="G29" i="2"/>
  <c r="J29" i="2" s="1"/>
  <c r="G30" i="2"/>
  <c r="J30" i="2" s="1"/>
  <c r="G32" i="2"/>
  <c r="G33" i="2"/>
  <c r="J33" i="2" s="1"/>
  <c r="G34" i="2"/>
  <c r="J34" i="2" s="1"/>
  <c r="G35" i="2"/>
  <c r="J35" i="2" s="1"/>
  <c r="G36" i="2"/>
  <c r="J36" i="2" s="1"/>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J11" i="2"/>
  <c r="J12" i="2"/>
  <c r="J15" i="2"/>
  <c r="J16" i="2"/>
  <c r="J19" i="2"/>
  <c r="J20" i="2"/>
  <c r="J23" i="2"/>
  <c r="J24" i="2"/>
  <c r="J27" i="2"/>
  <c r="J28" i="2"/>
  <c r="J32" i="2"/>
  <c r="H10" i="2"/>
  <c r="H11" i="2"/>
  <c r="H12" i="2"/>
  <c r="H14" i="2"/>
  <c r="H15" i="2"/>
  <c r="H16" i="2"/>
  <c r="H18" i="2"/>
  <c r="H19" i="2"/>
  <c r="H20" i="2"/>
  <c r="H22" i="2"/>
  <c r="H23" i="2"/>
  <c r="H24" i="2"/>
  <c r="H26" i="2"/>
  <c r="H27" i="2"/>
  <c r="H28" i="2"/>
  <c r="H32" i="2"/>
  <c r="H34" i="2"/>
  <c r="H35" i="2"/>
  <c r="H36" i="2"/>
  <c r="G8" i="2"/>
  <c r="J8" i="2" s="1"/>
  <c r="G9" i="2"/>
  <c r="H9" i="2" s="1"/>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29" i="2"/>
  <c r="C192"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193" i="2"/>
  <c r="C194" i="2"/>
  <c r="C155" i="2"/>
  <c r="N83" i="2"/>
  <c r="N82" i="2"/>
  <c r="N81" i="2"/>
  <c r="K83" i="2"/>
  <c r="K82" i="2"/>
  <c r="K81"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B8" i="20"/>
  <c r="K229" i="2"/>
  <c r="K192" i="2"/>
  <c r="K155" i="2"/>
  <c r="K118" i="2"/>
  <c r="K44" i="2"/>
  <c r="K7" i="2"/>
  <c r="D13" i="1"/>
  <c r="D12" i="1"/>
  <c r="K231" i="2"/>
  <c r="K266" i="2"/>
  <c r="K268" i="2"/>
  <c r="K303" i="2"/>
  <c r="K305" i="2"/>
  <c r="K340" i="2"/>
  <c r="K342" i="2"/>
  <c r="K377" i="2"/>
  <c r="K379" i="2"/>
  <c r="K380" i="2"/>
  <c r="K414" i="2"/>
  <c r="K416" i="2"/>
  <c r="K417" i="2"/>
  <c r="K267"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M231" i="2"/>
  <c r="K230"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157"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X11" i="20"/>
  <c r="Y11" i="20"/>
  <c r="Z11" i="20"/>
  <c r="AA11" i="20"/>
  <c r="AB11" i="20"/>
  <c r="AC11" i="20"/>
  <c r="X12" i="20"/>
  <c r="Y12" i="20"/>
  <c r="Z12" i="20"/>
  <c r="AA12" i="20"/>
  <c r="AB12" i="20"/>
  <c r="AC12" i="20"/>
  <c r="X13" i="20"/>
  <c r="Y13" i="20"/>
  <c r="Z13" i="20"/>
  <c r="AA13" i="20"/>
  <c r="AB13" i="20"/>
  <c r="AC13" i="20"/>
  <c r="X14" i="20"/>
  <c r="Y14" i="20"/>
  <c r="Z14" i="20"/>
  <c r="AA14" i="20"/>
  <c r="AB14" i="20"/>
  <c r="AC14" i="20"/>
  <c r="X15" i="20"/>
  <c r="Y15" i="20"/>
  <c r="Z15" i="20"/>
  <c r="AA15" i="20"/>
  <c r="AB15" i="20"/>
  <c r="AC15" i="20"/>
  <c r="X16" i="20"/>
  <c r="Y16" i="20"/>
  <c r="Z16" i="20"/>
  <c r="AA16" i="20"/>
  <c r="AB16" i="20"/>
  <c r="AC16" i="20"/>
  <c r="X17" i="20"/>
  <c r="Y17" i="20"/>
  <c r="Z17" i="20"/>
  <c r="AA17" i="20"/>
  <c r="AB17" i="20"/>
  <c r="AC17" i="20"/>
  <c r="X18" i="20"/>
  <c r="Y18" i="20"/>
  <c r="Z18" i="20"/>
  <c r="AA18" i="20"/>
  <c r="AB18" i="20"/>
  <c r="AC18" i="20"/>
  <c r="X19" i="20"/>
  <c r="Y19" i="20"/>
  <c r="Z19" i="20"/>
  <c r="AA19" i="20"/>
  <c r="AB19" i="20"/>
  <c r="AC19" i="20"/>
  <c r="X20" i="20"/>
  <c r="Y20" i="20"/>
  <c r="Z20" i="20"/>
  <c r="AA20" i="20"/>
  <c r="AB20" i="20"/>
  <c r="AC20" i="20"/>
  <c r="X21" i="20"/>
  <c r="Y21" i="20"/>
  <c r="Z21" i="20"/>
  <c r="AA21" i="20"/>
  <c r="AB21" i="20"/>
  <c r="AC21" i="20"/>
  <c r="X22" i="20"/>
  <c r="Y22" i="20"/>
  <c r="Z22" i="20"/>
  <c r="AA22" i="20"/>
  <c r="AB22" i="20"/>
  <c r="AC22" i="20"/>
  <c r="X23" i="20"/>
  <c r="Y23" i="20"/>
  <c r="Z23" i="20"/>
  <c r="AA23" i="20"/>
  <c r="AB23" i="20"/>
  <c r="AC23" i="20"/>
  <c r="X24" i="20"/>
  <c r="Y24" i="20"/>
  <c r="Z24" i="20"/>
  <c r="AA24" i="20"/>
  <c r="AB24" i="20"/>
  <c r="AC24" i="20"/>
  <c r="X25" i="20"/>
  <c r="Y25" i="20"/>
  <c r="Z25" i="20"/>
  <c r="AA25" i="20"/>
  <c r="AB25" i="20"/>
  <c r="AC25" i="20"/>
  <c r="X26" i="20"/>
  <c r="Y26" i="20"/>
  <c r="Z26" i="20"/>
  <c r="AA26" i="20"/>
  <c r="AB26" i="20"/>
  <c r="AC26" i="20"/>
  <c r="X27" i="20"/>
  <c r="Y27" i="20"/>
  <c r="Z27" i="20"/>
  <c r="AA27" i="20"/>
  <c r="AB27" i="20"/>
  <c r="AC27" i="20"/>
  <c r="X28" i="20"/>
  <c r="Y28" i="20"/>
  <c r="Z28" i="20"/>
  <c r="AA28" i="20"/>
  <c r="AB28" i="20"/>
  <c r="AC28" i="20"/>
  <c r="X29" i="20"/>
  <c r="Y29" i="20"/>
  <c r="Z29" i="20"/>
  <c r="AA29" i="20"/>
  <c r="AB29" i="20"/>
  <c r="AC29" i="20"/>
  <c r="X30" i="20"/>
  <c r="Y30" i="20"/>
  <c r="Z30" i="20"/>
  <c r="AA30" i="20"/>
  <c r="AB30" i="20"/>
  <c r="AC30" i="20"/>
  <c r="X31" i="20"/>
  <c r="Y31" i="20"/>
  <c r="Z31" i="20"/>
  <c r="AA31" i="20"/>
  <c r="AB31" i="20"/>
  <c r="AC31" i="20"/>
  <c r="X32" i="20"/>
  <c r="Y32" i="20"/>
  <c r="Z32" i="20"/>
  <c r="AA32" i="20"/>
  <c r="AB32" i="20"/>
  <c r="AC32" i="20"/>
  <c r="X33" i="20"/>
  <c r="Y33" i="20"/>
  <c r="Z33" i="20"/>
  <c r="AA33" i="20"/>
  <c r="AB33" i="20"/>
  <c r="AC33" i="20"/>
  <c r="X34" i="20"/>
  <c r="Y34" i="20"/>
  <c r="Z34" i="20"/>
  <c r="AA34" i="20"/>
  <c r="AB34" i="20"/>
  <c r="AC34" i="20"/>
  <c r="X35" i="20"/>
  <c r="Y35" i="20"/>
  <c r="Z35" i="20"/>
  <c r="AA35" i="20"/>
  <c r="AB35" i="20"/>
  <c r="AC35" i="20"/>
  <c r="X36" i="20"/>
  <c r="Y36" i="20"/>
  <c r="Z36" i="20"/>
  <c r="AA36" i="20"/>
  <c r="AB36" i="20"/>
  <c r="AC36" i="20"/>
  <c r="W11" i="20"/>
  <c r="W12" i="20"/>
  <c r="W13" i="20"/>
  <c r="W14" i="20"/>
  <c r="W15" i="20"/>
  <c r="W16" i="20"/>
  <c r="W17" i="20"/>
  <c r="W18" i="20"/>
  <c r="W19" i="20"/>
  <c r="W20" i="20"/>
  <c r="W21" i="20"/>
  <c r="W22" i="20"/>
  <c r="W23" i="20"/>
  <c r="W24" i="20"/>
  <c r="W25" i="20"/>
  <c r="W26" i="20"/>
  <c r="W27" i="20"/>
  <c r="W28" i="20"/>
  <c r="W29" i="20"/>
  <c r="W30" i="20"/>
  <c r="W31" i="20"/>
  <c r="W32" i="20"/>
  <c r="W33" i="20"/>
  <c r="W34" i="20"/>
  <c r="W35" i="20"/>
  <c r="W36" i="20"/>
  <c r="V11" i="20"/>
  <c r="V12" i="20"/>
  <c r="V13" i="20"/>
  <c r="V14" i="20"/>
  <c r="V15" i="20"/>
  <c r="V16" i="20"/>
  <c r="V17" i="20"/>
  <c r="V18" i="20"/>
  <c r="V19" i="20"/>
  <c r="V20" i="20"/>
  <c r="V21" i="20"/>
  <c r="V22" i="20"/>
  <c r="V23" i="20"/>
  <c r="V24" i="20"/>
  <c r="V25" i="20"/>
  <c r="V26" i="20"/>
  <c r="V27" i="20"/>
  <c r="V28" i="20"/>
  <c r="V29" i="20"/>
  <c r="V30" i="20"/>
  <c r="V31" i="20"/>
  <c r="V32" i="20"/>
  <c r="V33" i="20"/>
  <c r="V34" i="20"/>
  <c r="V35" i="20"/>
  <c r="V36" i="20"/>
  <c r="U11" i="20"/>
  <c r="U12" i="20"/>
  <c r="U13" i="20"/>
  <c r="U14" i="20"/>
  <c r="U15" i="20"/>
  <c r="U16" i="20"/>
  <c r="U17" i="20"/>
  <c r="U18" i="20"/>
  <c r="U19" i="20"/>
  <c r="U20" i="20"/>
  <c r="U21" i="20"/>
  <c r="U22" i="20"/>
  <c r="U23" i="20"/>
  <c r="U24" i="20"/>
  <c r="U25" i="20"/>
  <c r="U26" i="20"/>
  <c r="U27" i="20"/>
  <c r="U28" i="20"/>
  <c r="U29" i="20"/>
  <c r="U30" i="20"/>
  <c r="U31" i="20"/>
  <c r="U32" i="20"/>
  <c r="U33" i="20"/>
  <c r="U34" i="20"/>
  <c r="U35" i="20"/>
  <c r="U36" i="20"/>
  <c r="T11" i="20"/>
  <c r="T12" i="20"/>
  <c r="T13" i="20"/>
  <c r="T14" i="20"/>
  <c r="T15" i="20"/>
  <c r="T16" i="20"/>
  <c r="T17" i="20"/>
  <c r="T18" i="20"/>
  <c r="T19" i="20"/>
  <c r="T20" i="20"/>
  <c r="T21" i="20"/>
  <c r="T22" i="20"/>
  <c r="T23" i="20"/>
  <c r="T24" i="20"/>
  <c r="T25" i="20"/>
  <c r="T26" i="20"/>
  <c r="T27" i="20"/>
  <c r="T28" i="20"/>
  <c r="T29" i="20"/>
  <c r="T30" i="20"/>
  <c r="T31" i="20"/>
  <c r="T32" i="20"/>
  <c r="T33" i="20"/>
  <c r="T34" i="20"/>
  <c r="T35" i="20"/>
  <c r="T36" i="20"/>
  <c r="S11" i="20"/>
  <c r="S12" i="20"/>
  <c r="S13" i="20"/>
  <c r="S14" i="20"/>
  <c r="S15" i="20"/>
  <c r="S16" i="20"/>
  <c r="S17" i="20"/>
  <c r="S18" i="20"/>
  <c r="S19" i="20"/>
  <c r="S20" i="20"/>
  <c r="S21" i="20"/>
  <c r="S22" i="20"/>
  <c r="S23" i="20"/>
  <c r="S24" i="20"/>
  <c r="S25" i="20"/>
  <c r="S26" i="20"/>
  <c r="S27" i="20"/>
  <c r="S28" i="20"/>
  <c r="S29" i="20"/>
  <c r="S30" i="20"/>
  <c r="S31" i="20"/>
  <c r="S32" i="20"/>
  <c r="S33" i="20"/>
  <c r="S34" i="20"/>
  <c r="S35" i="20"/>
  <c r="S36" i="20"/>
  <c r="R11" i="20"/>
  <c r="R12" i="20"/>
  <c r="R13" i="20"/>
  <c r="R14" i="20"/>
  <c r="R15" i="20"/>
  <c r="R16" i="20"/>
  <c r="R17" i="20"/>
  <c r="R18" i="20"/>
  <c r="R19" i="20"/>
  <c r="R20" i="20"/>
  <c r="R21" i="20"/>
  <c r="R22" i="20"/>
  <c r="R23" i="20"/>
  <c r="R24" i="20"/>
  <c r="R25" i="20"/>
  <c r="R26" i="20"/>
  <c r="R27" i="20"/>
  <c r="R28" i="20"/>
  <c r="R29" i="20"/>
  <c r="R30" i="20"/>
  <c r="R31" i="20"/>
  <c r="R32" i="20"/>
  <c r="R33" i="20"/>
  <c r="R34" i="20"/>
  <c r="R35" i="20"/>
  <c r="R36" i="20"/>
  <c r="J121" i="2" l="1"/>
  <c r="H7" i="2"/>
  <c r="H46" i="2"/>
  <c r="J64" i="2"/>
  <c r="J48" i="2"/>
  <c r="J119" i="2"/>
  <c r="H220" i="2"/>
  <c r="H204" i="2"/>
  <c r="J216" i="2"/>
  <c r="J200" i="2"/>
  <c r="H255" i="2"/>
  <c r="H239" i="2"/>
  <c r="J249" i="2"/>
  <c r="J233" i="2"/>
  <c r="H287" i="2"/>
  <c r="H279" i="2"/>
  <c r="H271" i="2"/>
  <c r="J327" i="2"/>
  <c r="J319" i="2"/>
  <c r="J311" i="2"/>
  <c r="H366" i="2"/>
  <c r="H350" i="2"/>
  <c r="J363" i="2"/>
  <c r="J355" i="2"/>
  <c r="J347" i="2"/>
  <c r="H397" i="2"/>
  <c r="H381" i="2"/>
  <c r="J399" i="2"/>
  <c r="J391" i="2"/>
  <c r="J383" i="2"/>
  <c r="J60" i="2"/>
  <c r="J212" i="2"/>
  <c r="J196" i="2"/>
  <c r="H251" i="2"/>
  <c r="H235" i="2"/>
  <c r="J245" i="2"/>
  <c r="H292" i="2"/>
  <c r="H284" i="2"/>
  <c r="H276" i="2"/>
  <c r="J295" i="2"/>
  <c r="J326" i="2"/>
  <c r="J318" i="2"/>
  <c r="J310" i="2"/>
  <c r="H362" i="2"/>
  <c r="H346" i="2"/>
  <c r="J354" i="2"/>
  <c r="H393" i="2"/>
  <c r="H378" i="2"/>
  <c r="J398" i="2"/>
  <c r="J390" i="2"/>
  <c r="J382" i="2"/>
  <c r="J72" i="2"/>
  <c r="J56" i="2"/>
  <c r="J208" i="2"/>
  <c r="J192" i="2"/>
  <c r="H247" i="2"/>
  <c r="J257" i="2"/>
  <c r="J241" i="2"/>
  <c r="H291" i="2"/>
  <c r="H283" i="2"/>
  <c r="H275" i="2"/>
  <c r="J331" i="2"/>
  <c r="J323" i="2"/>
  <c r="J315" i="2"/>
  <c r="J307" i="2"/>
  <c r="H358" i="2"/>
  <c r="J367" i="2"/>
  <c r="J359" i="2"/>
  <c r="J351" i="2"/>
  <c r="H405" i="2"/>
  <c r="H389" i="2"/>
  <c r="J403" i="2"/>
  <c r="J395" i="2"/>
  <c r="J387" i="2"/>
  <c r="H406" i="2"/>
  <c r="H8" i="2"/>
  <c r="J68" i="2"/>
  <c r="J52" i="2"/>
  <c r="H81" i="2"/>
  <c r="J120" i="2"/>
  <c r="H243" i="2"/>
  <c r="J253" i="2"/>
  <c r="J237" i="2"/>
  <c r="H288" i="2"/>
  <c r="H280" i="2"/>
  <c r="H272" i="2"/>
  <c r="J330" i="2"/>
  <c r="J322" i="2"/>
  <c r="J314" i="2"/>
  <c r="J306" i="2"/>
  <c r="H401" i="2"/>
  <c r="H385" i="2"/>
  <c r="J402" i="2"/>
  <c r="J394" i="2"/>
  <c r="J386" i="2"/>
  <c r="H443" i="2"/>
  <c r="H439" i="2"/>
  <c r="H435" i="2"/>
  <c r="H431" i="2"/>
  <c r="H427" i="2"/>
  <c r="H423" i="2"/>
  <c r="H419" i="2"/>
  <c r="J441" i="2"/>
  <c r="J437" i="2"/>
  <c r="J433" i="2"/>
  <c r="J429" i="2"/>
  <c r="J425" i="2"/>
  <c r="J421" i="2"/>
  <c r="H442" i="2"/>
  <c r="H438" i="2"/>
  <c r="H434" i="2"/>
  <c r="H430" i="2"/>
  <c r="H426" i="2"/>
  <c r="H422" i="2"/>
  <c r="H418" i="2"/>
  <c r="J440" i="2"/>
  <c r="J436" i="2"/>
  <c r="J432" i="2"/>
  <c r="J428" i="2"/>
  <c r="J424" i="2"/>
  <c r="J420" i="2"/>
  <c r="H404" i="2"/>
  <c r="H400" i="2"/>
  <c r="H396" i="2"/>
  <c r="H392" i="2"/>
  <c r="H388" i="2"/>
  <c r="H384" i="2"/>
  <c r="J380" i="2"/>
  <c r="H369" i="2"/>
  <c r="H365" i="2"/>
  <c r="H361" i="2"/>
  <c r="H357" i="2"/>
  <c r="H353" i="2"/>
  <c r="H349" i="2"/>
  <c r="H345" i="2"/>
  <c r="H368" i="2"/>
  <c r="H364" i="2"/>
  <c r="H360" i="2"/>
  <c r="H356" i="2"/>
  <c r="H352" i="2"/>
  <c r="H348" i="2"/>
  <c r="H344" i="2"/>
  <c r="H328" i="2"/>
  <c r="H324" i="2"/>
  <c r="H320" i="2"/>
  <c r="H316" i="2"/>
  <c r="H312" i="2"/>
  <c r="H308" i="2"/>
  <c r="J332" i="2"/>
  <c r="J329" i="2"/>
  <c r="J325" i="2"/>
  <c r="J321" i="2"/>
  <c r="J317" i="2"/>
  <c r="J313" i="2"/>
  <c r="J309" i="2"/>
  <c r="J294" i="2"/>
  <c r="J290" i="2"/>
  <c r="J286" i="2"/>
  <c r="J282" i="2"/>
  <c r="J278" i="2"/>
  <c r="J274" i="2"/>
  <c r="J270" i="2"/>
  <c r="J293" i="2"/>
  <c r="J289" i="2"/>
  <c r="J285" i="2"/>
  <c r="J281" i="2"/>
  <c r="J277" i="2"/>
  <c r="J273" i="2"/>
  <c r="J269" i="2"/>
  <c r="H254" i="2"/>
  <c r="H250" i="2"/>
  <c r="H246" i="2"/>
  <c r="H242" i="2"/>
  <c r="H238" i="2"/>
  <c r="H234" i="2"/>
  <c r="J256" i="2"/>
  <c r="J252" i="2"/>
  <c r="J248" i="2"/>
  <c r="J244" i="2"/>
  <c r="J240" i="2"/>
  <c r="J236" i="2"/>
  <c r="J232" i="2"/>
  <c r="J258" i="2"/>
  <c r="H219" i="2"/>
  <c r="H215" i="2"/>
  <c r="H211" i="2"/>
  <c r="H207" i="2"/>
  <c r="H203" i="2"/>
  <c r="H199" i="2"/>
  <c r="H195" i="2"/>
  <c r="J221" i="2"/>
  <c r="H218" i="2"/>
  <c r="H214" i="2"/>
  <c r="H210" i="2"/>
  <c r="H206" i="2"/>
  <c r="H202" i="2"/>
  <c r="H198" i="2"/>
  <c r="H194" i="2"/>
  <c r="H217" i="2"/>
  <c r="H213" i="2"/>
  <c r="H209" i="2"/>
  <c r="H205" i="2"/>
  <c r="H201" i="2"/>
  <c r="H197" i="2"/>
  <c r="H193" i="2"/>
  <c r="H182" i="2"/>
  <c r="H178" i="2"/>
  <c r="H174" i="2"/>
  <c r="H170" i="2"/>
  <c r="H166" i="2"/>
  <c r="H162" i="2"/>
  <c r="H157" i="2"/>
  <c r="J158" i="2"/>
  <c r="J184" i="2"/>
  <c r="H181" i="2"/>
  <c r="H177" i="2"/>
  <c r="H173" i="2"/>
  <c r="H169" i="2"/>
  <c r="H165" i="2"/>
  <c r="H161" i="2"/>
  <c r="H156" i="2"/>
  <c r="H180" i="2"/>
  <c r="H176" i="2"/>
  <c r="H172" i="2"/>
  <c r="H168" i="2"/>
  <c r="H164" i="2"/>
  <c r="H160" i="2"/>
  <c r="H155" i="2"/>
  <c r="H146" i="2"/>
  <c r="H142" i="2"/>
  <c r="H138" i="2"/>
  <c r="H134" i="2"/>
  <c r="H130" i="2"/>
  <c r="H126" i="2"/>
  <c r="H122" i="2"/>
  <c r="J118" i="2"/>
  <c r="H143" i="2"/>
  <c r="H135" i="2"/>
  <c r="H127" i="2"/>
  <c r="J139" i="2"/>
  <c r="J131" i="2"/>
  <c r="J123" i="2"/>
  <c r="H147" i="2"/>
  <c r="H145" i="2"/>
  <c r="H141" i="2"/>
  <c r="H137" i="2"/>
  <c r="H133" i="2"/>
  <c r="H129" i="2"/>
  <c r="H125" i="2"/>
  <c r="H144" i="2"/>
  <c r="H140" i="2"/>
  <c r="H136" i="2"/>
  <c r="H132" i="2"/>
  <c r="H128" i="2"/>
  <c r="H124" i="2"/>
  <c r="H107" i="2"/>
  <c r="H103" i="2"/>
  <c r="H99" i="2"/>
  <c r="H95" i="2"/>
  <c r="H91" i="2"/>
  <c r="H87" i="2"/>
  <c r="H83" i="2"/>
  <c r="J108" i="2"/>
  <c r="J104" i="2"/>
  <c r="J100" i="2"/>
  <c r="J96" i="2"/>
  <c r="J92" i="2"/>
  <c r="J88" i="2"/>
  <c r="J84" i="2"/>
  <c r="H106" i="2"/>
  <c r="H102" i="2"/>
  <c r="H98" i="2"/>
  <c r="H94" i="2"/>
  <c r="H90" i="2"/>
  <c r="H86" i="2"/>
  <c r="H82" i="2"/>
  <c r="H110" i="2"/>
  <c r="H109" i="2"/>
  <c r="H105" i="2"/>
  <c r="H101" i="2"/>
  <c r="H97" i="2"/>
  <c r="H93" i="2"/>
  <c r="H89" i="2"/>
  <c r="H85" i="2"/>
  <c r="H71" i="2"/>
  <c r="H67" i="2"/>
  <c r="H63" i="2"/>
  <c r="H59" i="2"/>
  <c r="H55" i="2"/>
  <c r="H51" i="2"/>
  <c r="H70" i="2"/>
  <c r="H66" i="2"/>
  <c r="H62" i="2"/>
  <c r="H58" i="2"/>
  <c r="H54" i="2"/>
  <c r="H50" i="2"/>
  <c r="H45" i="2"/>
  <c r="H73" i="2"/>
  <c r="H69" i="2"/>
  <c r="H65" i="2"/>
  <c r="H61" i="2"/>
  <c r="H57" i="2"/>
  <c r="H53" i="2"/>
  <c r="H49" i="2"/>
  <c r="H44" i="2"/>
  <c r="J9" i="2"/>
  <c r="H30" i="2"/>
  <c r="H25" i="2"/>
  <c r="H417" i="2"/>
  <c r="H416" i="2"/>
  <c r="J415" i="2"/>
  <c r="J414" i="2"/>
  <c r="H377" i="2"/>
  <c r="J379" i="2"/>
  <c r="H342" i="2"/>
  <c r="H341" i="2"/>
  <c r="H340" i="2"/>
  <c r="J343" i="2"/>
  <c r="H305" i="2"/>
  <c r="H304" i="2"/>
  <c r="H303" i="2"/>
  <c r="H268" i="2"/>
  <c r="H267" i="2"/>
  <c r="H266" i="2"/>
  <c r="H231" i="2"/>
  <c r="H230" i="2"/>
  <c r="H229" i="2"/>
  <c r="J47" i="2"/>
  <c r="J31" i="2"/>
  <c r="H33" i="2"/>
  <c r="H29" i="2"/>
  <c r="H21" i="2"/>
  <c r="H17" i="2"/>
  <c r="H13" i="2"/>
  <c r="B63" i="25"/>
  <c r="D57" i="25"/>
  <c r="B60" i="25"/>
  <c r="D58" i="25"/>
  <c r="B57" i="25"/>
  <c r="B58" i="25"/>
  <c r="AD32" i="20"/>
  <c r="AD24" i="20"/>
  <c r="AD12" i="20"/>
  <c r="AD36" i="20"/>
  <c r="AD28" i="20"/>
  <c r="AD20" i="20"/>
  <c r="AD16" i="20"/>
  <c r="AD35" i="20"/>
  <c r="AD23" i="20"/>
  <c r="AD27" i="20"/>
  <c r="AD19" i="20"/>
  <c r="AD15" i="20"/>
  <c r="AD31" i="20"/>
  <c r="AD11" i="20"/>
  <c r="AD33" i="20"/>
  <c r="AD29" i="20"/>
  <c r="AD25" i="20"/>
  <c r="AD21" i="20"/>
  <c r="AD17" i="20"/>
  <c r="AD13" i="20"/>
  <c r="AD34" i="20"/>
  <c r="AD30" i="20"/>
  <c r="AD26" i="20"/>
  <c r="AD22" i="20"/>
  <c r="AD18" i="20"/>
  <c r="AD14" i="20"/>
  <c r="D191" i="25"/>
  <c r="D174" i="25"/>
  <c r="D157" i="25"/>
  <c r="D140" i="25"/>
  <c r="D123" i="25"/>
  <c r="D106" i="25"/>
  <c r="D89" i="25"/>
  <c r="D72" i="25"/>
  <c r="D55" i="25"/>
  <c r="D38" i="25"/>
  <c r="D21" i="25"/>
  <c r="A188" i="25"/>
  <c r="A171" i="25"/>
  <c r="A154" i="25"/>
  <c r="A137" i="25"/>
  <c r="A120" i="25"/>
  <c r="A103" i="25"/>
  <c r="A86" i="25"/>
  <c r="A69" i="25"/>
  <c r="A52" i="25"/>
  <c r="A35" i="25"/>
  <c r="A18" i="25"/>
  <c r="A1" i="25"/>
  <c r="A190" i="25"/>
  <c r="A173" i="25"/>
  <c r="A156" i="25"/>
  <c r="A139" i="25"/>
  <c r="A122" i="25"/>
  <c r="A105" i="25"/>
  <c r="A88" i="25"/>
  <c r="A71" i="25"/>
  <c r="A54" i="25"/>
  <c r="A37" i="25"/>
  <c r="A20" i="25"/>
  <c r="A3" i="25"/>
  <c r="AE14" i="20" l="1"/>
  <c r="AF14" i="20" s="1"/>
  <c r="AE17" i="20"/>
  <c r="AF17" i="20" s="1"/>
  <c r="AE19" i="20"/>
  <c r="AF19" i="20" s="1"/>
  <c r="AE32" i="20"/>
  <c r="AF32" i="20" s="1"/>
  <c r="AE18" i="20"/>
  <c r="AF18" i="20" s="1"/>
  <c r="AE34" i="20"/>
  <c r="AF34" i="20" s="1"/>
  <c r="AE21" i="20"/>
  <c r="AF21" i="20" s="1"/>
  <c r="AE11" i="20"/>
  <c r="AF11" i="20" s="1"/>
  <c r="AE27" i="20"/>
  <c r="AF27" i="20" s="1"/>
  <c r="AE16" i="20"/>
  <c r="AF16" i="20" s="1"/>
  <c r="AE22" i="20"/>
  <c r="AF22" i="20" s="1"/>
  <c r="AE25" i="20"/>
  <c r="AF25" i="20" s="1"/>
  <c r="AE31" i="20"/>
  <c r="AF31" i="20" s="1"/>
  <c r="AE23" i="20"/>
  <c r="AF23" i="20" s="1"/>
  <c r="AE20" i="20"/>
  <c r="AF20" i="20" s="1"/>
  <c r="AE12" i="20"/>
  <c r="AF12" i="20" s="1"/>
  <c r="AE30" i="20"/>
  <c r="AF30" i="20" s="1"/>
  <c r="AE33" i="20"/>
  <c r="AF33" i="20" s="1"/>
  <c r="AE36" i="20"/>
  <c r="AF36" i="20" s="1"/>
  <c r="AE26" i="20"/>
  <c r="AF26" i="20" s="1"/>
  <c r="AE13" i="20"/>
  <c r="AF13" i="20" s="1"/>
  <c r="AE29" i="20"/>
  <c r="AF29" i="20" s="1"/>
  <c r="AE15" i="20"/>
  <c r="AF15" i="20" s="1"/>
  <c r="AE35" i="20"/>
  <c r="AF35" i="20" s="1"/>
  <c r="AE28" i="20"/>
  <c r="AF28" i="20" s="1"/>
  <c r="AE24" i="20"/>
  <c r="AF24" i="20" s="1"/>
  <c r="K45" i="2" l="1"/>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M81"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C40" i="2"/>
  <c r="M37" i="2"/>
  <c r="C3" i="2"/>
  <c r="D18" i="1"/>
  <c r="D16" i="1" s="1"/>
  <c r="D8" i="1"/>
  <c r="D5" i="1"/>
  <c r="B2" i="17"/>
  <c r="D20" i="1"/>
  <c r="D9" i="1"/>
  <c r="B3" i="21"/>
  <c r="B2" i="21"/>
  <c r="B2" i="20"/>
  <c r="B3" i="20"/>
  <c r="C410" i="2"/>
  <c r="C373" i="2"/>
  <c r="C336" i="2"/>
  <c r="C299" i="2"/>
  <c r="C262" i="2"/>
  <c r="C225" i="2"/>
  <c r="C188" i="2"/>
  <c r="C151" i="2"/>
  <c r="C114" i="2"/>
  <c r="C77" i="2"/>
  <c r="C409" i="2"/>
  <c r="C372" i="2"/>
  <c r="C335" i="2"/>
  <c r="C298" i="2"/>
  <c r="C261" i="2"/>
  <c r="C224" i="2"/>
  <c r="C187" i="2"/>
  <c r="C150" i="2"/>
  <c r="C113" i="2"/>
  <c r="C76" i="2"/>
  <c r="C39" i="2"/>
  <c r="C2" i="2"/>
  <c r="B2" i="1"/>
  <c r="N8" i="2"/>
  <c r="B61" i="25"/>
  <c r="C8" i="17"/>
  <c r="C7" i="17"/>
  <c r="C6" i="17"/>
  <c r="C5" i="17"/>
  <c r="E4" i="17"/>
  <c r="G4" i="17" s="1"/>
  <c r="N7" i="2"/>
  <c r="N9" i="2"/>
  <c r="N10" i="2"/>
  <c r="N11" i="2"/>
  <c r="N12" i="2"/>
  <c r="N13" i="2"/>
  <c r="N14" i="2"/>
  <c r="N15" i="2"/>
  <c r="N16" i="2"/>
  <c r="N17" i="2"/>
  <c r="N18" i="2"/>
  <c r="N19" i="2"/>
  <c r="N20" i="2"/>
  <c r="N21" i="2"/>
  <c r="O21" i="2" s="1"/>
  <c r="N22" i="2"/>
  <c r="N23" i="2"/>
  <c r="N24" i="2"/>
  <c r="N25" i="2"/>
  <c r="N26" i="2"/>
  <c r="N27" i="2"/>
  <c r="N28" i="2"/>
  <c r="N29" i="2"/>
  <c r="N30" i="2"/>
  <c r="N31" i="2"/>
  <c r="N32" i="2"/>
  <c r="N33" i="2"/>
  <c r="N34" i="2"/>
  <c r="O34" i="2" s="1"/>
  <c r="N35" i="2"/>
  <c r="O35" i="2" s="1"/>
  <c r="N36" i="2"/>
  <c r="P14" i="20"/>
  <c r="P15" i="20"/>
  <c r="P16" i="20"/>
  <c r="P17" i="20"/>
  <c r="P18" i="20"/>
  <c r="P19" i="20"/>
  <c r="P20" i="20"/>
  <c r="P21" i="20"/>
  <c r="P22" i="20"/>
  <c r="P23" i="20"/>
  <c r="P24" i="20"/>
  <c r="P25" i="20"/>
  <c r="P26" i="20"/>
  <c r="P27" i="20"/>
  <c r="P28" i="20"/>
  <c r="P29" i="20"/>
  <c r="P30" i="20"/>
  <c r="P31" i="20"/>
  <c r="P32" i="20"/>
  <c r="P33" i="20"/>
  <c r="P34" i="20"/>
  <c r="P35" i="20"/>
  <c r="P36" i="20"/>
  <c r="O11" i="20"/>
  <c r="O12" i="20"/>
  <c r="O13" i="20"/>
  <c r="O14" i="20"/>
  <c r="O15" i="20"/>
  <c r="O16" i="20"/>
  <c r="O17" i="20"/>
  <c r="O18" i="20"/>
  <c r="O19" i="20"/>
  <c r="O20" i="20"/>
  <c r="O21" i="20"/>
  <c r="O22" i="20"/>
  <c r="O23" i="20"/>
  <c r="O24" i="20"/>
  <c r="O25" i="20"/>
  <c r="O26" i="20"/>
  <c r="O27" i="20"/>
  <c r="O28" i="20"/>
  <c r="O29" i="20"/>
  <c r="O30" i="20"/>
  <c r="O31" i="20"/>
  <c r="O32" i="20"/>
  <c r="O33" i="20"/>
  <c r="O34" i="20"/>
  <c r="O35" i="20"/>
  <c r="O36" i="20"/>
  <c r="N11" i="20"/>
  <c r="N12" i="20"/>
  <c r="N13" i="20"/>
  <c r="N14" i="20"/>
  <c r="N15" i="20"/>
  <c r="N16" i="20"/>
  <c r="N17" i="20"/>
  <c r="N18" i="20"/>
  <c r="N19" i="20"/>
  <c r="N20" i="20"/>
  <c r="N21" i="20"/>
  <c r="N22" i="20"/>
  <c r="N23" i="20"/>
  <c r="N24" i="20"/>
  <c r="N25" i="20"/>
  <c r="N26" i="20"/>
  <c r="N27" i="20"/>
  <c r="N28" i="20"/>
  <c r="N29" i="20"/>
  <c r="N30" i="20"/>
  <c r="N31" i="20"/>
  <c r="N32" i="20"/>
  <c r="N33" i="20"/>
  <c r="N34" i="20"/>
  <c r="N35" i="20"/>
  <c r="N36" i="20"/>
  <c r="M11" i="20"/>
  <c r="M12" i="20"/>
  <c r="M13" i="20"/>
  <c r="M14" i="20"/>
  <c r="M15" i="20"/>
  <c r="M16" i="20"/>
  <c r="M17" i="20"/>
  <c r="M18" i="20"/>
  <c r="M19" i="20"/>
  <c r="M20" i="20"/>
  <c r="M21" i="20"/>
  <c r="M22" i="20"/>
  <c r="M23" i="20"/>
  <c r="M24" i="20"/>
  <c r="M25" i="20"/>
  <c r="M26" i="20"/>
  <c r="M27" i="20"/>
  <c r="M28" i="20"/>
  <c r="M29" i="20"/>
  <c r="M30" i="20"/>
  <c r="M31" i="20"/>
  <c r="M32" i="20"/>
  <c r="M33" i="20"/>
  <c r="M34" i="20"/>
  <c r="M35" i="20"/>
  <c r="M36" i="20"/>
  <c r="L11" i="20"/>
  <c r="L12" i="20"/>
  <c r="L13" i="20"/>
  <c r="L14" i="20"/>
  <c r="L15" i="20"/>
  <c r="L16" i="20"/>
  <c r="L17" i="20"/>
  <c r="L18" i="20"/>
  <c r="L19" i="20"/>
  <c r="L20" i="20"/>
  <c r="L21" i="20"/>
  <c r="L22" i="20"/>
  <c r="L23" i="20"/>
  <c r="L24" i="20"/>
  <c r="L25" i="20"/>
  <c r="L26" i="20"/>
  <c r="L27" i="20"/>
  <c r="L28" i="20"/>
  <c r="L29" i="20"/>
  <c r="L30" i="20"/>
  <c r="L31" i="20"/>
  <c r="L32" i="20"/>
  <c r="L33" i="20"/>
  <c r="L34" i="20"/>
  <c r="L35" i="20"/>
  <c r="L36" i="20"/>
  <c r="K11" i="20"/>
  <c r="K12" i="20"/>
  <c r="K13" i="20"/>
  <c r="K14" i="20"/>
  <c r="K15" i="20"/>
  <c r="K16" i="20"/>
  <c r="K17" i="20"/>
  <c r="K18" i="20"/>
  <c r="K19" i="20"/>
  <c r="K20" i="20"/>
  <c r="K21" i="20"/>
  <c r="K22" i="20"/>
  <c r="K23" i="20"/>
  <c r="K24" i="20"/>
  <c r="K25" i="20"/>
  <c r="K26" i="20"/>
  <c r="K27" i="20"/>
  <c r="K28" i="20"/>
  <c r="K29" i="20"/>
  <c r="K30" i="20"/>
  <c r="K31" i="20"/>
  <c r="K32" i="20"/>
  <c r="K33" i="20"/>
  <c r="K34" i="20"/>
  <c r="K35" i="20"/>
  <c r="K36"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E13" i="20"/>
  <c r="E14" i="20"/>
  <c r="E15" i="20"/>
  <c r="E16" i="20"/>
  <c r="E17" i="20"/>
  <c r="E18" i="20"/>
  <c r="E19" i="20"/>
  <c r="E20" i="20"/>
  <c r="E21" i="20"/>
  <c r="E22" i="20"/>
  <c r="E23" i="20"/>
  <c r="E24" i="20"/>
  <c r="E25" i="20"/>
  <c r="E26" i="20"/>
  <c r="E27" i="20"/>
  <c r="E28" i="20"/>
  <c r="E29" i="20"/>
  <c r="E30" i="20"/>
  <c r="E31" i="20"/>
  <c r="E32" i="20"/>
  <c r="E33" i="20"/>
  <c r="E34" i="20"/>
  <c r="E35" i="20"/>
  <c r="E36" i="20"/>
  <c r="B44" i="2"/>
  <c r="B7" i="20"/>
  <c r="B9" i="20"/>
  <c r="AG9" i="20" s="1"/>
  <c r="B10" i="20"/>
  <c r="AG10" i="20" s="1"/>
  <c r="B11" i="20"/>
  <c r="AG11" i="20" s="1"/>
  <c r="B12" i="20"/>
  <c r="AG12" i="20" s="1"/>
  <c r="B13" i="20"/>
  <c r="AG13" i="20" s="1"/>
  <c r="B14" i="20"/>
  <c r="AG14" i="20" s="1"/>
  <c r="B15" i="20"/>
  <c r="AG15" i="20" s="1"/>
  <c r="B16" i="20"/>
  <c r="AG16" i="20" s="1"/>
  <c r="B17" i="20"/>
  <c r="AG17" i="20" s="1"/>
  <c r="B18" i="20"/>
  <c r="AG18" i="20" s="1"/>
  <c r="B19" i="20"/>
  <c r="AG19" i="20" s="1"/>
  <c r="B20" i="20"/>
  <c r="AG20" i="20" s="1"/>
  <c r="B21" i="20"/>
  <c r="AG21" i="20" s="1"/>
  <c r="B22" i="20"/>
  <c r="AG22" i="20" s="1"/>
  <c r="B23" i="20"/>
  <c r="AG23" i="20" s="1"/>
  <c r="B24" i="20"/>
  <c r="AG24" i="20" s="1"/>
  <c r="B25" i="20"/>
  <c r="AG25" i="20" s="1"/>
  <c r="B26" i="20"/>
  <c r="AG26" i="20" s="1"/>
  <c r="B27" i="20"/>
  <c r="AG27" i="20" s="1"/>
  <c r="B28" i="20"/>
  <c r="AG28" i="20" s="1"/>
  <c r="B29" i="20"/>
  <c r="AG29" i="20" s="1"/>
  <c r="B30" i="20"/>
  <c r="AG30" i="20" s="1"/>
  <c r="B31" i="20"/>
  <c r="AG31" i="20" s="1"/>
  <c r="B32" i="20"/>
  <c r="AG32" i="20" s="1"/>
  <c r="B33" i="20"/>
  <c r="AG33" i="20" s="1"/>
  <c r="B34" i="20"/>
  <c r="AG34" i="20" s="1"/>
  <c r="B35" i="20"/>
  <c r="AG35" i="20" s="1"/>
  <c r="B36" i="20"/>
  <c r="AG36" i="20" s="1"/>
  <c r="N229" i="2"/>
  <c r="N230" i="2"/>
  <c r="N231" i="2"/>
  <c r="N232" i="2"/>
  <c r="N233" i="2"/>
  <c r="N234" i="2"/>
  <c r="P234" i="2" s="1"/>
  <c r="T234" i="2" s="1"/>
  <c r="N235" i="2"/>
  <c r="N236" i="2"/>
  <c r="N237" i="2"/>
  <c r="N238" i="2"/>
  <c r="N239" i="2"/>
  <c r="N240" i="2"/>
  <c r="N241" i="2"/>
  <c r="N242" i="2"/>
  <c r="N243" i="2"/>
  <c r="N244" i="2"/>
  <c r="N245" i="2"/>
  <c r="N246" i="2"/>
  <c r="N247" i="2"/>
  <c r="N248" i="2"/>
  <c r="N249" i="2"/>
  <c r="N250" i="2"/>
  <c r="P250" i="2"/>
  <c r="T250" i="2" s="1"/>
  <c r="M250" i="2"/>
  <c r="N251" i="2"/>
  <c r="N252" i="2"/>
  <c r="N253" i="2"/>
  <c r="N254" i="2"/>
  <c r="N255" i="2"/>
  <c r="N256" i="2"/>
  <c r="N257" i="2"/>
  <c r="N258" i="2"/>
  <c r="P258" i="2" s="1"/>
  <c r="T258" i="2" s="1"/>
  <c r="M258" i="2"/>
  <c r="M229" i="2"/>
  <c r="M230" i="2"/>
  <c r="M232" i="2"/>
  <c r="M233" i="2"/>
  <c r="M234" i="2"/>
  <c r="M235" i="2"/>
  <c r="M236" i="2"/>
  <c r="M237" i="2"/>
  <c r="M238" i="2"/>
  <c r="M239" i="2"/>
  <c r="M240" i="2"/>
  <c r="M241" i="2"/>
  <c r="M242" i="2"/>
  <c r="M243" i="2"/>
  <c r="M244" i="2"/>
  <c r="M245" i="2"/>
  <c r="M246" i="2"/>
  <c r="M247" i="2"/>
  <c r="M248" i="2"/>
  <c r="M249" i="2"/>
  <c r="M251" i="2"/>
  <c r="M252" i="2"/>
  <c r="M253" i="2"/>
  <c r="M254" i="2"/>
  <c r="M255" i="2"/>
  <c r="M256" i="2"/>
  <c r="M257" i="2"/>
  <c r="N266" i="2"/>
  <c r="N267" i="2"/>
  <c r="N268" i="2"/>
  <c r="N269" i="2"/>
  <c r="N270" i="2"/>
  <c r="N271" i="2"/>
  <c r="N272" i="2"/>
  <c r="N273" i="2"/>
  <c r="N274" i="2"/>
  <c r="N275" i="2"/>
  <c r="N276" i="2"/>
  <c r="N277" i="2"/>
  <c r="N278" i="2"/>
  <c r="N279" i="2"/>
  <c r="N280" i="2"/>
  <c r="M280" i="2"/>
  <c r="N281" i="2"/>
  <c r="N282" i="2"/>
  <c r="N283" i="2"/>
  <c r="N284" i="2"/>
  <c r="N285" i="2"/>
  <c r="N286" i="2"/>
  <c r="N287" i="2"/>
  <c r="N288" i="2"/>
  <c r="N289" i="2"/>
  <c r="N290" i="2"/>
  <c r="N291" i="2"/>
  <c r="N292" i="2"/>
  <c r="N293" i="2"/>
  <c r="N294" i="2"/>
  <c r="N295" i="2"/>
  <c r="M266" i="2"/>
  <c r="M267" i="2"/>
  <c r="M268" i="2"/>
  <c r="M269" i="2"/>
  <c r="M270" i="2"/>
  <c r="M271" i="2"/>
  <c r="M272" i="2"/>
  <c r="M273" i="2"/>
  <c r="M274" i="2"/>
  <c r="M275" i="2"/>
  <c r="M276" i="2"/>
  <c r="M277" i="2"/>
  <c r="M278" i="2"/>
  <c r="M279" i="2"/>
  <c r="M281" i="2"/>
  <c r="M282" i="2"/>
  <c r="M283" i="2"/>
  <c r="M284" i="2"/>
  <c r="M285" i="2"/>
  <c r="M286" i="2"/>
  <c r="M287" i="2"/>
  <c r="M288" i="2"/>
  <c r="M289" i="2"/>
  <c r="M290" i="2"/>
  <c r="M291" i="2"/>
  <c r="M292" i="2"/>
  <c r="M293" i="2"/>
  <c r="M294" i="2"/>
  <c r="M295" i="2"/>
  <c r="P280" i="2"/>
  <c r="T280" i="2" s="1"/>
  <c r="N303" i="2"/>
  <c r="N304" i="2"/>
  <c r="N305" i="2"/>
  <c r="N306" i="2"/>
  <c r="N307" i="2"/>
  <c r="N308" i="2"/>
  <c r="N309" i="2"/>
  <c r="K309" i="2"/>
  <c r="M309" i="2"/>
  <c r="N310" i="2"/>
  <c r="N311" i="2"/>
  <c r="N312" i="2"/>
  <c r="N313" i="2"/>
  <c r="N314" i="2"/>
  <c r="N315" i="2"/>
  <c r="N316" i="2"/>
  <c r="N317" i="2"/>
  <c r="N318" i="2"/>
  <c r="N319" i="2"/>
  <c r="N320" i="2"/>
  <c r="N321" i="2"/>
  <c r="N322" i="2"/>
  <c r="N323" i="2"/>
  <c r="N324" i="2"/>
  <c r="N325" i="2"/>
  <c r="N326" i="2"/>
  <c r="K326" i="2"/>
  <c r="N327" i="2"/>
  <c r="N328" i="2"/>
  <c r="N329" i="2"/>
  <c r="N330" i="2"/>
  <c r="K330" i="2"/>
  <c r="M330" i="2"/>
  <c r="N331" i="2"/>
  <c r="N332" i="2"/>
  <c r="M303" i="2"/>
  <c r="M304" i="2"/>
  <c r="M305" i="2"/>
  <c r="M306" i="2"/>
  <c r="M307" i="2"/>
  <c r="M308" i="2"/>
  <c r="M310" i="2"/>
  <c r="M311" i="2"/>
  <c r="M312" i="2"/>
  <c r="M313" i="2"/>
  <c r="M314" i="2"/>
  <c r="M315" i="2"/>
  <c r="M316" i="2"/>
  <c r="M317" i="2"/>
  <c r="M318" i="2"/>
  <c r="M319" i="2"/>
  <c r="M320" i="2"/>
  <c r="M321" i="2"/>
  <c r="M322" i="2"/>
  <c r="M323" i="2"/>
  <c r="M324" i="2"/>
  <c r="M325" i="2"/>
  <c r="M326" i="2"/>
  <c r="M327" i="2"/>
  <c r="K327" i="2"/>
  <c r="M328" i="2"/>
  <c r="M329" i="2"/>
  <c r="M331" i="2"/>
  <c r="M332" i="2"/>
  <c r="K304" i="2"/>
  <c r="K306" i="2"/>
  <c r="K307" i="2"/>
  <c r="K308" i="2"/>
  <c r="K310" i="2"/>
  <c r="K311" i="2"/>
  <c r="K312" i="2"/>
  <c r="K313" i="2"/>
  <c r="K314" i="2"/>
  <c r="K315" i="2"/>
  <c r="K316" i="2"/>
  <c r="K317" i="2"/>
  <c r="K318" i="2"/>
  <c r="K319" i="2"/>
  <c r="K320" i="2"/>
  <c r="K321" i="2"/>
  <c r="K322" i="2"/>
  <c r="K323" i="2"/>
  <c r="K324" i="2"/>
  <c r="K325" i="2"/>
  <c r="K328" i="2"/>
  <c r="K329" i="2"/>
  <c r="K331" i="2"/>
  <c r="K332" i="2"/>
  <c r="N340" i="2"/>
  <c r="N341" i="2"/>
  <c r="N342" i="2"/>
  <c r="N343" i="2"/>
  <c r="N344" i="2"/>
  <c r="N345" i="2"/>
  <c r="N346" i="2"/>
  <c r="N347" i="2"/>
  <c r="N348" i="2"/>
  <c r="N349" i="2"/>
  <c r="N350" i="2"/>
  <c r="N351" i="2"/>
  <c r="N352" i="2"/>
  <c r="N353" i="2"/>
  <c r="N354" i="2"/>
  <c r="N355" i="2"/>
  <c r="N356" i="2"/>
  <c r="N357" i="2"/>
  <c r="N358" i="2"/>
  <c r="N359" i="2"/>
  <c r="K359" i="2"/>
  <c r="N360" i="2"/>
  <c r="N361" i="2"/>
  <c r="N362" i="2"/>
  <c r="K362" i="2"/>
  <c r="N363" i="2"/>
  <c r="K363" i="2"/>
  <c r="N364" i="2"/>
  <c r="N365" i="2"/>
  <c r="N366" i="2"/>
  <c r="N367" i="2"/>
  <c r="N368" i="2"/>
  <c r="N369" i="2"/>
  <c r="M340" i="2"/>
  <c r="M341" i="2"/>
  <c r="M342" i="2"/>
  <c r="M343" i="2"/>
  <c r="M344" i="2"/>
  <c r="M345" i="2"/>
  <c r="M346" i="2"/>
  <c r="M347" i="2"/>
  <c r="M348" i="2"/>
  <c r="M349" i="2"/>
  <c r="M350" i="2"/>
  <c r="M351" i="2"/>
  <c r="M352" i="2"/>
  <c r="M353" i="2"/>
  <c r="M354" i="2"/>
  <c r="M355" i="2"/>
  <c r="M356" i="2"/>
  <c r="K356" i="2"/>
  <c r="M357" i="2"/>
  <c r="M358" i="2"/>
  <c r="M359" i="2"/>
  <c r="M360" i="2"/>
  <c r="M361" i="2"/>
  <c r="M362" i="2"/>
  <c r="M363" i="2"/>
  <c r="M364" i="2"/>
  <c r="K364" i="2"/>
  <c r="M365" i="2"/>
  <c r="M366" i="2"/>
  <c r="M367" i="2"/>
  <c r="M368" i="2"/>
  <c r="M369" i="2"/>
  <c r="K341" i="2"/>
  <c r="K343" i="2"/>
  <c r="K344" i="2"/>
  <c r="K345" i="2"/>
  <c r="K346" i="2"/>
  <c r="K347" i="2"/>
  <c r="K348" i="2"/>
  <c r="K349" i="2"/>
  <c r="K350" i="2"/>
  <c r="K351" i="2"/>
  <c r="K352" i="2"/>
  <c r="K353" i="2"/>
  <c r="K354" i="2"/>
  <c r="K355" i="2"/>
  <c r="K357" i="2"/>
  <c r="K358" i="2"/>
  <c r="K360" i="2"/>
  <c r="K361" i="2"/>
  <c r="K365" i="2"/>
  <c r="K366" i="2"/>
  <c r="K367" i="2"/>
  <c r="K368" i="2"/>
  <c r="K369" i="2"/>
  <c r="N377" i="2"/>
  <c r="N378" i="2"/>
  <c r="N379" i="2"/>
  <c r="N380" i="2"/>
  <c r="N381" i="2"/>
  <c r="N382" i="2"/>
  <c r="N383" i="2"/>
  <c r="K383" i="2"/>
  <c r="M383" i="2"/>
  <c r="N384" i="2"/>
  <c r="N385" i="2"/>
  <c r="N386" i="2"/>
  <c r="N387" i="2"/>
  <c r="N388" i="2"/>
  <c r="N389" i="2"/>
  <c r="N390" i="2"/>
  <c r="N391" i="2"/>
  <c r="N392" i="2"/>
  <c r="N393" i="2"/>
  <c r="N394" i="2"/>
  <c r="N395" i="2"/>
  <c r="N396" i="2"/>
  <c r="N397" i="2"/>
  <c r="N398" i="2"/>
  <c r="N399" i="2"/>
  <c r="K399" i="2"/>
  <c r="N400" i="2"/>
  <c r="K400" i="2"/>
  <c r="N401" i="2"/>
  <c r="N402" i="2"/>
  <c r="N403" i="2"/>
  <c r="N404" i="2"/>
  <c r="K404" i="2"/>
  <c r="M404" i="2"/>
  <c r="N405" i="2"/>
  <c r="N406" i="2"/>
  <c r="M377" i="2"/>
  <c r="M378" i="2"/>
  <c r="K378" i="2"/>
  <c r="M379" i="2"/>
  <c r="M380" i="2"/>
  <c r="M381" i="2"/>
  <c r="M382" i="2"/>
  <c r="M384" i="2"/>
  <c r="M385" i="2"/>
  <c r="M386" i="2"/>
  <c r="M387" i="2"/>
  <c r="M388" i="2"/>
  <c r="M389" i="2"/>
  <c r="M390" i="2"/>
  <c r="M391" i="2"/>
  <c r="M392" i="2"/>
  <c r="M393" i="2"/>
  <c r="K393" i="2"/>
  <c r="M394" i="2"/>
  <c r="M395" i="2"/>
  <c r="M396" i="2"/>
  <c r="M397" i="2"/>
  <c r="M398" i="2"/>
  <c r="M399" i="2"/>
  <c r="M400" i="2"/>
  <c r="M401" i="2"/>
  <c r="M402" i="2"/>
  <c r="M403" i="2"/>
  <c r="M405" i="2"/>
  <c r="M406" i="2"/>
  <c r="K381" i="2"/>
  <c r="K382" i="2"/>
  <c r="K384" i="2"/>
  <c r="K385" i="2"/>
  <c r="K386" i="2"/>
  <c r="K387" i="2"/>
  <c r="K388" i="2"/>
  <c r="K389" i="2"/>
  <c r="K390" i="2"/>
  <c r="K391" i="2"/>
  <c r="K392" i="2"/>
  <c r="K394" i="2"/>
  <c r="K395" i="2"/>
  <c r="K396" i="2"/>
  <c r="K397" i="2"/>
  <c r="K398" i="2"/>
  <c r="K401" i="2"/>
  <c r="K402" i="2"/>
  <c r="K403" i="2"/>
  <c r="K405" i="2"/>
  <c r="K406" i="2"/>
  <c r="N414" i="2"/>
  <c r="N415" i="2"/>
  <c r="N416" i="2"/>
  <c r="N417" i="2"/>
  <c r="N418" i="2"/>
  <c r="N419" i="2"/>
  <c r="N420" i="2"/>
  <c r="K420" i="2"/>
  <c r="M420" i="2"/>
  <c r="N421" i="2"/>
  <c r="N422" i="2"/>
  <c r="N423" i="2"/>
  <c r="N424" i="2"/>
  <c r="N425" i="2"/>
  <c r="N426" i="2"/>
  <c r="N427" i="2"/>
  <c r="N428" i="2"/>
  <c r="K428" i="2"/>
  <c r="M428" i="2"/>
  <c r="N429" i="2"/>
  <c r="N430" i="2"/>
  <c r="N431" i="2"/>
  <c r="N432" i="2"/>
  <c r="N433" i="2"/>
  <c r="K433" i="2"/>
  <c r="N434" i="2"/>
  <c r="N435" i="2"/>
  <c r="N436" i="2"/>
  <c r="N437" i="2"/>
  <c r="K437" i="2"/>
  <c r="M437" i="2"/>
  <c r="N438" i="2"/>
  <c r="N439" i="2"/>
  <c r="N440" i="2"/>
  <c r="N441" i="2"/>
  <c r="N442" i="2"/>
  <c r="N443" i="2"/>
  <c r="M414" i="2"/>
  <c r="M415" i="2"/>
  <c r="M416" i="2"/>
  <c r="M417" i="2"/>
  <c r="M418" i="2"/>
  <c r="M419" i="2"/>
  <c r="M421" i="2"/>
  <c r="M422" i="2"/>
  <c r="M423" i="2"/>
  <c r="M424" i="2"/>
  <c r="M425" i="2"/>
  <c r="M426" i="2"/>
  <c r="M427" i="2"/>
  <c r="M429" i="2"/>
  <c r="M430" i="2"/>
  <c r="K430" i="2"/>
  <c r="M431" i="2"/>
  <c r="M432" i="2"/>
  <c r="M433" i="2"/>
  <c r="M434" i="2"/>
  <c r="M435" i="2"/>
  <c r="M436" i="2"/>
  <c r="M438" i="2"/>
  <c r="M439" i="2"/>
  <c r="K439" i="2"/>
  <c r="M440" i="2"/>
  <c r="M441" i="2"/>
  <c r="M442" i="2"/>
  <c r="M443" i="2"/>
  <c r="K443" i="2"/>
  <c r="K415" i="2"/>
  <c r="K418" i="2"/>
  <c r="K419" i="2"/>
  <c r="K421" i="2"/>
  <c r="K422" i="2"/>
  <c r="K423" i="2"/>
  <c r="K424" i="2"/>
  <c r="K425" i="2"/>
  <c r="K426" i="2"/>
  <c r="K427" i="2"/>
  <c r="K429" i="2"/>
  <c r="K431" i="2"/>
  <c r="K432" i="2"/>
  <c r="K434" i="2"/>
  <c r="K435" i="2"/>
  <c r="K436" i="2"/>
  <c r="K438" i="2"/>
  <c r="K440" i="2"/>
  <c r="K441" i="2"/>
  <c r="K442"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S444" i="2"/>
  <c r="R444" i="2"/>
  <c r="L444" i="2"/>
  <c r="I444" i="2"/>
  <c r="G444" i="2"/>
  <c r="F444" i="2"/>
  <c r="S407" i="2"/>
  <c r="R407" i="2"/>
  <c r="L407" i="2"/>
  <c r="I407" i="2"/>
  <c r="G407" i="2"/>
  <c r="F407" i="2"/>
  <c r="S370" i="2"/>
  <c r="R370" i="2"/>
  <c r="L370" i="2"/>
  <c r="I370" i="2"/>
  <c r="G370" i="2"/>
  <c r="F370" i="2"/>
  <c r="S333" i="2"/>
  <c r="R333" i="2"/>
  <c r="L333" i="2"/>
  <c r="I333" i="2"/>
  <c r="G333" i="2"/>
  <c r="F333" i="2"/>
  <c r="S296" i="2"/>
  <c r="R296" i="2"/>
  <c r="L296" i="2"/>
  <c r="I296" i="2"/>
  <c r="G296" i="2"/>
  <c r="F296" i="2"/>
  <c r="S259" i="2"/>
  <c r="R259" i="2"/>
  <c r="L259" i="2"/>
  <c r="I259" i="2"/>
  <c r="G259" i="2"/>
  <c r="F259" i="2"/>
  <c r="S222" i="2"/>
  <c r="R222" i="2"/>
  <c r="L222" i="2"/>
  <c r="I222" i="2"/>
  <c r="G222" i="2"/>
  <c r="F222" i="2"/>
  <c r="N221" i="2"/>
  <c r="M221" i="2"/>
  <c r="K221" i="2"/>
  <c r="N220" i="2"/>
  <c r="M220" i="2"/>
  <c r="K220" i="2"/>
  <c r="N219" i="2"/>
  <c r="K219" i="2"/>
  <c r="M219" i="2"/>
  <c r="N218" i="2"/>
  <c r="M218" i="2"/>
  <c r="K218" i="2"/>
  <c r="N217" i="2"/>
  <c r="M217" i="2"/>
  <c r="K217" i="2"/>
  <c r="N216" i="2"/>
  <c r="M216" i="2"/>
  <c r="K216" i="2"/>
  <c r="N215" i="2"/>
  <c r="K215" i="2"/>
  <c r="M215" i="2"/>
  <c r="N214" i="2"/>
  <c r="M214" i="2"/>
  <c r="K214" i="2"/>
  <c r="N213" i="2"/>
  <c r="M213" i="2"/>
  <c r="K213" i="2"/>
  <c r="N212" i="2"/>
  <c r="M212" i="2"/>
  <c r="K212" i="2"/>
  <c r="N211" i="2"/>
  <c r="M211" i="2"/>
  <c r="K211" i="2"/>
  <c r="N210" i="2"/>
  <c r="M210" i="2"/>
  <c r="K210" i="2"/>
  <c r="N209" i="2"/>
  <c r="M209" i="2"/>
  <c r="K209" i="2"/>
  <c r="N208" i="2"/>
  <c r="M208" i="2"/>
  <c r="K208" i="2"/>
  <c r="N207" i="2"/>
  <c r="K207" i="2"/>
  <c r="M207" i="2"/>
  <c r="N206" i="2"/>
  <c r="M206" i="2"/>
  <c r="K206" i="2"/>
  <c r="N205" i="2"/>
  <c r="M205" i="2"/>
  <c r="K205" i="2"/>
  <c r="N204" i="2"/>
  <c r="M204" i="2"/>
  <c r="K204" i="2"/>
  <c r="N203" i="2"/>
  <c r="K203" i="2"/>
  <c r="M203" i="2"/>
  <c r="N202" i="2"/>
  <c r="M202" i="2"/>
  <c r="K202" i="2"/>
  <c r="N201" i="2"/>
  <c r="M201" i="2"/>
  <c r="K201" i="2"/>
  <c r="N200" i="2"/>
  <c r="M200" i="2"/>
  <c r="K200" i="2"/>
  <c r="N199" i="2"/>
  <c r="K199" i="2"/>
  <c r="M199" i="2"/>
  <c r="N198" i="2"/>
  <c r="M198" i="2"/>
  <c r="K198" i="2"/>
  <c r="N197" i="2"/>
  <c r="M197" i="2"/>
  <c r="K197" i="2"/>
  <c r="N196" i="2"/>
  <c r="M196" i="2"/>
  <c r="K196" i="2"/>
  <c r="M195" i="2"/>
  <c r="N194" i="2"/>
  <c r="K194" i="2"/>
  <c r="N193" i="2"/>
  <c r="M193" i="2"/>
  <c r="K193" i="2"/>
  <c r="H222" i="2"/>
  <c r="N192" i="2"/>
  <c r="M192" i="2"/>
  <c r="S185" i="2"/>
  <c r="R185" i="2"/>
  <c r="L185" i="2"/>
  <c r="I185" i="2"/>
  <c r="G185" i="2"/>
  <c r="F185" i="2"/>
  <c r="N184" i="2"/>
  <c r="M184" i="2"/>
  <c r="N183" i="2"/>
  <c r="M183" i="2"/>
  <c r="N182" i="2"/>
  <c r="M182" i="2"/>
  <c r="N181" i="2"/>
  <c r="M181" i="2"/>
  <c r="N180" i="2"/>
  <c r="M180" i="2"/>
  <c r="N179" i="2"/>
  <c r="M179" i="2"/>
  <c r="N178" i="2"/>
  <c r="M178" i="2"/>
  <c r="N177" i="2"/>
  <c r="M177" i="2"/>
  <c r="N176" i="2"/>
  <c r="M176" i="2"/>
  <c r="N175" i="2"/>
  <c r="M175" i="2"/>
  <c r="N174" i="2"/>
  <c r="M174" i="2"/>
  <c r="N173" i="2"/>
  <c r="M173" i="2"/>
  <c r="N172" i="2"/>
  <c r="M172" i="2"/>
  <c r="N171" i="2"/>
  <c r="M171" i="2"/>
  <c r="N170" i="2"/>
  <c r="M170" i="2"/>
  <c r="N169" i="2"/>
  <c r="M169" i="2"/>
  <c r="N168" i="2"/>
  <c r="M168" i="2"/>
  <c r="N167" i="2"/>
  <c r="M167" i="2"/>
  <c r="N166" i="2"/>
  <c r="M166" i="2"/>
  <c r="N165" i="2"/>
  <c r="M165" i="2"/>
  <c r="P165" i="2"/>
  <c r="T165" i="2" s="1"/>
  <c r="N164" i="2"/>
  <c r="M164" i="2"/>
  <c r="N163" i="2"/>
  <c r="M163" i="2"/>
  <c r="N162" i="2"/>
  <c r="M162" i="2"/>
  <c r="N161" i="2"/>
  <c r="M161" i="2"/>
  <c r="N160" i="2"/>
  <c r="M160" i="2"/>
  <c r="N159" i="2"/>
  <c r="M159" i="2"/>
  <c r="M158" i="2"/>
  <c r="N157" i="2"/>
  <c r="M157" i="2"/>
  <c r="M156" i="2"/>
  <c r="N155" i="2"/>
  <c r="M155" i="2"/>
  <c r="S148" i="2"/>
  <c r="R148" i="2"/>
  <c r="L148" i="2"/>
  <c r="I148" i="2"/>
  <c r="G148" i="2"/>
  <c r="F148" i="2"/>
  <c r="N147" i="2"/>
  <c r="K147" i="2"/>
  <c r="M147" i="2"/>
  <c r="N146" i="2"/>
  <c r="M146" i="2"/>
  <c r="K146" i="2"/>
  <c r="N145" i="2"/>
  <c r="M145" i="2"/>
  <c r="K145" i="2"/>
  <c r="N144" i="2"/>
  <c r="M144" i="2"/>
  <c r="K144" i="2"/>
  <c r="N143" i="2"/>
  <c r="K143" i="2"/>
  <c r="M143" i="2"/>
  <c r="N142" i="2"/>
  <c r="M142" i="2"/>
  <c r="K142" i="2"/>
  <c r="N141" i="2"/>
  <c r="M141" i="2"/>
  <c r="K141" i="2"/>
  <c r="N140" i="2"/>
  <c r="M140" i="2"/>
  <c r="K140" i="2"/>
  <c r="N139" i="2"/>
  <c r="K139" i="2"/>
  <c r="M139" i="2"/>
  <c r="N138" i="2"/>
  <c r="M138" i="2"/>
  <c r="K138" i="2"/>
  <c r="N137" i="2"/>
  <c r="M137" i="2"/>
  <c r="K137" i="2"/>
  <c r="N136" i="2"/>
  <c r="M136" i="2"/>
  <c r="K136" i="2"/>
  <c r="N135" i="2"/>
  <c r="K135" i="2"/>
  <c r="M135" i="2"/>
  <c r="N134" i="2"/>
  <c r="M134" i="2"/>
  <c r="K134" i="2"/>
  <c r="N133" i="2"/>
  <c r="M133" i="2"/>
  <c r="K133" i="2"/>
  <c r="N132" i="2"/>
  <c r="M132" i="2"/>
  <c r="K132" i="2"/>
  <c r="N131" i="2"/>
  <c r="K131" i="2"/>
  <c r="M131" i="2"/>
  <c r="N130" i="2"/>
  <c r="M130" i="2"/>
  <c r="K130" i="2"/>
  <c r="N129" i="2"/>
  <c r="M129" i="2"/>
  <c r="K129" i="2"/>
  <c r="N128" i="2"/>
  <c r="M128" i="2"/>
  <c r="K128" i="2"/>
  <c r="N127" i="2"/>
  <c r="K127" i="2"/>
  <c r="M127" i="2"/>
  <c r="N126" i="2"/>
  <c r="M126" i="2"/>
  <c r="K126" i="2"/>
  <c r="N125" i="2"/>
  <c r="M125" i="2"/>
  <c r="K125" i="2"/>
  <c r="N124" i="2"/>
  <c r="M124" i="2"/>
  <c r="K124" i="2"/>
  <c r="N123" i="2"/>
  <c r="K123" i="2"/>
  <c r="M123" i="2"/>
  <c r="N122" i="2"/>
  <c r="M122" i="2"/>
  <c r="K122" i="2"/>
  <c r="M121" i="2"/>
  <c r="N120" i="2"/>
  <c r="M120" i="2"/>
  <c r="K120" i="2"/>
  <c r="N119" i="2"/>
  <c r="K119" i="2"/>
  <c r="M119" i="2"/>
  <c r="N118" i="2"/>
  <c r="M118" i="2"/>
  <c r="B62" i="25"/>
  <c r="S111" i="2"/>
  <c r="R111" i="2"/>
  <c r="L111" i="2"/>
  <c r="I111" i="2"/>
  <c r="G111" i="2"/>
  <c r="F111" i="2"/>
  <c r="M110" i="2"/>
  <c r="M109" i="2"/>
  <c r="M108" i="2"/>
  <c r="M107" i="2"/>
  <c r="M106" i="2"/>
  <c r="M105" i="2"/>
  <c r="M104" i="2"/>
  <c r="M103" i="2"/>
  <c r="M102" i="2"/>
  <c r="M101" i="2"/>
  <c r="M100" i="2"/>
  <c r="M99" i="2"/>
  <c r="M98" i="2"/>
  <c r="M97" i="2"/>
  <c r="M96" i="2"/>
  <c r="M95" i="2"/>
  <c r="M94" i="2"/>
  <c r="P94" i="2"/>
  <c r="T94" i="2" s="1"/>
  <c r="M93" i="2"/>
  <c r="M92" i="2"/>
  <c r="M91" i="2"/>
  <c r="M90" i="2"/>
  <c r="M89" i="2"/>
  <c r="M88" i="2"/>
  <c r="M87" i="2"/>
  <c r="M86" i="2"/>
  <c r="M85" i="2"/>
  <c r="M84" i="2"/>
  <c r="M83" i="2"/>
  <c r="M82" i="2"/>
  <c r="S74" i="2"/>
  <c r="R74" i="2"/>
  <c r="L74" i="2"/>
  <c r="I74" i="2"/>
  <c r="G74" i="2"/>
  <c r="F74" i="2"/>
  <c r="N73" i="2"/>
  <c r="N72" i="2"/>
  <c r="N71" i="2"/>
  <c r="N70" i="2"/>
  <c r="N69" i="2"/>
  <c r="N68" i="2"/>
  <c r="N67" i="2"/>
  <c r="N66" i="2"/>
  <c r="N65" i="2"/>
  <c r="N64" i="2"/>
  <c r="N63" i="2"/>
  <c r="N62" i="2"/>
  <c r="N61" i="2"/>
  <c r="N60" i="2"/>
  <c r="N59" i="2"/>
  <c r="N58" i="2"/>
  <c r="O58" i="2" s="1"/>
  <c r="N57" i="2"/>
  <c r="N56" i="2"/>
  <c r="N55" i="2"/>
  <c r="N54" i="2"/>
  <c r="N53" i="2"/>
  <c r="N52" i="2"/>
  <c r="N51" i="2"/>
  <c r="N50" i="2"/>
  <c r="N49" i="2"/>
  <c r="N48" i="2"/>
  <c r="N47" i="2"/>
  <c r="N46" i="2"/>
  <c r="N45" i="2"/>
  <c r="N44" i="2"/>
  <c r="J259" i="2"/>
  <c r="J296" i="2"/>
  <c r="J222" i="2"/>
  <c r="J148" i="2"/>
  <c r="S37" i="2"/>
  <c r="R37" i="2"/>
  <c r="L37" i="2"/>
  <c r="I37" i="2"/>
  <c r="G37" i="2"/>
  <c r="F37" i="2"/>
  <c r="O18" i="2"/>
  <c r="O25" i="2"/>
  <c r="E12" i="20"/>
  <c r="E11" i="20"/>
  <c r="O15" i="2"/>
  <c r="Q94" i="2" l="1"/>
  <c r="AG8" i="20"/>
  <c r="AJ10" i="20"/>
  <c r="AJ7" i="20"/>
  <c r="AG7" i="20"/>
  <c r="AJ8" i="20"/>
  <c r="AJ9" i="20"/>
  <c r="Q280" i="2"/>
  <c r="Q250" i="2"/>
  <c r="Q234" i="2"/>
  <c r="Q258" i="2"/>
  <c r="Q165" i="2"/>
  <c r="O441" i="2"/>
  <c r="P439" i="2"/>
  <c r="T439" i="2" s="1"/>
  <c r="Q439" i="2" s="1"/>
  <c r="V439" i="2" s="1"/>
  <c r="J407" i="2"/>
  <c r="P351" i="2"/>
  <c r="T351" i="2" s="1"/>
  <c r="Q351" i="2" s="1"/>
  <c r="V351" i="2" s="1"/>
  <c r="P347" i="2"/>
  <c r="T347" i="2" s="1"/>
  <c r="Q347" i="2" s="1"/>
  <c r="J333" i="2"/>
  <c r="P329" i="2"/>
  <c r="T329" i="2" s="1"/>
  <c r="Q329" i="2" s="1"/>
  <c r="O310" i="2"/>
  <c r="P322" i="2"/>
  <c r="T322" i="2" s="1"/>
  <c r="Q322" i="2" s="1"/>
  <c r="J185" i="2"/>
  <c r="M74" i="2"/>
  <c r="J74" i="2"/>
  <c r="O22" i="2"/>
  <c r="O33" i="2"/>
  <c r="O24" i="2"/>
  <c r="O16" i="2"/>
  <c r="O29" i="2"/>
  <c r="O17" i="2"/>
  <c r="O13" i="2"/>
  <c r="N148" i="2"/>
  <c r="J111" i="2"/>
  <c r="H74" i="2"/>
  <c r="J37" i="2"/>
  <c r="O36" i="2"/>
  <c r="O32" i="2"/>
  <c r="O28" i="2"/>
  <c r="O20" i="2"/>
  <c r="H185" i="2"/>
  <c r="O96" i="2"/>
  <c r="P127" i="2"/>
  <c r="T127" i="2" s="1"/>
  <c r="Q127" i="2" s="1"/>
  <c r="P135" i="2"/>
  <c r="T135" i="2" s="1"/>
  <c r="P143" i="2"/>
  <c r="T143" i="2" s="1"/>
  <c r="Q143" i="2" s="1"/>
  <c r="P429" i="2"/>
  <c r="T429" i="2" s="1"/>
  <c r="Q429" i="2" s="1"/>
  <c r="P361" i="2"/>
  <c r="T361" i="2" s="1"/>
  <c r="Q361" i="2" s="1"/>
  <c r="P354" i="2"/>
  <c r="T354" i="2" s="1"/>
  <c r="Q354" i="2" s="1"/>
  <c r="O47" i="2"/>
  <c r="O51" i="2"/>
  <c r="O55" i="2"/>
  <c r="V250" i="2"/>
  <c r="O101" i="2"/>
  <c r="O395" i="2"/>
  <c r="O332" i="2"/>
  <c r="O252" i="2"/>
  <c r="O247" i="2"/>
  <c r="B64" i="25"/>
  <c r="E8" i="17"/>
  <c r="G8" i="17" s="1"/>
  <c r="E5" i="17"/>
  <c r="G5" i="17" s="1"/>
  <c r="E6" i="17"/>
  <c r="G6" i="17" s="1"/>
  <c r="E7" i="17"/>
  <c r="G7" i="17" s="1"/>
  <c r="O135" i="2"/>
  <c r="P214" i="2"/>
  <c r="T214" i="2" s="1"/>
  <c r="Q214" i="2" s="1"/>
  <c r="P398" i="2"/>
  <c r="T398" i="2" s="1"/>
  <c r="O394" i="2"/>
  <c r="P362" i="2"/>
  <c r="T362" i="2" s="1"/>
  <c r="Q362" i="2" s="1"/>
  <c r="P324" i="2"/>
  <c r="T324" i="2" s="1"/>
  <c r="Q324" i="2" s="1"/>
  <c r="H370" i="2"/>
  <c r="O268" i="2"/>
  <c r="P267" i="2"/>
  <c r="T267" i="2" s="1"/>
  <c r="O251" i="2"/>
  <c r="P202" i="2"/>
  <c r="T202" i="2" s="1"/>
  <c r="Q202" i="2" s="1"/>
  <c r="P209" i="2"/>
  <c r="T209" i="2" s="1"/>
  <c r="P210" i="2"/>
  <c r="T210" i="2" s="1"/>
  <c r="Q210" i="2" s="1"/>
  <c r="P211" i="2"/>
  <c r="T211" i="2" s="1"/>
  <c r="P212" i="2"/>
  <c r="T212" i="2" s="1"/>
  <c r="Q212" i="2" s="1"/>
  <c r="P213" i="2"/>
  <c r="T213" i="2" s="1"/>
  <c r="Q213" i="2" s="1"/>
  <c r="B115" i="25"/>
  <c r="B111" i="25"/>
  <c r="B114" i="25"/>
  <c r="B110" i="25"/>
  <c r="D109" i="25"/>
  <c r="B113" i="25"/>
  <c r="B109" i="25"/>
  <c r="D108" i="25"/>
  <c r="B112" i="25"/>
  <c r="B108" i="25"/>
  <c r="B147" i="25"/>
  <c r="B143" i="25"/>
  <c r="B146" i="25"/>
  <c r="B142" i="25"/>
  <c r="D143" i="25"/>
  <c r="B149" i="25"/>
  <c r="B145" i="25"/>
  <c r="D142" i="25"/>
  <c r="B148" i="25"/>
  <c r="B144" i="25"/>
  <c r="B180" i="25"/>
  <c r="B183" i="25"/>
  <c r="B179" i="25"/>
  <c r="D177" i="25"/>
  <c r="B182" i="25"/>
  <c r="B178" i="25"/>
  <c r="D176" i="25"/>
  <c r="B181" i="25"/>
  <c r="B177" i="25"/>
  <c r="P367" i="2"/>
  <c r="T367" i="2" s="1"/>
  <c r="Q367" i="2" s="1"/>
  <c r="O342" i="2"/>
  <c r="P332" i="2"/>
  <c r="T332" i="2" s="1"/>
  <c r="O253" i="2"/>
  <c r="O250" i="2"/>
  <c r="B45" i="2"/>
  <c r="O99" i="2"/>
  <c r="P215" i="2"/>
  <c r="T215" i="2" s="1"/>
  <c r="Q215" i="2" s="1"/>
  <c r="O9" i="2"/>
  <c r="J444" i="2"/>
  <c r="B176" i="25"/>
  <c r="O399" i="2"/>
  <c r="H148" i="2"/>
  <c r="B59" i="25"/>
  <c r="O199" i="2"/>
  <c r="O207" i="2"/>
  <c r="P130" i="2"/>
  <c r="T130" i="2" s="1"/>
  <c r="Q130" i="2" s="1"/>
  <c r="P134" i="2"/>
  <c r="T134" i="2" s="1"/>
  <c r="Q134" i="2" s="1"/>
  <c r="P137" i="2"/>
  <c r="T137" i="2" s="1"/>
  <c r="P138" i="2"/>
  <c r="T138" i="2" s="1"/>
  <c r="Q138" i="2" s="1"/>
  <c r="O139" i="2"/>
  <c r="P146" i="2"/>
  <c r="T146" i="2" s="1"/>
  <c r="Q146" i="2" s="1"/>
  <c r="B95" i="25"/>
  <c r="B91" i="25"/>
  <c r="B98" i="25"/>
  <c r="B94" i="25"/>
  <c r="D92" i="25"/>
  <c r="B97" i="25"/>
  <c r="B93" i="25"/>
  <c r="D91" i="25"/>
  <c r="B96" i="25"/>
  <c r="B92" i="25"/>
  <c r="B131" i="25"/>
  <c r="B127" i="25"/>
  <c r="B130" i="25"/>
  <c r="B126" i="25"/>
  <c r="D126" i="25"/>
  <c r="B129" i="25"/>
  <c r="B125" i="25"/>
  <c r="D125" i="25"/>
  <c r="B132" i="25"/>
  <c r="B128" i="25"/>
  <c r="B163" i="25"/>
  <c r="B159" i="25"/>
  <c r="B166" i="25"/>
  <c r="B162" i="25"/>
  <c r="D160" i="25"/>
  <c r="B165" i="25"/>
  <c r="B161" i="25"/>
  <c r="D159" i="25"/>
  <c r="B164" i="25"/>
  <c r="B160" i="25"/>
  <c r="B196" i="25"/>
  <c r="B199" i="25"/>
  <c r="B195" i="25"/>
  <c r="B198" i="25"/>
  <c r="B194" i="25"/>
  <c r="D193" i="25"/>
  <c r="B197" i="25"/>
  <c r="B193" i="25"/>
  <c r="P391" i="2"/>
  <c r="T391" i="2" s="1"/>
  <c r="Q391" i="2" s="1"/>
  <c r="O385" i="2"/>
  <c r="O292" i="2"/>
  <c r="H296" i="2"/>
  <c r="P436" i="2"/>
  <c r="T436" i="2" s="1"/>
  <c r="P390" i="2"/>
  <c r="T390" i="2" s="1"/>
  <c r="Q390" i="2" s="1"/>
  <c r="O351" i="2"/>
  <c r="D11" i="1"/>
  <c r="B78" i="25"/>
  <c r="B74" i="25"/>
  <c r="D75" i="25"/>
  <c r="B81" i="25"/>
  <c r="B77" i="25"/>
  <c r="D74" i="25"/>
  <c r="B80" i="25"/>
  <c r="B76" i="25"/>
  <c r="B79" i="25"/>
  <c r="B75" i="25"/>
  <c r="D40" i="25"/>
  <c r="B44" i="25"/>
  <c r="B40" i="25"/>
  <c r="B47" i="25"/>
  <c r="B43" i="25"/>
  <c r="B46" i="25"/>
  <c r="B42" i="25"/>
  <c r="D41" i="25"/>
  <c r="B45" i="25"/>
  <c r="B41" i="25"/>
  <c r="D24" i="25"/>
  <c r="B29" i="25"/>
  <c r="B25" i="25"/>
  <c r="D23" i="25"/>
  <c r="B28" i="25"/>
  <c r="B24" i="25"/>
  <c r="B27" i="25"/>
  <c r="B23" i="25"/>
  <c r="B30" i="25"/>
  <c r="B26" i="25"/>
  <c r="B10" i="25"/>
  <c r="B6" i="25"/>
  <c r="D7" i="25"/>
  <c r="B13" i="25"/>
  <c r="B9" i="25"/>
  <c r="D6" i="25"/>
  <c r="B12" i="25"/>
  <c r="B8" i="25"/>
  <c r="B11" i="25"/>
  <c r="B7" i="25"/>
  <c r="O54" i="2"/>
  <c r="O50" i="2"/>
  <c r="O98" i="2"/>
  <c r="O104" i="2"/>
  <c r="P96" i="2"/>
  <c r="T96" i="2" s="1"/>
  <c r="Q96" i="2" s="1"/>
  <c r="O147" i="2"/>
  <c r="O214" i="2"/>
  <c r="O289" i="2"/>
  <c r="O276" i="2"/>
  <c r="O357" i="2"/>
  <c r="P437" i="2"/>
  <c r="T437" i="2" s="1"/>
  <c r="Q437" i="2" s="1"/>
  <c r="O438" i="2"/>
  <c r="O433" i="2"/>
  <c r="O172" i="2"/>
  <c r="O176" i="2"/>
  <c r="O278" i="2"/>
  <c r="P442" i="2"/>
  <c r="T442" i="2" s="1"/>
  <c r="Q442" i="2" s="1"/>
  <c r="P257" i="2"/>
  <c r="T257" i="2" s="1"/>
  <c r="P394" i="2"/>
  <c r="T394" i="2" s="1"/>
  <c r="Q394" i="2" s="1"/>
  <c r="P316" i="2"/>
  <c r="T316" i="2" s="1"/>
  <c r="P312" i="2"/>
  <c r="T312" i="2" s="1"/>
  <c r="P427" i="2"/>
  <c r="T427" i="2" s="1"/>
  <c r="Q427" i="2" s="1"/>
  <c r="P423" i="2"/>
  <c r="T423" i="2" s="1"/>
  <c r="P368" i="2"/>
  <c r="T368" i="2" s="1"/>
  <c r="Q368" i="2" s="1"/>
  <c r="P364" i="2"/>
  <c r="T364" i="2" s="1"/>
  <c r="Q364" i="2" s="1"/>
  <c r="P359" i="2"/>
  <c r="T359" i="2" s="1"/>
  <c r="Q359" i="2" s="1"/>
  <c r="O277" i="2"/>
  <c r="P289" i="2"/>
  <c r="T289" i="2" s="1"/>
  <c r="Q289" i="2" s="1"/>
  <c r="O19" i="2"/>
  <c r="O27" i="2"/>
  <c r="O31" i="2"/>
  <c r="O127" i="2"/>
  <c r="O46" i="2"/>
  <c r="P431" i="2"/>
  <c r="T431" i="2" s="1"/>
  <c r="Q431" i="2" s="1"/>
  <c r="O425" i="2"/>
  <c r="P392" i="2"/>
  <c r="T392" i="2" s="1"/>
  <c r="Q392" i="2" s="1"/>
  <c r="O353" i="2"/>
  <c r="O143" i="2"/>
  <c r="P199" i="2"/>
  <c r="T199" i="2" s="1"/>
  <c r="Q199" i="2" s="1"/>
  <c r="P248" i="2"/>
  <c r="T248" i="2" s="1"/>
  <c r="Q248" i="2" s="1"/>
  <c r="O66" i="2"/>
  <c r="P84" i="2"/>
  <c r="T84" i="2" s="1"/>
  <c r="Q84" i="2" s="1"/>
  <c r="O131" i="2"/>
  <c r="O203" i="2"/>
  <c r="P428" i="2"/>
  <c r="T428" i="2" s="1"/>
  <c r="Q428" i="2" s="1"/>
  <c r="O173" i="2"/>
  <c r="O286" i="2"/>
  <c r="O87" i="2"/>
  <c r="O97" i="2"/>
  <c r="O105" i="2"/>
  <c r="O437" i="2"/>
  <c r="O424" i="2"/>
  <c r="O354" i="2"/>
  <c r="O313" i="2"/>
  <c r="O248" i="2"/>
  <c r="O100" i="2"/>
  <c r="O109" i="2"/>
  <c r="O156" i="2"/>
  <c r="O219" i="2"/>
  <c r="O436" i="2"/>
  <c r="O355" i="2"/>
  <c r="O287" i="2"/>
  <c r="O242" i="2"/>
  <c r="O238" i="2"/>
  <c r="O326" i="2"/>
  <c r="O322" i="2"/>
  <c r="O318" i="2"/>
  <c r="O271" i="2"/>
  <c r="O235" i="2"/>
  <c r="O255" i="2"/>
  <c r="B200" i="25"/>
  <c r="D194" i="25"/>
  <c r="O7" i="2"/>
  <c r="B14" i="25" s="1"/>
  <c r="O82" i="2"/>
  <c r="O85" i="2"/>
  <c r="O155" i="2"/>
  <c r="P160" i="2"/>
  <c r="T160" i="2" s="1"/>
  <c r="Q160" i="2" s="1"/>
  <c r="O234" i="2"/>
  <c r="M259" i="2"/>
  <c r="K259" i="2"/>
  <c r="N296" i="2"/>
  <c r="H333" i="2"/>
  <c r="P308" i="2"/>
  <c r="T308" i="2" s="1"/>
  <c r="N333" i="2"/>
  <c r="J370" i="2"/>
  <c r="AH33" i="20"/>
  <c r="AH29" i="20"/>
  <c r="AH25" i="20"/>
  <c r="AH21" i="20"/>
  <c r="AH17" i="20"/>
  <c r="AH13" i="20"/>
  <c r="AH34" i="20"/>
  <c r="AH30" i="20"/>
  <c r="AH26" i="20"/>
  <c r="AH22" i="20"/>
  <c r="AH18" i="20"/>
  <c r="AH14" i="20"/>
  <c r="AH36" i="20"/>
  <c r="AH32" i="20"/>
  <c r="AH28" i="20"/>
  <c r="AH24" i="20"/>
  <c r="AH20" i="20"/>
  <c r="AH16" i="20"/>
  <c r="AH12" i="20"/>
  <c r="AH35" i="20"/>
  <c r="AH31" i="20"/>
  <c r="AH27" i="20"/>
  <c r="AH23" i="20"/>
  <c r="AH19" i="20"/>
  <c r="AH15" i="20"/>
  <c r="AH11" i="20"/>
  <c r="P418" i="2"/>
  <c r="T418" i="2" s="1"/>
  <c r="O419" i="2"/>
  <c r="P12" i="20" s="1"/>
  <c r="Q12" i="20" s="1"/>
  <c r="M444" i="2"/>
  <c r="N444" i="2"/>
  <c r="H444" i="2"/>
  <c r="B191" i="25"/>
  <c r="C191" i="25"/>
  <c r="P380" i="2"/>
  <c r="T380" i="2" s="1"/>
  <c r="B174" i="25"/>
  <c r="C174" i="25"/>
  <c r="H407" i="2"/>
  <c r="M407" i="2"/>
  <c r="O346" i="2"/>
  <c r="M370" i="2"/>
  <c r="B157" i="25"/>
  <c r="C157" i="25"/>
  <c r="P343" i="2"/>
  <c r="T343" i="2" s="1"/>
  <c r="Q343" i="2" s="1"/>
  <c r="P344" i="2"/>
  <c r="T344" i="2" s="1"/>
  <c r="Q344" i="2" s="1"/>
  <c r="N370" i="2"/>
  <c r="M333" i="2"/>
  <c r="B140" i="25"/>
  <c r="C140" i="25"/>
  <c r="P303" i="2"/>
  <c r="T303" i="2" s="1"/>
  <c r="D144" i="25" s="1"/>
  <c r="B123" i="25"/>
  <c r="C123" i="25"/>
  <c r="M296" i="2"/>
  <c r="O270" i="2"/>
  <c r="H259" i="2"/>
  <c r="B106" i="25"/>
  <c r="C106" i="25"/>
  <c r="O193" i="2"/>
  <c r="O194" i="2"/>
  <c r="O197" i="2"/>
  <c r="M222" i="2"/>
  <c r="B89" i="25"/>
  <c r="C89" i="25"/>
  <c r="K185" i="2"/>
  <c r="M185" i="2"/>
  <c r="C72" i="25"/>
  <c r="B72" i="25"/>
  <c r="O119" i="2"/>
  <c r="P118" i="2"/>
  <c r="T118" i="2" s="1"/>
  <c r="P121" i="2"/>
  <c r="T121" i="2" s="1"/>
  <c r="P122" i="2"/>
  <c r="T122" i="2" s="1"/>
  <c r="C55" i="25"/>
  <c r="B55" i="25"/>
  <c r="O83" i="2"/>
  <c r="M111" i="2"/>
  <c r="O84" i="2"/>
  <c r="P86" i="2"/>
  <c r="T86" i="2" s="1"/>
  <c r="Q86" i="2" s="1"/>
  <c r="O8" i="2"/>
  <c r="O12" i="2"/>
  <c r="O11" i="2"/>
  <c r="N37" i="2"/>
  <c r="C38" i="25"/>
  <c r="B38" i="25"/>
  <c r="H111" i="2"/>
  <c r="C21" i="25"/>
  <c r="B21" i="25"/>
  <c r="O14" i="2"/>
  <c r="O30" i="2"/>
  <c r="P425" i="2"/>
  <c r="T425" i="2" s="1"/>
  <c r="Q425" i="2" s="1"/>
  <c r="O421" i="2"/>
  <c r="P404" i="2"/>
  <c r="T404" i="2" s="1"/>
  <c r="P331" i="2"/>
  <c r="T331" i="2" s="1"/>
  <c r="P279" i="2"/>
  <c r="T279" i="2" s="1"/>
  <c r="P275" i="2"/>
  <c r="T275" i="2" s="1"/>
  <c r="P254" i="2"/>
  <c r="T254" i="2" s="1"/>
  <c r="P249" i="2"/>
  <c r="T249" i="2" s="1"/>
  <c r="Q249" i="2" s="1"/>
  <c r="O10" i="2"/>
  <c r="O26" i="2"/>
  <c r="P318" i="2"/>
  <c r="T318" i="2" s="1"/>
  <c r="P434" i="2"/>
  <c r="T434" i="2" s="1"/>
  <c r="Q434" i="2" s="1"/>
  <c r="O402" i="2"/>
  <c r="O382" i="2"/>
  <c r="P349" i="2"/>
  <c r="T349" i="2" s="1"/>
  <c r="O328" i="2"/>
  <c r="O325" i="2"/>
  <c r="P321" i="2"/>
  <c r="T321" i="2" s="1"/>
  <c r="Q321" i="2" s="1"/>
  <c r="O317" i="2"/>
  <c r="P313" i="2"/>
  <c r="T313" i="2" s="1"/>
  <c r="O229" i="2"/>
  <c r="B116" i="25" s="1"/>
  <c r="O254" i="2"/>
  <c r="O249" i="2"/>
  <c r="O245" i="2"/>
  <c r="P156" i="2"/>
  <c r="T156" i="2" s="1"/>
  <c r="Q156" i="2" s="1"/>
  <c r="O158" i="2"/>
  <c r="O160" i="2"/>
  <c r="O161" i="2"/>
  <c r="O164" i="2"/>
  <c r="P167" i="2"/>
  <c r="T167" i="2" s="1"/>
  <c r="P168" i="2"/>
  <c r="T168" i="2" s="1"/>
  <c r="O174" i="2"/>
  <c r="O175" i="2"/>
  <c r="P178" i="2"/>
  <c r="T178" i="2" s="1"/>
  <c r="O180" i="2"/>
  <c r="P181" i="2"/>
  <c r="T181" i="2" s="1"/>
  <c r="Q181" i="2" s="1"/>
  <c r="O184" i="2"/>
  <c r="O431" i="2"/>
  <c r="O388" i="2"/>
  <c r="O384" i="2"/>
  <c r="P378" i="2"/>
  <c r="T378" i="2" s="1"/>
  <c r="P369" i="2"/>
  <c r="T369" i="2" s="1"/>
  <c r="O365" i="2"/>
  <c r="P304" i="2"/>
  <c r="T304" i="2" s="1"/>
  <c r="Q304" i="2" s="1"/>
  <c r="P295" i="2"/>
  <c r="T295" i="2" s="1"/>
  <c r="Q295" i="2" s="1"/>
  <c r="O293" i="2"/>
  <c r="P283" i="2"/>
  <c r="T283" i="2" s="1"/>
  <c r="Q283" i="2" s="1"/>
  <c r="P274" i="2"/>
  <c r="T274" i="2" s="1"/>
  <c r="Q274" i="2" s="1"/>
  <c r="P285" i="2"/>
  <c r="T285" i="2" s="1"/>
  <c r="P233" i="2"/>
  <c r="T233" i="2" s="1"/>
  <c r="Q233" i="2" s="1"/>
  <c r="O230" i="2"/>
  <c r="O210" i="2"/>
  <c r="O427" i="2"/>
  <c r="O130" i="2"/>
  <c r="P355" i="2"/>
  <c r="T355" i="2" s="1"/>
  <c r="Q355" i="2" s="1"/>
  <c r="K37" i="2"/>
  <c r="O233" i="2"/>
  <c r="O329" i="2"/>
  <c r="O362" i="2"/>
  <c r="O198" i="2"/>
  <c r="O202" i="2"/>
  <c r="O206" i="2"/>
  <c r="O211" i="2"/>
  <c r="O212" i="2"/>
  <c r="O218" i="2"/>
  <c r="O443" i="2"/>
  <c r="P421" i="2"/>
  <c r="T421" i="2" s="1"/>
  <c r="Q421" i="2" s="1"/>
  <c r="O423" i="2"/>
  <c r="P420" i="2"/>
  <c r="T420" i="2" s="1"/>
  <c r="Q420" i="2" s="1"/>
  <c r="P401" i="2"/>
  <c r="T401" i="2" s="1"/>
  <c r="Q401" i="2" s="1"/>
  <c r="P381" i="2"/>
  <c r="T381" i="2" s="1"/>
  <c r="Q381" i="2" s="1"/>
  <c r="O398" i="2"/>
  <c r="P405" i="2"/>
  <c r="T405" i="2" s="1"/>
  <c r="Q405" i="2" s="1"/>
  <c r="O403" i="2"/>
  <c r="O400" i="2"/>
  <c r="P385" i="2"/>
  <c r="T385" i="2" s="1"/>
  <c r="Q385" i="2" s="1"/>
  <c r="P352" i="2"/>
  <c r="T352" i="2" s="1"/>
  <c r="Q352" i="2" s="1"/>
  <c r="O320" i="2"/>
  <c r="O316" i="2"/>
  <c r="O312" i="2"/>
  <c r="O267" i="2"/>
  <c r="P218" i="2"/>
  <c r="T218" i="2" s="1"/>
  <c r="O272" i="2"/>
  <c r="K333" i="2"/>
  <c r="O401" i="2"/>
  <c r="O381" i="2"/>
  <c r="O359" i="2"/>
  <c r="O352" i="2"/>
  <c r="O306" i="2"/>
  <c r="P382" i="2"/>
  <c r="T382" i="2" s="1"/>
  <c r="Q382" i="2" s="1"/>
  <c r="P424" i="2"/>
  <c r="T424" i="2" s="1"/>
  <c r="P395" i="2"/>
  <c r="T395" i="2" s="1"/>
  <c r="O380" i="2"/>
  <c r="O216" i="2"/>
  <c r="O221" i="2"/>
  <c r="O157" i="2"/>
  <c r="O23" i="2"/>
  <c r="O169" i="2"/>
  <c r="O177" i="2"/>
  <c r="O387" i="2"/>
  <c r="O363" i="2"/>
  <c r="O360" i="2"/>
  <c r="O349" i="2"/>
  <c r="O324" i="2"/>
  <c r="M148" i="2"/>
  <c r="O120" i="2"/>
  <c r="O125" i="2"/>
  <c r="O126" i="2"/>
  <c r="O132" i="2"/>
  <c r="O136" i="2"/>
  <c r="O140" i="2"/>
  <c r="O141" i="2"/>
  <c r="O142" i="2"/>
  <c r="O144" i="2"/>
  <c r="O162" i="2"/>
  <c r="O192" i="2"/>
  <c r="B99" i="25" s="1"/>
  <c r="O196" i="2"/>
  <c r="O284" i="2"/>
  <c r="O266" i="2"/>
  <c r="B133" i="25" s="1"/>
  <c r="O290" i="2"/>
  <c r="O288" i="2"/>
  <c r="O285" i="2"/>
  <c r="O243" i="2"/>
  <c r="O417" i="2"/>
  <c r="O426" i="2"/>
  <c r="O422" i="2"/>
  <c r="O390" i="2"/>
  <c r="O386" i="2"/>
  <c r="O397" i="2"/>
  <c r="O315" i="2"/>
  <c r="C4" i="25"/>
  <c r="B4" i="25"/>
  <c r="N111" i="2"/>
  <c r="O279" i="2"/>
  <c r="O275" i="2"/>
  <c r="O118" i="2"/>
  <c r="P365" i="2"/>
  <c r="T365" i="2" s="1"/>
  <c r="O122" i="2"/>
  <c r="P325" i="2"/>
  <c r="T325" i="2" s="1"/>
  <c r="K111" i="2"/>
  <c r="O213" i="2"/>
  <c r="O321" i="2"/>
  <c r="O434" i="2"/>
  <c r="P98" i="2"/>
  <c r="T98" i="2" s="1"/>
  <c r="P99" i="2"/>
  <c r="T99" i="2" s="1"/>
  <c r="Q99" i="2" s="1"/>
  <c r="P102" i="2"/>
  <c r="T102" i="2" s="1"/>
  <c r="P106" i="2"/>
  <c r="T106" i="2" s="1"/>
  <c r="P278" i="2"/>
  <c r="T278" i="2" s="1"/>
  <c r="Q278" i="2" s="1"/>
  <c r="P266" i="2"/>
  <c r="T266" i="2" s="1"/>
  <c r="D127" i="25" s="1"/>
  <c r="O165" i="2"/>
  <c r="O343" i="2"/>
  <c r="O181" i="2"/>
  <c r="O134" i="2"/>
  <c r="P180" i="2"/>
  <c r="T180" i="2" s="1"/>
  <c r="Q180" i="2" s="1"/>
  <c r="K148" i="2"/>
  <c r="O303" i="2"/>
  <c r="B150" i="25" s="1"/>
  <c r="O367" i="2"/>
  <c r="O178" i="2"/>
  <c r="O239" i="2"/>
  <c r="P81" i="2"/>
  <c r="T81" i="2" s="1"/>
  <c r="D42" i="25" s="1"/>
  <c r="O146" i="2"/>
  <c r="O138" i="2"/>
  <c r="O215" i="2"/>
  <c r="K222" i="2"/>
  <c r="O391" i="2"/>
  <c r="O295" i="2"/>
  <c r="O308" i="2"/>
  <c r="O304" i="2"/>
  <c r="P277" i="2"/>
  <c r="T277" i="2" s="1"/>
  <c r="Q277" i="2" s="1"/>
  <c r="O237" i="2"/>
  <c r="P8" i="2"/>
  <c r="T8" i="2" s="1"/>
  <c r="Q8" i="2" s="1"/>
  <c r="U8" i="2" s="1"/>
  <c r="P10" i="2"/>
  <c r="T10" i="2" s="1"/>
  <c r="Q10" i="2" s="1"/>
  <c r="P12" i="2"/>
  <c r="T12" i="2" s="1"/>
  <c r="Q12" i="2" s="1"/>
  <c r="P14" i="2"/>
  <c r="T14" i="2" s="1"/>
  <c r="Q14" i="2" s="1"/>
  <c r="P16" i="2"/>
  <c r="T16" i="2" s="1"/>
  <c r="Q16" i="2" s="1"/>
  <c r="P18" i="2"/>
  <c r="T18" i="2" s="1"/>
  <c r="Q18" i="2" s="1"/>
  <c r="P20" i="2"/>
  <c r="T20" i="2" s="1"/>
  <c r="Q20" i="2" s="1"/>
  <c r="P22" i="2"/>
  <c r="T22" i="2" s="1"/>
  <c r="Q22" i="2" s="1"/>
  <c r="P24" i="2"/>
  <c r="T24" i="2" s="1"/>
  <c r="Q24" i="2" s="1"/>
  <c r="P26" i="2"/>
  <c r="T26" i="2" s="1"/>
  <c r="Q26" i="2" s="1"/>
  <c r="P28" i="2"/>
  <c r="T28" i="2" s="1"/>
  <c r="Q28" i="2" s="1"/>
  <c r="P30" i="2"/>
  <c r="T30" i="2" s="1"/>
  <c r="Q30" i="2" s="1"/>
  <c r="P32" i="2"/>
  <c r="T32" i="2" s="1"/>
  <c r="Q32" i="2" s="1"/>
  <c r="P34" i="2"/>
  <c r="T34" i="2" s="1"/>
  <c r="Q34" i="2" s="1"/>
  <c r="P36" i="2"/>
  <c r="T36" i="2" s="1"/>
  <c r="Q36" i="2" s="1"/>
  <c r="P45" i="2"/>
  <c r="T45" i="2" s="1"/>
  <c r="Q45" i="2" s="1"/>
  <c r="P47" i="2"/>
  <c r="T47" i="2" s="1"/>
  <c r="P49" i="2"/>
  <c r="T49" i="2" s="1"/>
  <c r="Q49" i="2" s="1"/>
  <c r="P51" i="2"/>
  <c r="T51" i="2" s="1"/>
  <c r="Q51" i="2" s="1"/>
  <c r="P53" i="2"/>
  <c r="T53" i="2" s="1"/>
  <c r="Q53" i="2" s="1"/>
  <c r="P55" i="2"/>
  <c r="T55" i="2" s="1"/>
  <c r="P57" i="2"/>
  <c r="T57" i="2" s="1"/>
  <c r="Q57" i="2" s="1"/>
  <c r="P59" i="2"/>
  <c r="T59" i="2" s="1"/>
  <c r="Q59" i="2" s="1"/>
  <c r="P61" i="2"/>
  <c r="T61" i="2" s="1"/>
  <c r="Q61" i="2" s="1"/>
  <c r="P63" i="2"/>
  <c r="T63" i="2" s="1"/>
  <c r="P65" i="2"/>
  <c r="T65" i="2" s="1"/>
  <c r="P67" i="2"/>
  <c r="T67" i="2" s="1"/>
  <c r="Q67" i="2" s="1"/>
  <c r="P69" i="2"/>
  <c r="T69" i="2" s="1"/>
  <c r="P71" i="2"/>
  <c r="T71" i="2" s="1"/>
  <c r="Q71" i="2" s="1"/>
  <c r="P73" i="2"/>
  <c r="T73" i="2" s="1"/>
  <c r="Q73" i="2" s="1"/>
  <c r="P7" i="2"/>
  <c r="T7" i="2" s="1"/>
  <c r="Q7" i="2" s="1"/>
  <c r="U7" i="2" s="1"/>
  <c r="P9" i="2"/>
  <c r="T9" i="2" s="1"/>
  <c r="P11" i="2"/>
  <c r="T11" i="2" s="1"/>
  <c r="Q11" i="2" s="1"/>
  <c r="P13" i="2"/>
  <c r="T13" i="2" s="1"/>
  <c r="Q13" i="2" s="1"/>
  <c r="P15" i="2"/>
  <c r="T15" i="2" s="1"/>
  <c r="Q15" i="2" s="1"/>
  <c r="P17" i="2"/>
  <c r="T17" i="2" s="1"/>
  <c r="Q17" i="2" s="1"/>
  <c r="P19" i="2"/>
  <c r="T19" i="2" s="1"/>
  <c r="Q19" i="2" s="1"/>
  <c r="P21" i="2"/>
  <c r="T21" i="2" s="1"/>
  <c r="Q21" i="2" s="1"/>
  <c r="P23" i="2"/>
  <c r="T23" i="2" s="1"/>
  <c r="Q23" i="2" s="1"/>
  <c r="P25" i="2"/>
  <c r="T25" i="2" s="1"/>
  <c r="Q25" i="2" s="1"/>
  <c r="P27" i="2"/>
  <c r="T27" i="2" s="1"/>
  <c r="Q27" i="2" s="1"/>
  <c r="P29" i="2"/>
  <c r="T29" i="2" s="1"/>
  <c r="Q29" i="2" s="1"/>
  <c r="P31" i="2"/>
  <c r="T31" i="2" s="1"/>
  <c r="Q31" i="2" s="1"/>
  <c r="P33" i="2"/>
  <c r="T33" i="2" s="1"/>
  <c r="Q33" i="2" s="1"/>
  <c r="P35" i="2"/>
  <c r="T35" i="2" s="1"/>
  <c r="Q35" i="2" s="1"/>
  <c r="P44" i="2"/>
  <c r="T44" i="2" s="1"/>
  <c r="D25" i="25" s="1"/>
  <c r="P46" i="2"/>
  <c r="T46" i="2" s="1"/>
  <c r="Q46" i="2" s="1"/>
  <c r="P48" i="2"/>
  <c r="P50" i="2"/>
  <c r="T50" i="2" s="1"/>
  <c r="P52" i="2"/>
  <c r="T52" i="2" s="1"/>
  <c r="P54" i="2"/>
  <c r="T54" i="2" s="1"/>
  <c r="Q54" i="2" s="1"/>
  <c r="P56" i="2"/>
  <c r="T56" i="2" s="1"/>
  <c r="P58" i="2"/>
  <c r="T58" i="2" s="1"/>
  <c r="P60" i="2"/>
  <c r="T60" i="2" s="1"/>
  <c r="P62" i="2"/>
  <c r="T62" i="2" s="1"/>
  <c r="Q62" i="2" s="1"/>
  <c r="P64" i="2"/>
  <c r="T64" i="2" s="1"/>
  <c r="Q64" i="2" s="1"/>
  <c r="P66" i="2"/>
  <c r="T66" i="2" s="1"/>
  <c r="P68" i="2"/>
  <c r="T68" i="2" s="1"/>
  <c r="Q68" i="2" s="1"/>
  <c r="P70" i="2"/>
  <c r="T70" i="2" s="1"/>
  <c r="Q70" i="2" s="1"/>
  <c r="P72" i="2"/>
  <c r="T72" i="2" s="1"/>
  <c r="O57" i="2"/>
  <c r="O65" i="2"/>
  <c r="Q34" i="20"/>
  <c r="Q26" i="20"/>
  <c r="Q22" i="20"/>
  <c r="Q18" i="20"/>
  <c r="Q14" i="20"/>
  <c r="Q23" i="20"/>
  <c r="Q19" i="20"/>
  <c r="Q15" i="20"/>
  <c r="Q30" i="20"/>
  <c r="Q36" i="20"/>
  <c r="Q32" i="20"/>
  <c r="Q28" i="20"/>
  <c r="Q24" i="20"/>
  <c r="Q20" i="20"/>
  <c r="Q16" i="20"/>
  <c r="Q35" i="20"/>
  <c r="Q31" i="20"/>
  <c r="Q27" i="20"/>
  <c r="Q29" i="20"/>
  <c r="Q25" i="20"/>
  <c r="Q17" i="20"/>
  <c r="Q33" i="20"/>
  <c r="Q21" i="20"/>
  <c r="O53" i="2"/>
  <c r="O124" i="2"/>
  <c r="O208" i="2"/>
  <c r="O377" i="2"/>
  <c r="B184" i="25" s="1"/>
  <c r="O257" i="2"/>
  <c r="P235" i="2"/>
  <c r="T235" i="2" s="1"/>
  <c r="O81" i="2"/>
  <c r="B48" i="25" s="1"/>
  <c r="O70" i="2"/>
  <c r="P85" i="2"/>
  <c r="T85" i="2" s="1"/>
  <c r="P88" i="2"/>
  <c r="T88" i="2" s="1"/>
  <c r="Q88" i="2" s="1"/>
  <c r="O92" i="2"/>
  <c r="O93" i="2"/>
  <c r="O171" i="2"/>
  <c r="P438" i="2"/>
  <c r="T438" i="2" s="1"/>
  <c r="O429" i="2"/>
  <c r="O404" i="2"/>
  <c r="P399" i="2"/>
  <c r="T399" i="2" s="1"/>
  <c r="Q399" i="2" s="1"/>
  <c r="P342" i="2"/>
  <c r="T342" i="2" s="1"/>
  <c r="P328" i="2"/>
  <c r="T328" i="2" s="1"/>
  <c r="Q328" i="2" s="1"/>
  <c r="P317" i="2"/>
  <c r="T317" i="2" s="1"/>
  <c r="Q317" i="2" s="1"/>
  <c r="O330" i="2"/>
  <c r="O323" i="2"/>
  <c r="O319" i="2"/>
  <c r="O311" i="2"/>
  <c r="P309" i="2"/>
  <c r="T309" i="2" s="1"/>
  <c r="Q309" i="2" s="1"/>
  <c r="P290" i="2"/>
  <c r="T290" i="2" s="1"/>
  <c r="Q290" i="2" s="1"/>
  <c r="P287" i="2"/>
  <c r="T287" i="2" s="1"/>
  <c r="Q287" i="2" s="1"/>
  <c r="O347" i="2"/>
  <c r="O366" i="2"/>
  <c r="P357" i="2"/>
  <c r="T357" i="2" s="1"/>
  <c r="Q357" i="2" s="1"/>
  <c r="O345" i="2"/>
  <c r="P341" i="2"/>
  <c r="T341" i="2" s="1"/>
  <c r="Q341" i="2" s="1"/>
  <c r="O314" i="2"/>
  <c r="O331" i="2"/>
  <c r="K74" i="2"/>
  <c r="P101" i="2"/>
  <c r="T101" i="2" s="1"/>
  <c r="O204" i="2"/>
  <c r="O205" i="2"/>
  <c r="O392" i="2"/>
  <c r="P346" i="2"/>
  <c r="T346" i="2" s="1"/>
  <c r="Q346" i="2" s="1"/>
  <c r="O368" i="2"/>
  <c r="O361" i="2"/>
  <c r="O344" i="2"/>
  <c r="O327" i="2"/>
  <c r="P320" i="2"/>
  <c r="T320" i="2" s="1"/>
  <c r="Q320" i="2" s="1"/>
  <c r="P314" i="2"/>
  <c r="T314" i="2" s="1"/>
  <c r="Q314" i="2" s="1"/>
  <c r="P286" i="2"/>
  <c r="T286" i="2" s="1"/>
  <c r="Q286" i="2" s="1"/>
  <c r="O294" i="2"/>
  <c r="O291" i="2"/>
  <c r="P282" i="2"/>
  <c r="T282" i="2" s="1"/>
  <c r="P244" i="2"/>
  <c r="T244" i="2" s="1"/>
  <c r="Q244" i="2" s="1"/>
  <c r="P236" i="2"/>
  <c r="T236" i="2" s="1"/>
  <c r="Q236" i="2" s="1"/>
  <c r="N74" i="2"/>
  <c r="N222" i="2"/>
  <c r="P216" i="2"/>
  <c r="T216" i="2" s="1"/>
  <c r="O440" i="2"/>
  <c r="P433" i="2"/>
  <c r="T433" i="2" s="1"/>
  <c r="N407" i="2"/>
  <c r="P311" i="2"/>
  <c r="T311" i="2" s="1"/>
  <c r="Q311" i="2" s="1"/>
  <c r="P294" i="2"/>
  <c r="T294" i="2" s="1"/>
  <c r="Q294" i="2" s="1"/>
  <c r="P432" i="2"/>
  <c r="T432" i="2" s="1"/>
  <c r="Q432" i="2" s="1"/>
  <c r="O432" i="2"/>
  <c r="P379" i="2"/>
  <c r="T379" i="2" s="1"/>
  <c r="Q379" i="2" s="1"/>
  <c r="O379" i="2"/>
  <c r="O341" i="2"/>
  <c r="O69" i="2"/>
  <c r="N185" i="2"/>
  <c r="P155" i="2"/>
  <c r="T155" i="2" s="1"/>
  <c r="Q155" i="2" s="1"/>
  <c r="P172" i="2"/>
  <c r="T172" i="2" s="1"/>
  <c r="Q172" i="2" s="1"/>
  <c r="P174" i="2"/>
  <c r="T174" i="2" s="1"/>
  <c r="Q174" i="2" s="1"/>
  <c r="P175" i="2"/>
  <c r="T175" i="2" s="1"/>
  <c r="Q175" i="2" s="1"/>
  <c r="P194" i="2"/>
  <c r="T194" i="2" s="1"/>
  <c r="P197" i="2"/>
  <c r="T197" i="2" s="1"/>
  <c r="P402" i="2"/>
  <c r="T402" i="2" s="1"/>
  <c r="Q402" i="2" s="1"/>
  <c r="P400" i="2"/>
  <c r="T400" i="2" s="1"/>
  <c r="Q400" i="2" s="1"/>
  <c r="P397" i="2"/>
  <c r="T397" i="2" s="1"/>
  <c r="Q397" i="2" s="1"/>
  <c r="P393" i="2"/>
  <c r="T393" i="2" s="1"/>
  <c r="Q393" i="2" s="1"/>
  <c r="O88" i="2"/>
  <c r="O89" i="2"/>
  <c r="P93" i="2"/>
  <c r="T93" i="2" s="1"/>
  <c r="P426" i="2"/>
  <c r="T426" i="2" s="1"/>
  <c r="O232" i="2"/>
  <c r="P232" i="2"/>
  <c r="T232" i="2" s="1"/>
  <c r="Q232" i="2" s="1"/>
  <c r="N259" i="2"/>
  <c r="O86" i="2"/>
  <c r="O102" i="2"/>
  <c r="O103" i="2"/>
  <c r="P110" i="2"/>
  <c r="T110" i="2" s="1"/>
  <c r="O159" i="2"/>
  <c r="P162" i="2"/>
  <c r="T162" i="2" s="1"/>
  <c r="P205" i="2"/>
  <c r="T205" i="2" s="1"/>
  <c r="P217" i="2"/>
  <c r="T217" i="2" s="1"/>
  <c r="P220" i="2"/>
  <c r="T220" i="2" s="1"/>
  <c r="Q220" i="2" s="1"/>
  <c r="P396" i="2"/>
  <c r="T396" i="2" s="1"/>
  <c r="Q396" i="2" s="1"/>
  <c r="P388" i="2"/>
  <c r="T388" i="2" s="1"/>
  <c r="Q388" i="2" s="1"/>
  <c r="O378" i="2"/>
  <c r="O405" i="2"/>
  <c r="O396" i="2"/>
  <c r="P363" i="2"/>
  <c r="T363" i="2" s="1"/>
  <c r="Q363" i="2" s="1"/>
  <c r="P353" i="2"/>
  <c r="T353" i="2" s="1"/>
  <c r="Q353" i="2" s="1"/>
  <c r="O356" i="2"/>
  <c r="P326" i="2"/>
  <c r="T326" i="2" s="1"/>
  <c r="O305" i="2"/>
  <c r="P276" i="2"/>
  <c r="T276" i="2" s="1"/>
  <c r="Q276" i="2" s="1"/>
  <c r="P272" i="2"/>
  <c r="T272" i="2" s="1"/>
  <c r="P268" i="2"/>
  <c r="T268" i="2" s="1"/>
  <c r="Q268" i="2" s="1"/>
  <c r="P247" i="2"/>
  <c r="T247" i="2" s="1"/>
  <c r="Q247" i="2" s="1"/>
  <c r="O236" i="2"/>
  <c r="P105" i="2"/>
  <c r="T105" i="2" s="1"/>
  <c r="O106" i="2"/>
  <c r="O110" i="2"/>
  <c r="P124" i="2"/>
  <c r="T124" i="2" s="1"/>
  <c r="P125" i="2"/>
  <c r="T125" i="2" s="1"/>
  <c r="P164" i="2"/>
  <c r="T164" i="2" s="1"/>
  <c r="P173" i="2"/>
  <c r="T173" i="2" s="1"/>
  <c r="Q173" i="2" s="1"/>
  <c r="P177" i="2"/>
  <c r="T177" i="2" s="1"/>
  <c r="Q177" i="2" s="1"/>
  <c r="O182" i="2"/>
  <c r="P184" i="2"/>
  <c r="T184" i="2" s="1"/>
  <c r="Q184" i="2" s="1"/>
  <c r="O200" i="2"/>
  <c r="O201" i="2"/>
  <c r="P204" i="2"/>
  <c r="T204" i="2" s="1"/>
  <c r="Q204" i="2" s="1"/>
  <c r="P208" i="2"/>
  <c r="T208" i="2" s="1"/>
  <c r="Q208" i="2" s="1"/>
  <c r="P219" i="2"/>
  <c r="T219" i="2" s="1"/>
  <c r="P422" i="2"/>
  <c r="T422" i="2" s="1"/>
  <c r="Q422" i="2" s="1"/>
  <c r="O416" i="2"/>
  <c r="P403" i="2"/>
  <c r="T403" i="2" s="1"/>
  <c r="Q403" i="2" s="1"/>
  <c r="P384" i="2"/>
  <c r="T384" i="2" s="1"/>
  <c r="Q384" i="2" s="1"/>
  <c r="P360" i="2"/>
  <c r="T360" i="2" s="1"/>
  <c r="Q360" i="2" s="1"/>
  <c r="P345" i="2"/>
  <c r="T345" i="2" s="1"/>
  <c r="P340" i="2"/>
  <c r="T340" i="2" s="1"/>
  <c r="Q340" i="2" s="1"/>
  <c r="P323" i="2"/>
  <c r="T323" i="2" s="1"/>
  <c r="Q323" i="2" s="1"/>
  <c r="P319" i="2"/>
  <c r="T319" i="2" s="1"/>
  <c r="Q319" i="2" s="1"/>
  <c r="P315" i="2"/>
  <c r="T315" i="2" s="1"/>
  <c r="Q315" i="2" s="1"/>
  <c r="P310" i="2"/>
  <c r="T310" i="2" s="1"/>
  <c r="Q310" i="2" s="1"/>
  <c r="P291" i="2"/>
  <c r="T291" i="2" s="1"/>
  <c r="Q291" i="2" s="1"/>
  <c r="P251" i="2"/>
  <c r="T251" i="2" s="1"/>
  <c r="Q251" i="2" s="1"/>
  <c r="P239" i="2"/>
  <c r="T239" i="2" s="1"/>
  <c r="Q239" i="2" s="1"/>
  <c r="P229" i="2"/>
  <c r="T229" i="2" s="1"/>
  <c r="O170" i="2"/>
  <c r="O415" i="2"/>
  <c r="K444" i="2"/>
  <c r="P415" i="2"/>
  <c r="T415" i="2" s="1"/>
  <c r="Q415" i="2" s="1"/>
  <c r="O406" i="2"/>
  <c r="K407" i="2"/>
  <c r="P406" i="2"/>
  <c r="T406" i="2" s="1"/>
  <c r="Q406" i="2" s="1"/>
  <c r="O168" i="2"/>
  <c r="P242" i="2"/>
  <c r="T242" i="2" s="1"/>
  <c r="Q242" i="2" s="1"/>
  <c r="O107" i="2"/>
  <c r="P107" i="2"/>
  <c r="T107" i="2" s="1"/>
  <c r="P435" i="2"/>
  <c r="T435" i="2" s="1"/>
  <c r="Q435" i="2" s="1"/>
  <c r="O435" i="2"/>
  <c r="O281" i="2"/>
  <c r="K296" i="2"/>
  <c r="O90" i="2"/>
  <c r="P90" i="2"/>
  <c r="T90" i="2" s="1"/>
  <c r="P350" i="2"/>
  <c r="T350" i="2" s="1"/>
  <c r="Q350" i="2" s="1"/>
  <c r="O350" i="2"/>
  <c r="O348" i="2"/>
  <c r="K370" i="2"/>
  <c r="P246" i="2"/>
  <c r="T246" i="2" s="1"/>
  <c r="Q246" i="2" s="1"/>
  <c r="O246" i="2"/>
  <c r="P240" i="2"/>
  <c r="T240" i="2" s="1"/>
  <c r="Q240" i="2" s="1"/>
  <c r="O240" i="2"/>
  <c r="O283" i="2"/>
  <c r="O60" i="2"/>
  <c r="O62" i="2"/>
  <c r="O94" i="2"/>
  <c r="P123" i="2"/>
  <c r="T123" i="2" s="1"/>
  <c r="Q123" i="2" s="1"/>
  <c r="P139" i="2"/>
  <c r="T139" i="2" s="1"/>
  <c r="Q139" i="2" s="1"/>
  <c r="P140" i="2"/>
  <c r="T140" i="2" s="1"/>
  <c r="P161" i="2"/>
  <c r="T161" i="2" s="1"/>
  <c r="Q161" i="2" s="1"/>
  <c r="O389" i="2"/>
  <c r="O358" i="2"/>
  <c r="P358" i="2"/>
  <c r="T358" i="2" s="1"/>
  <c r="Q358" i="2" s="1"/>
  <c r="P307" i="2"/>
  <c r="T307" i="2" s="1"/>
  <c r="Q307" i="2" s="1"/>
  <c r="O307" i="2"/>
  <c r="P103" i="2"/>
  <c r="T103" i="2" s="1"/>
  <c r="O256" i="2"/>
  <c r="P256" i="2"/>
  <c r="T256" i="2" s="1"/>
  <c r="Q256" i="2" s="1"/>
  <c r="P82" i="2"/>
  <c r="T82" i="2" s="1"/>
  <c r="P273" i="2"/>
  <c r="T273" i="2" s="1"/>
  <c r="Q273" i="2" s="1"/>
  <c r="O273" i="2"/>
  <c r="P269" i="2"/>
  <c r="T269" i="2" s="1"/>
  <c r="Q269" i="2" s="1"/>
  <c r="O269" i="2"/>
  <c r="O231" i="2"/>
  <c r="O44" i="2"/>
  <c r="B31" i="25" s="1"/>
  <c r="O67" i="2"/>
  <c r="P91" i="2"/>
  <c r="T91" i="2" s="1"/>
  <c r="P92" i="2"/>
  <c r="T92" i="2" s="1"/>
  <c r="P109" i="2"/>
  <c r="T109" i="2" s="1"/>
  <c r="P119" i="2"/>
  <c r="T119" i="2" s="1"/>
  <c r="Q119" i="2" s="1"/>
  <c r="P132" i="2"/>
  <c r="T132" i="2" s="1"/>
  <c r="P136" i="2"/>
  <c r="T136" i="2" s="1"/>
  <c r="P158" i="2"/>
  <c r="T158" i="2" s="1"/>
  <c r="Q158" i="2" s="1"/>
  <c r="P170" i="2"/>
  <c r="T170" i="2" s="1"/>
  <c r="Q170" i="2" s="1"/>
  <c r="P171" i="2"/>
  <c r="T171" i="2" s="1"/>
  <c r="Q171" i="2" s="1"/>
  <c r="O217" i="2"/>
  <c r="O220" i="2"/>
  <c r="P441" i="2"/>
  <c r="T441" i="2" s="1"/>
  <c r="Q441" i="2" s="1"/>
  <c r="P416" i="2"/>
  <c r="T416" i="2" s="1"/>
  <c r="P414" i="2"/>
  <c r="T414" i="2" s="1"/>
  <c r="Q414" i="2" s="1"/>
  <c r="O442" i="2"/>
  <c r="O439" i="2"/>
  <c r="P386" i="2"/>
  <c r="T386" i="2" s="1"/>
  <c r="Q386" i="2" s="1"/>
  <c r="P377" i="2"/>
  <c r="T377" i="2" s="1"/>
  <c r="Q377" i="2" s="1"/>
  <c r="P366" i="2"/>
  <c r="T366" i="2" s="1"/>
  <c r="Q366" i="2" s="1"/>
  <c r="O364" i="2"/>
  <c r="P306" i="2"/>
  <c r="T306" i="2" s="1"/>
  <c r="Q306" i="2" s="1"/>
  <c r="O309" i="2"/>
  <c r="P292" i="2"/>
  <c r="T292" i="2" s="1"/>
  <c r="Q292" i="2" s="1"/>
  <c r="P284" i="2"/>
  <c r="T284" i="2" s="1"/>
  <c r="Q284" i="2" s="1"/>
  <c r="P270" i="2"/>
  <c r="T270" i="2" s="1"/>
  <c r="Q270" i="2" s="1"/>
  <c r="P255" i="2"/>
  <c r="T255" i="2" s="1"/>
  <c r="Q255" i="2" s="1"/>
  <c r="P253" i="2"/>
  <c r="T253" i="2" s="1"/>
  <c r="Q253" i="2" s="1"/>
  <c r="P243" i="2"/>
  <c r="T243" i="2" s="1"/>
  <c r="Q243" i="2" s="1"/>
  <c r="P241" i="2"/>
  <c r="T241" i="2" s="1"/>
  <c r="Q241" i="2" s="1"/>
  <c r="P237" i="2"/>
  <c r="T237" i="2" s="1"/>
  <c r="Q237" i="2" s="1"/>
  <c r="P230" i="2"/>
  <c r="T230" i="2" s="1"/>
  <c r="Q230" i="2" s="1"/>
  <c r="O369" i="2"/>
  <c r="P87" i="2"/>
  <c r="T87" i="2" s="1"/>
  <c r="O91" i="2"/>
  <c r="P95" i="2"/>
  <c r="T95" i="2" s="1"/>
  <c r="Q95" i="2" s="1"/>
  <c r="P126" i="2"/>
  <c r="T126" i="2" s="1"/>
  <c r="P141" i="2"/>
  <c r="T141" i="2" s="1"/>
  <c r="Q141" i="2" s="1"/>
  <c r="P144" i="2"/>
  <c r="T144" i="2" s="1"/>
  <c r="Q144" i="2" s="1"/>
  <c r="P200" i="2"/>
  <c r="T200" i="2" s="1"/>
  <c r="Q200" i="2" s="1"/>
  <c r="P203" i="2"/>
  <c r="T203" i="2" s="1"/>
  <c r="Q203" i="2" s="1"/>
  <c r="P221" i="2"/>
  <c r="T221" i="2" s="1"/>
  <c r="P440" i="2"/>
  <c r="T440" i="2" s="1"/>
  <c r="Q440" i="2" s="1"/>
  <c r="P419" i="2"/>
  <c r="T419" i="2" s="1"/>
  <c r="Q419" i="2" s="1"/>
  <c r="P417" i="2"/>
  <c r="T417" i="2" s="1"/>
  <c r="Q417" i="2" s="1"/>
  <c r="P389" i="2"/>
  <c r="T389" i="2" s="1"/>
  <c r="Q389" i="2" s="1"/>
  <c r="P387" i="2"/>
  <c r="T387" i="2" s="1"/>
  <c r="Q387" i="2" s="1"/>
  <c r="P356" i="2"/>
  <c r="T356" i="2" s="1"/>
  <c r="Q356" i="2" s="1"/>
  <c r="P348" i="2"/>
  <c r="T348" i="2" s="1"/>
  <c r="Q348" i="2" s="1"/>
  <c r="P305" i="2"/>
  <c r="T305" i="2" s="1"/>
  <c r="Q305" i="2" s="1"/>
  <c r="P293" i="2"/>
  <c r="T293" i="2" s="1"/>
  <c r="Q293" i="2" s="1"/>
  <c r="P288" i="2"/>
  <c r="T288" i="2" s="1"/>
  <c r="Q288" i="2" s="1"/>
  <c r="P281" i="2"/>
  <c r="T281" i="2" s="1"/>
  <c r="Q281" i="2" s="1"/>
  <c r="P271" i="2"/>
  <c r="T271" i="2" s="1"/>
  <c r="Q271" i="2" s="1"/>
  <c r="O258" i="2"/>
  <c r="P252" i="2"/>
  <c r="T252" i="2" s="1"/>
  <c r="Q252" i="2" s="1"/>
  <c r="P238" i="2"/>
  <c r="T238" i="2" s="1"/>
  <c r="Q238" i="2" s="1"/>
  <c r="P231" i="2"/>
  <c r="T231" i="2" s="1"/>
  <c r="Q231" i="2" s="1"/>
  <c r="P245" i="2"/>
  <c r="T245" i="2" s="1"/>
  <c r="Q245" i="2" s="1"/>
  <c r="O414" i="2"/>
  <c r="B201" i="25" s="1"/>
  <c r="O95" i="2"/>
  <c r="O137" i="2"/>
  <c r="O430" i="2"/>
  <c r="O428" i="2"/>
  <c r="O420" i="2"/>
  <c r="P13" i="20" s="1"/>
  <c r="Q13" i="20" s="1"/>
  <c r="O383" i="2"/>
  <c r="O282" i="2"/>
  <c r="O280" i="2"/>
  <c r="O63" i="2"/>
  <c r="O274" i="2"/>
  <c r="O73" i="2"/>
  <c r="O123" i="2"/>
  <c r="O129" i="2"/>
  <c r="O244" i="2"/>
  <c r="H37" i="2"/>
  <c r="O61" i="2"/>
  <c r="P206" i="2"/>
  <c r="T206" i="2" s="1"/>
  <c r="P163" i="2"/>
  <c r="T163" i="2" s="1"/>
  <c r="Q163" i="2" s="1"/>
  <c r="O163" i="2"/>
  <c r="O195" i="2"/>
  <c r="P195" i="2"/>
  <c r="T195" i="2" s="1"/>
  <c r="O48" i="2"/>
  <c r="O56" i="2"/>
  <c r="P142" i="2"/>
  <c r="T142" i="2" s="1"/>
  <c r="O59" i="2"/>
  <c r="P120" i="2"/>
  <c r="P128" i="2"/>
  <c r="T128" i="2" s="1"/>
  <c r="O128" i="2"/>
  <c r="P129" i="2"/>
  <c r="T129" i="2" s="1"/>
  <c r="Q129" i="2" s="1"/>
  <c r="P145" i="2"/>
  <c r="T145" i="2" s="1"/>
  <c r="O145" i="2"/>
  <c r="P147" i="2"/>
  <c r="T147" i="2" s="1"/>
  <c r="Q147" i="2" s="1"/>
  <c r="P166" i="2"/>
  <c r="T166" i="2" s="1"/>
  <c r="Q166" i="2" s="1"/>
  <c r="O166" i="2"/>
  <c r="O183" i="2"/>
  <c r="P183" i="2"/>
  <c r="T183" i="2" s="1"/>
  <c r="Q183" i="2" s="1"/>
  <c r="O64" i="2"/>
  <c r="O72" i="2"/>
  <c r="P89" i="2"/>
  <c r="T89" i="2" s="1"/>
  <c r="Q89" i="2" s="1"/>
  <c r="P104" i="2"/>
  <c r="T104" i="2" s="1"/>
  <c r="Q104" i="2" s="1"/>
  <c r="P108" i="2"/>
  <c r="T108" i="2" s="1"/>
  <c r="Q108" i="2" s="1"/>
  <c r="O108" i="2"/>
  <c r="P131" i="2"/>
  <c r="T131" i="2" s="1"/>
  <c r="Q131" i="2" s="1"/>
  <c r="P133" i="2"/>
  <c r="T133" i="2" s="1"/>
  <c r="Q133" i="2" s="1"/>
  <c r="O133" i="2"/>
  <c r="O179" i="2"/>
  <c r="P179" i="2"/>
  <c r="T179" i="2" s="1"/>
  <c r="Q179" i="2" s="1"/>
  <c r="O45" i="2"/>
  <c r="O49" i="2"/>
  <c r="O52" i="2"/>
  <c r="O68" i="2"/>
  <c r="P83" i="2"/>
  <c r="P97" i="2"/>
  <c r="T97" i="2" s="1"/>
  <c r="Q97" i="2" s="1"/>
  <c r="P100" i="2"/>
  <c r="T100" i="2" s="1"/>
  <c r="O121" i="2"/>
  <c r="P157" i="2"/>
  <c r="T157" i="2" s="1"/>
  <c r="Q157" i="2" s="1"/>
  <c r="P159" i="2"/>
  <c r="T159" i="2" s="1"/>
  <c r="Q159" i="2" s="1"/>
  <c r="O167" i="2"/>
  <c r="P169" i="2"/>
  <c r="T169" i="2" s="1"/>
  <c r="Q169" i="2" s="1"/>
  <c r="P196" i="2"/>
  <c r="T196" i="2" s="1"/>
  <c r="P201" i="2"/>
  <c r="T201" i="2" s="1"/>
  <c r="Q201" i="2" s="1"/>
  <c r="O71" i="2"/>
  <c r="P198" i="2"/>
  <c r="T198" i="2" s="1"/>
  <c r="P207" i="2"/>
  <c r="T207" i="2" s="1"/>
  <c r="Q207" i="2" s="1"/>
  <c r="O209" i="2"/>
  <c r="P176" i="2"/>
  <c r="T176" i="2" s="1"/>
  <c r="Q176" i="2" s="1"/>
  <c r="P182" i="2"/>
  <c r="T182" i="2" s="1"/>
  <c r="Q182" i="2" s="1"/>
  <c r="P192" i="2"/>
  <c r="P193" i="2"/>
  <c r="T193" i="2" s="1"/>
  <c r="Q193" i="2" s="1"/>
  <c r="O418" i="2"/>
  <c r="P11" i="20" s="1"/>
  <c r="Q11" i="20" s="1"/>
  <c r="O393" i="2"/>
  <c r="P443" i="2"/>
  <c r="T443" i="2" s="1"/>
  <c r="Q443" i="2" s="1"/>
  <c r="P430" i="2"/>
  <c r="P383" i="2"/>
  <c r="T383" i="2" s="1"/>
  <c r="Q383" i="2" s="1"/>
  <c r="O340" i="2"/>
  <c r="B167" i="25" s="1"/>
  <c r="P327" i="2"/>
  <c r="P330" i="2"/>
  <c r="T330" i="2" s="1"/>
  <c r="Q330" i="2" s="1"/>
  <c r="O241" i="2"/>
  <c r="X46" i="2" l="1"/>
  <c r="U46" i="2"/>
  <c r="X45" i="2"/>
  <c r="U45" i="2"/>
  <c r="V45" i="2" s="1"/>
  <c r="W45" i="2" s="1"/>
  <c r="X84" i="2"/>
  <c r="U84" i="2"/>
  <c r="X119" i="2"/>
  <c r="U119" i="2"/>
  <c r="V119" i="2" s="1"/>
  <c r="W119" i="2" s="1"/>
  <c r="X158" i="2"/>
  <c r="U158" i="2"/>
  <c r="X157" i="2"/>
  <c r="U157" i="2"/>
  <c r="X156" i="2"/>
  <c r="U156" i="2"/>
  <c r="X155" i="2"/>
  <c r="U155" i="2"/>
  <c r="X193" i="2"/>
  <c r="U193" i="2"/>
  <c r="X232" i="2"/>
  <c r="U232" i="2"/>
  <c r="X230" i="2"/>
  <c r="U230" i="2"/>
  <c r="X231" i="2"/>
  <c r="U231" i="2"/>
  <c r="X268" i="2"/>
  <c r="U268" i="2"/>
  <c r="X269" i="2"/>
  <c r="U269" i="2"/>
  <c r="X304" i="2"/>
  <c r="U304" i="2"/>
  <c r="X305" i="2"/>
  <c r="U305" i="2"/>
  <c r="X306" i="2"/>
  <c r="U306" i="2"/>
  <c r="X340" i="2"/>
  <c r="U340" i="2"/>
  <c r="X343" i="2"/>
  <c r="U343" i="2"/>
  <c r="X341" i="2"/>
  <c r="U341" i="2"/>
  <c r="X379" i="2"/>
  <c r="U379" i="2"/>
  <c r="X377" i="2"/>
  <c r="U377" i="2"/>
  <c r="X417" i="2"/>
  <c r="U417" i="2"/>
  <c r="X415" i="2"/>
  <c r="U415" i="2"/>
  <c r="X414" i="2"/>
  <c r="U414" i="2"/>
  <c r="X7" i="2"/>
  <c r="X8" i="2"/>
  <c r="W351" i="2"/>
  <c r="V421" i="2"/>
  <c r="W421" i="2" s="1"/>
  <c r="Q418" i="2"/>
  <c r="V418" i="2" s="1"/>
  <c r="W418" i="2" s="1"/>
  <c r="Q416" i="2"/>
  <c r="U416" i="2" s="1"/>
  <c r="Q423" i="2"/>
  <c r="V423" i="2" s="1"/>
  <c r="W423" i="2" s="1"/>
  <c r="V420" i="2"/>
  <c r="W420" i="2" s="1"/>
  <c r="V425" i="2"/>
  <c r="W425" i="2" s="1"/>
  <c r="Q436" i="2"/>
  <c r="V436" i="2" s="1"/>
  <c r="W436" i="2" s="1"/>
  <c r="Q426" i="2"/>
  <c r="V426" i="2" s="1"/>
  <c r="W426" i="2" s="1"/>
  <c r="Q438" i="2"/>
  <c r="V438" i="2" s="1"/>
  <c r="W438" i="2" s="1"/>
  <c r="Q433" i="2"/>
  <c r="V433" i="2" s="1"/>
  <c r="W433" i="2" s="1"/>
  <c r="Q424" i="2"/>
  <c r="V424" i="2" s="1"/>
  <c r="W424" i="2" s="1"/>
  <c r="V392" i="2"/>
  <c r="W392" i="2" s="1"/>
  <c r="Q404" i="2"/>
  <c r="V404" i="2" s="1"/>
  <c r="W404" i="2" s="1"/>
  <c r="Q380" i="2"/>
  <c r="V394" i="2"/>
  <c r="W394" i="2" s="1"/>
  <c r="Q398" i="2"/>
  <c r="V398" i="2" s="1"/>
  <c r="W398" i="2" s="1"/>
  <c r="Q378" i="2"/>
  <c r="U378" i="2" s="1"/>
  <c r="Q395" i="2"/>
  <c r="Q365" i="2"/>
  <c r="V365" i="2" s="1"/>
  <c r="W365" i="2" s="1"/>
  <c r="Q342" i="2"/>
  <c r="U342" i="2" s="1"/>
  <c r="V359" i="2"/>
  <c r="W359" i="2" s="1"/>
  <c r="Q369" i="2"/>
  <c r="V369" i="2" s="1"/>
  <c r="W369" i="2" s="1"/>
  <c r="Q345" i="2"/>
  <c r="V345" i="2" s="1"/>
  <c r="W345" i="2" s="1"/>
  <c r="V364" i="2"/>
  <c r="W364" i="2" s="1"/>
  <c r="Q349" i="2"/>
  <c r="V349" i="2" s="1"/>
  <c r="W349" i="2" s="1"/>
  <c r="Q326" i="2"/>
  <c r="V326" i="2" s="1"/>
  <c r="W326" i="2" s="1"/>
  <c r="V322" i="2"/>
  <c r="W322" i="2" s="1"/>
  <c r="Q332" i="2"/>
  <c r="V332" i="2" s="1"/>
  <c r="W332" i="2" s="1"/>
  <c r="Q312" i="2"/>
  <c r="V312" i="2" s="1"/>
  <c r="W312" i="2" s="1"/>
  <c r="Q331" i="2"/>
  <c r="V331" i="2" s="1"/>
  <c r="W331" i="2" s="1"/>
  <c r="Q313" i="2"/>
  <c r="V313" i="2" s="1"/>
  <c r="W313" i="2" s="1"/>
  <c r="Q308" i="2"/>
  <c r="V308" i="2" s="1"/>
  <c r="W308" i="2" s="1"/>
  <c r="Q316" i="2"/>
  <c r="V316" i="2" s="1"/>
  <c r="W316" i="2" s="1"/>
  <c r="Q303" i="2"/>
  <c r="Q318" i="2"/>
  <c r="V318" i="2" s="1"/>
  <c r="W318" i="2" s="1"/>
  <c r="Q325" i="2"/>
  <c r="V325" i="2" s="1"/>
  <c r="W325" i="2" s="1"/>
  <c r="Q266" i="2"/>
  <c r="V277" i="2"/>
  <c r="W277" i="2" s="1"/>
  <c r="Q275" i="2"/>
  <c r="V275" i="2" s="1"/>
  <c r="W275" i="2" s="1"/>
  <c r="V274" i="2"/>
  <c r="W274" i="2" s="1"/>
  <c r="Q285" i="2"/>
  <c r="V285" i="2" s="1"/>
  <c r="W285" i="2" s="1"/>
  <c r="Q279" i="2"/>
  <c r="Q272" i="2"/>
  <c r="V272" i="2" s="1"/>
  <c r="W272" i="2" s="1"/>
  <c r="Q267" i="2"/>
  <c r="U267" i="2" s="1"/>
  <c r="Q282" i="2"/>
  <c r="V282" i="2" s="1"/>
  <c r="W282" i="2" s="1"/>
  <c r="Q229" i="2"/>
  <c r="Q257" i="2"/>
  <c r="V257" i="2" s="1"/>
  <c r="W257" i="2" s="1"/>
  <c r="V249" i="2"/>
  <c r="W249" i="2" s="1"/>
  <c r="Q235" i="2"/>
  <c r="V235" i="2" s="1"/>
  <c r="W235" i="2" s="1"/>
  <c r="Q254" i="2"/>
  <c r="V254" i="2" s="1"/>
  <c r="W254" i="2" s="1"/>
  <c r="Q194" i="2"/>
  <c r="U194" i="2" s="1"/>
  <c r="V203" i="2"/>
  <c r="W203" i="2" s="1"/>
  <c r="Q219" i="2"/>
  <c r="V219" i="2" s="1"/>
  <c r="W219" i="2" s="1"/>
  <c r="Q209" i="2"/>
  <c r="V209" i="2" s="1"/>
  <c r="W209" i="2" s="1"/>
  <c r="V193" i="2"/>
  <c r="W193" i="2" s="1"/>
  <c r="V212" i="2"/>
  <c r="W212" i="2" s="1"/>
  <c r="Q218" i="2"/>
  <c r="V218" i="2" s="1"/>
  <c r="W218" i="2" s="1"/>
  <c r="Q195" i="2"/>
  <c r="U195" i="2" s="1"/>
  <c r="Q221" i="2"/>
  <c r="V221" i="2" s="1"/>
  <c r="W221" i="2" s="1"/>
  <c r="Q205" i="2"/>
  <c r="V205" i="2" s="1"/>
  <c r="W205" i="2" s="1"/>
  <c r="V200" i="2"/>
  <c r="W200" i="2" s="1"/>
  <c r="V208" i="2"/>
  <c r="W208" i="2" s="1"/>
  <c r="Q216" i="2"/>
  <c r="V216" i="2" s="1"/>
  <c r="W216" i="2" s="1"/>
  <c r="Q196" i="2"/>
  <c r="V196" i="2" s="1"/>
  <c r="W196" i="2" s="1"/>
  <c r="Q206" i="2"/>
  <c r="V206" i="2" s="1"/>
  <c r="W206" i="2" s="1"/>
  <c r="Q198" i="2"/>
  <c r="V198" i="2" s="1"/>
  <c r="W198" i="2" s="1"/>
  <c r="Q211" i="2"/>
  <c r="V211" i="2" s="1"/>
  <c r="W211" i="2" s="1"/>
  <c r="Q217" i="2"/>
  <c r="V217" i="2" s="1"/>
  <c r="W217" i="2" s="1"/>
  <c r="Q197" i="2"/>
  <c r="V197" i="2" s="1"/>
  <c r="W197" i="2" s="1"/>
  <c r="V156" i="2"/>
  <c r="W156" i="2" s="1"/>
  <c r="Q168" i="2"/>
  <c r="V168" i="2" s="1"/>
  <c r="W168" i="2" s="1"/>
  <c r="Q164" i="2"/>
  <c r="V164" i="2" s="1"/>
  <c r="W164" i="2" s="1"/>
  <c r="V180" i="2"/>
  <c r="W180" i="2" s="1"/>
  <c r="Q178" i="2"/>
  <c r="V178" i="2" s="1"/>
  <c r="W178" i="2" s="1"/>
  <c r="Q167" i="2"/>
  <c r="V167" i="2" s="1"/>
  <c r="W167" i="2" s="1"/>
  <c r="Q162" i="2"/>
  <c r="V162" i="2" s="1"/>
  <c r="W162" i="2" s="1"/>
  <c r="Q136" i="2"/>
  <c r="V136" i="2" s="1"/>
  <c r="W136" i="2" s="1"/>
  <c r="Q132" i="2"/>
  <c r="V132" i="2" s="1"/>
  <c r="W132" i="2" s="1"/>
  <c r="Q145" i="2"/>
  <c r="V145" i="2" s="1"/>
  <c r="W145" i="2" s="1"/>
  <c r="Q122" i="2"/>
  <c r="V122" i="2" s="1"/>
  <c r="W122" i="2" s="1"/>
  <c r="V129" i="2"/>
  <c r="W129" i="2" s="1"/>
  <c r="Q128" i="2"/>
  <c r="V128" i="2" s="1"/>
  <c r="W128" i="2" s="1"/>
  <c r="Q125" i="2"/>
  <c r="V125" i="2" s="1"/>
  <c r="W125" i="2" s="1"/>
  <c r="Q135" i="2"/>
  <c r="V135" i="2" s="1"/>
  <c r="W135" i="2" s="1"/>
  <c r="V139" i="2"/>
  <c r="W139" i="2" s="1"/>
  <c r="V141" i="2"/>
  <c r="W141" i="2" s="1"/>
  <c r="V147" i="2"/>
  <c r="W147" i="2" s="1"/>
  <c r="Q140" i="2"/>
  <c r="V140" i="2" s="1"/>
  <c r="W140" i="2" s="1"/>
  <c r="Q124" i="2"/>
  <c r="V124" i="2" s="1"/>
  <c r="W124" i="2" s="1"/>
  <c r="Q137" i="2"/>
  <c r="V137" i="2" s="1"/>
  <c r="W137" i="2" s="1"/>
  <c r="Q121" i="2"/>
  <c r="U121" i="2" s="1"/>
  <c r="Q142" i="2"/>
  <c r="V142" i="2" s="1"/>
  <c r="W142" i="2" s="1"/>
  <c r="Q126" i="2"/>
  <c r="V126" i="2" s="1"/>
  <c r="W126" i="2" s="1"/>
  <c r="Q118" i="2"/>
  <c r="U118" i="2" s="1"/>
  <c r="Q81" i="2"/>
  <c r="Q101" i="2"/>
  <c r="V101" i="2" s="1"/>
  <c r="W101" i="2" s="1"/>
  <c r="Q82" i="2"/>
  <c r="Q93" i="2"/>
  <c r="V93" i="2" s="1"/>
  <c r="W93" i="2" s="1"/>
  <c r="Q106" i="2"/>
  <c r="V106" i="2" s="1"/>
  <c r="W106" i="2" s="1"/>
  <c r="Q110" i="2"/>
  <c r="V110" i="2" s="1"/>
  <c r="W110" i="2" s="1"/>
  <c r="Q103" i="2"/>
  <c r="V103" i="2" s="1"/>
  <c r="W103" i="2" s="1"/>
  <c r="Q98" i="2"/>
  <c r="V98" i="2" s="1"/>
  <c r="W98" i="2" s="1"/>
  <c r="Q102" i="2"/>
  <c r="V102" i="2" s="1"/>
  <c r="W102" i="2" s="1"/>
  <c r="V107" i="2"/>
  <c r="W107" i="2" s="1"/>
  <c r="Q105" i="2"/>
  <c r="V105" i="2" s="1"/>
  <c r="W105" i="2" s="1"/>
  <c r="Q107" i="2"/>
  <c r="V108" i="2"/>
  <c r="W108" i="2" s="1"/>
  <c r="V104" i="2"/>
  <c r="W104" i="2" s="1"/>
  <c r="V99" i="2"/>
  <c r="W99" i="2" s="1"/>
  <c r="V86" i="2"/>
  <c r="W86" i="2" s="1"/>
  <c r="Q109" i="2"/>
  <c r="V109" i="2" s="1"/>
  <c r="W109" i="2" s="1"/>
  <c r="Q90" i="2"/>
  <c r="V90" i="2" s="1"/>
  <c r="W90" i="2" s="1"/>
  <c r="Q100" i="2"/>
  <c r="V100" i="2" s="1"/>
  <c r="W100" i="2" s="1"/>
  <c r="Q85" i="2"/>
  <c r="V85" i="2" s="1"/>
  <c r="W85" i="2" s="1"/>
  <c r="Q92" i="2"/>
  <c r="V92" i="2" s="1"/>
  <c r="W92" i="2" s="1"/>
  <c r="Q91" i="2"/>
  <c r="V91" i="2" s="1"/>
  <c r="W91" i="2" s="1"/>
  <c r="Q87" i="2"/>
  <c r="V87" i="2" s="1"/>
  <c r="W87" i="2" s="1"/>
  <c r="B46" i="2"/>
  <c r="Q58" i="2"/>
  <c r="V58" i="2" s="1"/>
  <c r="W58" i="2" s="1"/>
  <c r="Q47" i="2"/>
  <c r="V47" i="2" s="1"/>
  <c r="W47" i="2" s="1"/>
  <c r="Q63" i="2"/>
  <c r="V63" i="2" s="1"/>
  <c r="W63" i="2" s="1"/>
  <c r="Q52" i="2"/>
  <c r="V52" i="2" s="1"/>
  <c r="W52" i="2" s="1"/>
  <c r="Q65" i="2"/>
  <c r="V65" i="2" s="1"/>
  <c r="W65" i="2" s="1"/>
  <c r="V64" i="2"/>
  <c r="W64" i="2" s="1"/>
  <c r="Q56" i="2"/>
  <c r="V56" i="2" s="1"/>
  <c r="W56" i="2" s="1"/>
  <c r="Q72" i="2"/>
  <c r="V72" i="2" s="1"/>
  <c r="W72" i="2" s="1"/>
  <c r="Q69" i="2"/>
  <c r="V69" i="2" s="1"/>
  <c r="W69" i="2" s="1"/>
  <c r="V54" i="2"/>
  <c r="W54" i="2" s="1"/>
  <c r="Q50" i="2"/>
  <c r="V50" i="2" s="1"/>
  <c r="W50" i="2" s="1"/>
  <c r="Q66" i="2"/>
  <c r="V66" i="2" s="1"/>
  <c r="W66" i="2" s="1"/>
  <c r="Q55" i="2"/>
  <c r="V55" i="2" s="1"/>
  <c r="W55" i="2" s="1"/>
  <c r="Q60" i="2"/>
  <c r="V60" i="2" s="1"/>
  <c r="W60" i="2" s="1"/>
  <c r="Q44" i="2"/>
  <c r="V347" i="2"/>
  <c r="V442" i="2"/>
  <c r="W442" i="2" s="1"/>
  <c r="V391" i="2"/>
  <c r="W391" i="2" s="1"/>
  <c r="V390" i="2"/>
  <c r="W390" i="2" s="1"/>
  <c r="V362" i="2"/>
  <c r="W362" i="2" s="1"/>
  <c r="V354" i="2"/>
  <c r="W354" i="2" s="1"/>
  <c r="V361" i="2"/>
  <c r="W361" i="2" s="1"/>
  <c r="V324" i="2"/>
  <c r="W324" i="2" s="1"/>
  <c r="V280" i="2"/>
  <c r="W280" i="2" s="1"/>
  <c r="V215" i="2"/>
  <c r="W215" i="2" s="1"/>
  <c r="V202" i="2"/>
  <c r="W202" i="2" s="1"/>
  <c r="V165" i="2"/>
  <c r="W165" i="2" s="1"/>
  <c r="V127" i="2"/>
  <c r="W127" i="2" s="1"/>
  <c r="V143" i="2"/>
  <c r="W143" i="2" s="1"/>
  <c r="Q9" i="2"/>
  <c r="U9" i="2" s="1"/>
  <c r="V94" i="2"/>
  <c r="W94" i="2" s="1"/>
  <c r="V84" i="2"/>
  <c r="W84" i="2" s="1"/>
  <c r="V422" i="2"/>
  <c r="W422" i="2" s="1"/>
  <c r="V309" i="2"/>
  <c r="W309" i="2" s="1"/>
  <c r="V245" i="2"/>
  <c r="W245" i="2" s="1"/>
  <c r="V440" i="2"/>
  <c r="W440" i="2" s="1"/>
  <c r="V323" i="2"/>
  <c r="W323" i="2" s="1"/>
  <c r="V173" i="2"/>
  <c r="W173" i="2" s="1"/>
  <c r="V358" i="2"/>
  <c r="W358" i="2" s="1"/>
  <c r="V271" i="2"/>
  <c r="W271" i="2" s="1"/>
  <c r="V389" i="2"/>
  <c r="W389" i="2" s="1"/>
  <c r="V269" i="2"/>
  <c r="W269" i="2" s="1"/>
  <c r="V307" i="2"/>
  <c r="W307" i="2" s="1"/>
  <c r="H7" i="17"/>
  <c r="H6" i="17"/>
  <c r="H5" i="17"/>
  <c r="H8" i="17"/>
  <c r="D195" i="25"/>
  <c r="D178" i="25"/>
  <c r="D161" i="25"/>
  <c r="W250" i="2"/>
  <c r="D110" i="25"/>
  <c r="D59" i="25"/>
  <c r="B65" i="25"/>
  <c r="D8" i="25"/>
  <c r="B82" i="25"/>
  <c r="D76" i="25"/>
  <c r="V96" i="2"/>
  <c r="W96" i="2" s="1"/>
  <c r="V134" i="2"/>
  <c r="W134" i="2" s="1"/>
  <c r="V146" i="2"/>
  <c r="W146" i="2" s="1"/>
  <c r="V130" i="2"/>
  <c r="W130" i="2" s="1"/>
  <c r="V172" i="2"/>
  <c r="W172" i="2" s="1"/>
  <c r="V199" i="2"/>
  <c r="W199" i="2" s="1"/>
  <c r="V214" i="2"/>
  <c r="W214" i="2" s="1"/>
  <c r="V210" i="2"/>
  <c r="W210" i="2" s="1"/>
  <c r="V234" i="2"/>
  <c r="W234" i="2" s="1"/>
  <c r="V258" i="2"/>
  <c r="W258" i="2" s="1"/>
  <c r="V283" i="2"/>
  <c r="W283" i="2" s="1"/>
  <c r="V321" i="2"/>
  <c r="W321" i="2" s="1"/>
  <c r="V329" i="2"/>
  <c r="W329" i="2" s="1"/>
  <c r="V344" i="2"/>
  <c r="W344" i="2" s="1"/>
  <c r="V343" i="2"/>
  <c r="W343" i="2" s="1"/>
  <c r="V355" i="2"/>
  <c r="W355" i="2" s="1"/>
  <c r="V367" i="2"/>
  <c r="W367" i="2" s="1"/>
  <c r="V429" i="2"/>
  <c r="W429" i="2" s="1"/>
  <c r="V428" i="2"/>
  <c r="W428" i="2" s="1"/>
  <c r="V431" i="2"/>
  <c r="W431" i="2" s="1"/>
  <c r="AJ37" i="20"/>
  <c r="AG37" i="20"/>
  <c r="V46" i="2"/>
  <c r="W46" i="2" s="1"/>
  <c r="V13" i="2"/>
  <c r="W13" i="2" s="1"/>
  <c r="V35" i="2"/>
  <c r="W35" i="2" s="1"/>
  <c r="V18" i="2"/>
  <c r="W18" i="2" s="1"/>
  <c r="V32" i="2"/>
  <c r="W32" i="2" s="1"/>
  <c r="V16" i="2"/>
  <c r="W16" i="2" s="1"/>
  <c r="V17" i="2"/>
  <c r="W17" i="2" s="1"/>
  <c r="O37" i="2"/>
  <c r="V24" i="2"/>
  <c r="W24" i="2" s="1"/>
  <c r="V19" i="2"/>
  <c r="W19" i="2" s="1"/>
  <c r="V432" i="2"/>
  <c r="W432" i="2" s="1"/>
  <c r="V33" i="2"/>
  <c r="W33" i="2" s="1"/>
  <c r="V27" i="2"/>
  <c r="W27" i="2" s="1"/>
  <c r="V11" i="2"/>
  <c r="W11" i="2" s="1"/>
  <c r="V97" i="2"/>
  <c r="W97" i="2" s="1"/>
  <c r="V89" i="2"/>
  <c r="W89" i="2" s="1"/>
  <c r="V88" i="2"/>
  <c r="W88" i="2" s="1"/>
  <c r="V12" i="2"/>
  <c r="W12" i="2" s="1"/>
  <c r="V21" i="2"/>
  <c r="W21" i="2" s="1"/>
  <c r="V10" i="2"/>
  <c r="W10" i="2" s="1"/>
  <c r="V36" i="2"/>
  <c r="W36" i="2" s="1"/>
  <c r="V26" i="2"/>
  <c r="W26" i="2" s="1"/>
  <c r="V29" i="2"/>
  <c r="W29" i="2" s="1"/>
  <c r="V34" i="2"/>
  <c r="W34" i="2" s="1"/>
  <c r="V28" i="2"/>
  <c r="W28" i="2" s="1"/>
  <c r="V20" i="2"/>
  <c r="W20" i="2" s="1"/>
  <c r="V95" i="2"/>
  <c r="W95" i="2" s="1"/>
  <c r="V31" i="2"/>
  <c r="W31" i="2" s="1"/>
  <c r="V14" i="2"/>
  <c r="W14" i="2" s="1"/>
  <c r="V30" i="2"/>
  <c r="W30" i="2" s="1"/>
  <c r="V22" i="2"/>
  <c r="W22" i="2" s="1"/>
  <c r="V23" i="2"/>
  <c r="W23" i="2" s="1"/>
  <c r="T37" i="2"/>
  <c r="P37" i="2"/>
  <c r="W347" i="2"/>
  <c r="W439" i="2"/>
  <c r="V204" i="2"/>
  <c r="W204" i="2" s="1"/>
  <c r="P296" i="2"/>
  <c r="P370" i="2"/>
  <c r="V61" i="2"/>
  <c r="W61" i="2" s="1"/>
  <c r="V8" i="2"/>
  <c r="W8" i="2" s="1"/>
  <c r="V144" i="2"/>
  <c r="W144" i="2" s="1"/>
  <c r="V415" i="2"/>
  <c r="W415" i="2" s="1"/>
  <c r="T370" i="2"/>
  <c r="V123" i="2"/>
  <c r="W123" i="2" s="1"/>
  <c r="O333" i="2"/>
  <c r="V396" i="2"/>
  <c r="W396" i="2" s="1"/>
  <c r="P259" i="2"/>
  <c r="V220" i="2"/>
  <c r="W220" i="2" s="1"/>
  <c r="T259" i="2"/>
  <c r="T296" i="2"/>
  <c r="O296" i="2"/>
  <c r="V201" i="2"/>
  <c r="W201" i="2" s="1"/>
  <c r="O407" i="2"/>
  <c r="O259" i="2"/>
  <c r="T407" i="2"/>
  <c r="O74" i="2"/>
  <c r="V133" i="2"/>
  <c r="W133" i="2" s="1"/>
  <c r="T48" i="2"/>
  <c r="Q48" i="2" s="1"/>
  <c r="P74" i="2"/>
  <c r="O222" i="2"/>
  <c r="V207" i="2"/>
  <c r="W207" i="2" s="1"/>
  <c r="V131" i="2"/>
  <c r="W131" i="2" s="1"/>
  <c r="O185" i="2"/>
  <c r="P185" i="2"/>
  <c r="T430" i="2"/>
  <c r="Q430" i="2" s="1"/>
  <c r="P444" i="2"/>
  <c r="T327" i="2"/>
  <c r="Q327" i="2" s="1"/>
  <c r="P333" i="2"/>
  <c r="O370" i="2"/>
  <c r="O444" i="2"/>
  <c r="T192" i="2"/>
  <c r="Q192" i="2" s="1"/>
  <c r="P222" i="2"/>
  <c r="O148" i="2"/>
  <c r="T83" i="2"/>
  <c r="P111" i="2"/>
  <c r="O111" i="2"/>
  <c r="T120" i="2"/>
  <c r="P148" i="2"/>
  <c r="P407" i="2"/>
  <c r="T185" i="2"/>
  <c r="X44" i="2" l="1"/>
  <c r="U44" i="2"/>
  <c r="X82" i="2"/>
  <c r="U82" i="2"/>
  <c r="V82" i="2" s="1"/>
  <c r="W82" i="2" s="1"/>
  <c r="X81" i="2"/>
  <c r="U81" i="2"/>
  <c r="X192" i="2"/>
  <c r="U192" i="2"/>
  <c r="X229" i="2"/>
  <c r="U229" i="2"/>
  <c r="X266" i="2"/>
  <c r="U266" i="2"/>
  <c r="X303" i="2"/>
  <c r="U303" i="2"/>
  <c r="X380" i="2"/>
  <c r="U380" i="2"/>
  <c r="X9" i="2"/>
  <c r="V194" i="2"/>
  <c r="W194" i="2" s="1"/>
  <c r="X194" i="2"/>
  <c r="V267" i="2"/>
  <c r="W267" i="2" s="1"/>
  <c r="X267" i="2"/>
  <c r="V378" i="2"/>
  <c r="W378" i="2" s="1"/>
  <c r="X378" i="2"/>
  <c r="V416" i="2"/>
  <c r="W416" i="2" s="1"/>
  <c r="X416" i="2"/>
  <c r="V121" i="2"/>
  <c r="W121" i="2" s="1"/>
  <c r="X121" i="2"/>
  <c r="V195" i="2"/>
  <c r="W195" i="2" s="1"/>
  <c r="X195" i="2"/>
  <c r="V342" i="2"/>
  <c r="W342" i="2" s="1"/>
  <c r="X342" i="2"/>
  <c r="V380" i="2"/>
  <c r="W380" i="2" s="1"/>
  <c r="D60" i="25"/>
  <c r="D65" i="25" s="1"/>
  <c r="D66" i="25" s="1"/>
  <c r="X118" i="2"/>
  <c r="D111" i="25"/>
  <c r="D116" i="25" s="1"/>
  <c r="D117" i="25" s="1"/>
  <c r="Q120" i="2"/>
  <c r="U120" i="2" s="1"/>
  <c r="Q83" i="2"/>
  <c r="U83" i="2" s="1"/>
  <c r="B47" i="2"/>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81" i="2" s="1"/>
  <c r="V427" i="2"/>
  <c r="W427" i="2" s="1"/>
  <c r="V437" i="2"/>
  <c r="W437" i="2" s="1"/>
  <c r="V443" i="2"/>
  <c r="W443" i="2" s="1"/>
  <c r="V419" i="2"/>
  <c r="W419" i="2" s="1"/>
  <c r="V434" i="2"/>
  <c r="W434" i="2" s="1"/>
  <c r="V441" i="2"/>
  <c r="W441" i="2" s="1"/>
  <c r="V435" i="2"/>
  <c r="W435" i="2" s="1"/>
  <c r="V403" i="2"/>
  <c r="W403" i="2" s="1"/>
  <c r="V400" i="2"/>
  <c r="W400" i="2" s="1"/>
  <c r="V383" i="2"/>
  <c r="W383" i="2" s="1"/>
  <c r="V393" i="2"/>
  <c r="W393" i="2" s="1"/>
  <c r="V402" i="2"/>
  <c r="W402" i="2" s="1"/>
  <c r="V388" i="2"/>
  <c r="W388" i="2" s="1"/>
  <c r="V406" i="2"/>
  <c r="W406" i="2" s="1"/>
  <c r="V387" i="2"/>
  <c r="W387" i="2" s="1"/>
  <c r="V399" i="2"/>
  <c r="W399" i="2" s="1"/>
  <c r="V386" i="2"/>
  <c r="W386" i="2" s="1"/>
  <c r="V405" i="2"/>
  <c r="W405" i="2" s="1"/>
  <c r="V384" i="2"/>
  <c r="W384" i="2" s="1"/>
  <c r="V397" i="2"/>
  <c r="W397" i="2" s="1"/>
  <c r="V348" i="2"/>
  <c r="W348" i="2" s="1"/>
  <c r="V357" i="2"/>
  <c r="W357" i="2" s="1"/>
  <c r="V350" i="2"/>
  <c r="W350" i="2" s="1"/>
  <c r="V356" i="2"/>
  <c r="W356" i="2" s="1"/>
  <c r="V352" i="2"/>
  <c r="W352" i="2" s="1"/>
  <c r="V363" i="2"/>
  <c r="W363" i="2" s="1"/>
  <c r="V368" i="2"/>
  <c r="W368" i="2" s="1"/>
  <c r="V346" i="2"/>
  <c r="W346" i="2" s="1"/>
  <c r="V366" i="2"/>
  <c r="W366" i="2" s="1"/>
  <c r="V353" i="2"/>
  <c r="W353" i="2" s="1"/>
  <c r="V360" i="2"/>
  <c r="W360" i="2" s="1"/>
  <c r="V317" i="2"/>
  <c r="W317" i="2" s="1"/>
  <c r="V315" i="2"/>
  <c r="W315" i="2" s="1"/>
  <c r="V320" i="2"/>
  <c r="W320" i="2" s="1"/>
  <c r="V314" i="2"/>
  <c r="W314" i="2" s="1"/>
  <c r="V328" i="2"/>
  <c r="W328" i="2" s="1"/>
  <c r="V319" i="2"/>
  <c r="W319" i="2" s="1"/>
  <c r="V330" i="2"/>
  <c r="W330" i="2" s="1"/>
  <c r="V310" i="2"/>
  <c r="W310" i="2" s="1"/>
  <c r="V311" i="2"/>
  <c r="W311" i="2" s="1"/>
  <c r="V270" i="2"/>
  <c r="W270" i="2" s="1"/>
  <c r="V293" i="2"/>
  <c r="W293" i="2" s="1"/>
  <c r="V288" i="2"/>
  <c r="W288" i="2" s="1"/>
  <c r="V289" i="2"/>
  <c r="W289" i="2" s="1"/>
  <c r="V295" i="2"/>
  <c r="W295" i="2" s="1"/>
  <c r="V290" i="2"/>
  <c r="W290" i="2" s="1"/>
  <c r="V284" i="2"/>
  <c r="W284" i="2" s="1"/>
  <c r="V281" i="2"/>
  <c r="W281" i="2" s="1"/>
  <c r="V291" i="2"/>
  <c r="W291" i="2" s="1"/>
  <c r="V273" i="2"/>
  <c r="W273" i="2" s="1"/>
  <c r="V286" i="2"/>
  <c r="W286" i="2" s="1"/>
  <c r="V294" i="2"/>
  <c r="W294" i="2" s="1"/>
  <c r="V276" i="2"/>
  <c r="W276" i="2" s="1"/>
  <c r="V287" i="2"/>
  <c r="W287" i="2" s="1"/>
  <c r="V292" i="2"/>
  <c r="W292" i="2" s="1"/>
  <c r="V248" i="2"/>
  <c r="W248" i="2" s="1"/>
  <c r="V241" i="2"/>
  <c r="W241" i="2" s="1"/>
  <c r="V247" i="2"/>
  <c r="W247" i="2" s="1"/>
  <c r="V240" i="2"/>
  <c r="W240" i="2" s="1"/>
  <c r="V251" i="2"/>
  <c r="W251" i="2" s="1"/>
  <c r="V233" i="2"/>
  <c r="W233" i="2" s="1"/>
  <c r="V237" i="2"/>
  <c r="W237" i="2" s="1"/>
  <c r="V246" i="2"/>
  <c r="W246" i="2" s="1"/>
  <c r="V256" i="2"/>
  <c r="W256" i="2" s="1"/>
  <c r="V244" i="2"/>
  <c r="W244" i="2" s="1"/>
  <c r="V236" i="2"/>
  <c r="W236" i="2" s="1"/>
  <c r="V239" i="2"/>
  <c r="W239" i="2" s="1"/>
  <c r="V243" i="2"/>
  <c r="W243" i="2" s="1"/>
  <c r="V238" i="2"/>
  <c r="W238" i="2" s="1"/>
  <c r="V253" i="2"/>
  <c r="W253" i="2" s="1"/>
  <c r="V255" i="2"/>
  <c r="W255" i="2" s="1"/>
  <c r="V252" i="2"/>
  <c r="W252" i="2" s="1"/>
  <c r="V242" i="2"/>
  <c r="W242" i="2" s="1"/>
  <c r="V213" i="2"/>
  <c r="W213" i="2" s="1"/>
  <c r="V181" i="2"/>
  <c r="W181" i="2" s="1"/>
  <c r="V175" i="2"/>
  <c r="W175" i="2" s="1"/>
  <c r="V171" i="2"/>
  <c r="W171" i="2" s="1"/>
  <c r="V160" i="2"/>
  <c r="W160" i="2" s="1"/>
  <c r="V170" i="2"/>
  <c r="W170" i="2" s="1"/>
  <c r="V179" i="2"/>
  <c r="W179" i="2" s="1"/>
  <c r="V163" i="2"/>
  <c r="W163" i="2" s="1"/>
  <c r="V184" i="2"/>
  <c r="W184" i="2" s="1"/>
  <c r="V174" i="2"/>
  <c r="W174" i="2" s="1"/>
  <c r="V169" i="2"/>
  <c r="W169" i="2" s="1"/>
  <c r="V182" i="2"/>
  <c r="W182" i="2" s="1"/>
  <c r="V183" i="2"/>
  <c r="W183" i="2" s="1"/>
  <c r="V166" i="2"/>
  <c r="W166" i="2" s="1"/>
  <c r="V177" i="2"/>
  <c r="W177" i="2" s="1"/>
  <c r="V161" i="2"/>
  <c r="W161" i="2" s="1"/>
  <c r="V159" i="2"/>
  <c r="W159" i="2" s="1"/>
  <c r="V176" i="2"/>
  <c r="W176" i="2" s="1"/>
  <c r="V138" i="2"/>
  <c r="W138" i="2" s="1"/>
  <c r="V417" i="2"/>
  <c r="W417" i="2" s="1"/>
  <c r="D196" i="25"/>
  <c r="D201" i="25" s="1"/>
  <c r="D202" i="25" s="1"/>
  <c r="V379" i="2"/>
  <c r="W379" i="2" s="1"/>
  <c r="D179" i="25"/>
  <c r="D184" i="25" s="1"/>
  <c r="D185" i="25" s="1"/>
  <c r="V340" i="2"/>
  <c r="W340" i="2" s="1"/>
  <c r="V341" i="2"/>
  <c r="W341" i="2" s="1"/>
  <c r="V306" i="2"/>
  <c r="W306" i="2" s="1"/>
  <c r="V305" i="2"/>
  <c r="W305" i="2" s="1"/>
  <c r="V304" i="2"/>
  <c r="W304" i="2" s="1"/>
  <c r="V268" i="2"/>
  <c r="W268" i="2" s="1"/>
  <c r="V232" i="2"/>
  <c r="W232" i="2" s="1"/>
  <c r="V230" i="2"/>
  <c r="W230" i="2" s="1"/>
  <c r="V231" i="2"/>
  <c r="W231" i="2" s="1"/>
  <c r="V157" i="2"/>
  <c r="W157" i="2" s="1"/>
  <c r="V158" i="2"/>
  <c r="W158" i="2" s="1"/>
  <c r="D43" i="25"/>
  <c r="D48" i="25" s="1"/>
  <c r="D49" i="25" s="1"/>
  <c r="D77" i="25"/>
  <c r="D82" i="25" s="1"/>
  <c r="D83" i="25" s="1"/>
  <c r="V155" i="2"/>
  <c r="W155" i="2" s="1"/>
  <c r="D26" i="25"/>
  <c r="D31" i="25" s="1"/>
  <c r="D32" i="25" s="1"/>
  <c r="D9" i="25"/>
  <c r="D14" i="25" s="1"/>
  <c r="D15" i="25" s="1"/>
  <c r="D93" i="25"/>
  <c r="D94" i="25"/>
  <c r="V278" i="2"/>
  <c r="W278" i="2" s="1"/>
  <c r="D128" i="25"/>
  <c r="D133" i="25" s="1"/>
  <c r="D134" i="25" s="1"/>
  <c r="V279" i="2"/>
  <c r="W279" i="2" s="1"/>
  <c r="V381" i="2"/>
  <c r="V382" i="2"/>
  <c r="W382" i="2" s="1"/>
  <c r="V401" i="2"/>
  <c r="W401" i="2" s="1"/>
  <c r="V385" i="2"/>
  <c r="W385" i="2" s="1"/>
  <c r="V395" i="2"/>
  <c r="W395" i="2" s="1"/>
  <c r="V51" i="2"/>
  <c r="W51" i="2" s="1"/>
  <c r="V70" i="2"/>
  <c r="W70" i="2" s="1"/>
  <c r="V59" i="2"/>
  <c r="W59" i="2" s="1"/>
  <c r="V57" i="2"/>
  <c r="W57" i="2" s="1"/>
  <c r="V67" i="2"/>
  <c r="W67" i="2" s="1"/>
  <c r="V53" i="2"/>
  <c r="W53" i="2" s="1"/>
  <c r="V73" i="2"/>
  <c r="W73" i="2" s="1"/>
  <c r="V62" i="2"/>
  <c r="W62" i="2" s="1"/>
  <c r="V68" i="2"/>
  <c r="W68" i="2" s="1"/>
  <c r="V71" i="2"/>
  <c r="W71" i="2" s="1"/>
  <c r="V49" i="2"/>
  <c r="W49" i="2" s="1"/>
  <c r="V15" i="2"/>
  <c r="W15" i="2" s="1"/>
  <c r="V25" i="2"/>
  <c r="W25" i="2" s="1"/>
  <c r="Q37" i="2"/>
  <c r="V229" i="2"/>
  <c r="W229" i="2" s="1"/>
  <c r="V7" i="2"/>
  <c r="W7" i="2" s="1"/>
  <c r="V44" i="2"/>
  <c r="W44" i="2" s="1"/>
  <c r="Q370" i="2"/>
  <c r="Q407" i="2"/>
  <c r="Q259" i="2"/>
  <c r="Q296" i="2"/>
  <c r="Q185" i="2"/>
  <c r="T222" i="2"/>
  <c r="T333" i="2"/>
  <c r="T444" i="2"/>
  <c r="V9" i="2"/>
  <c r="T111" i="2"/>
  <c r="T74" i="2"/>
  <c r="T148" i="2"/>
  <c r="B83" i="25" a="1"/>
  <c r="B117" i="25" a="1"/>
  <c r="B32" i="25" a="1"/>
  <c r="B185" i="25" a="1"/>
  <c r="B49" i="25" a="1"/>
  <c r="B134" i="25" a="1"/>
  <c r="B202" i="25" a="1"/>
  <c r="B15" i="25" a="1"/>
  <c r="B66" i="25" a="1"/>
  <c r="Q111" i="2" l="1"/>
  <c r="V118" i="2"/>
  <c r="W118" i="2" s="1"/>
  <c r="X83" i="2"/>
  <c r="V81" i="2"/>
  <c r="W81" i="2" s="1"/>
  <c r="X120" i="2"/>
  <c r="B82" i="2"/>
  <c r="U185" i="2"/>
  <c r="V414" i="2"/>
  <c r="W414" i="2" s="1"/>
  <c r="V377" i="2"/>
  <c r="W377" i="2" s="1"/>
  <c r="U370" i="2"/>
  <c r="W370" i="2"/>
  <c r="D162" i="25"/>
  <c r="D167" i="25" s="1"/>
  <c r="D168" i="25" s="1"/>
  <c r="U259" i="2"/>
  <c r="W259" i="2"/>
  <c r="W185" i="2"/>
  <c r="V185" i="2"/>
  <c r="B117" i="25"/>
  <c r="B66" i="25"/>
  <c r="B185" i="25"/>
  <c r="B49" i="25"/>
  <c r="B83" i="25"/>
  <c r="B134" i="25"/>
  <c r="V303" i="2"/>
  <c r="W303" i="2" s="1"/>
  <c r="D145" i="25"/>
  <c r="D150" i="25" s="1"/>
  <c r="D151" i="25" s="1"/>
  <c r="U296" i="2"/>
  <c r="B202" i="25"/>
  <c r="V266" i="2"/>
  <c r="W266" i="2" s="1"/>
  <c r="W296" i="2" s="1"/>
  <c r="W381" i="2"/>
  <c r="U407" i="2"/>
  <c r="D99" i="25"/>
  <c r="D100" i="25" s="1"/>
  <c r="V48" i="2"/>
  <c r="Q333" i="2"/>
  <c r="V370" i="2"/>
  <c r="V259" i="2"/>
  <c r="Q148" i="2"/>
  <c r="Q444" i="2"/>
  <c r="Q222" i="2"/>
  <c r="U37" i="2"/>
  <c r="B15" i="25"/>
  <c r="B32" i="25"/>
  <c r="V83" i="2"/>
  <c r="W83" i="2" s="1"/>
  <c r="U111" i="2"/>
  <c r="Q74" i="2"/>
  <c r="W9" i="2"/>
  <c r="W37" i="2" s="1"/>
  <c r="V37" i="2"/>
  <c r="B168" i="25" a="1"/>
  <c r="B151" i="25" a="1"/>
  <c r="B100" i="25" a="1"/>
  <c r="V407" i="2" l="1"/>
  <c r="W111" i="2"/>
  <c r="B83" i="2"/>
  <c r="W407" i="2"/>
  <c r="B168" i="25"/>
  <c r="B100" i="25"/>
  <c r="B151" i="25"/>
  <c r="V296" i="2"/>
  <c r="U74" i="2"/>
  <c r="W48" i="2"/>
  <c r="W74" i="2" s="1"/>
  <c r="V74" i="2"/>
  <c r="V111" i="2"/>
  <c r="U222" i="2"/>
  <c r="V192" i="2"/>
  <c r="U148" i="2"/>
  <c r="V120" i="2"/>
  <c r="U333" i="2"/>
  <c r="V327" i="2"/>
  <c r="U444" i="2"/>
  <c r="V430" i="2"/>
  <c r="B84" i="2" l="1"/>
  <c r="W120" i="2"/>
  <c r="W148" i="2" s="1"/>
  <c r="V148" i="2"/>
  <c r="V444" i="2"/>
  <c r="W430" i="2"/>
  <c r="W444" i="2" s="1"/>
  <c r="V333" i="2"/>
  <c r="W327" i="2"/>
  <c r="W333" i="2" s="1"/>
  <c r="V222" i="2"/>
  <c r="W192" i="2"/>
  <c r="W222" i="2" s="1"/>
  <c r="B85" i="2" l="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8" i="2" s="1"/>
  <c r="B119" i="2" l="1"/>
  <c r="B120" i="2" l="1"/>
  <c r="B121" i="2" l="1"/>
  <c r="B122" i="2" l="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55" i="2" l="1"/>
  <c r="B156" i="2" l="1"/>
  <c r="B157" i="2" l="1"/>
  <c r="B158" i="2" l="1"/>
  <c r="B159" i="2" l="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92" i="2" l="1"/>
  <c r="B193" i="2" l="1"/>
  <c r="B194" i="2" l="1"/>
  <c r="B195" i="2" l="1"/>
  <c r="B196" i="2" l="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9" i="2" l="1"/>
  <c r="B230" i="2" l="1"/>
  <c r="B231" i="2" s="1"/>
  <c r="B232" i="2" s="1"/>
  <c r="B233" i="2" l="1"/>
  <c r="B234" i="2" s="1"/>
  <c r="B235" i="2" s="1"/>
  <c r="B236" i="2" s="1"/>
  <c r="B237" i="2" s="1"/>
  <c r="B238" i="2" s="1"/>
  <c r="B239" i="2" s="1"/>
  <c r="B240" i="2" s="1"/>
  <c r="B241" i="2" s="1"/>
  <c r="B242" i="2" s="1"/>
  <c r="B243" i="2" s="1"/>
  <c r="B244" i="2" s="1"/>
  <c r="B245" i="2" s="1"/>
  <c r="B246" i="2" s="1"/>
  <c r="B247" i="2" s="1"/>
  <c r="B248" i="2" s="1"/>
  <c r="B249" i="2" s="1"/>
  <c r="B250" i="2" s="1"/>
  <c r="B251" i="2" s="1"/>
  <c r="B252" i="2" s="1"/>
  <c r="B253" i="2" s="1"/>
  <c r="B254" i="2" s="1"/>
  <c r="B255" i="2" s="1"/>
  <c r="B256" i="2" s="1"/>
  <c r="B257" i="2" s="1"/>
  <c r="B258" i="2" s="1"/>
  <c r="B259" i="2" s="1"/>
  <c r="B266" i="2" l="1"/>
  <c r="B267" i="2" l="1"/>
  <c r="B268" i="2" s="1"/>
  <c r="B269" i="2" s="1"/>
  <c r="B270" i="2" s="1"/>
  <c r="B271" i="2" s="1"/>
  <c r="B272" i="2" s="1"/>
  <c r="B273" i="2" s="1"/>
  <c r="B274" i="2" s="1"/>
  <c r="B275" i="2" s="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303" i="2" l="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B405" i="2" s="1"/>
  <c r="B406" i="2" s="1"/>
  <c r="B407"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J9" i="21"/>
  <c r="S15" i="21"/>
  <c r="I18" i="21"/>
  <c r="I14" i="21"/>
  <c r="I17" i="21"/>
  <c r="H12" i="21"/>
  <c r="F9" i="21"/>
  <c r="I7" i="21"/>
  <c r="G14" i="21"/>
  <c r="T18" i="21"/>
  <c r="T13" i="21"/>
  <c r="T14" i="21"/>
  <c r="H17" i="21"/>
  <c r="J12" i="21"/>
  <c r="G16" i="21"/>
  <c r="F13" i="21"/>
  <c r="F12" i="21"/>
  <c r="H8" i="21"/>
  <c r="S17" i="21"/>
  <c r="R17" i="21"/>
  <c r="T11" i="21"/>
  <c r="I8" i="21"/>
  <c r="J11" i="21"/>
  <c r="J7" i="21"/>
  <c r="R9" i="21"/>
  <c r="T8" i="21"/>
  <c r="R13" i="21"/>
  <c r="F16" i="21"/>
  <c r="J15" i="21"/>
  <c r="I15" i="21"/>
  <c r="F8" i="21"/>
  <c r="J10" i="21"/>
  <c r="I11" i="21"/>
  <c r="H13" i="21"/>
  <c r="H16" i="21"/>
  <c r="S7" i="21"/>
  <c r="R10" i="21"/>
  <c r="R18" i="21"/>
  <c r="T10" i="21"/>
  <c r="H18" i="21"/>
  <c r="I16" i="21"/>
  <c r="F18" i="21"/>
  <c r="J18" i="21"/>
  <c r="G7" i="21"/>
  <c r="J13" i="21"/>
  <c r="G13" i="21"/>
  <c r="T17" i="21"/>
  <c r="S18" i="21"/>
  <c r="F17" i="21"/>
  <c r="H7" i="21"/>
  <c r="F11" i="21"/>
  <c r="H10" i="21"/>
  <c r="R7" i="21"/>
  <c r="G12" i="21"/>
  <c r="T15" i="21"/>
  <c r="I10" i="21"/>
  <c r="I9" i="21"/>
  <c r="H9" i="21"/>
  <c r="F14" i="21"/>
  <c r="T7" i="21"/>
  <c r="F7" i="21"/>
  <c r="S9" i="21"/>
  <c r="F10" i="21"/>
  <c r="H11" i="21"/>
  <c r="S16" i="21"/>
  <c r="G17" i="21"/>
  <c r="S13" i="21"/>
  <c r="H14" i="21"/>
  <c r="I13" i="21"/>
  <c r="I12" i="21"/>
  <c r="R12" i="21"/>
  <c r="R11" i="21"/>
  <c r="G8" i="21"/>
  <c r="J8" i="21"/>
  <c r="R15" i="21"/>
  <c r="T12" i="21"/>
  <c r="J17" i="21"/>
  <c r="F15" i="21"/>
  <c r="R8" i="21"/>
  <c r="G18" i="21"/>
  <c r="S14" i="21"/>
  <c r="R16" i="21"/>
  <c r="T9" i="21"/>
  <c r="J14" i="21"/>
  <c r="S8" i="21"/>
  <c r="H15" i="21"/>
  <c r="G11" i="21"/>
  <c r="G15" i="21"/>
  <c r="S10" i="21"/>
  <c r="S12" i="21"/>
  <c r="R14" i="21"/>
  <c r="G9" i="21"/>
  <c r="T16" i="21"/>
  <c r="J16" i="21"/>
  <c r="S11" i="21"/>
  <c r="G10" i="21"/>
  <c r="O10" i="21" l="1"/>
  <c r="N10" i="21"/>
  <c r="M10" i="21"/>
  <c r="O14" i="21"/>
  <c r="N14" i="21"/>
  <c r="M14" i="21"/>
  <c r="N11" i="21"/>
  <c r="M11" i="21"/>
  <c r="O11" i="21"/>
  <c r="O8" i="21"/>
  <c r="M8" i="21"/>
  <c r="N8" i="21"/>
  <c r="N9" i="21"/>
  <c r="O9" i="21"/>
  <c r="M9" i="21"/>
  <c r="O15" i="21"/>
  <c r="M15" i="21"/>
  <c r="N15" i="21"/>
  <c r="H19" i="21"/>
  <c r="O18" i="21"/>
  <c r="M18" i="21"/>
  <c r="N18" i="21"/>
  <c r="O7" i="21"/>
  <c r="F19" i="21"/>
  <c r="M7" i="21"/>
  <c r="N7" i="21"/>
  <c r="R19" i="21"/>
  <c r="M17" i="21"/>
  <c r="N17" i="21"/>
  <c r="O17" i="21"/>
  <c r="N12" i="21"/>
  <c r="O12" i="21"/>
  <c r="M12" i="21"/>
  <c r="T19" i="21"/>
  <c r="G19" i="21"/>
  <c r="S19" i="21"/>
  <c r="O16" i="21"/>
  <c r="N16" i="21"/>
  <c r="M16" i="21"/>
  <c r="J19" i="21"/>
  <c r="N13" i="21"/>
  <c r="M13" i="21"/>
  <c r="O13" i="21"/>
  <c r="I19" i="21"/>
  <c r="T8" i="20"/>
  <c r="K8" i="20"/>
  <c r="N8" i="20"/>
  <c r="O8" i="20"/>
  <c r="AB8" i="20"/>
  <c r="I8" i="20"/>
  <c r="AA8" i="20"/>
  <c r="AC8" i="20"/>
  <c r="S8" i="20"/>
  <c r="F8" i="20"/>
  <c r="J8" i="20"/>
  <c r="H8" i="20"/>
  <c r="Z8" i="20"/>
  <c r="Y8" i="20"/>
  <c r="L8" i="20"/>
  <c r="E8" i="20"/>
  <c r="W8" i="20"/>
  <c r="V8" i="20"/>
  <c r="P8" i="20"/>
  <c r="U8" i="20"/>
  <c r="X8" i="20"/>
  <c r="R8" i="20"/>
  <c r="G8" i="20"/>
  <c r="M8" i="20"/>
  <c r="L9" i="20"/>
  <c r="H9" i="20"/>
  <c r="AC9" i="20"/>
  <c r="V9" i="20"/>
  <c r="R9" i="20"/>
  <c r="E9" i="20"/>
  <c r="S9" i="20"/>
  <c r="K9" i="20"/>
  <c r="M9" i="20"/>
  <c r="U9" i="20"/>
  <c r="N9" i="20"/>
  <c r="X9" i="20"/>
  <c r="F9" i="20"/>
  <c r="Z9" i="20"/>
  <c r="W9" i="20"/>
  <c r="T9" i="20"/>
  <c r="J9" i="20"/>
  <c r="Y9" i="20"/>
  <c r="I9" i="20"/>
  <c r="AA9" i="20"/>
  <c r="AB9" i="20"/>
  <c r="O9" i="20"/>
  <c r="G9" i="20"/>
  <c r="P9" i="20"/>
  <c r="O10" i="20"/>
  <c r="P10" i="20"/>
  <c r="G7" i="20"/>
  <c r="H10" i="20"/>
  <c r="L10" i="20"/>
  <c r="AB10" i="20"/>
  <c r="Z10" i="20"/>
  <c r="K10" i="20"/>
  <c r="X10" i="20"/>
  <c r="I10" i="20"/>
  <c r="E10" i="20"/>
  <c r="AC10" i="20"/>
  <c r="T10" i="20"/>
  <c r="AA10" i="20"/>
  <c r="J10" i="20"/>
  <c r="G10" i="20"/>
  <c r="N10" i="20"/>
  <c r="U10" i="20"/>
  <c r="F10" i="20"/>
  <c r="S10" i="20"/>
  <c r="R10" i="20"/>
  <c r="M10" i="20"/>
  <c r="Y10" i="20"/>
  <c r="W10" i="20"/>
  <c r="V10" i="20"/>
  <c r="H7" i="20"/>
  <c r="U7" i="20"/>
  <c r="F7" i="20"/>
  <c r="M7" i="20"/>
  <c r="S7" i="20"/>
  <c r="T7" i="20"/>
  <c r="L7" i="20"/>
  <c r="K7" i="20"/>
  <c r="X7" i="20"/>
  <c r="I7" i="20"/>
  <c r="Z7" i="20"/>
  <c r="P7" i="20"/>
  <c r="J7" i="20"/>
  <c r="V7" i="20"/>
  <c r="E7" i="20"/>
  <c r="AA7" i="20"/>
  <c r="R7" i="20"/>
  <c r="AC7" i="20"/>
  <c r="O7" i="20"/>
  <c r="N7" i="20"/>
  <c r="W7" i="20"/>
  <c r="Y7" i="20"/>
  <c r="Y37" i="20" s="1"/>
  <c r="AB7" i="20"/>
  <c r="N37" i="20" l="1"/>
  <c r="AB37" i="20"/>
  <c r="O37" i="20"/>
  <c r="L37" i="20"/>
  <c r="Z37" i="20"/>
  <c r="J37" i="20"/>
  <c r="F37" i="20"/>
  <c r="AC37" i="20"/>
  <c r="W37" i="20"/>
  <c r="S37" i="20"/>
  <c r="X37" i="20"/>
  <c r="H37" i="20"/>
  <c r="P37" i="20"/>
  <c r="K37" i="20"/>
  <c r="AA37" i="20"/>
  <c r="M37" i="20"/>
  <c r="I37" i="20"/>
  <c r="U37" i="20"/>
  <c r="AD10" i="20"/>
  <c r="AD9" i="20"/>
  <c r="P13" i="21"/>
  <c r="U13" i="21" s="1"/>
  <c r="V13" i="21" s="1"/>
  <c r="Q13" i="21"/>
  <c r="P17" i="21"/>
  <c r="U17" i="21" s="1"/>
  <c r="V17" i="21" s="1"/>
  <c r="Q17" i="21"/>
  <c r="M19" i="21"/>
  <c r="Q9" i="21"/>
  <c r="P9" i="21"/>
  <c r="U9" i="21" s="1"/>
  <c r="V9" i="21" s="1"/>
  <c r="Q14" i="21"/>
  <c r="P14" i="21"/>
  <c r="U14" i="21" s="1"/>
  <c r="V14" i="21" s="1"/>
  <c r="E37" i="20"/>
  <c r="Q7" i="20"/>
  <c r="Q8" i="20"/>
  <c r="P8" i="21"/>
  <c r="U8" i="21" s="1"/>
  <c r="V8" i="21" s="1"/>
  <c r="Q8" i="21"/>
  <c r="V37" i="20"/>
  <c r="T37" i="20"/>
  <c r="Q10" i="20"/>
  <c r="G37" i="20"/>
  <c r="P12" i="21"/>
  <c r="U12" i="21" s="1"/>
  <c r="V12" i="21" s="1"/>
  <c r="Q12" i="21"/>
  <c r="O19" i="21"/>
  <c r="P11" i="21"/>
  <c r="U11" i="21" s="1"/>
  <c r="V11" i="21" s="1"/>
  <c r="Q11" i="21"/>
  <c r="AD7" i="20"/>
  <c r="R37" i="20"/>
  <c r="Q9" i="20"/>
  <c r="AD8" i="20"/>
  <c r="Q16" i="21"/>
  <c r="P16" i="21"/>
  <c r="U16" i="21" s="1"/>
  <c r="V16" i="21" s="1"/>
  <c r="P7" i="21"/>
  <c r="Q7" i="21"/>
  <c r="N19" i="21"/>
  <c r="Q18" i="21"/>
  <c r="P18" i="21"/>
  <c r="U18" i="21" s="1"/>
  <c r="V18" i="21" s="1"/>
  <c r="P15" i="21"/>
  <c r="U15" i="21" s="1"/>
  <c r="V15" i="21" s="1"/>
  <c r="Q15" i="21"/>
  <c r="Q10" i="21"/>
  <c r="P10" i="21"/>
  <c r="U10" i="21" s="1"/>
  <c r="V10" i="21" s="1"/>
  <c r="P19" i="21" l="1"/>
  <c r="U7" i="21"/>
  <c r="AE8" i="20"/>
  <c r="AF8" i="20" s="1"/>
  <c r="AK8" i="20"/>
  <c r="Q19" i="21"/>
  <c r="Q21" i="21" s="1"/>
  <c r="AD37" i="20"/>
  <c r="AE7" i="20"/>
  <c r="AF7" i="20" s="1"/>
  <c r="Q37" i="20"/>
  <c r="AE9" i="20"/>
  <c r="AF9" i="20" s="1"/>
  <c r="AE10" i="20"/>
  <c r="AF10" i="20" s="1"/>
  <c r="AH9" i="20" l="1"/>
  <c r="AI9" i="20" s="1"/>
  <c r="AH7" i="20"/>
  <c r="AI7" i="20" s="1"/>
  <c r="AK7" i="20"/>
  <c r="AH8" i="20"/>
  <c r="AI8" i="20" s="1"/>
  <c r="AK9" i="20"/>
  <c r="AE37" i="20"/>
  <c r="AH10" i="20"/>
  <c r="AI10" i="20" s="1"/>
  <c r="U19" i="21"/>
  <c r="V7" i="21"/>
  <c r="V19" i="21" s="1"/>
  <c r="AK10" i="20"/>
  <c r="AK37" i="20" l="1"/>
  <c r="L18" i="21" s="1"/>
  <c r="L19" i="21" s="1"/>
  <c r="AI37" i="20"/>
  <c r="K18" i="21" s="1"/>
  <c r="K19" i="21" s="1"/>
  <c r="AH37"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 ali</author>
  </authors>
  <commentList>
    <comment ref="D16" authorId="0" shapeId="0" xr:uid="{00000000-0006-0000-0100-000001000000}">
      <text>
        <r>
          <rPr>
            <b/>
            <sz val="9"/>
            <color indexed="81"/>
            <rFont val="Tahoma"/>
            <family val="2"/>
          </rPr>
          <t>15ساعت و 53دقیقه</t>
        </r>
        <r>
          <rPr>
            <sz val="9"/>
            <color indexed="81"/>
            <rFont val="Tahoma"/>
            <family val="2"/>
          </rPr>
          <t xml:space="preserve">
</t>
        </r>
      </text>
    </comment>
    <comment ref="D18" authorId="0" shapeId="0" xr:uid="{00000000-0006-0000-0100-000002000000}">
      <text>
        <r>
          <rPr>
            <b/>
            <sz val="9"/>
            <color indexed="81"/>
            <rFont val="Tahoma"/>
            <family val="2"/>
          </rPr>
          <t>7ساعت و 20دقیقه</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<sst xmlns="http://schemas.openxmlformats.org/spreadsheetml/2006/main" count="1053" uniqueCount="190">
  <si>
    <t xml:space="preserve">قوانین پایه </t>
  </si>
  <si>
    <t>ردیف</t>
  </si>
  <si>
    <t>شرح</t>
  </si>
  <si>
    <t>مبلغ</t>
  </si>
  <si>
    <t>حق مسکن</t>
  </si>
  <si>
    <t>حق خواربار</t>
  </si>
  <si>
    <t>پایه سنوات روزانه</t>
  </si>
  <si>
    <t>حق سنوات</t>
  </si>
  <si>
    <t>حداقل عیدی</t>
  </si>
  <si>
    <t>حداکثر عیدی</t>
  </si>
  <si>
    <t>تعداد روز سال</t>
  </si>
  <si>
    <t>کارکرد</t>
  </si>
  <si>
    <t xml:space="preserve">دستمزد روزانه </t>
  </si>
  <si>
    <t>تعداد فرزندان</t>
  </si>
  <si>
    <t>حق اولاد</t>
  </si>
  <si>
    <t>وام</t>
  </si>
  <si>
    <t>مساعده</t>
  </si>
  <si>
    <t>جمع حقوق و مزایا</t>
  </si>
  <si>
    <t xml:space="preserve">جمع حقوق و مزایای مشمول بیمه </t>
  </si>
  <si>
    <t>بیمه پرداختنی</t>
  </si>
  <si>
    <t>مالیات پرداختنی</t>
  </si>
  <si>
    <t>جمع کسورات</t>
  </si>
  <si>
    <t>خالص قابل پرداخت</t>
  </si>
  <si>
    <t>نام</t>
  </si>
  <si>
    <t>فروردین</t>
  </si>
  <si>
    <t>اردیبهشت</t>
  </si>
  <si>
    <t>تیر</t>
  </si>
  <si>
    <t>مرداد</t>
  </si>
  <si>
    <t>شهریور</t>
  </si>
  <si>
    <t>مهر</t>
  </si>
  <si>
    <t>آبان</t>
  </si>
  <si>
    <t>آذر</t>
  </si>
  <si>
    <t>دی</t>
  </si>
  <si>
    <t>بهمن</t>
  </si>
  <si>
    <t>اسفند</t>
  </si>
  <si>
    <t>جمع</t>
  </si>
  <si>
    <t>ماه</t>
  </si>
  <si>
    <t>حقوق پایه</t>
  </si>
  <si>
    <t>بازخرید سنوات</t>
  </si>
  <si>
    <t>تاریخ ارسال لیست به اداره مالیات</t>
  </si>
  <si>
    <t>خرداد</t>
  </si>
  <si>
    <t>عیدی</t>
  </si>
  <si>
    <t>شماره قبض مالیات</t>
  </si>
  <si>
    <t>از</t>
  </si>
  <si>
    <t>تا</t>
  </si>
  <si>
    <t>نسبت مازاد</t>
  </si>
  <si>
    <t xml:space="preserve">مدت اضافه کاری </t>
  </si>
  <si>
    <t>اضافه کاری</t>
  </si>
  <si>
    <t>تعداد
فرزندان</t>
  </si>
  <si>
    <t xml:space="preserve">جمع حقوق و مزایای
مشمول بیمه </t>
  </si>
  <si>
    <t>جمع حقوق و مزایای
مشمول مالیات</t>
  </si>
  <si>
    <t xml:space="preserve">مدت
اضافه کاری </t>
  </si>
  <si>
    <t>معافیت مالیاتی ماهانه حقوق</t>
  </si>
  <si>
    <t>جمع ح و م</t>
  </si>
  <si>
    <t xml:space="preserve">جمع ح و م م بیمه </t>
  </si>
  <si>
    <t>جمع ح و م م مالیات</t>
  </si>
  <si>
    <t>نام خانوادگی</t>
  </si>
  <si>
    <t>خالص
قابل پرداخت</t>
  </si>
  <si>
    <t>مالیات
پرداختنی</t>
  </si>
  <si>
    <t>حق بیمه
پرداختنی</t>
  </si>
  <si>
    <t>حداقل حقوق پایه روزانه</t>
  </si>
  <si>
    <t>حداقل حقوق ماهانه 30 روزه</t>
  </si>
  <si>
    <t>متوسط ساعت کاری روزانه</t>
  </si>
  <si>
    <t>تعداد روزهای کاری در هفته</t>
  </si>
  <si>
    <t>مرخصی ماهانه</t>
  </si>
  <si>
    <t>مرخصی سالانه</t>
  </si>
  <si>
    <t>حق مسکن ماهانه</t>
  </si>
  <si>
    <t>حق خواربار ماهانه</t>
  </si>
  <si>
    <t>حق اولاد یک نفر ماهانه</t>
  </si>
  <si>
    <t>حق اولاد 2 نفر ماهانه</t>
  </si>
  <si>
    <t>توضیحات</t>
  </si>
  <si>
    <t>جمع افقی</t>
  </si>
  <si>
    <t>تاریخ سند</t>
  </si>
  <si>
    <t>شماره سند</t>
  </si>
  <si>
    <t>سهم بیمه کارمند
7%</t>
  </si>
  <si>
    <t>کل حق بیمه
30%</t>
  </si>
  <si>
    <t>تاریخ ارسال لیست
به اداره مالیات</t>
  </si>
  <si>
    <t xml:space="preserve">جمع حقوق و مزایای
مشمول مالیات </t>
  </si>
  <si>
    <t>شماره ماه</t>
  </si>
  <si>
    <t>حق و خواروبار</t>
  </si>
  <si>
    <t xml:space="preserve">جمع حقوق و مزایای مشمول مالیات </t>
  </si>
  <si>
    <t>سهم بیمه کارمند 7%</t>
  </si>
  <si>
    <t>کل حق بیمه 30%</t>
  </si>
  <si>
    <t>طبقه 1</t>
  </si>
  <si>
    <t>طبقه 2</t>
  </si>
  <si>
    <t>طبقه 3</t>
  </si>
  <si>
    <t>طبقه 4</t>
  </si>
  <si>
    <t>طبقه 5</t>
  </si>
  <si>
    <t>طبقات مالیاتی</t>
  </si>
  <si>
    <t>حداکثر مالیات هر طبقه
(ریال)</t>
  </si>
  <si>
    <t>تجمیعی
(ریال)</t>
  </si>
  <si>
    <t>نرخ
مالیات</t>
  </si>
  <si>
    <t>دو دوازدهم مزایای غیرنقدی پرداختی به کارکنان</t>
  </si>
  <si>
    <t>وجوه حاصل از بیمه بابت جبران خسارت بدنی و معالجه و امثال آن</t>
  </si>
  <si>
    <t>وجوهی که کارفرما بابت هزینه معالجه کارکنان خود یا افراد تحت تکفل آنها مستقیماً یا به وسیله حقوق بگیر به پزشک یا بیمارستان به استناد اسناد و مدارک مثبته پرداخت کند.</t>
  </si>
  <si>
    <t>بازخرید ایام مرخصی</t>
  </si>
  <si>
    <t>هزینه سفر و فوق العاده مأموریت</t>
  </si>
  <si>
    <t>عیدی و پاداش پایان سال</t>
  </si>
  <si>
    <t>مابه التفاوت کمک هزینه مسکن و خواربار در ایام بیماری</t>
  </si>
  <si>
    <t>حق شیر</t>
  </si>
  <si>
    <t>پاداش نهضت سواد آموزی</t>
  </si>
  <si>
    <t>حق التضمین یا کسر صندوق</t>
  </si>
  <si>
    <t>خسارت اخراج و مزایای پایان کار</t>
  </si>
  <si>
    <t>پاداش افزایش تولید</t>
  </si>
  <si>
    <t xml:space="preserve">برای محاسبه مزایا باید نسبت کارکرد را در مزایای ماهانه ضرب کرد
فرضاً شخصی که کارکردش در فروردین ماه، 20 روز است
با توجه به این که فروردین ماه 31 روز است
نسبت کارکرد این شخص، 20/31 خواهد بود
و فرضاً حق مسکن وی برابر است با: ریال  645،161= 20*(1،000،000/31)
------
قانون گفته مبنا 30 روز میباشد
یعنی برای 31 روز و 29 روز هم مبلغ مزایا یکسان است
برای مثال حق مسکنِ همه ماه ها همان 1،000،000 ریال خواهد بود
به بیان دیگر مزایا به صورت ماهانه و ثابت به شخص تعلق میگیرد
------
شرایط دریافت حق اولاد: کارپذیر باید حتما 720 روز سابقه بیمه
در سازمان تأمین اجتماعی داشته باشد.
و طبق در ماده واحده قانون اصلاح قوانین تنظیم جمعیت و خانواده از 1392/04/29 محدودیت تعداد فرزندان حذف شده و به تمام فرزندان حق اولاد یا کمک عائله مندی تعلق می گیرد.
</t>
  </si>
  <si>
    <t>موارد معاف از مالیات حقوق و دستمزد </t>
  </si>
  <si>
    <t>پنجاه درصد مالیات حقوق کارکنان شاغل در مناطق کمتر توسعه یافته : طبق ماده 92 قانون مالیات های مستقیم</t>
  </si>
  <si>
    <t>صد درصد حقوق پرسنل شاغل در مناطق آزاد تجاری: به استناد رای شماره 30/4/2090 مورخ 1374/03/24 هیئت عمومی شورای عالی مالیاتی و با توجه به مفاد ماده 13 قانون چگونگی اداره مناطق ازاد تجاری- صنعتی جمهوری اسلامی ایران</t>
  </si>
  <si>
    <t>دو هفتم بیمه سهم کارگراز حق بیمه طبق بخشنامه شماره 211/4385/19418 مورخ 1383/11/07</t>
  </si>
  <si>
    <t>و معافیت مالیات حقوق شامل تمام 13 بند ذکر شده در ماده 91 قانون مالیات های مستقیم که به شرح زیر می باشد:</t>
  </si>
  <si>
    <t> روسا و اعضای مأموریت‌های سیاسی خارجی در ایران و روسا و اعضای هیأت‌های نمایندگی فوق‌العاده دول خارجی نسبت به درآمد حقوق دریافتی از دولت متبوع خود به شرط معامله متقابل و همچنین روسا و اعضای هیأت‌های نمایندگی سازمان ملل متحد و موسسات تخصصی آن در‌ایران نسبت به درآمد حقوق دریافتی از سازمان و موسسات مزبور در صورتی که تابع دولت جمهوری اسلامی ایران نباشند</t>
  </si>
  <si>
    <t>روسا و اعضای مأموریت‌های کنسولی خارجی در ایران و همچنین کارمندان موسسات فرهنگی دول خارجی نسبت درآمد حقوق دریافتی از دول متبوع خود به شرط معامله متقابل</t>
  </si>
  <si>
    <t>کارشناس خارجی که با موافقت دولت جمهوری اسلامی ایران از محل کمک‌های بلاعوض فنی و اقتصادی و علمی و فرهنگی دول خارجی و‌یا موسسات بین‌المللی به ایران اعزام می‌شوند نسبت به حقوق دریافتی آنان از دول متبوع یا موسسات بین‌المللی مذکور</t>
  </si>
  <si>
    <t>کارمندان محلی سفارتخانه‌ها و کنسولگریها و نمایندگی‌های دولت جمهوری اسلامی ایران در خارج نسبت به درآمد حقوق دریافتی از دولت‌ جمهوری اسلامی ایران در صورتی که دارای تابعیت دولت جمهوری اسلامی ایران نباشند به شرط معامله متقابل.</t>
  </si>
  <si>
    <t>حقوق بازنشستگی و وظیفه و مستمری و پایان خدمت و خسارت اخراج و بازخرید خدمت و وظیفه یا مستمری پرداختی به وراث و حق سنوات و حقوق ایام مرخصی استفاده نشده. (حق سنوات چه هرماه پرداخت شود و چه در پایان سال از مالیات بر حقوق معاف است. )</t>
  </si>
  <si>
    <t>هزینه سفر و فوق‌العاده مسافرت مربوط به شغل (فوق العاده ماموریت در صورتیکه مرتبط با فعالیت شرکت و ۵۰ کیلومتر از محل اصلی شرکت دور و یا ناچار به توقف شبانه جهت انجام کار موقت باشد)</t>
  </si>
  <si>
    <t>مسکن واگذاری در محل کارگاه یا کارخانه جهت استفاده کارگران و خانه‌های ارزان قیمت سازمانی در خارج از محل کارگاه یا کارخانه که مورد ‌استفاده کارگران قرار می­گیرد</t>
  </si>
  <si>
    <t>یک دوازدهم عیدی یعنی یک ماه عیدی از دوازده ماه کسر میگردد (موضوع ماده 84 این قانون‌)</t>
  </si>
  <si>
    <t>خانه‌های سازمانی که با اجازه قانونی یا به موجب آیین‌نامه‌های خاص در اختیار مأموران کشوری گذارده می‌شود.</t>
  </si>
  <si>
    <t>حقوق پرسنل نیروهای مسلح جمهوری اسلامی ایران اعم از نظامی و انتظامی، مشمولان قانون استخدامی وزارت اطلاعات و جانبازان انقلاب اسلامی و جنگ تحمیلی و آزادگان</t>
  </si>
  <si>
    <t>مزایایی که مشمول کسر حق بیمه نیست ؟</t>
  </si>
  <si>
    <t xml:space="preserve">حداکثر حقوق مشمول بیمه </t>
  </si>
  <si>
    <t>هزینه عائله مندی</t>
  </si>
  <si>
    <t>نام شرکت:</t>
  </si>
  <si>
    <t>سال:</t>
  </si>
  <si>
    <t>صورتحساب حقوق و مزایای کارکنان</t>
  </si>
  <si>
    <t>مبلغ قابل پرداخت</t>
  </si>
  <si>
    <t>نام و نام خانوادگی:</t>
  </si>
  <si>
    <t>پرداختی</t>
  </si>
  <si>
    <t>کسورات</t>
  </si>
  <si>
    <t>امضاء و تاریخ پرداخت کننده:</t>
  </si>
  <si>
    <t>امضاء و تاریخ دریافت کننده:</t>
  </si>
  <si>
    <t>سنوات</t>
  </si>
  <si>
    <t>Column1</t>
  </si>
  <si>
    <t>جمع کارکرد</t>
  </si>
  <si>
    <t>Column2</t>
  </si>
  <si>
    <t>Column3</t>
  </si>
  <si>
    <t>Column4</t>
  </si>
  <si>
    <t>Column5</t>
  </si>
  <si>
    <t>Column6</t>
  </si>
  <si>
    <t>Column7</t>
  </si>
  <si>
    <t>Column8</t>
  </si>
  <si>
    <t>Column9</t>
  </si>
  <si>
    <t>Column10</t>
  </si>
  <si>
    <t>Column11</t>
  </si>
  <si>
    <t>Column12</t>
  </si>
  <si>
    <t>Column13</t>
  </si>
  <si>
    <t>کارکرد عادی</t>
  </si>
  <si>
    <t>Column14</t>
  </si>
  <si>
    <t>Column132</t>
  </si>
  <si>
    <t>Column133</t>
  </si>
  <si>
    <t>Column134</t>
  </si>
  <si>
    <t>Column1332</t>
  </si>
  <si>
    <t>عیدی ثابت</t>
  </si>
  <si>
    <t>محاسبه عیدی</t>
  </si>
  <si>
    <t>Column1333</t>
  </si>
  <si>
    <t>Column1334</t>
  </si>
  <si>
    <t>مبنای سنوات</t>
  </si>
  <si>
    <t>*</t>
  </si>
  <si>
    <t>کارانه بهره وري</t>
  </si>
  <si>
    <t>-</t>
  </si>
  <si>
    <t>پاداش اضافه توليد</t>
  </si>
  <si>
    <t>کمک هزينه ورزش</t>
  </si>
  <si>
    <t>حق التضمين (کسري صندوق)</t>
  </si>
  <si>
    <t>کمک هزينه مهد کودک</t>
  </si>
  <si>
    <t>نوبت کاري ( ثبت کاري)</t>
  </si>
  <si>
    <t>حق جذب</t>
  </si>
  <si>
    <t>حق سرپرستي</t>
  </si>
  <si>
    <t>حق مسئوليت</t>
  </si>
  <si>
    <t>خواربار (يارانه غذا)</t>
  </si>
  <si>
    <t>کمک هزينه تلفن همراه</t>
  </si>
  <si>
    <t>هزينه سفر و فوق العاده ماموريت خارجي</t>
  </si>
  <si>
    <t>هزينه سفر و فوق العاده ماموريت داخلي</t>
  </si>
  <si>
    <t>بازخريد ايام مرخصي و خسارت اخراج و مزاياي پايان خدمت</t>
  </si>
  <si>
    <t>عيدي و پاداش سالانه ( يک دوازدهم معافيت)</t>
  </si>
  <si>
    <t>اياب و ذهاب</t>
  </si>
  <si>
    <t>اضافه کار</t>
  </si>
  <si>
    <t>حق اولاد ( سه برابر حق حداقل مزد) به شرط 720 روز بيمه و سن فرزند کمتر از 18 سال</t>
  </si>
  <si>
    <t>هزينه عائله مندي (حق اولاد)</t>
  </si>
  <si>
    <t>مزاياي غير نقدي (شامل بن کارگري)</t>
  </si>
  <si>
    <t>حق مسکن (کمک هزينه مسکن)</t>
  </si>
  <si>
    <t>حقوق پايه</t>
  </si>
  <si>
    <t>بيمه</t>
  </si>
  <si>
    <t>ماليات</t>
  </si>
  <si>
    <t>شرح حقوق</t>
  </si>
  <si>
    <t>رديف</t>
  </si>
  <si>
    <t>پندار حساب شهسوار</t>
  </si>
  <si>
    <t>Column1322</t>
  </si>
  <si>
    <t>معافیت عیدی</t>
  </si>
  <si>
    <t>شماره لیست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</si>
</sst>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_);_(* \(#,##0\);_(* &quot;-&quot;_);_(@_)"/>
    <numFmt numFmtId="165" formatCode="_-* #,##0.00_-;_-* #,##0.00\-;_-* &quot;-&quot;??_-;_-@_-"/>
    <numFmt numFmtId="166" formatCode="_-* #,##0_-;_-* #,##0\-;_-* &quot;-&quot;??_-;_-@_-"/>
    <numFmt numFmtId="167" formatCode="[$-3000401]0%"/>
    <numFmt numFmtId="168" formatCode="\ 00"/>
    <numFmt numFmtId="169" formatCode="00"/>
    <numFmt numFmtId="170" formatCode="\ @"/>
    <numFmt numFmtId="171" formatCode="\ #,##0;\ \(#,##0\)"/>
    <numFmt numFmtId="172" formatCode="\ 0"/>
    <numFmt numFmtId="173" formatCode="#\ \ر\و\ز"/>
    <numFmt numFmtId="174" formatCode="[h]:mm"/>
  </numFmts>
  <fonts count="34">
    <font>
      <sz val="11"/>
      <color theme="1"/>
      <name val="Arial"/>
      <family val="2"/>
      <charset val="178"/>
      <scheme val="minor"/>
    </font>
    <font>
      <sz val="11"/>
      <color theme="1"/>
      <name val="Arial"/>
      <family val="2"/>
      <charset val="178"/>
      <scheme val="minor"/>
    </font>
    <font>
      <sz val="11"/>
      <color theme="1"/>
      <name val="B Nazanin"/>
      <charset val="178"/>
    </font>
    <font>
      <sz val="14"/>
      <color theme="1"/>
      <name val="B Nazanin"/>
      <charset val="178"/>
    </font>
    <font>
      <b/>
      <sz val="18"/>
      <color theme="1"/>
      <name val="B Nazanin"/>
      <charset val="178"/>
    </font>
    <font>
      <b/>
      <sz val="14"/>
      <color theme="1"/>
      <name val="B Nazanin"/>
      <charset val="178"/>
    </font>
    <font>
      <sz val="13"/>
      <color theme="1"/>
      <name val="B Nazanin"/>
      <charset val="178"/>
    </font>
    <font>
      <sz val="9"/>
      <color indexed="81"/>
      <name val="Tahoma"/>
      <family val="2"/>
    </font>
    <font>
      <b/>
      <sz val="9"/>
      <color indexed="81"/>
      <name val="Tahoma"/>
      <family val="2"/>
    </font>
    <font>
      <b/>
      <sz val="22"/>
      <name val="B Nazanin"/>
      <charset val="178"/>
    </font>
    <font>
      <b/>
      <sz val="26"/>
      <name val="B Nazanin"/>
      <charset val="178"/>
    </font>
    <font>
      <b/>
      <sz val="14"/>
      <name val="B Nazanin"/>
      <charset val="178"/>
    </font>
    <font>
      <b/>
      <sz val="13"/>
      <name val="B Nazanin"/>
      <charset val="178"/>
    </font>
    <font>
      <sz val="14"/>
      <color theme="0" tint="-0.14999847407452621"/>
      <name val="B Nazanin"/>
      <charset val="178"/>
    </font>
    <font>
      <sz val="14"/>
      <name val="B Nazanin"/>
      <charset val="178"/>
    </font>
    <font>
      <sz val="18"/>
      <color theme="1"/>
      <name val="B Nazanin"/>
      <charset val="178"/>
    </font>
    <font>
      <b/>
      <sz val="12"/>
      <color rgb="FF000000"/>
      <name val="B Nazanin"/>
      <charset val="178"/>
    </font>
    <font>
      <sz val="12"/>
      <color theme="1"/>
      <name val="B Nazanin"/>
      <charset val="178"/>
    </font>
    <font>
      <sz val="12"/>
      <color rgb="FF000000"/>
      <name val="B Nazanin"/>
      <charset val="178"/>
    </font>
    <font>
      <b/>
      <sz val="16"/>
      <name val="B Nazanin"/>
      <charset val="178"/>
    </font>
    <font>
      <b/>
      <sz val="16"/>
      <color theme="1"/>
      <name val="B Nazanin"/>
      <charset val="178"/>
    </font>
    <font>
      <sz val="28"/>
      <color theme="9" tint="-0.499984740745262"/>
      <name val="B Nazanin"/>
      <charset val="178"/>
    </font>
    <font>
      <sz val="16"/>
      <name val="B Nazanin"/>
      <charset val="178"/>
    </font>
    <font>
      <sz val="16"/>
      <color theme="1"/>
      <name val="B Nazanin"/>
      <charset val="178"/>
    </font>
    <font>
      <sz val="15"/>
      <color theme="1"/>
      <name val="B Nazanin"/>
      <charset val="178"/>
    </font>
    <font>
      <sz val="20"/>
      <color theme="1"/>
      <name val="IranNastaliq"/>
      <family val="1"/>
    </font>
    <font>
      <sz val="11"/>
      <color theme="1"/>
      <name val="B Titr"/>
      <charset val="178"/>
    </font>
    <font>
      <b/>
      <sz val="11"/>
      <color theme="1"/>
      <name val="B Nazanin"/>
      <charset val="178"/>
    </font>
    <font>
      <b/>
      <sz val="10"/>
      <name val="B Nazanin"/>
      <charset val="178"/>
    </font>
    <font>
      <b/>
      <sz val="11"/>
      <name val="B Nazanin"/>
      <charset val="178"/>
    </font>
    <font>
      <sz val="8"/>
      <name val="Arial"/>
      <family val="2"/>
      <charset val="178"/>
      <scheme val="minor"/>
    </font>
    <font>
      <b/>
      <sz val="12"/>
      <color theme="1"/>
      <name val="B Nazanin"/>
      <charset val="178"/>
    </font>
    <font>
      <sz val="14"/>
      <name val="B Nazanin"/>
    </font>
    <font>
      <sz val="14"/>
      <color theme="0" tint="-0.14999847407452621"/>
      <name val="B Nazanin"/>
    </font>
  </fonts>
  <fills count="12">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gradientFill degree="45">
        <stop position="0">
          <color theme="0"/>
        </stop>
        <stop position="1">
          <color theme="6" tint="0.40000610370189521"/>
        </stop>
      </gradientFill>
    </fill>
    <fill>
      <gradientFill degree="45">
        <stop position="0">
          <color theme="0"/>
        </stop>
        <stop position="1">
          <color theme="7" tint="0.59999389629810485"/>
        </stop>
      </gradientFill>
    </fill>
    <fill>
      <patternFill patternType="solid">
        <fgColor theme="5" tint="0.39997558519241921"/>
        <bgColor indexed="64"/>
      </patternFill>
    </fill>
    <fill>
      <patternFill patternType="solid">
        <fgColor theme="5" tint="0.79998168889431442"/>
        <bgColor indexed="64"/>
      </patternFill>
    </fill>
    <fill>
      <gradientFill degree="45">
        <stop position="0">
          <color rgb="FFFFFFFF"/>
        </stop>
        <stop position="1">
          <color rgb="FFCCC0DA"/>
        </stop>
      </gradientFill>
    </fill>
  </fills>
  <borders count="46">
    <border>
      <left/>
      <right/>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theme="7"/>
      </left>
      <right style="thin">
        <color theme="7"/>
      </right>
      <top style="thin">
        <color theme="7"/>
      </top>
      <bottom style="thin">
        <color theme="7"/>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n">
        <color theme="7"/>
      </left>
      <right style="thin">
        <color theme="7"/>
      </right>
      <top style="thin">
        <color theme="7"/>
      </top>
      <bottom/>
      <diagonal/>
    </border>
    <border>
      <left style="thin">
        <color theme="7"/>
      </left>
      <right style="thin">
        <color theme="7"/>
      </right>
      <top/>
      <bottom style="thin">
        <color theme="7"/>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n">
        <color indexed="64"/>
      </top>
      <bottom style="double">
        <color indexed="64"/>
      </bottom>
      <diagonal/>
    </border>
    <border>
      <left/>
      <right/>
      <top/>
      <bottom style="thin">
        <color theme="7"/>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hair">
        <color auto="1"/>
      </bottom>
      <diagonal/>
    </border>
    <border>
      <left/>
      <right style="thin">
        <color theme="6"/>
      </right>
      <top/>
      <bottom/>
      <diagonal/>
    </border>
    <border>
      <left style="thin">
        <color theme="6"/>
      </left>
      <right/>
      <top/>
      <bottom/>
      <diagonal/>
    </border>
    <border>
      <left style="thin">
        <color theme="6"/>
      </left>
      <right style="thin">
        <color theme="6"/>
      </right>
      <top/>
      <bottom/>
      <diagonal/>
    </border>
    <border>
      <left style="thin">
        <color theme="7"/>
      </left>
      <right/>
      <top/>
      <bottom/>
      <diagonal/>
    </border>
  </borders>
  <cellStyleXfs count="3">
    <xf numFmtId="0" fontId="0" fillId="0" borderId="0"/>
    <xf numFmtId="165" fontId="1" fillId="0" borderId="0" applyFont="0" applyFill="0" applyBorder="0" applyAlignment="0" applyProtection="0"/>
    <xf numFmtId="164" fontId="1" fillId="0" borderId="0" applyFont="0" applyFill="0" applyBorder="0" applyAlignment="0" applyProtection="0"/>
  </cellStyleXfs>
  <cellXfs count="153">
    <xf numFmtId="0" fontId="0" fillId="0" borderId="0" xfId="0"/>
    <xf numFmtId="0" fontId="2" fillId="0" borderId="0" xfId="0" applyFont="1" applyAlignment="1">
      <alignment horizontal="right" vertical="center" readingOrder="2"/>
    </xf>
    <xf numFmtId="0" fontId="3" fillId="0" borderId="0" xfId="0" applyFont="1" applyAlignment="1">
      <alignment horizontal="right" vertical="center" readingOrder="2"/>
    </xf>
    <xf numFmtId="0" fontId="4" fillId="0" borderId="0" xfId="0" applyFont="1" applyAlignment="1">
      <alignment horizontal="right" vertical="center" readingOrder="2"/>
    </xf>
    <xf numFmtId="0" fontId="4" fillId="0" borderId="0" xfId="0" applyFont="1" applyAlignment="1">
      <alignment horizontal="center" vertical="center" readingOrder="2"/>
    </xf>
    <xf numFmtId="0" fontId="4" fillId="0" borderId="0" xfId="0" applyFont="1" applyAlignment="1">
      <alignment horizontal="center" vertical="center"/>
    </xf>
    <xf numFmtId="0" fontId="5" fillId="0" borderId="5" xfId="0" applyFont="1" applyBorder="1" applyAlignment="1">
      <alignment horizontal="center" vertical="center" readingOrder="2"/>
    </xf>
    <xf numFmtId="0" fontId="2" fillId="0" borderId="0" xfId="0" applyFont="1" applyAlignment="1">
      <alignment horizontal="center" vertical="center" readingOrder="2"/>
    </xf>
    <xf numFmtId="167" fontId="6" fillId="0" borderId="5" xfId="0" applyNumberFormat="1" applyFont="1" applyBorder="1" applyAlignment="1">
      <alignment horizontal="center" vertical="center" readingOrder="2"/>
    </xf>
    <xf numFmtId="3" fontId="6" fillId="0" borderId="5" xfId="0" applyNumberFormat="1" applyFont="1" applyBorder="1" applyAlignment="1">
      <alignment horizontal="center" vertical="center" readingOrder="2"/>
    </xf>
    <xf numFmtId="3" fontId="2" fillId="0" borderId="0" xfId="0" applyNumberFormat="1" applyFont="1" applyAlignment="1">
      <alignment horizontal="center" vertical="center" readingOrder="2"/>
    </xf>
    <xf numFmtId="0" fontId="6" fillId="0" borderId="5" xfId="0" applyFont="1" applyBorder="1" applyAlignment="1">
      <alignment horizontal="center" vertical="center" readingOrder="2"/>
    </xf>
    <xf numFmtId="0" fontId="3" fillId="0" borderId="0" xfId="0" applyFont="1" applyAlignment="1">
      <alignment horizontal="center" vertical="center" readingOrder="2"/>
    </xf>
    <xf numFmtId="166" fontId="6" fillId="0" borderId="5" xfId="1" applyNumberFormat="1" applyFont="1" applyBorder="1" applyAlignment="1">
      <alignment horizontal="center" vertical="center" readingOrder="2"/>
    </xf>
    <xf numFmtId="171" fontId="2" fillId="0" borderId="0" xfId="0" applyNumberFormat="1" applyFont="1" applyAlignment="1">
      <alignment horizontal="right" vertical="center" readingOrder="2"/>
    </xf>
    <xf numFmtId="0" fontId="2" fillId="0" borderId="0" xfId="0" applyFont="1" applyAlignment="1" applyProtection="1">
      <alignment horizontal="center" vertical="center" readingOrder="2"/>
      <protection locked="0"/>
    </xf>
    <xf numFmtId="0" fontId="13" fillId="6" borderId="0" xfId="0" applyFont="1" applyFill="1" applyAlignment="1">
      <alignment horizontal="center" vertical="center" readingOrder="2"/>
    </xf>
    <xf numFmtId="170" fontId="14" fillId="0" borderId="0" xfId="0" applyNumberFormat="1" applyFont="1" applyAlignment="1">
      <alignment horizontal="right" vertical="center" shrinkToFit="1" readingOrder="2"/>
    </xf>
    <xf numFmtId="0" fontId="14" fillId="0" borderId="0" xfId="0" applyFont="1" applyAlignment="1">
      <alignment horizontal="center" vertical="center" shrinkToFit="1" readingOrder="2"/>
    </xf>
    <xf numFmtId="170" fontId="14" fillId="0" borderId="0" xfId="0" applyNumberFormat="1" applyFont="1" applyAlignment="1" applyProtection="1">
      <alignment horizontal="center" vertical="center" shrinkToFit="1" readingOrder="2"/>
      <protection locked="0"/>
    </xf>
    <xf numFmtId="1" fontId="14" fillId="0" borderId="0" xfId="0" applyNumberFormat="1" applyFont="1" applyAlignment="1" applyProtection="1">
      <alignment horizontal="right" vertical="center" shrinkToFit="1" readingOrder="2"/>
      <protection locked="0"/>
    </xf>
    <xf numFmtId="171" fontId="14" fillId="0" borderId="0" xfId="1" applyNumberFormat="1" applyFont="1" applyAlignment="1">
      <alignment horizontal="right" vertical="center" shrinkToFit="1" readingOrder="2"/>
    </xf>
    <xf numFmtId="171" fontId="14" fillId="0" borderId="0" xfId="0" applyNumberFormat="1" applyFont="1" applyAlignment="1">
      <alignment horizontal="right" vertical="center" shrinkToFit="1" readingOrder="2"/>
    </xf>
    <xf numFmtId="1" fontId="14" fillId="8" borderId="0" xfId="0" applyNumberFormat="1" applyFont="1" applyFill="1" applyAlignment="1">
      <alignment horizontal="right" vertical="center" shrinkToFit="1" readingOrder="2"/>
    </xf>
    <xf numFmtId="0" fontId="14" fillId="8" borderId="0" xfId="0" applyFont="1" applyFill="1" applyAlignment="1">
      <alignment horizontal="center" vertical="center" shrinkToFit="1" readingOrder="2"/>
    </xf>
    <xf numFmtId="171" fontId="14" fillId="8" borderId="0" xfId="0" applyNumberFormat="1" applyFont="1" applyFill="1" applyAlignment="1">
      <alignment horizontal="right" vertical="center" shrinkToFit="1" readingOrder="2"/>
    </xf>
    <xf numFmtId="1" fontId="14" fillId="0" borderId="0" xfId="0" applyNumberFormat="1" applyFont="1" applyAlignment="1">
      <alignment horizontal="center" vertical="center" shrinkToFit="1" readingOrder="2"/>
    </xf>
    <xf numFmtId="170" fontId="14" fillId="0" borderId="0" xfId="0" applyNumberFormat="1" applyFont="1" applyAlignment="1" applyProtection="1">
      <alignment horizontal="right" vertical="center" shrinkToFit="1" readingOrder="2"/>
      <protection locked="0"/>
    </xf>
    <xf numFmtId="0" fontId="11" fillId="5" borderId="10" xfId="0" applyFont="1" applyFill="1" applyBorder="1" applyAlignment="1">
      <alignment horizontal="center" vertical="center" wrapText="1" readingOrder="2"/>
    </xf>
    <xf numFmtId="0" fontId="11" fillId="5" borderId="10" xfId="0" applyFont="1" applyFill="1" applyBorder="1" applyAlignment="1">
      <alignment horizontal="center" vertical="center" readingOrder="2"/>
    </xf>
    <xf numFmtId="0" fontId="11" fillId="5" borderId="10" xfId="0" applyFont="1" applyFill="1" applyBorder="1" applyAlignment="1" applyProtection="1">
      <alignment horizontal="center" vertical="center" readingOrder="2"/>
      <protection hidden="1"/>
    </xf>
    <xf numFmtId="166" fontId="13" fillId="6" borderId="0" xfId="1" applyNumberFormat="1" applyFont="1" applyFill="1" applyAlignment="1">
      <alignment horizontal="center" vertical="center" readingOrder="2"/>
    </xf>
    <xf numFmtId="0" fontId="15" fillId="0" borderId="0" xfId="0" applyFont="1" applyAlignment="1">
      <alignment horizontal="right" vertical="center" readingOrder="2"/>
    </xf>
    <xf numFmtId="168" fontId="14" fillId="8" borderId="0" xfId="0" applyNumberFormat="1" applyFont="1" applyFill="1" applyAlignment="1">
      <alignment horizontal="right" vertical="center" shrinkToFit="1" readingOrder="2"/>
    </xf>
    <xf numFmtId="49" fontId="14" fillId="8" borderId="0" xfId="0" applyNumberFormat="1" applyFont="1" applyFill="1" applyAlignment="1">
      <alignment horizontal="center" vertical="center" shrinkToFit="1" readingOrder="2"/>
    </xf>
    <xf numFmtId="171" fontId="14" fillId="8" borderId="0" xfId="0" applyNumberFormat="1" applyFont="1" applyFill="1" applyAlignment="1">
      <alignment horizontal="center" vertical="center" shrinkToFit="1" readingOrder="2"/>
    </xf>
    <xf numFmtId="172" fontId="14" fillId="8" borderId="0" xfId="0" applyNumberFormat="1" applyFont="1" applyFill="1" applyAlignment="1">
      <alignment horizontal="right" vertical="center" shrinkToFit="1" readingOrder="2"/>
    </xf>
    <xf numFmtId="0" fontId="16" fillId="9" borderId="5" xfId="0" applyFont="1" applyFill="1" applyBorder="1" applyAlignment="1">
      <alignment horizontal="center" vertical="center" wrapText="1"/>
    </xf>
    <xf numFmtId="0" fontId="17" fillId="0" borderId="0" xfId="0" applyFont="1" applyAlignment="1">
      <alignment horizontal="right"/>
    </xf>
    <xf numFmtId="0" fontId="18" fillId="10" borderId="5" xfId="0" applyFont="1" applyFill="1" applyBorder="1" applyAlignment="1">
      <alignment horizontal="center" vertical="center" wrapText="1"/>
    </xf>
    <xf numFmtId="0" fontId="18" fillId="10" borderId="5" xfId="0" applyFont="1" applyFill="1" applyBorder="1" applyAlignment="1">
      <alignment horizontal="right" vertical="center" wrapText="1"/>
    </xf>
    <xf numFmtId="0" fontId="17" fillId="0" borderId="0" xfId="0" applyFont="1" applyAlignment="1">
      <alignment horizontal="center" vertical="center"/>
    </xf>
    <xf numFmtId="0" fontId="17" fillId="0" borderId="0" xfId="0" applyFont="1" applyAlignment="1">
      <alignment horizontal="right" vertical="center"/>
    </xf>
    <xf numFmtId="0" fontId="2" fillId="0" borderId="0" xfId="0" applyFont="1" applyAlignment="1">
      <alignment vertical="center"/>
    </xf>
    <xf numFmtId="0" fontId="22" fillId="8" borderId="1"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3" xfId="0" applyFont="1" applyFill="1" applyBorder="1" applyAlignment="1">
      <alignment horizontal="center" vertical="center"/>
    </xf>
    <xf numFmtId="0" fontId="22" fillId="4" borderId="4" xfId="0" applyFont="1" applyFill="1" applyBorder="1" applyAlignment="1">
      <alignment horizontal="center" vertical="center"/>
    </xf>
    <xf numFmtId="0" fontId="22" fillId="2" borderId="5" xfId="0" applyFont="1" applyFill="1" applyBorder="1" applyAlignment="1">
      <alignment horizontal="right" vertical="center" indent="1"/>
    </xf>
    <xf numFmtId="3" fontId="23" fillId="2" borderId="6" xfId="0" applyNumberFormat="1" applyFont="1" applyFill="1" applyBorder="1" applyAlignment="1">
      <alignment horizontal="right" vertical="center" indent="1"/>
    </xf>
    <xf numFmtId="173" fontId="23" fillId="2" borderId="6" xfId="0" applyNumberFormat="1" applyFont="1" applyFill="1" applyBorder="1" applyAlignment="1">
      <alignment horizontal="right" vertical="center" indent="1" readingOrder="2"/>
    </xf>
    <xf numFmtId="174" fontId="23" fillId="2" borderId="6" xfId="0" applyNumberFormat="1" applyFont="1" applyFill="1" applyBorder="1" applyAlignment="1">
      <alignment horizontal="right" vertical="center" indent="1"/>
    </xf>
    <xf numFmtId="0" fontId="22" fillId="2" borderId="7" xfId="0" applyFont="1" applyFill="1" applyBorder="1" applyAlignment="1">
      <alignment horizontal="right" vertical="center" indent="1"/>
    </xf>
    <xf numFmtId="0" fontId="23" fillId="2" borderId="6" xfId="0" applyFont="1" applyFill="1" applyBorder="1" applyAlignment="1">
      <alignment horizontal="right" vertical="center" indent="1"/>
    </xf>
    <xf numFmtId="0" fontId="22" fillId="4" borderId="19" xfId="0" applyFont="1" applyFill="1" applyBorder="1" applyAlignment="1">
      <alignment horizontal="center" vertical="center"/>
    </xf>
    <xf numFmtId="0" fontId="22" fillId="2" borderId="8" xfId="0" applyFont="1" applyFill="1" applyBorder="1" applyAlignment="1">
      <alignment horizontal="right" vertical="center" indent="1"/>
    </xf>
    <xf numFmtId="171" fontId="23" fillId="2" borderId="9" xfId="0" applyNumberFormat="1" applyFont="1" applyFill="1" applyBorder="1" applyAlignment="1">
      <alignment horizontal="right" vertical="center" indent="1"/>
    </xf>
    <xf numFmtId="2" fontId="2" fillId="0" borderId="0" xfId="0" applyNumberFormat="1" applyFont="1" applyAlignment="1">
      <alignment vertical="center"/>
    </xf>
    <xf numFmtId="0" fontId="2" fillId="0" borderId="0" xfId="0" applyFont="1"/>
    <xf numFmtId="0" fontId="9" fillId="8" borderId="0" xfId="0" applyFont="1" applyFill="1" applyAlignment="1">
      <alignment horizontal="center" vertical="center" wrapText="1" readingOrder="2"/>
    </xf>
    <xf numFmtId="0" fontId="10" fillId="8" borderId="0" xfId="0" applyFont="1" applyFill="1" applyAlignment="1">
      <alignment horizontal="center" vertical="center" wrapText="1" readingOrder="2"/>
    </xf>
    <xf numFmtId="164" fontId="2" fillId="0" borderId="0" xfId="2" applyFont="1"/>
    <xf numFmtId="164" fontId="27" fillId="0" borderId="0" xfId="2" applyFont="1"/>
    <xf numFmtId="0" fontId="27" fillId="0" borderId="0" xfId="0" applyFont="1"/>
    <xf numFmtId="164" fontId="27" fillId="0" borderId="0" xfId="2" applyFont="1" applyAlignment="1">
      <alignment horizontal="left"/>
    </xf>
    <xf numFmtId="0" fontId="29" fillId="5" borderId="27" xfId="0" applyFont="1" applyFill="1" applyBorder="1" applyAlignment="1">
      <alignment horizontal="center" vertical="center" readingOrder="2"/>
    </xf>
    <xf numFmtId="164" fontId="2" fillId="0" borderId="29" xfId="2" applyFont="1" applyBorder="1"/>
    <xf numFmtId="164" fontId="27" fillId="0" borderId="0" xfId="2" applyFont="1" applyAlignment="1">
      <alignment horizontal="right"/>
    </xf>
    <xf numFmtId="0" fontId="29" fillId="5" borderId="30" xfId="0" applyFont="1" applyFill="1" applyBorder="1" applyAlignment="1">
      <alignment horizontal="center" vertical="center" readingOrder="2"/>
    </xf>
    <xf numFmtId="0" fontId="29" fillId="5" borderId="31" xfId="0" applyFont="1" applyFill="1" applyBorder="1" applyAlignment="1">
      <alignment horizontal="center" vertical="center" readingOrder="2"/>
    </xf>
    <xf numFmtId="0" fontId="29" fillId="5" borderId="32" xfId="0" applyFont="1" applyFill="1" applyBorder="1" applyAlignment="1">
      <alignment horizontal="center" vertical="center" readingOrder="2"/>
    </xf>
    <xf numFmtId="164" fontId="2" fillId="0" borderId="34" xfId="2" applyFont="1" applyBorder="1" applyAlignment="1">
      <alignment horizontal="center" wrapText="1" readingOrder="2"/>
    </xf>
    <xf numFmtId="164" fontId="2" fillId="0" borderId="35" xfId="2" applyFont="1" applyBorder="1"/>
    <xf numFmtId="164" fontId="2" fillId="0" borderId="35" xfId="2" applyFont="1" applyBorder="1" applyAlignment="1">
      <alignment horizontal="center" wrapText="1" readingOrder="2"/>
    </xf>
    <xf numFmtId="164" fontId="2" fillId="0" borderId="36" xfId="2" applyFont="1" applyBorder="1"/>
    <xf numFmtId="164" fontId="2" fillId="0" borderId="37" xfId="2" applyFont="1" applyBorder="1"/>
    <xf numFmtId="0" fontId="28" fillId="5" borderId="38" xfId="0" applyFont="1" applyFill="1" applyBorder="1" applyAlignment="1">
      <alignment horizontal="center" vertical="center" readingOrder="2"/>
    </xf>
    <xf numFmtId="0" fontId="28" fillId="5" borderId="39" xfId="0" applyFont="1" applyFill="1" applyBorder="1" applyAlignment="1">
      <alignment horizontal="center" vertical="center" readingOrder="2"/>
    </xf>
    <xf numFmtId="164" fontId="2" fillId="0" borderId="34" xfId="2" applyFont="1" applyBorder="1"/>
    <xf numFmtId="0" fontId="27" fillId="0" borderId="40" xfId="0" applyFont="1" applyBorder="1"/>
    <xf numFmtId="164" fontId="2" fillId="0" borderId="22" xfId="2" applyFont="1" applyBorder="1"/>
    <xf numFmtId="0" fontId="27" fillId="0" borderId="0" xfId="0" applyFont="1" applyAlignment="1">
      <alignment horizontal="left"/>
    </xf>
    <xf numFmtId="0" fontId="2" fillId="0" borderId="41" xfId="0" applyFont="1" applyBorder="1"/>
    <xf numFmtId="164" fontId="2" fillId="0" borderId="41" xfId="2" applyFont="1" applyBorder="1"/>
    <xf numFmtId="171" fontId="14" fillId="8" borderId="0" xfId="0" applyNumberFormat="1" applyFont="1" applyFill="1" applyAlignment="1" applyProtection="1">
      <alignment horizontal="center" vertical="center" shrinkToFit="1" readingOrder="2"/>
      <protection locked="0"/>
    </xf>
    <xf numFmtId="1" fontId="22" fillId="0" borderId="0" xfId="0" applyNumberFormat="1" applyFont="1" applyAlignment="1">
      <alignment horizontal="center" vertical="center" shrinkToFit="1" readingOrder="2"/>
    </xf>
    <xf numFmtId="170" fontId="22" fillId="0" borderId="0" xfId="0" applyNumberFormat="1" applyFont="1" applyAlignment="1" applyProtection="1">
      <alignment horizontal="right" vertical="center" shrinkToFit="1" readingOrder="2"/>
      <protection locked="0"/>
    </xf>
    <xf numFmtId="169" fontId="22" fillId="0" borderId="0" xfId="0" applyNumberFormat="1" applyFont="1" applyAlignment="1" applyProtection="1">
      <alignment horizontal="center" vertical="center" shrinkToFit="1" readingOrder="2"/>
      <protection locked="0"/>
    </xf>
    <xf numFmtId="171" fontId="22" fillId="0" borderId="0" xfId="1" applyNumberFormat="1" applyFont="1" applyAlignment="1" applyProtection="1">
      <alignment horizontal="right" vertical="center" shrinkToFit="1" readingOrder="2"/>
      <protection locked="0"/>
    </xf>
    <xf numFmtId="171" fontId="22" fillId="0" borderId="0" xfId="1" applyNumberFormat="1" applyFont="1" applyAlignment="1">
      <alignment horizontal="right" vertical="center" shrinkToFit="1" readingOrder="2"/>
    </xf>
    <xf numFmtId="171" fontId="22" fillId="0" borderId="0" xfId="1" applyNumberFormat="1" applyFont="1" applyAlignment="1">
      <alignment horizontal="center" vertical="center" shrinkToFit="1" readingOrder="2"/>
    </xf>
    <xf numFmtId="172" fontId="22" fillId="0" borderId="0" xfId="1" applyNumberFormat="1" applyFont="1" applyAlignment="1" applyProtection="1">
      <alignment horizontal="right" vertical="center" shrinkToFit="1" readingOrder="2"/>
      <protection locked="0"/>
    </xf>
    <xf numFmtId="171" fontId="22" fillId="0" borderId="0" xfId="0" applyNumberFormat="1" applyFont="1" applyAlignment="1">
      <alignment horizontal="right" vertical="center" shrinkToFit="1" readingOrder="2"/>
    </xf>
    <xf numFmtId="171" fontId="22" fillId="0" borderId="0" xfId="1" applyNumberFormat="1" applyFont="1" applyAlignment="1" applyProtection="1">
      <alignment horizontal="center" vertical="center" shrinkToFit="1" readingOrder="2"/>
    </xf>
    <xf numFmtId="0" fontId="11" fillId="5" borderId="0" xfId="0" applyFont="1" applyFill="1" applyAlignment="1">
      <alignment horizontal="center" vertical="center" wrapText="1" readingOrder="2"/>
    </xf>
    <xf numFmtId="0" fontId="14" fillId="11" borderId="0" xfId="0" applyFont="1" applyFill="1" applyAlignment="1">
      <alignment horizontal="right" vertical="center" shrinkToFit="1" readingOrder="2"/>
    </xf>
    <xf numFmtId="171" fontId="14" fillId="0" borderId="0" xfId="1" applyNumberFormat="1" applyFont="1" applyFill="1" applyAlignment="1" applyProtection="1">
      <alignment horizontal="right" vertical="center" readingOrder="2"/>
    </xf>
    <xf numFmtId="0" fontId="13" fillId="6" borderId="44" xfId="0" applyFont="1" applyFill="1" applyBorder="1" applyAlignment="1">
      <alignment horizontal="center" vertical="center" readingOrder="2"/>
    </xf>
    <xf numFmtId="0" fontId="13" fillId="6" borderId="43" xfId="0" applyFont="1" applyFill="1" applyBorder="1" applyAlignment="1">
      <alignment horizontal="center" vertical="center" readingOrder="2"/>
    </xf>
    <xf numFmtId="0" fontId="13" fillId="6" borderId="42" xfId="0" applyFont="1" applyFill="1" applyBorder="1" applyAlignment="1">
      <alignment horizontal="center" vertical="center" readingOrder="2"/>
    </xf>
    <xf numFmtId="171" fontId="14" fillId="11" borderId="0" xfId="0" applyNumberFormat="1" applyFont="1" applyFill="1" applyAlignment="1">
      <alignment horizontal="right" vertical="center" shrinkToFit="1" readingOrder="2"/>
    </xf>
    <xf numFmtId="171" fontId="23" fillId="0" borderId="0" xfId="0" applyNumberFormat="1" applyFont="1" applyAlignment="1">
      <alignment horizontal="right" vertical="center" readingOrder="2"/>
    </xf>
    <xf numFmtId="0" fontId="31" fillId="0" borderId="5" xfId="0" applyFont="1" applyBorder="1" applyAlignment="1">
      <alignment horizontal="center" vertical="center"/>
    </xf>
    <xf numFmtId="0" fontId="31" fillId="0" borderId="5" xfId="0" applyFont="1" applyBorder="1"/>
    <xf numFmtId="164" fontId="2" fillId="0" borderId="0" xfId="2" applyFont="1" applyAlignment="1">
      <alignment horizontal="right" vertical="center" readingOrder="2"/>
    </xf>
    <xf numFmtId="164" fontId="2" fillId="0" borderId="0" xfId="2" applyFont="1" applyAlignment="1">
      <alignment horizontal="center" vertical="center" readingOrder="2"/>
    </xf>
    <xf numFmtId="164" fontId="3" fillId="0" borderId="0" xfId="2" applyFont="1" applyAlignment="1">
      <alignment horizontal="center" vertical="center" readingOrder="2"/>
    </xf>
    <xf numFmtId="164" fontId="33" fillId="6" borderId="44" xfId="2" applyFont="1" applyFill="1" applyBorder="1" applyAlignment="1" applyProtection="1">
      <alignment horizontal="center" vertical="center" readingOrder="2"/>
    </xf>
    <xf numFmtId="164" fontId="22" fillId="0" borderId="0" xfId="2" applyFont="1" applyFill="1" applyAlignment="1" applyProtection="1">
      <alignment horizontal="right" vertical="center" readingOrder="2"/>
    </xf>
    <xf numFmtId="164" fontId="32" fillId="8" borderId="0" xfId="2" applyFont="1" applyFill="1" applyAlignment="1" applyProtection="1">
      <alignment horizontal="right" vertical="center" shrinkToFit="1" readingOrder="2"/>
    </xf>
    <xf numFmtId="164" fontId="33" fillId="6" borderId="0" xfId="2" applyFont="1" applyFill="1" applyAlignment="1" applyProtection="1">
      <alignment horizontal="center" vertical="center" readingOrder="2"/>
    </xf>
    <xf numFmtId="1" fontId="14" fillId="0" borderId="0" xfId="1" applyNumberFormat="1" applyFont="1" applyAlignment="1">
      <alignment horizontal="center" vertical="center" shrinkToFit="1" readingOrder="2"/>
    </xf>
    <xf numFmtId="0" fontId="5" fillId="6" borderId="5" xfId="0" applyFont="1" applyFill="1" applyBorder="1" applyAlignment="1">
      <alignment horizontal="center" vertical="center" wrapText="1" readingOrder="2"/>
    </xf>
    <xf numFmtId="0" fontId="5" fillId="6" borderId="5" xfId="0" applyFont="1" applyFill="1" applyBorder="1" applyAlignment="1">
      <alignment horizontal="center" vertical="center" readingOrder="2"/>
    </xf>
    <xf numFmtId="0" fontId="5" fillId="6" borderId="7" xfId="0" applyFont="1" applyFill="1" applyBorder="1" applyAlignment="1">
      <alignment horizontal="center" vertical="center" readingOrder="2"/>
    </xf>
    <xf numFmtId="0" fontId="5" fillId="6" borderId="18" xfId="0" applyFont="1" applyFill="1" applyBorder="1" applyAlignment="1">
      <alignment horizontal="center" vertical="center" readingOrder="2"/>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20" fillId="8" borderId="11" xfId="0" applyFont="1" applyFill="1" applyBorder="1" applyAlignment="1">
      <alignment horizontal="center" vertical="center"/>
    </xf>
    <xf numFmtId="0" fontId="20" fillId="8" borderId="13" xfId="0" applyFont="1" applyFill="1" applyBorder="1" applyAlignment="1">
      <alignment horizontal="center" vertical="center"/>
    </xf>
    <xf numFmtId="0" fontId="24" fillId="3" borderId="11" xfId="0" applyFont="1" applyFill="1" applyBorder="1" applyAlignment="1">
      <alignment horizontal="center" vertical="top" wrapText="1"/>
    </xf>
    <xf numFmtId="0" fontId="24" fillId="3" borderId="12" xfId="0" applyFont="1" applyFill="1" applyBorder="1" applyAlignment="1">
      <alignment horizontal="center" vertical="top" wrapText="1"/>
    </xf>
    <xf numFmtId="0" fontId="24" fillId="3" borderId="13" xfId="0" applyFont="1" applyFill="1" applyBorder="1" applyAlignment="1">
      <alignment horizontal="center" vertical="top" wrapText="1"/>
    </xf>
    <xf numFmtId="0" fontId="21" fillId="8" borderId="0" xfId="0" applyFont="1" applyFill="1" applyAlignment="1">
      <alignment horizontal="center" vertical="center" textRotation="136" wrapText="1"/>
    </xf>
    <xf numFmtId="0" fontId="18" fillId="3" borderId="16" xfId="0" applyFont="1" applyFill="1" applyBorder="1" applyAlignment="1">
      <alignment horizontal="center" vertical="center" wrapText="1"/>
    </xf>
    <xf numFmtId="0" fontId="18" fillId="3" borderId="17" xfId="0" applyFont="1" applyFill="1" applyBorder="1" applyAlignment="1">
      <alignment horizontal="center" vertical="center" wrapText="1"/>
    </xf>
    <xf numFmtId="0" fontId="10" fillId="7" borderId="20" xfId="0" applyFont="1" applyFill="1" applyBorder="1" applyAlignment="1" applyProtection="1">
      <alignment horizontal="center" vertical="center" wrapText="1" readingOrder="2"/>
      <protection locked="0"/>
    </xf>
    <xf numFmtId="0" fontId="9" fillId="7" borderId="0" xfId="0" applyFont="1" applyFill="1" applyAlignment="1" applyProtection="1">
      <alignment horizontal="center" vertical="center" wrapText="1" readingOrder="2"/>
      <protection locked="0"/>
    </xf>
    <xf numFmtId="0" fontId="11" fillId="5" borderId="10" xfId="0" applyFont="1" applyFill="1" applyBorder="1" applyAlignment="1">
      <alignment horizontal="center" vertical="center" wrapText="1" readingOrder="2"/>
    </xf>
    <xf numFmtId="0" fontId="11" fillId="5" borderId="45" xfId="0" applyFont="1" applyFill="1" applyBorder="1" applyAlignment="1">
      <alignment horizontal="center" vertical="center" wrapText="1" readingOrder="2"/>
    </xf>
    <xf numFmtId="0" fontId="11" fillId="5" borderId="0" xfId="0" applyFont="1" applyFill="1" applyAlignment="1">
      <alignment horizontal="center" vertical="center" wrapText="1" readingOrder="2"/>
    </xf>
    <xf numFmtId="0" fontId="11" fillId="5" borderId="14" xfId="0" applyFont="1" applyFill="1" applyBorder="1" applyAlignment="1">
      <alignment horizontal="center" vertical="center" wrapText="1" readingOrder="2"/>
    </xf>
    <xf numFmtId="0" fontId="11" fillId="5" borderId="15" xfId="0" applyFont="1" applyFill="1" applyBorder="1" applyAlignment="1">
      <alignment horizontal="center" vertical="center" wrapText="1" readingOrder="2"/>
    </xf>
    <xf numFmtId="0" fontId="9" fillId="8" borderId="0" xfId="0" applyFont="1" applyFill="1" applyAlignment="1">
      <alignment horizontal="center" vertical="center" wrapText="1" readingOrder="2"/>
    </xf>
    <xf numFmtId="0" fontId="10" fillId="8" borderId="0" xfId="0" applyFont="1" applyFill="1" applyAlignment="1">
      <alignment horizontal="center" vertical="center" wrapText="1" readingOrder="2"/>
    </xf>
    <xf numFmtId="0" fontId="9" fillId="8" borderId="0" xfId="0" applyFont="1" applyFill="1" applyAlignment="1" applyProtection="1">
      <alignment horizontal="center" vertical="center" wrapText="1" readingOrder="2"/>
      <protection locked="0"/>
    </xf>
    <xf numFmtId="0" fontId="10" fillId="8" borderId="0" xfId="0" applyFont="1" applyFill="1" applyAlignment="1" applyProtection="1">
      <alignment horizontal="center" vertical="center" wrapText="1" readingOrder="2"/>
      <protection locked="0"/>
    </xf>
    <xf numFmtId="0" fontId="11" fillId="5" borderId="14" xfId="0" applyFont="1" applyFill="1" applyBorder="1" applyAlignment="1">
      <alignment horizontal="center" vertical="center" shrinkToFit="1" readingOrder="2"/>
    </xf>
    <xf numFmtId="0" fontId="11" fillId="5" borderId="15" xfId="0" applyFont="1" applyFill="1" applyBorder="1" applyAlignment="1">
      <alignment horizontal="center" vertical="center" shrinkToFit="1" readingOrder="2"/>
    </xf>
    <xf numFmtId="0" fontId="12" fillId="5" borderId="14" xfId="0" applyFont="1" applyFill="1" applyBorder="1" applyAlignment="1">
      <alignment horizontal="center" vertical="center" wrapText="1" readingOrder="2"/>
    </xf>
    <xf numFmtId="0" fontId="12" fillId="5" borderId="15" xfId="0" applyFont="1" applyFill="1" applyBorder="1" applyAlignment="1">
      <alignment horizontal="center" vertical="center" wrapText="1" readingOrder="2"/>
    </xf>
    <xf numFmtId="0" fontId="2" fillId="0" borderId="28" xfId="0" applyFont="1" applyBorder="1" applyAlignment="1">
      <alignment horizontal="center"/>
    </xf>
    <xf numFmtId="0" fontId="25" fillId="0" borderId="0" xfId="0" applyFont="1" applyAlignment="1">
      <alignment horizontal="center"/>
    </xf>
    <xf numFmtId="0" fontId="26" fillId="0" borderId="0" xfId="0" applyFont="1" applyAlignment="1">
      <alignment horizontal="center"/>
    </xf>
    <xf numFmtId="0" fontId="2" fillId="0" borderId="33" xfId="0" applyFont="1" applyBorder="1" applyAlignment="1">
      <alignment horizontal="center"/>
    </xf>
    <xf numFmtId="0" fontId="2" fillId="0" borderId="23" xfId="0" applyFont="1" applyBorder="1" applyAlignment="1">
      <alignment horizontal="center"/>
    </xf>
    <xf numFmtId="0" fontId="2" fillId="0" borderId="0" xfId="0" applyFont="1" applyAlignment="1">
      <alignment horizontal="center"/>
    </xf>
    <xf numFmtId="0" fontId="2" fillId="0" borderId="21" xfId="0" applyFont="1" applyBorder="1" applyAlignment="1">
      <alignment horizontal="center"/>
    </xf>
    <xf numFmtId="0" fontId="26" fillId="0" borderId="25" xfId="0" applyFont="1" applyBorder="1" applyAlignment="1">
      <alignment horizontal="center"/>
    </xf>
    <xf numFmtId="0" fontId="26" fillId="0" borderId="26" xfId="0" applyFont="1" applyBorder="1" applyAlignment="1">
      <alignment horizontal="center"/>
    </xf>
    <xf numFmtId="0" fontId="26" fillId="0" borderId="24" xfId="0" applyFont="1" applyBorder="1" applyAlignment="1">
      <alignment horizontal="center"/>
    </xf>
    <xf numFmtId="164" fontId="32" fillId="8" borderId="0" xfId="0" applyNumberFormat="1" applyFont="1" applyFill="1" applyAlignment="1" applyProtection="1">
      <alignment horizontal="right" vertical="center" shrinkToFit="1" readingOrder="2"/>
    </xf>
  </cellXfs>
  <cellStyles count="3">
    <cellStyle name="Comma" xfId="1" builtinId="3"/>
    <cellStyle name="Comma [0]" xfId="2" builtinId="6"/>
    <cellStyle name="Normal" xfId="0" builtinId="0"/>
  </cellStyles>
  <dxfs count="704">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rgb="FFFFFFFF"/>
          </stop>
          <stop position="1">
            <color rgb="FFCCC0DA"/>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numFmt numFmtId="164" formatCode="_(* #,##0_);_(* \(#,##0\);_(* &quot;-&quot;_);_(@_)"/>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scheme val="none"/>
      </font>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2" formatCode="\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30" formatCode="@"/>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68" formatCode="\ 00"/>
      <fill>
        <gradientFill degree="45">
          <stop position="0">
            <color theme="0"/>
          </stop>
          <stop position="1">
            <color theme="7" tint="0.59999389629810485"/>
          </stop>
        </gradientFill>
      </fill>
      <alignment horizontal="right"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fill>
        <gradientFill degree="45">
          <stop position="0">
            <color theme="0"/>
          </stop>
          <stop position="1">
            <color theme="7" tint="0.59999389629810485"/>
          </stop>
        </gradientFill>
      </fill>
      <alignment horizontal="center" vertical="center" textRotation="0" wrapText="0" indent="0" justifyLastLine="0" shrinkToFit="1" readingOrder="2"/>
    </dxf>
    <dxf>
      <font>
        <b val="0"/>
        <i val="0"/>
        <strike val="0"/>
        <condense val="0"/>
        <extend val="0"/>
        <outline val="0"/>
        <shadow val="0"/>
        <u val="none"/>
        <vertAlign val="baseline"/>
        <sz val="14"/>
        <color auto="1"/>
        <name val="B Nazanin"/>
        <charset val="178"/>
        <scheme val="none"/>
      </font>
      <numFmt numFmtId="1" formatCode="0"/>
      <fill>
        <gradientFill degree="45">
          <stop position="0">
            <color theme="0"/>
          </stop>
          <stop position="1">
            <color theme="7" tint="0.59999389629810485"/>
          </stop>
        </gradientFill>
      </fill>
      <alignment horizontal="right" vertical="center" textRotation="0" wrapText="0" indent="0" justifyLastLine="0" shrinkToFit="1" readingOrder="2"/>
    </dxf>
    <dxf>
      <font>
        <strike val="0"/>
        <outline val="0"/>
        <shadow val="0"/>
        <u val="none"/>
        <vertAlign val="baseline"/>
        <sz val="16"/>
        <color auto="1"/>
        <name val="B Nazanin"/>
        <charset val="178"/>
        <scheme val="none"/>
      </font>
      <numFmt numFmtId="171" formatCode="\ #,##0;\ \(#,##0\)"/>
      <alignment horizontal="right" vertical="center" textRotation="0" wrapText="0" indent="0" justifyLastLine="0" shrinkToFit="1" readingOrder="2"/>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 formatCode="0"/>
      <fill>
        <patternFill patternType="none">
          <fgColor indexed="64"/>
          <bgColor indexed="65"/>
        </patternFill>
      </fill>
      <alignment horizontal="center"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fgColor indexed="64"/>
          <bgColor indexed="65"/>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fgColor indexed="64"/>
          <bgColor indexed="65"/>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fgColor indexed="64"/>
          <bgColor indexed="65"/>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fgColor indexed="64"/>
          <bgColor indexed="65"/>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fgColor indexed="64"/>
          <bgColor indexed="65"/>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fgColor indexed="64"/>
          <bgColor indexed="65"/>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fgColor indexed="64"/>
          <bgColor indexed="65"/>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 formatCode="0"/>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4"/>
        <color auto="1"/>
        <name val="B Nazanin"/>
        <scheme val="none"/>
      </font>
      <numFmt numFmtId="170" formatCode="\ @"/>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4"/>
        <color auto="1"/>
        <name val="B Nazanin"/>
        <scheme val="none"/>
      </font>
      <numFmt numFmtId="170" formatCode="\ @"/>
      <fill>
        <patternFill patternType="none">
          <fgColor indexed="64"/>
          <bgColor indexed="65"/>
        </patternFill>
      </fill>
      <alignment horizontal="center"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0" formatCode="\ @"/>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protection locked="1" hidden="0"/>
    </dxf>
    <dxf>
      <border outline="0">
        <left style="thin">
          <color rgb="FF9BBB59"/>
        </left>
        <right style="thin">
          <color rgb="FF9BBB59"/>
        </right>
        <bottom style="thin">
          <color rgb="FF9BBB59"/>
        </bottom>
      </border>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border diagonalUp="0" diagonalDown="0" outline="0">
        <left style="thin">
          <color theme="6"/>
        </left>
        <right style="thin">
          <color theme="6"/>
        </right>
        <top/>
        <bottom/>
      </border>
      <protection locked="1"/>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charset val="178"/>
        <scheme val="none"/>
      </font>
      <numFmt numFmtId="171" formatCode="\ #,##0;\ \(#,##0\)"/>
      <fill>
        <patternFill patternType="none">
          <fgColor indexed="64"/>
          <bgColor indexed="65"/>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charset val="178"/>
        <scheme val="none"/>
      </font>
      <numFmt numFmtId="171" formatCode="\ #,##0;\ \(#,##0\)"/>
      <fill>
        <patternFill patternType="none">
          <fgColor indexed="64"/>
          <bgColor indexed="65"/>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charset val="178"/>
        <scheme val="none"/>
      </font>
      <numFmt numFmtId="171" formatCode="\ #,##0;\ \(#,##0\)"/>
      <fill>
        <patternFill patternType="none">
          <fgColor indexed="64"/>
          <bgColor indexed="65"/>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charset val="178"/>
        <scheme val="none"/>
      </font>
      <numFmt numFmtId="171" formatCode="\ #,##0;\ \(#,##0\)"/>
      <fill>
        <patternFill patternType="none">
          <fgColor indexed="64"/>
          <bgColor indexed="65"/>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fgColor indexed="64"/>
          <bgColor indexed="65"/>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4"/>
        <color auto="1"/>
        <name val="B Nazanin"/>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4"/>
        <color auto="1"/>
        <name val="B Nazanin"/>
        <scheme val="none"/>
      </font>
      <numFmt numFmtId="1" formatCode="0"/>
      <fill>
        <patternFill patternType="none">
          <bgColor auto="1"/>
        </patternFill>
      </fill>
      <alignment horizontal="center" vertical="center" textRotation="0" wrapText="0" indent="0" justifyLastLine="0" shrinkToFit="1" readingOrder="2"/>
      <protection locked="1" hidden="0"/>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gradientFill degree="45">
          <stop position="0">
            <color rgb="FFFFFFFF"/>
          </stop>
          <stop position="1">
            <color rgb="FFCCC0DA"/>
          </stop>
        </gradientFill>
      </fill>
      <alignment horizontal="right" vertical="center" textRotation="0" wrapText="0" indent="0" justifyLastLine="0" shrinkToFit="1" readingOrder="2"/>
      <protection locked="1" hidden="0"/>
    </dxf>
    <dxf>
      <border outline="0">
        <left style="thin">
          <color rgb="FF9BBB59"/>
        </left>
        <right style="thin">
          <color rgb="FF9BBB59"/>
        </right>
        <bottom style="thin">
          <color rgb="FF9BBB59"/>
        </bottom>
      </border>
    </dxf>
    <dxf>
      <font>
        <b val="0"/>
        <i val="0"/>
        <strike val="0"/>
        <condense val="0"/>
        <extend val="0"/>
        <outline val="0"/>
        <shadow val="0"/>
        <u val="none"/>
        <vertAlign val="baseline"/>
        <sz val="14"/>
        <color auto="1"/>
        <name val="B Nazanin"/>
        <scheme val="none"/>
      </font>
      <numFmt numFmtId="171" formatCode="\ #,##0;\ \(#,##0\)"/>
      <fill>
        <patternFill patternType="none">
          <bgColor auto="1"/>
        </patternFill>
      </fill>
      <alignment horizontal="right" vertical="center" textRotation="0" wrapText="0" indent="0" justifyLastLine="0" shrinkToFit="0" readingOrder="2"/>
      <protection locked="1" hidden="0"/>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border diagonalUp="0" diagonalDown="0" outline="0">
        <left style="thin">
          <color theme="6"/>
        </left>
        <right style="thin">
          <color theme="6"/>
        </right>
        <top/>
        <bottom/>
      </border>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strike val="0"/>
        <outline val="0"/>
        <shadow val="0"/>
        <u val="none"/>
        <vertAlign val="baseline"/>
        <sz val="16"/>
        <color auto="1"/>
        <name val="B Nazanin"/>
        <charset val="178"/>
        <scheme val="none"/>
      </font>
    </dxf>
    <dxf>
      <font>
        <strike val="0"/>
        <outline val="0"/>
        <shadow val="0"/>
        <u val="none"/>
        <vertAlign val="baseline"/>
        <sz val="16"/>
        <color auto="1"/>
        <name val="B Nazanin"/>
        <charset val="178"/>
        <scheme val="none"/>
      </font>
    </dxf>
    <dxf>
      <font>
        <strike val="0"/>
        <outline val="0"/>
        <shadow val="0"/>
        <u val="none"/>
        <vertAlign val="baseline"/>
        <sz val="16"/>
        <color auto="1"/>
        <name val="B Nazanin"/>
        <charset val="178"/>
        <scheme val="none"/>
      </font>
    </dxf>
    <dxf>
      <font>
        <strike val="0"/>
        <outline val="0"/>
        <shadow val="0"/>
        <u val="none"/>
        <vertAlign val="baseline"/>
        <sz val="16"/>
        <color auto="1"/>
        <name val="B Nazanin"/>
        <charset val="178"/>
        <scheme val="none"/>
      </font>
    </dxf>
    <dxf>
      <font>
        <strike val="0"/>
        <outline val="0"/>
        <shadow val="0"/>
        <u val="none"/>
        <vertAlign val="baseline"/>
        <sz val="16"/>
        <color auto="1"/>
        <name val="B Nazanin"/>
        <charset val="178"/>
        <scheme val="none"/>
      </font>
    </dxf>
    <dxf>
      <font>
        <strike val="0"/>
        <outline val="0"/>
        <shadow val="0"/>
        <u val="none"/>
        <vertAlign val="baseline"/>
        <sz val="16"/>
        <color auto="1"/>
        <name val="B Nazanin"/>
        <charset val="178"/>
        <scheme val="none"/>
      </font>
      <numFmt numFmtId="171" formatCode="\ #,##0;\ \(#,##0\)"/>
    </dxf>
    <dxf>
      <font>
        <strike val="0"/>
        <outline val="0"/>
        <shadow val="0"/>
        <u val="none"/>
        <vertAlign val="baseline"/>
        <sz val="16"/>
        <color auto="1"/>
        <name val="B Nazanin"/>
        <charset val="178"/>
        <scheme val="none"/>
      </font>
      <numFmt numFmtId="171" formatCode="\ #,##0;\ \(#,##0\)"/>
    </dxf>
    <dxf>
      <font>
        <strike val="0"/>
        <outline val="0"/>
        <shadow val="0"/>
        <u val="none"/>
        <vertAlign val="baseline"/>
        <sz val="16"/>
        <color auto="1"/>
        <name val="B Nazanin"/>
        <charset val="178"/>
        <scheme val="none"/>
      </font>
    </dxf>
    <dxf>
      <font>
        <strike val="0"/>
        <outline val="0"/>
        <shadow val="0"/>
        <u val="none"/>
        <vertAlign val="baseline"/>
        <sz val="16"/>
        <color auto="1"/>
        <name val="B Nazanin"/>
        <charset val="178"/>
        <scheme val="none"/>
      </font>
      <numFmt numFmtId="171" formatCode="\ #,##0;\ \(#,##0\)"/>
    </dxf>
    <dxf>
      <font>
        <strike val="0"/>
        <outline val="0"/>
        <shadow val="0"/>
        <u val="none"/>
        <vertAlign val="baseline"/>
        <sz val="16"/>
        <color auto="1"/>
        <name val="B Nazanin"/>
        <charset val="178"/>
        <scheme val="none"/>
      </font>
      <numFmt numFmtId="171" formatCode="\ #,##0;\ \(#,##0\)"/>
    </dxf>
    <dxf>
      <font>
        <strike val="0"/>
        <outline val="0"/>
        <shadow val="0"/>
        <u val="none"/>
        <vertAlign val="baseline"/>
        <sz val="16"/>
        <color auto="1"/>
        <name val="B Nazanin"/>
        <charset val="178"/>
        <scheme val="none"/>
      </font>
    </dxf>
    <dxf>
      <font>
        <strike val="0"/>
        <outline val="0"/>
        <shadow val="0"/>
        <u val="none"/>
        <vertAlign val="baseline"/>
        <sz val="16"/>
        <color auto="1"/>
        <name val="B Nazanin"/>
        <charset val="178"/>
        <scheme val="none"/>
      </font>
      <numFmt numFmtId="171" formatCode="\ #,##0;\ \(#,##0\)"/>
    </dxf>
    <dxf>
      <font>
        <strike val="0"/>
        <outline val="0"/>
        <shadow val="0"/>
        <u val="none"/>
        <vertAlign val="baseline"/>
        <sz val="16"/>
        <color auto="1"/>
        <name val="B Nazanin"/>
        <charset val="178"/>
        <scheme val="none"/>
      </font>
      <numFmt numFmtId="171" formatCode="\ #,##0;\ \(#,##0\)"/>
      <alignment horizontal="center" vertical="center" textRotation="0" indent="0" justifyLastLine="0" readingOrder="2"/>
    </dxf>
    <dxf>
      <font>
        <strike val="0"/>
        <outline val="0"/>
        <shadow val="0"/>
        <u val="none"/>
        <vertAlign val="baseline"/>
        <sz val="16"/>
        <color auto="1"/>
        <name val="B Nazanin"/>
        <charset val="178"/>
        <scheme val="none"/>
      </font>
      <numFmt numFmtId="172" formatCode="\ 0"/>
      <alignment horizontal="right" vertical="center" textRotation="0" wrapText="0" indent="0" justifyLastLine="0" shrinkToFit="1" readingOrder="2"/>
      <protection locked="0" hidden="0"/>
    </dxf>
    <dxf>
      <font>
        <strike val="0"/>
        <outline val="0"/>
        <shadow val="0"/>
        <u val="none"/>
        <vertAlign val="baseline"/>
        <sz val="16"/>
        <color auto="1"/>
        <name val="B Nazanin"/>
        <charset val="178"/>
        <scheme val="none"/>
      </font>
      <numFmt numFmtId="171" formatCode="\ #,##0;\ \(#,##0\)"/>
    </dxf>
    <dxf>
      <font>
        <strike val="0"/>
        <outline val="0"/>
        <shadow val="0"/>
        <u val="none"/>
        <vertAlign val="baseline"/>
        <sz val="16"/>
        <color auto="1"/>
        <name val="B Nazanin"/>
        <charset val="178"/>
        <scheme val="none"/>
      </font>
      <numFmt numFmtId="171" formatCode="\ #,##0;\ \(#,##0\)"/>
    </dxf>
    <dxf>
      <font>
        <strike val="0"/>
        <outline val="0"/>
        <shadow val="0"/>
        <u val="none"/>
        <vertAlign val="baseline"/>
        <sz val="16"/>
        <color auto="1"/>
        <name val="B Nazanin"/>
        <charset val="178"/>
        <scheme val="none"/>
      </font>
    </dxf>
    <dxf>
      <font>
        <strike val="0"/>
        <outline val="0"/>
        <shadow val="0"/>
        <u val="none"/>
        <vertAlign val="baseline"/>
        <sz val="16"/>
        <color auto="1"/>
        <name val="B Nazanin"/>
        <charset val="178"/>
        <scheme val="none"/>
      </font>
    </dxf>
    <dxf>
      <font>
        <strike val="0"/>
        <outline val="0"/>
        <shadow val="0"/>
        <u val="none"/>
        <vertAlign val="baseline"/>
        <sz val="16"/>
        <color auto="1"/>
        <name val="B Nazanin"/>
        <charset val="178"/>
        <scheme val="none"/>
      </font>
    </dxf>
    <dxf>
      <font>
        <strike val="0"/>
        <outline val="0"/>
        <shadow val="0"/>
        <u val="none"/>
        <vertAlign val="baseline"/>
        <sz val="16"/>
        <color auto="1"/>
        <name val="B Nazanin"/>
        <charset val="178"/>
        <scheme val="none"/>
      </font>
      <numFmt numFmtId="1" formatCode="0"/>
    </dxf>
    <dxf>
      <font>
        <b val="0"/>
        <strike val="0"/>
        <outline val="0"/>
        <shadow val="0"/>
        <u val="none"/>
        <vertAlign val="baseline"/>
        <name val="B Nazanin"/>
        <scheme val="none"/>
      </font>
      <fill>
        <gradientFill degree="45">
          <stop position="0">
            <color theme="0"/>
          </stop>
          <stop position="1">
            <color theme="7" tint="0.59999389629810485"/>
          </stop>
        </gradientFill>
      </fill>
      <protection locked="1"/>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30" formatCode="@"/>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6"/>
        <color auto="1"/>
        <name val="B Nazanin"/>
        <charset val="178"/>
        <scheme val="none"/>
      </font>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2" formatCode="\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1"/>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69" formatCode="00"/>
      <fill>
        <patternFill patternType="none">
          <bgColor auto="1"/>
        </patternFill>
      </fill>
      <alignment horizontal="center"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fgColor indexed="64"/>
          <bgColor indexed="65"/>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70" formatCode="\ @"/>
      <fill>
        <patternFill patternType="none">
          <bgColor auto="1"/>
        </patternFill>
      </fill>
      <alignment horizontal="right" vertical="center" textRotation="0" wrapText="0" indent="0" justifyLastLine="0" shrinkToFit="1" readingOrder="2"/>
      <protection locked="0" hidden="0"/>
    </dxf>
    <dxf>
      <font>
        <b val="0"/>
        <i val="0"/>
        <strike val="0"/>
        <condense val="0"/>
        <extend val="0"/>
        <outline val="0"/>
        <shadow val="0"/>
        <u val="none"/>
        <vertAlign val="baseline"/>
        <sz val="16"/>
        <color auto="1"/>
        <name val="B Nazanin"/>
        <charset val="178"/>
        <scheme val="none"/>
      </font>
      <numFmt numFmtId="1" formatCode="0"/>
      <fill>
        <patternFill patternType="none">
          <bgColor auto="1"/>
        </patternFill>
      </fill>
      <alignment horizontal="center" vertical="center" textRotation="0" wrapText="0" indent="0" justifyLastLine="0" shrinkToFit="1" readingOrder="2"/>
      <protection locked="1"/>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protection locked="1" hidden="0"/>
    </dxf>
    <dxf>
      <font>
        <b val="0"/>
        <i val="0"/>
        <strike val="0"/>
        <condense val="0"/>
        <extend val="0"/>
        <outline val="0"/>
        <shadow val="0"/>
        <u val="none"/>
        <vertAlign val="baseline"/>
        <sz val="14"/>
        <color auto="1"/>
        <name val="B Nazanin"/>
        <scheme val="none"/>
      </font>
      <numFmt numFmtId="171" formatCode="\ #,##0;\ \(#,##0\)"/>
      <fill>
        <gradientFill degree="45">
          <stop position="0">
            <color theme="0"/>
          </stop>
          <stop position="1">
            <color theme="7" tint="0.59999389629810485"/>
          </stop>
        </gradientFill>
      </fill>
      <alignment horizontal="right" vertical="center" textRotation="0" wrapText="0" indent="0" justifyLastLine="0" shrinkToFit="1" readingOrder="2"/>
      <protection locked="1" hidden="0"/>
    </dxf>
    <dxf>
      <border outline="0">
        <left style="thin">
          <color theme="6"/>
        </left>
        <right style="thin">
          <color theme="6"/>
        </right>
        <bottom style="thin">
          <color theme="6"/>
        </bottom>
      </border>
    </dxf>
    <dxf>
      <font>
        <b val="0"/>
        <i val="0"/>
        <strike val="0"/>
        <condense val="0"/>
        <extend val="0"/>
        <outline val="0"/>
        <shadow val="0"/>
        <u val="none"/>
        <vertAlign val="baseline"/>
        <sz val="16"/>
        <color auto="1"/>
        <name val="B Nazanin"/>
        <charset val="178"/>
        <scheme val="none"/>
      </font>
      <numFmt numFmtId="171" formatCode="\ #,##0;\ \(#,##0\)"/>
      <fill>
        <patternFill patternType="none">
          <bgColor auto="1"/>
        </patternFill>
      </fill>
      <alignment horizontal="right" vertical="center" textRotation="0" wrapText="0" indent="0" justifyLastLine="0" shrinkToFit="0" readingOrder="2"/>
      <protection locked="1"/>
    </dxf>
    <dxf>
      <font>
        <b val="0"/>
        <i val="0"/>
        <strike val="0"/>
        <condense val="0"/>
        <extend val="0"/>
        <outline val="0"/>
        <shadow val="0"/>
        <u val="none"/>
        <vertAlign val="baseline"/>
        <sz val="14"/>
        <color theme="0" tint="-0.14999847407452621"/>
        <name val="B Nazanin"/>
        <scheme val="none"/>
      </font>
      <fill>
        <patternFill patternType="solid">
          <fgColor indexed="64"/>
          <bgColor theme="0" tint="-0.14999847407452621"/>
        </patternFill>
      </fill>
      <alignment horizontal="center" vertical="center" textRotation="0" wrapText="0" indent="0" justifyLastLine="0" shrinkToFit="0" readingOrder="2"/>
      <border diagonalUp="0" diagonalDown="0" outline="0">
        <left style="thin">
          <color theme="6"/>
        </left>
        <right style="thin">
          <color theme="6"/>
        </right>
        <top/>
        <bottom/>
      </border>
      <protection locked="1"/>
    </dxf>
  </dxfs>
  <tableStyles count="0" defaultTableStyle="TableStyleMedium2" defaultPivotStyle="PivotStyleLight16"/>
  <colors>
    <mruColors>
      <color rgb="FF66FF33"/>
      <color rgb="FFD60093"/>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asou\AppData\Roaming\Microsoft\AddIns\Persian%20Function%20For%20EXCEL.xla" TargetMode="External"/><Relationship Id="rId1" Type="http://schemas.openxmlformats.org/officeDocument/2006/relationships/externalLinkPath" Target="/Users/rasou/AppData/Roaming/Microsoft/AddIns/Persian%20Function%20For%20EXCEL.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definedNames>
      <definedName name="AbH"/>
    </definedNames>
    <sheetDataSet>
      <sheetData sheetId="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ج_ح_فروردین" displayName="ج_ح_فروردین" ref="C6:X37" totalsRowCount="1" headerRowDxfId="703" dataDxfId="702" totalsRowDxfId="700" tableBorderDxfId="701" dataCellStyle="Comma">
  <autoFilter ref="C6:X36" xr:uid="{00000000-0009-0000-0100-000002000000}"/>
  <sortState xmlns:xlrd2="http://schemas.microsoft.com/office/spreadsheetml/2017/richdata2" ref="C7:W36">
    <sortCondition ref="E6:E36"/>
  </sortState>
  <tableColumns count="22">
    <tableColumn id="1" xr3:uid="{00000000-0010-0000-0000-000001000000}" name="ردیف" dataDxfId="356" totalsRowDxfId="81">
      <calculatedColumnFormula>IF(ج_ح_فروردین[[#This Row],[نام]]&lt;&gt;"",ROW()-7+1,"")</calculatedColumnFormula>
    </tableColumn>
    <tableColumn id="2" xr3:uid="{00000000-0010-0000-0000-000002000000}" name="نام" dataDxfId="355" totalsRowDxfId="80"/>
    <tableColumn id="21" xr3:uid="{00000000-0010-0000-0000-000015000000}" name="نام خانوادگی" totalsRowLabel="جمع" dataDxfId="354" totalsRowDxfId="79"/>
    <tableColumn id="3" xr3:uid="{00000000-0010-0000-0000-000003000000}" name="کارکرد" totalsRowFunction="sum" dataDxfId="353" totalsRowDxfId="78"/>
    <tableColumn id="4" xr3:uid="{00000000-0010-0000-0000-000004000000}" name="دستمزد روزانه " totalsRowFunction="sum" dataDxfId="352" totalsRowDxfId="77" dataCellStyle="Comma">
      <calculatedColumnFormula>IFERROR(IF(COUNT(ج_ح_فروردین[[#This Row],[کارکرد]]),حداقل_حقوق_پایه_روزانه,""),"")</calculatedColumnFormula>
    </tableColumn>
    <tableColumn id="5" xr3:uid="{00000000-0010-0000-0000-000005000000}" name="حقوق پایه" totalsRowFunction="sum" dataDxfId="351" totalsRowDxfId="76" dataCellStyle="Comma">
      <calculatedColumnFormula>IFERROR(IF(ج_ح_فروردین[[#This Row],[کارکرد]]*ج_ح_فروردین[[#This Row],[دستمزد روزانه ]]=0,"",ج_ح_فروردین[[#This Row],[کارکرد]]*ج_ح_فروردین[[#This Row],[دستمزد روزانه ]]),"")</calculatedColumnFormula>
    </tableColumn>
    <tableColumn id="6" xr3:uid="{00000000-0010-0000-0000-000006000000}" name="مدت اضافه کاری " totalsRowFunction="sum" dataDxfId="350" totalsRowDxfId="75" dataCellStyle="Comma"/>
    <tableColumn id="7" xr3:uid="{00000000-0010-0000-0000-000007000000}" name="اضافه کاری" totalsRowFunction="sum" dataDxfId="349" totalsRowDxfId="74" dataCellStyle="Comma">
      <calculatedColumnFormula>IFERROR((ج_ح_فروردین[[#This Row],[دستمزد روزانه ]]/7.33)*1.4*ج_ح_فروردین[[#This Row],[مدت اضافه کاری ]],"")</calculatedColumnFormula>
    </tableColumn>
    <tableColumn id="8" xr3:uid="{00000000-0010-0000-0000-000008000000}" name="حق مسکن" totalsRowFunction="sum" dataDxfId="348" totalsRowDxfId="73" dataCellStyle="Comma">
      <calculatedColumnFormula>IF(ج_ح_فروردین[[#This Row],[کارکرد]]="","",ج_ح_فروردین[[#This Row],[کارکرد]]/31*حق_مسکن)</calculatedColumnFormula>
    </tableColumn>
    <tableColumn id="9" xr3:uid="{00000000-0010-0000-0000-000009000000}" name="تعداد فرزندان" totalsRowFunction="sum" dataDxfId="347" totalsRowDxfId="72" dataCellStyle="Comma"/>
    <tableColumn id="10" xr3:uid="{00000000-0010-0000-0000-00000A000000}" name="حق اولاد" totalsRowFunction="sum" dataDxfId="346" totalsRowDxfId="71" dataCellStyle="Comma">
      <calculatedColumnFormula>IFERROR(IF(ج_ح_فروردین[[#This Row],[تعداد فرزندان]]="","",ج_ح_فروردین[[#This Row],[کارکرد]]/31*3*ج_ح_فروردین[[#This Row],[تعداد فرزندان]]*حداقل_حقوق_پایه_روزانه),"")</calculatedColumnFormula>
    </tableColumn>
    <tableColumn id="11" xr3:uid="{00000000-0010-0000-0000-00000B000000}" name="حق و خواروبار" totalsRowFunction="sum" dataDxfId="345" totalsRowDxfId="70" dataCellStyle="Comma">
      <calculatedColumnFormula>IF(ج_ح_فروردین[[#This Row],[کارکرد]]="","",ج_ح_فروردین[[#This Row],[کارکرد]]/31*حق_خواربار)</calculatedColumnFormula>
    </tableColumn>
    <tableColumn id="12" xr3:uid="{00000000-0010-0000-0000-00000C000000}" name="جمع ح و م" totalsRowFunction="sum" dataDxfId="344" totalsRowDxfId="69" dataCellStyle="Comma">
      <calculatedColumnFormula>IFERROR(ج_ح_فروردین[[#This Row],[حقوق پایه]]+ج_ح_فروردین[[#This Row],[اضافه کاری]]+ج_ح_فروردین[[#This Row],[حق مسکن]]+ج_ح_فروردین[[#This Row],[حق اولاد]]+ج_ح_فروردین[[#This Row],[حق و خواروبار]],"")</calculatedColumnFormula>
    </tableColumn>
    <tableColumn id="13" xr3:uid="{00000000-0010-0000-0000-00000D000000}" name="جمع ح و م م بیمه " totalsRowFunction="sum" dataDxfId="343" totalsRowDxfId="68" dataCellStyle="Comma">
      <calculatedColumnFormula>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calculatedColumnFormula>
    </tableColumn>
    <tableColumn id="14" xr3:uid="{00000000-0010-0000-0000-00000E000000}" name="جمع ح و م م مالیات" totalsRowFunction="sum" dataDxfId="342" totalsRowDxfId="67" dataCellStyle="Comma">
      <calculatedColumnFormula>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calculatedColumnFormula>
    </tableColumn>
    <tableColumn id="15" xr3:uid="{00000000-0010-0000-0000-00000F000000}" name="وام" totalsRowFunction="sum" dataDxfId="341" totalsRowDxfId="66" dataCellStyle="Comma"/>
    <tableColumn id="16" xr3:uid="{00000000-0010-0000-0000-000010000000}" name="مساعده" totalsRowFunction="sum" dataDxfId="340" totalsRowDxfId="65" dataCellStyle="Comma"/>
    <tableColumn id="17" xr3:uid="{00000000-0010-0000-0000-000011000000}" name="بیمه پرداختنی" totalsRowFunction="sum" dataDxfId="339" totalsRowDxfId="64" dataCellStyle="Comma">
      <calculatedColumnFormula>IFERROR(ج_ح_فروردین[[#This Row],[جمع ح و م م بیمه ]]*7%,"")</calculatedColumnFormula>
    </tableColumn>
    <tableColumn id="18" xr3:uid="{00000000-0010-0000-0000-000012000000}" name="مالیات پرداختنی" totalsRowFunction="sum" dataDxfId="335" totalsRowDxfId="63">
      <calculatedColumnFormula>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calculatedColumnFormula>
    </tableColumn>
    <tableColumn id="19" xr3:uid="{00000000-0010-0000-0000-000013000000}" name="جمع کسورات" totalsRowFunction="sum" dataDxfId="338" totalsRowDxfId="62" dataCellStyle="Comma">
      <calculatedColumnFormula>IFERROR(ج_ح_فروردین[[#This Row],[وام]]+ج_ح_فروردین[[#This Row],[مساعده]]+ج_ح_فروردین[[#This Row],[بیمه پرداختنی]]+ج_ح_فروردین[[#This Row],[مالیات پرداختنی]],"")</calculatedColumnFormula>
    </tableColumn>
    <tableColumn id="20" xr3:uid="{00000000-0010-0000-0000-000014000000}" name="خالص قابل پرداخت" totalsRowFunction="sum" dataDxfId="337" totalsRowDxfId="61" dataCellStyle="Comma">
      <calculatedColumnFormula>IFERROR(ج_ح_فروردین[[#This Row],[جمع ح و م]]-ج_ح_فروردین[[#This Row],[جمع کسورات]],"")</calculatedColumnFormula>
    </tableColumn>
    <tableColumn id="22" xr3:uid="{8ADF341E-184C-46AB-96EC-2EF47525E444}" name="Column1" dataDxfId="336" totalsRowDxfId="60" dataCellStyle="Comma [0]"/>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ج_ح_اردیبهشت" displayName="ج_ح_اردیبهشت" ref="C43:X74" totalsRowCount="1" headerRowDxfId="699" dataDxfId="698" totalsRowDxfId="696" tableBorderDxfId="697" dataCellStyle="Comma">
  <autoFilter ref="C43:X73" xr:uid="{00000000-0009-0000-0100-000001000000}"/>
  <tableColumns count="22">
    <tableColumn id="1" xr3:uid="{00000000-0010-0000-0100-000001000000}" name="ردیف" dataDxfId="695" totalsRowDxfId="103">
      <calculatedColumnFormula>IF(ج_ح_اردیبهشت[[#This Row],[نام]]&lt;&gt;"",ROW()-44+1,"")</calculatedColumnFormula>
    </tableColumn>
    <tableColumn id="2" xr3:uid="{00000000-0010-0000-0100-000002000000}" name="نام" dataDxfId="694" totalsRowDxfId="102"/>
    <tableColumn id="21" xr3:uid="{00000000-0010-0000-0100-000015000000}" name="نام خانوادگی" totalsRowLabel="جمع" dataDxfId="693" totalsRowDxfId="101"/>
    <tableColumn id="3" xr3:uid="{00000000-0010-0000-0100-000003000000}" name="کارکرد" totalsRowFunction="sum" dataDxfId="692" totalsRowDxfId="100"/>
    <tableColumn id="4" xr3:uid="{00000000-0010-0000-0100-000004000000}" name="دستمزد روزانه " totalsRowFunction="sum" dataDxfId="691" totalsRowDxfId="99" dataCellStyle="Comma">
      <calculatedColumnFormula>IFERROR(IF(COUNT(ج_ح_اردیبهشت[[#This Row],[کارکرد]]),حداقل_حقوق_پایه_روزانه,""),"")</calculatedColumnFormula>
    </tableColumn>
    <tableColumn id="5" xr3:uid="{00000000-0010-0000-0100-000005000000}" name="حقوق پایه" totalsRowFunction="sum" dataDxfId="690" totalsRowDxfId="98" dataCellStyle="Comma">
      <calculatedColumnFormula>IFERROR(IF(ج_ح_اردیبهشت[[#This Row],[کارکرد]]*ج_ح_اردیبهشت[[#This Row],[دستمزد روزانه ]]=0,"",ج_ح_اردیبهشت[[#This Row],[کارکرد]]*ج_ح_اردیبهشت[[#This Row],[دستمزد روزانه ]]),"")</calculatedColumnFormula>
    </tableColumn>
    <tableColumn id="6" xr3:uid="{00000000-0010-0000-0100-000006000000}" name="مدت اضافه کاری " totalsRowFunction="sum" dataDxfId="689" totalsRowDxfId="97" dataCellStyle="Comma"/>
    <tableColumn id="7" xr3:uid="{00000000-0010-0000-0100-000007000000}" name="اضافه کاری" totalsRowFunction="sum" dataDxfId="688" totalsRowDxfId="96" dataCellStyle="Comma">
      <calculatedColumnFormula>IFERROR((ج_ح_اردیبهشت[[#This Row],[دستمزد روزانه ]]/7.33)*1.4*ج_ح_اردیبهشت[[#This Row],[مدت اضافه کاری ]],"")</calculatedColumnFormula>
    </tableColumn>
    <tableColumn id="8" xr3:uid="{00000000-0010-0000-0100-000008000000}" name="حق مسکن" totalsRowFunction="sum" dataDxfId="687" totalsRowDxfId="95" dataCellStyle="Comma">
      <calculatedColumnFormula>IF(ج_ح_اردیبهشت[[#This Row],[کارکرد]]="","",ج_ح_اردیبهشت[[#This Row],[کارکرد]]/31*حق_مسکن)</calculatedColumnFormula>
    </tableColumn>
    <tableColumn id="9" xr3:uid="{00000000-0010-0000-0100-000009000000}" name="تعداد فرزندان" totalsRowFunction="sum" dataDxfId="686" totalsRowDxfId="94" dataCellStyle="Comma"/>
    <tableColumn id="10" xr3:uid="{00000000-0010-0000-0100-00000A000000}" name="حق اولاد" totalsRowFunction="sum" dataDxfId="685" totalsRowDxfId="93" dataCellStyle="Comma">
      <calculatedColumnFormula>IF(ج_ح_اردیبهشت[[#This Row],[تعداد فرزندان]]="","",ج_ح_اردیبهشت[[#This Row],[کارکرد]]/31*3*ج_ح_اردیبهشت[[#This Row],[تعداد فرزندان]]*حداقل_حقوق_پایه_روزانه)</calculatedColumnFormula>
    </tableColumn>
    <tableColumn id="11" xr3:uid="{00000000-0010-0000-0100-00000B000000}" name="حق و خواروبار" totalsRowFunction="sum" dataDxfId="684" totalsRowDxfId="92" dataCellStyle="Comma">
      <calculatedColumnFormula>IF(ج_ح_اردیبهشت[[#This Row],[کارکرد]]="","",ج_ح_اردیبهشت[[#This Row],[کارکرد]]/31*حق_خواربار)</calculatedColumnFormula>
    </tableColumn>
    <tableColumn id="12" xr3:uid="{00000000-0010-0000-0100-00000C000000}" name="جمع ح و م" totalsRowFunction="sum" dataDxfId="683" totalsRowDxfId="91" dataCellStyle="Comma">
      <calculatedColumnFormula>IFERROR(ج_ح_اردیبهشت[[#This Row],[حقوق پایه]]+ج_ح_اردیبهشت[[#This Row],[اضافه کاری]]+ج_ح_اردیبهشت[[#This Row],[حق مسکن]]+ج_ح_اردیبهشت[[#This Row],[حق اولاد]]+ج_ح_اردیبهشت[[#This Row],[حق و خواروبار]],"")</calculatedColumnFormula>
    </tableColumn>
    <tableColumn id="13" xr3:uid="{00000000-0010-0000-0100-00000D000000}" name="جمع ح و م م بیمه " totalsRowFunction="sum" dataDxfId="682" totalsRowDxfId="90" dataCellStyle="Comma">
      <calculatedColumnFormula>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calculatedColumnFormula>
    </tableColumn>
    <tableColumn id="14" xr3:uid="{00000000-0010-0000-0100-00000E000000}" name="جمع ح و م م مالیات" totalsRowFunction="sum" dataDxfId="681" totalsRowDxfId="89" dataCellStyle="Comma">
      <calculatedColumnFormula>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calculatedColumnFormula>
    </tableColumn>
    <tableColumn id="15" xr3:uid="{00000000-0010-0000-0100-00000F000000}" name="وام" totalsRowFunction="sum" dataDxfId="680" totalsRowDxfId="88" dataCellStyle="Comma"/>
    <tableColumn id="16" xr3:uid="{00000000-0010-0000-0100-000010000000}" name="مساعده" totalsRowFunction="sum" dataDxfId="679" totalsRowDxfId="87" dataCellStyle="Comma"/>
    <tableColumn id="17" xr3:uid="{00000000-0010-0000-0100-000011000000}" name="بیمه پرداختنی" totalsRowFunction="sum" dataDxfId="678" totalsRowDxfId="86" dataCellStyle="Comma">
      <calculatedColumnFormula>IFERROR(ج_ح_اردیبهشت[[#This Row],[جمع ح و م م بیمه ]]*7%,"")</calculatedColumnFormula>
    </tableColumn>
    <tableColumn id="18" xr3:uid="{00000000-0010-0000-0100-000012000000}" name="مالیات پرداختنی" totalsRowFunction="sum" dataDxfId="334" totalsRowDxfId="85">
      <calculatedColumnFormula>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calculatedColumnFormula>
    </tableColumn>
    <tableColumn id="19" xr3:uid="{00000000-0010-0000-0100-000013000000}" name="جمع کسورات" totalsRowFunction="sum" dataDxfId="677" totalsRowDxfId="84" dataCellStyle="Comma">
      <calculatedColumnFormula>IFERROR(ج_ح_اردیبهشت[[#This Row],[وام]]+ج_ح_اردیبهشت[[#This Row],[مساعده]]+ج_ح_اردیبهشت[[#This Row],[بیمه پرداختنی]]+ج_ح_اردیبهشت[[#This Row],[مالیات پرداختنی]],"")</calculatedColumnFormula>
    </tableColumn>
    <tableColumn id="20" xr3:uid="{00000000-0010-0000-0100-000014000000}" name="خالص قابل پرداخت" totalsRowFunction="sum" dataDxfId="676" totalsRowDxfId="83" dataCellStyle="Comma">
      <calculatedColumnFormula>IFERROR(ج_ح_اردیبهشت[[#This Row],[جمع ح و م]]-ج_ح_اردیبهشت[[#This Row],[جمع کسورات]],"")</calculatedColumnFormula>
    </tableColumn>
    <tableColumn id="22" xr3:uid="{4F2E6461-3BAB-4C0A-93F3-F898F84511E9}" name="Column1" dataDxfId="675" totalsRowDxfId="82" dataCellStyle="Comma [0]" totalsRowCellStyle="Comma [0]">
      <calculatedColumnFormula>100000000-ج_ح_اردیبهشت[[#This Row],[جمع ح و م م مالیات]]</calculatedColumnFormula>
    </tableColumn>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ج_ح_خرداد" displayName="ج_ح_خرداد" ref="C80:X111" totalsRowCount="1" headerRowDxfId="674" dataDxfId="673" totalsRowDxfId="671" tableBorderDxfId="672" dataCellStyle="Comma">
  <autoFilter ref="C80:X110" xr:uid="{00000000-0009-0000-0100-000003000000}"/>
  <tableColumns count="22">
    <tableColumn id="1" xr3:uid="{00000000-0010-0000-0200-000001000000}" name="ردیف" dataDxfId="670" totalsRowDxfId="125">
      <calculatedColumnFormula>IF(ج_ح_خرداد[[#This Row],[نام]]&lt;&gt;"",ROW()-81+1,"")</calculatedColumnFormula>
    </tableColumn>
    <tableColumn id="2" xr3:uid="{00000000-0010-0000-0200-000002000000}" name="نام" dataDxfId="669" totalsRowDxfId="124"/>
    <tableColumn id="21" xr3:uid="{00000000-0010-0000-0200-000015000000}" name="نام خانوادگی" totalsRowLabel="جمع" dataDxfId="668" totalsRowDxfId="123"/>
    <tableColumn id="3" xr3:uid="{00000000-0010-0000-0200-000003000000}" name="کارکرد" totalsRowFunction="sum" dataDxfId="667" totalsRowDxfId="122"/>
    <tableColumn id="4" xr3:uid="{00000000-0010-0000-0200-000004000000}" name="دستمزد روزانه " totalsRowFunction="sum" dataDxfId="666" totalsRowDxfId="121" dataCellStyle="Comma">
      <calculatedColumnFormula>IFERROR(IF(COUNT(ج_ح_خرداد[[#This Row],[کارکرد]]),حداقل_حقوق_پایه_روزانه,""),"")</calculatedColumnFormula>
    </tableColumn>
    <tableColumn id="5" xr3:uid="{00000000-0010-0000-0200-000005000000}" name="حقوق پایه" totalsRowFunction="sum" dataDxfId="665" totalsRowDxfId="120" dataCellStyle="Comma">
      <calculatedColumnFormula>IFERROR(IF(ج_ح_خرداد[[#This Row],[کارکرد]]*ج_ح_خرداد[[#This Row],[دستمزد روزانه ]]=0,"",ج_ح_خرداد[[#This Row],[کارکرد]]*ج_ح_خرداد[[#This Row],[دستمزد روزانه ]]),"")</calculatedColumnFormula>
    </tableColumn>
    <tableColumn id="6" xr3:uid="{00000000-0010-0000-0200-000006000000}" name="مدت اضافه کاری " totalsRowFunction="sum" dataDxfId="664" totalsRowDxfId="119" dataCellStyle="Comma"/>
    <tableColumn id="7" xr3:uid="{00000000-0010-0000-0200-000007000000}" name="اضافه کاری" totalsRowFunction="sum" dataDxfId="663" totalsRowDxfId="118" dataCellStyle="Comma">
      <calculatedColumnFormula>IFERROR((ج_ح_خرداد[[#This Row],[دستمزد روزانه ]]/7.33)*1.4*ج_ح_خرداد[[#This Row],[مدت اضافه کاری ]],"")</calculatedColumnFormula>
    </tableColumn>
    <tableColumn id="8" xr3:uid="{00000000-0010-0000-0200-000008000000}" name="حق مسکن" totalsRowFunction="sum" dataDxfId="662" totalsRowDxfId="117" dataCellStyle="Comma">
      <calculatedColumnFormula>IF(ج_ح_خرداد[[#This Row],[کارکرد]]="","",ج_ح_خرداد[[#This Row],[کارکرد]]/30*حق_مسکن)</calculatedColumnFormula>
    </tableColumn>
    <tableColumn id="9" xr3:uid="{00000000-0010-0000-0200-000009000000}" name="تعداد فرزندان" totalsRowFunction="sum" dataDxfId="661" totalsRowDxfId="116" dataCellStyle="Comma"/>
    <tableColumn id="10" xr3:uid="{00000000-0010-0000-0200-00000A000000}" name="حق اولاد" totalsRowFunction="sum" dataDxfId="660" totalsRowDxfId="115" dataCellStyle="Comma">
      <calculatedColumnFormula>IF(ج_ح_خرداد[[#This Row],[تعداد فرزندان]]="","",ج_ح_خرداد[[#This Row],[کارکرد]]/31*3*ج_ح_خرداد[[#This Row],[تعداد فرزندان]]*حداقل_حقوق_پایه_روزانه)</calculatedColumnFormula>
    </tableColumn>
    <tableColumn id="11" xr3:uid="{00000000-0010-0000-0200-00000B000000}" name="حق و خواروبار" totalsRowFunction="sum" dataDxfId="659" totalsRowDxfId="114" dataCellStyle="Comma">
      <calculatedColumnFormula>IF(ج_ح_خرداد[[#This Row],[کارکرد]]="","",ج_ح_خرداد[[#This Row],[کارکرد]]/30*حق_خواربار)</calculatedColumnFormula>
    </tableColumn>
    <tableColumn id="12" xr3:uid="{00000000-0010-0000-0200-00000C000000}" name="جمع ح و م" totalsRowFunction="sum" dataDxfId="658" totalsRowDxfId="113" dataCellStyle="Comma">
      <calculatedColumnFormula>IFERROR(ج_ح_خرداد[[#This Row],[حقوق پایه]]+ج_ح_خرداد[[#This Row],[اضافه کاری]]+ج_ح_خرداد[[#This Row],[حق مسکن]]+ج_ح_خرداد[[#This Row],[حق اولاد]]+ج_ح_خرداد[[#This Row],[حق و خواروبار]],"")</calculatedColumnFormula>
    </tableColumn>
    <tableColumn id="13" xr3:uid="{00000000-0010-0000-0200-00000D000000}" name="جمع ح و م م بیمه " totalsRowFunction="sum" dataDxfId="657" totalsRowDxfId="112" dataCellStyle="Comma">
      <calculatedColumnFormula>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calculatedColumnFormula>
    </tableColumn>
    <tableColumn id="14" xr3:uid="{00000000-0010-0000-0200-00000E000000}" name="جمع ح و م م مالیات" totalsRowFunction="sum" dataDxfId="656" totalsRowDxfId="111" dataCellStyle="Comma">
      <calculatedColumnFormula>IFERROR(ج_ح_خرداد[[#This Row],[حقوق پایه]]+ج_ح_خرداد[[#This Row],[اضافه کاری]]+ج_ح_خرداد[[#This Row],[حق مسکن]]+ج_ح_خرداد[[#This Row],[حق و خواروبار]]+ج_ح_خرداد[[#This Row],[حق اولاد]]-(2/7)*ج_ح_خرداد[[#This Row],[بیمه پرداختنی]],"")</calculatedColumnFormula>
    </tableColumn>
    <tableColumn id="15" xr3:uid="{00000000-0010-0000-0200-00000F000000}" name="وام" totalsRowFunction="sum" dataDxfId="655" totalsRowDxfId="110" dataCellStyle="Comma"/>
    <tableColumn id="16" xr3:uid="{00000000-0010-0000-0200-000010000000}" name="مساعده" totalsRowFunction="sum" dataDxfId="654" totalsRowDxfId="109" dataCellStyle="Comma"/>
    <tableColumn id="17" xr3:uid="{00000000-0010-0000-0200-000011000000}" name="بیمه پرداختنی" totalsRowFunction="sum" dataDxfId="653" totalsRowDxfId="108" dataCellStyle="Comma">
      <calculatedColumnFormula>IFERROR(ج_ح_خرداد[[#This Row],[جمع ح و م م بیمه ]]*7%,"")</calculatedColumnFormula>
    </tableColumn>
    <tableColumn id="18" xr3:uid="{00000000-0010-0000-0200-000012000000}" name="مالیات پرداختنی" totalsRowFunction="sum" dataDxfId="333" totalsRowDxfId="107">
      <calculatedColumnFormula>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calculatedColumnFormula>
    </tableColumn>
    <tableColumn id="19" xr3:uid="{00000000-0010-0000-0200-000013000000}" name="جمع کسورات" totalsRowFunction="sum" dataDxfId="652" totalsRowDxfId="106" dataCellStyle="Comma">
      <calculatedColumnFormula>IFERROR(ج_ح_خرداد[[#This Row],[وام]]+ج_ح_خرداد[[#This Row],[مساعده]]+ج_ح_خرداد[[#This Row],[بیمه پرداختنی]]+ج_ح_خرداد[[#This Row],[مالیات پرداختنی]],"")</calculatedColumnFormula>
    </tableColumn>
    <tableColumn id="20" xr3:uid="{00000000-0010-0000-0200-000014000000}" name="خالص قابل پرداخت" totalsRowFunction="sum" dataDxfId="651" totalsRowDxfId="105" dataCellStyle="Comma">
      <calculatedColumnFormula>IFERROR(ج_ح_خرداد[[#This Row],[جمع ح و م]]-ج_ح_خرداد[[#This Row],[جمع کسورات]],"")</calculatedColumnFormula>
    </tableColumn>
    <tableColumn id="22" xr3:uid="{79E8E523-E706-43D0-8198-BE108D27365E}" name="Column1" dataDxfId="650" totalsRowDxfId="104" dataCellStyle="Comma [0]" totalsRowCellStyle="Comma [0]">
      <calculatedColumnFormula>100000000-ج_ح_خرداد[[#This Row],[جمع ح و م م مالیات]]</calculatedColumnFormula>
    </tableColumn>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ج_ح_تیر" displayName="ج_ح_تیر" ref="C117:X148" totalsRowCount="1" headerRowDxfId="649" dataDxfId="648" totalsRowDxfId="646" tableBorderDxfId="647" dataCellStyle="Comma">
  <autoFilter ref="C117:X147" xr:uid="{00000000-0009-0000-0100-000004000000}"/>
  <tableColumns count="22">
    <tableColumn id="1" xr3:uid="{00000000-0010-0000-0300-000001000000}" name="ردیف" dataDxfId="645" totalsRowDxfId="147">
      <calculatedColumnFormula>IF(ج_ح_تیر[[#This Row],[نام]]&lt;&gt;"",ROW()-118+1,"")</calculatedColumnFormula>
    </tableColumn>
    <tableColumn id="2" xr3:uid="{00000000-0010-0000-0300-000002000000}" name="نام" dataDxfId="644" totalsRowDxfId="146"/>
    <tableColumn id="21" xr3:uid="{00000000-0010-0000-0300-000015000000}" name="نام خانوادگی" totalsRowLabel="جمع" dataDxfId="643" totalsRowDxfId="145"/>
    <tableColumn id="3" xr3:uid="{00000000-0010-0000-0300-000003000000}" name="کارکرد" totalsRowFunction="sum" dataDxfId="642" totalsRowDxfId="144"/>
    <tableColumn id="4" xr3:uid="{00000000-0010-0000-0300-000004000000}" name="دستمزد روزانه " totalsRowFunction="sum" dataDxfId="641" totalsRowDxfId="143" dataCellStyle="Comma">
      <calculatedColumnFormula>IFERROR(IF(COUNT(ج_ح_تیر[[#This Row],[کارکرد]]),حداقل_حقوق_پایه_روزانه,""),"")</calculatedColumnFormula>
    </tableColumn>
    <tableColumn id="5" xr3:uid="{00000000-0010-0000-0300-000005000000}" name="حقوق پایه" totalsRowFunction="sum" dataDxfId="640" totalsRowDxfId="142" dataCellStyle="Comma">
      <calculatedColumnFormula>IFERROR(IF(ج_ح_تیر[[#This Row],[کارکرد]]*ج_ح_تیر[[#This Row],[دستمزد روزانه ]]=0,"",ج_ح_تیر[[#This Row],[کارکرد]]*ج_ح_تیر[[#This Row],[دستمزد روزانه ]]),"")</calculatedColumnFormula>
    </tableColumn>
    <tableColumn id="6" xr3:uid="{00000000-0010-0000-0300-000006000000}" name="مدت اضافه کاری " totalsRowFunction="sum" dataDxfId="639" totalsRowDxfId="141" dataCellStyle="Comma"/>
    <tableColumn id="7" xr3:uid="{00000000-0010-0000-0300-000007000000}" name="اضافه کاری" totalsRowFunction="sum" dataDxfId="638" totalsRowDxfId="140" dataCellStyle="Comma">
      <calculatedColumnFormula>IFERROR((ج_ح_تیر[[#This Row],[دستمزد روزانه ]]/7.33)*1.4*ج_ح_تیر[[#This Row],[مدت اضافه کاری ]],"")</calculatedColumnFormula>
    </tableColumn>
    <tableColumn id="8" xr3:uid="{00000000-0010-0000-0300-000008000000}" name="حق مسکن" totalsRowFunction="sum" dataDxfId="637" totalsRowDxfId="139" dataCellStyle="Comma">
      <calculatedColumnFormula>IF(ج_ح_تیر[[#This Row],[کارکرد]]="","",ج_ح_تیر[[#This Row],[کارکرد]]/31*حق_مسکن)</calculatedColumnFormula>
    </tableColumn>
    <tableColumn id="9" xr3:uid="{00000000-0010-0000-0300-000009000000}" name="تعداد فرزندان" totalsRowFunction="sum" dataDxfId="636" totalsRowDxfId="138" dataCellStyle="Comma"/>
    <tableColumn id="10" xr3:uid="{00000000-0010-0000-0300-00000A000000}" name="حق اولاد" totalsRowFunction="sum" dataDxfId="635" totalsRowDxfId="137" dataCellStyle="Comma">
      <calculatedColumnFormula>IF(ج_ح_تیر[[#This Row],[تعداد فرزندان]]="","",ج_ح_تیر[[#This Row],[کارکرد]]/31*3*ج_ح_تیر[[#This Row],[تعداد فرزندان]]*حداقل_حقوق_پایه_روزانه)</calculatedColumnFormula>
    </tableColumn>
    <tableColumn id="11" xr3:uid="{00000000-0010-0000-0300-00000B000000}" name="حق و خواروبار" totalsRowFunction="sum" dataDxfId="634" totalsRowDxfId="136" dataCellStyle="Comma">
      <calculatedColumnFormula>IF(ج_ح_تیر[[#This Row],[کارکرد]]="","",ج_ح_تیر[[#This Row],[کارکرد]]/31*حق_خواربار)</calculatedColumnFormula>
    </tableColumn>
    <tableColumn id="12" xr3:uid="{00000000-0010-0000-0300-00000C000000}" name="جمع ح و م" totalsRowFunction="sum" dataDxfId="633" totalsRowDxfId="135" dataCellStyle="Comma">
      <calculatedColumnFormula>IFERROR(ج_ح_تیر[[#This Row],[حقوق پایه]]+ج_ح_تیر[[#This Row],[اضافه کاری]]+ج_ح_تیر[[#This Row],[حق مسکن]]+ج_ح_تیر[[#This Row],[حق اولاد]]+ج_ح_تیر[[#This Row],[حق و خواروبار]],"")</calculatedColumnFormula>
    </tableColumn>
    <tableColumn id="13" xr3:uid="{00000000-0010-0000-0300-00000D000000}" name="جمع ح و م م بیمه " totalsRowFunction="sum" dataDxfId="632" totalsRowDxfId="134" dataCellStyle="Comma">
      <calculatedColumnFormula>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calculatedColumnFormula>
    </tableColumn>
    <tableColumn id="14" xr3:uid="{00000000-0010-0000-0300-00000E000000}" name="جمع ح و م م مالیات" totalsRowFunction="sum" dataDxfId="631" totalsRowDxfId="133" dataCellStyle="Comma">
      <calculatedColumnFormula>IFERROR(ج_ح_تیر[[#This Row],[حقوق پایه]]+ج_ح_تیر[[#This Row],[اضافه کاری]]+ج_ح_تیر[[#This Row],[حق مسکن]]+ج_ح_تیر[[#This Row],[حق و خواروبار]]+ج_ح_تیر[[#This Row],[حق اولاد]]-(2/7)*ج_ح_تیر[[#This Row],[بیمه پرداختنی]],"")</calculatedColumnFormula>
    </tableColumn>
    <tableColumn id="15" xr3:uid="{00000000-0010-0000-0300-00000F000000}" name="وام" totalsRowFunction="sum" dataDxfId="630" totalsRowDxfId="132" dataCellStyle="Comma"/>
    <tableColumn id="16" xr3:uid="{00000000-0010-0000-0300-000010000000}" name="مساعده" totalsRowFunction="sum" dataDxfId="629" totalsRowDxfId="131" dataCellStyle="Comma"/>
    <tableColumn id="17" xr3:uid="{00000000-0010-0000-0300-000011000000}" name="بیمه پرداختنی" totalsRowFunction="sum" dataDxfId="628" totalsRowDxfId="130" dataCellStyle="Comma">
      <calculatedColumnFormula>IFERROR(ج_ح_تیر[[#This Row],[جمع ح و م م بیمه ]]*7%,"")</calculatedColumnFormula>
    </tableColumn>
    <tableColumn id="18" xr3:uid="{00000000-0010-0000-0300-000012000000}" name="مالیات پرداختنی" totalsRowFunction="sum" dataDxfId="332" totalsRowDxfId="129">
      <calculatedColumnFormula>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calculatedColumnFormula>
    </tableColumn>
    <tableColumn id="19" xr3:uid="{00000000-0010-0000-0300-000013000000}" name="جمع کسورات" totalsRowFunction="sum" dataDxfId="627" totalsRowDxfId="128" dataCellStyle="Comma">
      <calculatedColumnFormula>IFERROR(ج_ح_تیر[[#This Row],[وام]]+ج_ح_تیر[[#This Row],[مساعده]]+ج_ح_تیر[[#This Row],[بیمه پرداختنی]]+ج_ح_تیر[[#This Row],[مالیات پرداختنی]],"")</calculatedColumnFormula>
    </tableColumn>
    <tableColumn id="20" xr3:uid="{00000000-0010-0000-0300-000014000000}" name="خالص قابل پرداخت" totalsRowFunction="sum" dataDxfId="626" totalsRowDxfId="127" dataCellStyle="Comma">
      <calculatedColumnFormula>IFERROR(ج_ح_تیر[[#This Row],[جمع ح و م]]-ج_ح_تیر[[#This Row],[جمع کسورات]],"")</calculatedColumnFormula>
    </tableColumn>
    <tableColumn id="22" xr3:uid="{D4EF5DC3-9D80-48F3-8FA6-1C5B1E84B4E9}" name="Column1" dataDxfId="625" totalsRowDxfId="126" dataCellStyle="Comma [0]" totalsRowCellStyle="Comma [0]">
      <calculatedColumnFormula>100000000-ج_ح_تیر[[#This Row],[جمع ح و م م مالیات]]</calculatedColumnFormula>
    </tableColumn>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ج_ح_مرداد" displayName="ج_ح_مرداد" ref="C154:X185" totalsRowCount="1" headerRowDxfId="624" dataDxfId="623" totalsRowDxfId="621" tableBorderDxfId="622" dataCellStyle="Comma">
  <autoFilter ref="C154:X184" xr:uid="{00000000-0009-0000-0100-000005000000}"/>
  <tableColumns count="22">
    <tableColumn id="1" xr3:uid="{00000000-0010-0000-0400-000001000000}" name="ردیف" dataDxfId="620" totalsRowDxfId="169">
      <calculatedColumnFormula>IF(ج_ح_مرداد[[#This Row],[نام]]&lt;&gt;"",ROW()-155+1,"")</calculatedColumnFormula>
    </tableColumn>
    <tableColumn id="2" xr3:uid="{00000000-0010-0000-0400-000002000000}" name="نام" dataDxfId="619" totalsRowDxfId="168"/>
    <tableColumn id="21" xr3:uid="{00000000-0010-0000-0400-000015000000}" name="نام خانوادگی" totalsRowLabel="جمع" dataDxfId="618" totalsRowDxfId="167"/>
    <tableColumn id="3" xr3:uid="{00000000-0010-0000-0400-000003000000}" name="کارکرد" totalsRowFunction="sum" dataDxfId="617" totalsRowDxfId="166"/>
    <tableColumn id="4" xr3:uid="{00000000-0010-0000-0400-000004000000}" name="دستمزد روزانه " totalsRowFunction="sum" dataDxfId="616" totalsRowDxfId="165" dataCellStyle="Comma">
      <calculatedColumnFormula>IFERROR(IF(COUNT(ج_ح_مرداد[[#This Row],[کارکرد]]),حداقل_حقوق_پایه_روزانه,""),"")</calculatedColumnFormula>
    </tableColumn>
    <tableColumn id="5" xr3:uid="{00000000-0010-0000-0400-000005000000}" name="حقوق پایه" totalsRowFunction="sum" dataDxfId="615" totalsRowDxfId="164" dataCellStyle="Comma">
      <calculatedColumnFormula>IFERROR(IF(ج_ح_مرداد[[#This Row],[کارکرد]]*ج_ح_مرداد[[#This Row],[دستمزد روزانه ]]=0,"",ج_ح_مرداد[[#This Row],[کارکرد]]*ج_ح_مرداد[[#This Row],[دستمزد روزانه ]]),"")</calculatedColumnFormula>
    </tableColumn>
    <tableColumn id="6" xr3:uid="{00000000-0010-0000-0400-000006000000}" name="مدت اضافه کاری " totalsRowFunction="sum" dataDxfId="614" totalsRowDxfId="163" dataCellStyle="Comma"/>
    <tableColumn id="7" xr3:uid="{00000000-0010-0000-0400-000007000000}" name="اضافه کاری" totalsRowFunction="sum" dataDxfId="613" totalsRowDxfId="162" dataCellStyle="Comma">
      <calculatedColumnFormula>IFERROR((ج_ح_مرداد[[#This Row],[دستمزد روزانه ]]/7.33)*1.4*ج_ح_مرداد[[#This Row],[مدت اضافه کاری ]],"")</calculatedColumnFormula>
    </tableColumn>
    <tableColumn id="8" xr3:uid="{00000000-0010-0000-0400-000008000000}" name="حق مسکن" totalsRowFunction="sum" dataDxfId="612" totalsRowDxfId="161" dataCellStyle="Comma">
      <calculatedColumnFormula>IF(ج_ح_مرداد[[#This Row],[کارکرد]]="","",ج_ح_مرداد[[#This Row],[کارکرد]]/31*حق_مسکن)</calculatedColumnFormula>
    </tableColumn>
    <tableColumn id="9" xr3:uid="{00000000-0010-0000-0400-000009000000}" name="تعداد فرزندان" totalsRowFunction="sum" dataDxfId="611" totalsRowDxfId="160" dataCellStyle="Comma"/>
    <tableColumn id="10" xr3:uid="{00000000-0010-0000-0400-00000A000000}" name="حق اولاد" totalsRowFunction="sum" dataDxfId="610" totalsRowDxfId="159" dataCellStyle="Comma">
      <calculatedColumnFormula>IF(ج_ح_مرداد[[#This Row],[تعداد فرزندان]]="","",ج_ح_مرداد[[#This Row],[کارکرد]]/31*3*ج_ح_مرداد[[#This Row],[تعداد فرزندان]]*حداقل_حقوق_پایه_روزانه)</calculatedColumnFormula>
    </tableColumn>
    <tableColumn id="11" xr3:uid="{00000000-0010-0000-0400-00000B000000}" name="حق و خواروبار" totalsRowFunction="sum" dataDxfId="609" totalsRowDxfId="158" dataCellStyle="Comma">
      <calculatedColumnFormula>IF(ج_ح_مرداد[[#This Row],[کارکرد]]="","",ج_ح_مرداد[[#This Row],[کارکرد]]/31*حق_خواربار)</calculatedColumnFormula>
    </tableColumn>
    <tableColumn id="12" xr3:uid="{00000000-0010-0000-0400-00000C000000}" name="جمع ح و م" totalsRowFunction="sum" dataDxfId="608" totalsRowDxfId="157" dataCellStyle="Comma">
      <calculatedColumnFormula>IFERROR(ج_ح_مرداد[[#This Row],[حقوق پایه]]+ج_ح_مرداد[[#This Row],[اضافه کاری]]+ج_ح_مرداد[[#This Row],[حق مسکن]]+ج_ح_مرداد[[#This Row],[حق اولاد]]+ج_ح_مرداد[[#This Row],[حق و خواروبار]],"")</calculatedColumnFormula>
    </tableColumn>
    <tableColumn id="13" xr3:uid="{00000000-0010-0000-0400-00000D000000}" name="جمع ح و م م بیمه " totalsRowFunction="sum" dataDxfId="607" totalsRowDxfId="156" dataCellStyle="Comma">
      <calculatedColumnFormula>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calculatedColumnFormula>
    </tableColumn>
    <tableColumn id="14" xr3:uid="{00000000-0010-0000-0400-00000E000000}" name="جمع ح و م م مالیات" totalsRowFunction="sum" dataDxfId="606" totalsRowDxfId="155" dataCellStyle="Comma">
      <calculatedColumnFormula>IFERROR(ج_ح_مرداد[[#This Row],[حقوق پایه]]+ج_ح_مرداد[[#This Row],[اضافه کاری]]+ج_ح_مرداد[[#This Row],[حق مسکن]]+ج_ح_مرداد[[#This Row],[حق و خواروبار]]+ج_ح_مرداد[[#This Row],[حق اولاد]]-(2/7)*ج_ح_مرداد[[#This Row],[بیمه پرداختنی]],"")</calculatedColumnFormula>
    </tableColumn>
    <tableColumn id="15" xr3:uid="{00000000-0010-0000-0400-00000F000000}" name="وام" totalsRowFunction="sum" dataDxfId="605" totalsRowDxfId="154" dataCellStyle="Comma"/>
    <tableColumn id="16" xr3:uid="{00000000-0010-0000-0400-000010000000}" name="مساعده" totalsRowFunction="sum" dataDxfId="604" totalsRowDxfId="153" dataCellStyle="Comma"/>
    <tableColumn id="17" xr3:uid="{00000000-0010-0000-0400-000011000000}" name="بیمه پرداختنی" totalsRowFunction="sum" dataDxfId="603" totalsRowDxfId="152" dataCellStyle="Comma">
      <calculatedColumnFormula>IFERROR(ج_ح_مرداد[[#This Row],[جمع ح و م م بیمه ]]*7%,"")</calculatedColumnFormula>
    </tableColumn>
    <tableColumn id="18" xr3:uid="{00000000-0010-0000-0400-000012000000}" name="مالیات پرداختنی" totalsRowFunction="sum" dataDxfId="331" totalsRowDxfId="151">
      <calculatedColumnFormula>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calculatedColumnFormula>
    </tableColumn>
    <tableColumn id="19" xr3:uid="{00000000-0010-0000-0400-000013000000}" name="جمع کسورات" totalsRowFunction="sum" dataDxfId="602" totalsRowDxfId="150" dataCellStyle="Comma">
      <calculatedColumnFormula>IFERROR(ج_ح_مرداد[[#This Row],[وام]]+ج_ح_مرداد[[#This Row],[مساعده]]+ج_ح_مرداد[[#This Row],[بیمه پرداختنی]]+ج_ح_مرداد[[#This Row],[مالیات پرداختنی]],"")</calculatedColumnFormula>
    </tableColumn>
    <tableColumn id="20" xr3:uid="{00000000-0010-0000-0400-000014000000}" name="خالص قابل پرداخت" totalsRowFunction="sum" dataDxfId="601" totalsRowDxfId="149" dataCellStyle="Comma">
      <calculatedColumnFormula>IFERROR(ج_ح_مرداد[[#This Row],[جمع ح و م]]-ج_ح_مرداد[[#This Row],[جمع کسورات]],"")</calculatedColumnFormula>
    </tableColumn>
    <tableColumn id="22" xr3:uid="{F3B871B9-A27B-4914-A1B7-C9C47645EDCF}" name="Column1" dataDxfId="600" totalsRowDxfId="148" dataCellStyle="Comma [0]" totalsRowCellStyle="Comma [0]">
      <calculatedColumnFormula>100000000-ج_ح_مرداد[[#This Row],[جمع ح و م م مالیات]]</calculatedColumnFormula>
    </tableColumn>
  </tableColumns>
  <tableStyleInfo name="TableStyleLight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ج_ح_شهریور" displayName="ج_ح_شهریور" ref="C191:X222" totalsRowCount="1" headerRowDxfId="599" dataDxfId="598" totalsRowDxfId="596" tableBorderDxfId="597" dataCellStyle="Comma">
  <autoFilter ref="C191:X221" xr:uid="{00000000-0009-0000-0100-000006000000}"/>
  <tableColumns count="22">
    <tableColumn id="1" xr3:uid="{00000000-0010-0000-0500-000001000000}" name="ردیف" dataDxfId="595" totalsRowDxfId="191">
      <calculatedColumnFormula>IF(ج_ح_شهریور[[#This Row],[نام]]&lt;&gt;"",ROW()-192+1,"")</calculatedColumnFormula>
    </tableColumn>
    <tableColumn id="2" xr3:uid="{00000000-0010-0000-0500-000002000000}" name="نام" dataDxfId="594" totalsRowDxfId="190"/>
    <tableColumn id="21" xr3:uid="{00000000-0010-0000-0500-000015000000}" name="نام خانوادگی" totalsRowLabel="جمع" dataDxfId="593" totalsRowDxfId="189"/>
    <tableColumn id="3" xr3:uid="{00000000-0010-0000-0500-000003000000}" name="کارکرد" totalsRowFunction="sum" dataDxfId="592" totalsRowDxfId="188"/>
    <tableColumn id="4" xr3:uid="{00000000-0010-0000-0500-000004000000}" name="دستمزد روزانه " totalsRowFunction="sum" dataDxfId="591" totalsRowDxfId="187" dataCellStyle="Comma">
      <calculatedColumnFormula>IFERROR(IF(COUNT(ج_ح_شهریور[[#This Row],[کارکرد]]),حداقل_حقوق_پایه_روزانه,""),"")</calculatedColumnFormula>
    </tableColumn>
    <tableColumn id="5" xr3:uid="{00000000-0010-0000-0500-000005000000}" name="حقوق پایه" totalsRowFunction="sum" dataDxfId="590" totalsRowDxfId="186" dataCellStyle="Comma">
      <calculatedColumnFormula>IFERROR(IF(ج_ح_شهریور[[#This Row],[کارکرد]]*ج_ح_شهریور[[#This Row],[دستمزد روزانه ]]=0,"",ج_ح_شهریور[[#This Row],[کارکرد]]*ج_ح_شهریور[[#This Row],[دستمزد روزانه ]]),"")</calculatedColumnFormula>
    </tableColumn>
    <tableColumn id="6" xr3:uid="{00000000-0010-0000-0500-000006000000}" name="مدت اضافه کاری " totalsRowFunction="sum" dataDxfId="589" totalsRowDxfId="185" dataCellStyle="Comma"/>
    <tableColumn id="7" xr3:uid="{00000000-0010-0000-0500-000007000000}" name="اضافه کاری" totalsRowFunction="sum" dataDxfId="588" totalsRowDxfId="184" dataCellStyle="Comma">
      <calculatedColumnFormula>IFERROR((ج_ح_شهریور[[#This Row],[دستمزد روزانه ]]/7.33)*1.4*ج_ح_شهریور[[#This Row],[مدت اضافه کاری ]],"")</calculatedColumnFormula>
    </tableColumn>
    <tableColumn id="8" xr3:uid="{00000000-0010-0000-0500-000008000000}" name="حق مسکن" totalsRowFunction="sum" dataDxfId="587" totalsRowDxfId="183" dataCellStyle="Comma">
      <calculatedColumnFormula>IF(ج_ح_شهریور[[#This Row],[کارکرد]]="","",ج_ح_شهریور[[#This Row],[کارکرد]]/31*حق_مسکن)</calculatedColumnFormula>
    </tableColumn>
    <tableColumn id="9" xr3:uid="{00000000-0010-0000-0500-000009000000}" name="تعداد فرزندان" totalsRowFunction="sum" dataDxfId="586" totalsRowDxfId="182" dataCellStyle="Comma"/>
    <tableColumn id="10" xr3:uid="{00000000-0010-0000-0500-00000A000000}" name="حق اولاد" totalsRowFunction="sum" dataDxfId="585" totalsRowDxfId="181" dataCellStyle="Comma">
      <calculatedColumnFormula>IF(ج_ح_شهریور[[#This Row],[تعداد فرزندان]]="","",ج_ح_شهریور[[#This Row],[کارکرد]]/31*3*ج_ح_شهریور[[#This Row],[تعداد فرزندان]]*حداقل_حقوق_پایه_روزانه)</calculatedColumnFormula>
    </tableColumn>
    <tableColumn id="11" xr3:uid="{00000000-0010-0000-0500-00000B000000}" name="حق و خواروبار" totalsRowFunction="sum" dataDxfId="584" totalsRowDxfId="180" dataCellStyle="Comma">
      <calculatedColumnFormula>IF(ج_ح_شهریور[[#This Row],[کارکرد]]="","",ج_ح_شهریور[[#This Row],[کارکرد]]/31*حق_خواربار)</calculatedColumnFormula>
    </tableColumn>
    <tableColumn id="12" xr3:uid="{00000000-0010-0000-0500-00000C000000}" name="جمع ح و م" totalsRowFunction="sum" dataDxfId="583" totalsRowDxfId="179" dataCellStyle="Comma">
      <calculatedColumnFormula>IFERROR(ج_ح_شهریور[[#This Row],[حقوق پایه]]+ج_ح_شهریور[[#This Row],[اضافه کاری]]+ج_ح_شهریور[[#This Row],[حق مسکن]]+ج_ح_شهریور[[#This Row],[حق اولاد]]+ج_ح_شهریور[[#This Row],[حق و خواروبار]],"")</calculatedColumnFormula>
    </tableColumn>
    <tableColumn id="13" xr3:uid="{00000000-0010-0000-0500-00000D000000}" name="جمع ح و م م بیمه " totalsRowFunction="sum" dataDxfId="582" totalsRowDxfId="178" dataCellStyle="Comma">
      <calculatedColumnFormula>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calculatedColumnFormula>
    </tableColumn>
    <tableColumn id="14" xr3:uid="{00000000-0010-0000-0500-00000E000000}" name="جمع ح و م م مالیات" totalsRowFunction="sum" dataDxfId="581" totalsRowDxfId="177" dataCellStyle="Comma">
      <calculatedColumnFormula>IFERROR(ج_ح_شهریور[[#This Row],[حقوق پایه]]+ج_ح_شهریور[[#This Row],[اضافه کاری]]+ج_ح_شهریور[[#This Row],[حق مسکن]]+ج_ح_شهریور[[#This Row],[حق و خواروبار]]+ج_ح_شهریور[[#This Row],[حق اولاد]]-(2/7)*ج_ح_شهریور[[#This Row],[بیمه پرداختنی]],"")</calculatedColumnFormula>
    </tableColumn>
    <tableColumn id="15" xr3:uid="{00000000-0010-0000-0500-00000F000000}" name="وام" totalsRowFunction="sum" dataDxfId="580" totalsRowDxfId="176" dataCellStyle="Comma"/>
    <tableColumn id="16" xr3:uid="{00000000-0010-0000-0500-000010000000}" name="مساعده" totalsRowFunction="sum" dataDxfId="579" totalsRowDxfId="175" dataCellStyle="Comma"/>
    <tableColumn id="17" xr3:uid="{00000000-0010-0000-0500-000011000000}" name="بیمه پرداختنی" totalsRowFunction="sum" dataDxfId="578" totalsRowDxfId="174" dataCellStyle="Comma">
      <calculatedColumnFormula>IFERROR(ج_ح_شهریور[[#This Row],[جمع ح و م م بیمه ]]*7%,"")</calculatedColumnFormula>
    </tableColumn>
    <tableColumn id="18" xr3:uid="{00000000-0010-0000-0500-000012000000}" name="مالیات پرداختنی" totalsRowFunction="sum" dataDxfId="330" totalsRowDxfId="173">
      <calculatedColumnFormula>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calculatedColumnFormula>
    </tableColumn>
    <tableColumn id="19" xr3:uid="{00000000-0010-0000-0500-000013000000}" name="جمع کسورات" totalsRowFunction="sum" dataDxfId="577" totalsRowDxfId="172" dataCellStyle="Comma">
      <calculatedColumnFormula>IFERROR(ج_ح_شهریور[[#This Row],[وام]]+ج_ح_شهریور[[#This Row],[مساعده]]+ج_ح_شهریور[[#This Row],[بیمه پرداختنی]]+ج_ح_شهریور[[#This Row],[مالیات پرداختنی]],"")</calculatedColumnFormula>
    </tableColumn>
    <tableColumn id="20" xr3:uid="{00000000-0010-0000-0500-000014000000}" name="خالص قابل پرداخت" totalsRowFunction="sum" dataDxfId="576" totalsRowDxfId="171" dataCellStyle="Comma">
      <calculatedColumnFormula>IFERROR(ج_ح_شهریور[[#This Row],[جمع ح و م]]-ج_ح_شهریور[[#This Row],[جمع کسورات]],"")</calculatedColumnFormula>
    </tableColumn>
    <tableColumn id="22" xr3:uid="{B9DC2733-72F2-4352-A74C-B1D6535FCEBD}" name="Column1" dataDxfId="575" totalsRowDxfId="170" dataCellStyle="Comma [0]" totalsRowCellStyle="Comma [0]">
      <calculatedColumnFormula>100000000-ج_ح_شهریور[[#This Row],[جمع ح و م م مالیات]]</calculatedColumnFormula>
    </tableColumn>
  </tableColumns>
  <tableStyleInfo name="TableStyleLight1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ج_ح_مهر" displayName="ج_ح_مهر" ref="C228:X259" totalsRowCount="1" headerRowDxfId="574" dataDxfId="573" totalsRowDxfId="571" tableBorderDxfId="572" dataCellStyle="Comma">
  <autoFilter ref="C228:X258" xr:uid="{00000000-0009-0000-0100-000007000000}"/>
  <tableColumns count="22">
    <tableColumn id="1" xr3:uid="{00000000-0010-0000-0600-000001000000}" name="ردیف" dataDxfId="570" totalsRowDxfId="213">
      <calculatedColumnFormula>IF(ج_ح_مهر[[#This Row],[نام]]&lt;&gt;"",ROW()-229+1,"")</calculatedColumnFormula>
    </tableColumn>
    <tableColumn id="2" xr3:uid="{00000000-0010-0000-0600-000002000000}" name="نام" dataDxfId="569" totalsRowDxfId="212"/>
    <tableColumn id="21" xr3:uid="{00000000-0010-0000-0600-000015000000}" name="نام خانوادگی" totalsRowLabel="جمع" dataDxfId="568" totalsRowDxfId="211"/>
    <tableColumn id="3" xr3:uid="{00000000-0010-0000-0600-000003000000}" name="کارکرد" totalsRowFunction="sum" dataDxfId="567" totalsRowDxfId="210"/>
    <tableColumn id="4" xr3:uid="{00000000-0010-0000-0600-000004000000}" name="دستمزد روزانه " totalsRowFunction="sum" dataDxfId="566" totalsRowDxfId="209" dataCellStyle="Comma">
      <calculatedColumnFormula>IFERROR(IF(COUNT(ج_ح_مهر[[#This Row],[کارکرد]]),حداقل_حقوق_پایه_روزانه,""),"")</calculatedColumnFormula>
    </tableColumn>
    <tableColumn id="5" xr3:uid="{00000000-0010-0000-0600-000005000000}" name="حقوق پایه" totalsRowFunction="sum" dataDxfId="565" totalsRowDxfId="208" dataCellStyle="Comma">
      <calculatedColumnFormula>IFERROR(IF(ج_ح_مهر[[#This Row],[کارکرد]]*ج_ح_مهر[[#This Row],[دستمزد روزانه ]]=0,"",ج_ح_مهر[[#This Row],[کارکرد]]*ج_ح_مهر[[#This Row],[دستمزد روزانه ]]),"")</calculatedColumnFormula>
    </tableColumn>
    <tableColumn id="6" xr3:uid="{00000000-0010-0000-0600-000006000000}" name="مدت اضافه کاری " totalsRowFunction="sum" dataDxfId="564" totalsRowDxfId="207" dataCellStyle="Comma"/>
    <tableColumn id="7" xr3:uid="{00000000-0010-0000-0600-000007000000}" name="اضافه کاری" totalsRowFunction="sum" dataDxfId="563" totalsRowDxfId="206" dataCellStyle="Comma">
      <calculatedColumnFormula>IFERROR((ج_ح_مهر[[#This Row],[دستمزد روزانه ]]/7.33)*1.4*ج_ح_مهر[[#This Row],[مدت اضافه کاری ]],"")</calculatedColumnFormula>
    </tableColumn>
    <tableColumn id="8" xr3:uid="{00000000-0010-0000-0600-000008000000}" name="حق مسکن" totalsRowFunction="sum" dataDxfId="562" totalsRowDxfId="205" dataCellStyle="Comma">
      <calculatedColumnFormula>IF(ج_ح_مهر[[#This Row],[کارکرد]]="","",ج_ح_مهر[[#This Row],[کارکرد]]/30*حق_مسکن)</calculatedColumnFormula>
    </tableColumn>
    <tableColumn id="9" xr3:uid="{00000000-0010-0000-0600-000009000000}" name="تعداد فرزندان" totalsRowFunction="sum" dataDxfId="561" totalsRowDxfId="204" dataCellStyle="Comma"/>
    <tableColumn id="10" xr3:uid="{00000000-0010-0000-0600-00000A000000}" name="حق اولاد" totalsRowFunction="sum" dataDxfId="560" totalsRowDxfId="203" dataCellStyle="Comma">
      <calculatedColumnFormula>IF(ج_ح_مهر[[#This Row],[تعداد فرزندان]]="","",ج_ح_مهر[[#This Row],[کارکرد]]/30*3*ج_ح_مهر[[#This Row],[تعداد فرزندان]]*حداقل_حقوق_پایه_روزانه)</calculatedColumnFormula>
    </tableColumn>
    <tableColumn id="11" xr3:uid="{00000000-0010-0000-0600-00000B000000}" name="حق و خواروبار" totalsRowFunction="sum" dataDxfId="559" totalsRowDxfId="202" dataCellStyle="Comma">
      <calculatedColumnFormula>IF(ج_ح_مهر[[#This Row],[کارکرد]]="","",ج_ح_مهر[[#This Row],[کارکرد]]/30*حق_خواربار)</calculatedColumnFormula>
    </tableColumn>
    <tableColumn id="12" xr3:uid="{00000000-0010-0000-0600-00000C000000}" name="جمع ح و م" totalsRowFunction="sum" dataDxfId="558" totalsRowDxfId="201" dataCellStyle="Comma">
      <calculatedColumnFormula>IFERROR(ج_ح_مهر[[#This Row],[حقوق پایه]]+ج_ح_مهر[[#This Row],[اضافه کاری]]+ج_ح_مهر[[#This Row],[حق مسکن]]+ج_ح_مهر[[#This Row],[حق اولاد]]+ج_ح_مهر[[#This Row],[حق و خواروبار]],"")</calculatedColumnFormula>
    </tableColumn>
    <tableColumn id="13" xr3:uid="{00000000-0010-0000-0600-00000D000000}" name="جمع ح و م م بیمه " totalsRowFunction="sum" dataDxfId="557" totalsRowDxfId="200" dataCellStyle="Comma">
      <calculatedColumnFormula>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calculatedColumnFormula>
    </tableColumn>
    <tableColumn id="14" xr3:uid="{00000000-0010-0000-0600-00000E000000}" name="جمع ح و م م مالیات" totalsRowFunction="sum" dataDxfId="556" totalsRowDxfId="199" dataCellStyle="Comma">
      <calculatedColumnFormula>IFERROR(ج_ح_مهر[[#This Row],[حقوق پایه]]+ج_ح_مهر[[#This Row],[اضافه کاری]]+ج_ح_مهر[[#This Row],[حق مسکن]]+ج_ح_مهر[[#This Row],[حق و خواروبار]]+ج_ح_مهر[[#This Row],[حق اولاد]]-(2/7)*ج_ح_مهر[[#This Row],[بیمه پرداختنی]],"")</calculatedColumnFormula>
    </tableColumn>
    <tableColumn id="15" xr3:uid="{00000000-0010-0000-0600-00000F000000}" name="وام" totalsRowFunction="sum" dataDxfId="555" totalsRowDxfId="198" dataCellStyle="Comma"/>
    <tableColumn id="16" xr3:uid="{00000000-0010-0000-0600-000010000000}" name="مساعده" totalsRowFunction="sum" dataDxfId="554" totalsRowDxfId="197" dataCellStyle="Comma"/>
    <tableColumn id="17" xr3:uid="{00000000-0010-0000-0600-000011000000}" name="بیمه پرداختنی" totalsRowFunction="sum" dataDxfId="553" totalsRowDxfId="196" dataCellStyle="Comma">
      <calculatedColumnFormula>IFERROR(ج_ح_مهر[[#This Row],[جمع ح و م م بیمه ]]*7%,"")</calculatedColumnFormula>
    </tableColumn>
    <tableColumn id="18" xr3:uid="{00000000-0010-0000-0600-000012000000}" name="مالیات پرداختنی" totalsRowFunction="sum" dataDxfId="329" totalsRowDxfId="195">
      <calculatedColumnFormula>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calculatedColumnFormula>
    </tableColumn>
    <tableColumn id="19" xr3:uid="{00000000-0010-0000-0600-000013000000}" name="جمع کسورات" totalsRowFunction="sum" dataDxfId="552" totalsRowDxfId="194" dataCellStyle="Comma">
      <calculatedColumnFormula>IFERROR(ج_ح_مهر[[#This Row],[وام]]+ج_ح_مهر[[#This Row],[مساعده]]+ج_ح_مهر[[#This Row],[بیمه پرداختنی]]+ج_ح_مهر[[#This Row],[مالیات پرداختنی]],"")</calculatedColumnFormula>
    </tableColumn>
    <tableColumn id="20" xr3:uid="{00000000-0010-0000-0600-000014000000}" name="خالص قابل پرداخت" totalsRowFunction="sum" dataDxfId="551" totalsRowDxfId="193" dataCellStyle="Comma">
      <calculatedColumnFormula>IFERROR(ج_ح_مهر[[#This Row],[جمع ح و م]]-ج_ح_مهر[[#This Row],[جمع کسورات]],"")</calculatedColumnFormula>
    </tableColumn>
    <tableColumn id="22" xr3:uid="{51BE5C12-72A6-412D-8742-7D44A7D3668E}" name="Column1" dataDxfId="550" totalsRowDxfId="192" dataCellStyle="Comma [0]" totalsRowCellStyle="Comma [0]">
      <calculatedColumnFormula>100000000-ج_ح_مهر[[#This Row],[جمع ح و م م مالیات]]</calculatedColumnFormula>
    </tableColumn>
  </tableColumns>
  <tableStyleInfo name="TableStyleLight1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ج_ح_آبان" displayName="ج_ح_آبان" ref="C265:X296" totalsRowCount="1" headerRowDxfId="549" dataDxfId="548" totalsRowDxfId="546" tableBorderDxfId="547" dataCellStyle="Comma">
  <autoFilter ref="C265:X295" xr:uid="{00000000-0009-0000-0100-000008000000}"/>
  <tableColumns count="22">
    <tableColumn id="1" xr3:uid="{00000000-0010-0000-0700-000001000000}" name="ردیف" dataDxfId="545" totalsRowDxfId="235">
      <calculatedColumnFormula>IF(ج_ح_آبان[[#This Row],[نام]]&lt;&gt;"",ROW()-266+1,"")</calculatedColumnFormula>
    </tableColumn>
    <tableColumn id="2" xr3:uid="{00000000-0010-0000-0700-000002000000}" name="نام" dataDxfId="544" totalsRowDxfId="234"/>
    <tableColumn id="21" xr3:uid="{00000000-0010-0000-0700-000015000000}" name="نام خانوادگی" totalsRowLabel="جمع" dataDxfId="543" totalsRowDxfId="233"/>
    <tableColumn id="3" xr3:uid="{00000000-0010-0000-0700-000003000000}" name="کارکرد" totalsRowFunction="sum" dataDxfId="542" totalsRowDxfId="232"/>
    <tableColumn id="4" xr3:uid="{00000000-0010-0000-0700-000004000000}" name="دستمزد روزانه " totalsRowFunction="sum" dataDxfId="541" totalsRowDxfId="231" dataCellStyle="Comma">
      <calculatedColumnFormula>IFERROR(IF(COUNT(ج_ح_آبان[[#This Row],[کارکرد]]),حداقل_حقوق_پایه_روزانه,""),"")</calculatedColumnFormula>
    </tableColumn>
    <tableColumn id="5" xr3:uid="{00000000-0010-0000-0700-000005000000}" name="حقوق پایه" totalsRowFunction="sum" dataDxfId="540" totalsRowDxfId="230" dataCellStyle="Comma">
      <calculatedColumnFormula>IFERROR(IF(ج_ح_آبان[[#This Row],[کارکرد]]*ج_ح_آبان[[#This Row],[دستمزد روزانه ]]=0,"",ج_ح_آبان[[#This Row],[کارکرد]]*ج_ح_آبان[[#This Row],[دستمزد روزانه ]]),"")</calculatedColumnFormula>
    </tableColumn>
    <tableColumn id="6" xr3:uid="{00000000-0010-0000-0700-000006000000}" name="مدت اضافه کاری " totalsRowFunction="sum" dataDxfId="539" totalsRowDxfId="229" dataCellStyle="Comma"/>
    <tableColumn id="7" xr3:uid="{00000000-0010-0000-0700-000007000000}" name="اضافه کاری" totalsRowFunction="sum" dataDxfId="538" totalsRowDxfId="228" dataCellStyle="Comma">
      <calculatedColumnFormula>IFERROR((ج_ح_آبان[[#This Row],[دستمزد روزانه ]]/7.33)*1.4*ج_ح_آبان[[#This Row],[مدت اضافه کاری ]],"")</calculatedColumnFormula>
    </tableColumn>
    <tableColumn id="8" xr3:uid="{00000000-0010-0000-0700-000008000000}" name="حق مسکن" totalsRowFunction="sum" dataDxfId="537" totalsRowDxfId="227" dataCellStyle="Comma">
      <calculatedColumnFormula>IF(ج_ح_آبان[[#This Row],[کارکرد]]="","",ج_ح_آبان[[#This Row],[کارکرد]]/30*حق_مسکن)</calculatedColumnFormula>
    </tableColumn>
    <tableColumn id="9" xr3:uid="{00000000-0010-0000-0700-000009000000}" name="تعداد فرزندان" totalsRowFunction="sum" dataDxfId="536" totalsRowDxfId="226" dataCellStyle="Comma"/>
    <tableColumn id="10" xr3:uid="{00000000-0010-0000-0700-00000A000000}" name="حق اولاد" totalsRowFunction="sum" dataDxfId="535" totalsRowDxfId="225" dataCellStyle="Comma">
      <calculatedColumnFormula>IF(ج_ح_آبان[[#This Row],[تعداد فرزندان]]="","",ج_ح_آبان[[#This Row],[کارکرد]]/30*3*ج_ح_آبان[[#This Row],[تعداد فرزندان]]*حداقل_حقوق_پایه_روزانه)</calculatedColumnFormula>
    </tableColumn>
    <tableColumn id="11" xr3:uid="{00000000-0010-0000-0700-00000B000000}" name="حق و خواروبار" totalsRowFunction="sum" dataDxfId="534" totalsRowDxfId="224" dataCellStyle="Comma">
      <calculatedColumnFormula>IF(ج_ح_آبان[[#This Row],[کارکرد]]="","",ج_ح_آبان[[#This Row],[کارکرد]]/30*حق_خواربار)</calculatedColumnFormula>
    </tableColumn>
    <tableColumn id="12" xr3:uid="{00000000-0010-0000-0700-00000C000000}" name="جمع ح و م" totalsRowFunction="sum" dataDxfId="533" totalsRowDxfId="223" dataCellStyle="Comma">
      <calculatedColumnFormula>IFERROR(ج_ح_آبان[[#This Row],[حقوق پایه]]+ج_ح_آبان[[#This Row],[اضافه کاری]]+ج_ح_آبان[[#This Row],[حق مسکن]]+ج_ح_آبان[[#This Row],[حق اولاد]]+ج_ح_آبان[[#This Row],[حق و خواروبار]],"")</calculatedColumnFormula>
    </tableColumn>
    <tableColumn id="13" xr3:uid="{00000000-0010-0000-0700-00000D000000}" name="جمع ح و م م بیمه " totalsRowFunction="sum" dataDxfId="532" totalsRowDxfId="222" dataCellStyle="Comma">
      <calculatedColumnFormula>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calculatedColumnFormula>
    </tableColumn>
    <tableColumn id="14" xr3:uid="{00000000-0010-0000-0700-00000E000000}" name="جمع ح و م م مالیات" totalsRowFunction="sum" dataDxfId="531" totalsRowDxfId="221" dataCellStyle="Comma">
      <calculatedColumnFormula>IFERROR(ج_ح_آبان[[#This Row],[حقوق پایه]]+ج_ح_آبان[[#This Row],[اضافه کاری]]+ج_ح_آبان[[#This Row],[حق مسکن]]+ج_ح_آبان[[#This Row],[حق و خواروبار]]+ج_ح_آبان[[#This Row],[حق اولاد]]-(2/7)*ج_ح_آبان[[#This Row],[بیمه پرداختنی]],"")</calculatedColumnFormula>
    </tableColumn>
    <tableColumn id="15" xr3:uid="{00000000-0010-0000-0700-00000F000000}" name="وام" totalsRowFunction="sum" dataDxfId="530" totalsRowDxfId="220" dataCellStyle="Comma"/>
    <tableColumn id="16" xr3:uid="{00000000-0010-0000-0700-000010000000}" name="مساعده" totalsRowFunction="sum" dataDxfId="529" totalsRowDxfId="219" dataCellStyle="Comma"/>
    <tableColumn id="17" xr3:uid="{00000000-0010-0000-0700-000011000000}" name="بیمه پرداختنی" totalsRowFunction="sum" dataDxfId="528" totalsRowDxfId="218" dataCellStyle="Comma">
      <calculatedColumnFormula>IFERROR(ج_ح_آبان[[#This Row],[جمع ح و م م بیمه ]]*7%,"")</calculatedColumnFormula>
    </tableColumn>
    <tableColumn id="18" xr3:uid="{00000000-0010-0000-0700-000012000000}" name="مالیات پرداختنی" totalsRowFunction="sum" dataDxfId="328" totalsRowDxfId="217">
      <calculatedColumnFormula>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calculatedColumnFormula>
    </tableColumn>
    <tableColumn id="19" xr3:uid="{00000000-0010-0000-0700-000013000000}" name="جمع کسورات" totalsRowFunction="sum" dataDxfId="527" totalsRowDxfId="216" dataCellStyle="Comma">
      <calculatedColumnFormula>IFERROR(ج_ح_آبان[[#This Row],[وام]]+ج_ح_آبان[[#This Row],[مساعده]]+ج_ح_آبان[[#This Row],[بیمه پرداختنی]]+ج_ح_آبان[[#This Row],[مالیات پرداختنی]],"")</calculatedColumnFormula>
    </tableColumn>
    <tableColumn id="20" xr3:uid="{00000000-0010-0000-0700-000014000000}" name="خالص قابل پرداخت" totalsRowFunction="sum" dataDxfId="526" totalsRowDxfId="215" dataCellStyle="Comma">
      <calculatedColumnFormula>IFERROR(ج_ح_آبان[[#This Row],[جمع ح و م]]-ج_ح_آبان[[#This Row],[جمع کسورات]],"")</calculatedColumnFormula>
    </tableColumn>
    <tableColumn id="22" xr3:uid="{8B36AA51-5E85-4F02-A917-FD133A07F42E}" name="Column1" dataDxfId="525" totalsRowDxfId="214" dataCellStyle="Comma [0]" totalsRowCellStyle="Comma [0]">
      <calculatedColumnFormula>100000000-ج_ح_آبان[[#This Row],[جمع ح و م م مالیات]]</calculatedColumnFormula>
    </tableColumn>
  </tableColumns>
  <tableStyleInfo name="TableStyleLight1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ج_ح_آذر" displayName="ج_ح_آذر" ref="C302:X333" totalsRowCount="1" headerRowDxfId="524" dataDxfId="523" totalsRowDxfId="521" tableBorderDxfId="522" dataCellStyle="Comma">
  <autoFilter ref="C302:X332" xr:uid="{00000000-0009-0000-0100-000009000000}"/>
  <tableColumns count="22">
    <tableColumn id="1" xr3:uid="{00000000-0010-0000-0800-000001000000}" name="ردیف" dataDxfId="520" totalsRowDxfId="257">
      <calculatedColumnFormula>IF(ج_ح_آذر[[#This Row],[نام]]&lt;&gt;"",ROW()-303+1,"")</calculatedColumnFormula>
    </tableColumn>
    <tableColumn id="2" xr3:uid="{00000000-0010-0000-0800-000002000000}" name="نام" dataDxfId="519" totalsRowDxfId="256"/>
    <tableColumn id="21" xr3:uid="{00000000-0010-0000-0800-000015000000}" name="نام خانوادگی" totalsRowLabel="جمع" dataDxfId="518" totalsRowDxfId="255"/>
    <tableColumn id="3" xr3:uid="{00000000-0010-0000-0800-000003000000}" name="کارکرد" totalsRowFunction="sum" dataDxfId="517" totalsRowDxfId="254"/>
    <tableColumn id="4" xr3:uid="{00000000-0010-0000-0800-000004000000}" name="دستمزد روزانه " totalsRowFunction="sum" dataDxfId="516" totalsRowDxfId="253" dataCellStyle="Comma">
      <calculatedColumnFormula>IFERROR(IF(COUNT(ج_ح_آذر[[#This Row],[کارکرد]]),حداقل_حقوق_پایه_روزانه,""),"")</calculatedColumnFormula>
    </tableColumn>
    <tableColumn id="5" xr3:uid="{00000000-0010-0000-0800-000005000000}" name="حقوق پایه" totalsRowFunction="sum" dataDxfId="515" totalsRowDxfId="252" dataCellStyle="Comma">
      <calculatedColumnFormula>IFERROR(IF(ج_ح_آذر[[#This Row],[کارکرد]]*ج_ح_آذر[[#This Row],[دستمزد روزانه ]]=0,"",ج_ح_آذر[[#This Row],[کارکرد]]*ج_ح_آذر[[#This Row],[دستمزد روزانه ]]),"")</calculatedColumnFormula>
    </tableColumn>
    <tableColumn id="6" xr3:uid="{00000000-0010-0000-0800-000006000000}" name="مدت اضافه کاری " totalsRowFunction="sum" dataDxfId="514" totalsRowDxfId="251" dataCellStyle="Comma"/>
    <tableColumn id="7" xr3:uid="{00000000-0010-0000-0800-000007000000}" name="اضافه کاری" totalsRowFunction="sum" dataDxfId="513" totalsRowDxfId="250" dataCellStyle="Comma">
      <calculatedColumnFormula>IFERROR((ج_ح_آذر[[#This Row],[دستمزد روزانه ]]/7.33)*1.4*ج_ح_آذر[[#This Row],[مدت اضافه کاری ]],"")</calculatedColumnFormula>
    </tableColumn>
    <tableColumn id="8" xr3:uid="{00000000-0010-0000-0800-000008000000}" name="حق مسکن" totalsRowFunction="sum" dataDxfId="512" totalsRowDxfId="249" dataCellStyle="Comma">
      <calculatedColumnFormula>IF(ج_ح_آذر[[#This Row],[کارکرد]]="","",ج_ح_آذر[[#This Row],[کارکرد]]/30*حق_مسکن)</calculatedColumnFormula>
    </tableColumn>
    <tableColumn id="9" xr3:uid="{00000000-0010-0000-0800-000009000000}" name="تعداد فرزندان" totalsRowFunction="sum" dataDxfId="511" totalsRowDxfId="248" dataCellStyle="Comma"/>
    <tableColumn id="10" xr3:uid="{00000000-0010-0000-0800-00000A000000}" name="حق اولاد" totalsRowFunction="sum" dataDxfId="510" totalsRowDxfId="247" dataCellStyle="Comma">
      <calculatedColumnFormula>IF(ج_ح_آذر[[#This Row],[تعداد فرزندان]]="","",ج_ح_آذر[[#This Row],[کارکرد]]/30*3*ج_ح_آذر[[#This Row],[تعداد فرزندان]]*حداقل_حقوق_پایه_روزانه)</calculatedColumnFormula>
    </tableColumn>
    <tableColumn id="11" xr3:uid="{00000000-0010-0000-0800-00000B000000}" name="حق و خواروبار" totalsRowFunction="sum" dataDxfId="509" totalsRowDxfId="246" dataCellStyle="Comma">
      <calculatedColumnFormula>IF(ج_ح_آذر[[#This Row],[کارکرد]]="","",ج_ح_آذر[[#This Row],[کارکرد]]/30*حق_خواربار)</calculatedColumnFormula>
    </tableColumn>
    <tableColumn id="12" xr3:uid="{00000000-0010-0000-0800-00000C000000}" name="جمع ح و م" totalsRowFunction="sum" dataDxfId="508" totalsRowDxfId="245" dataCellStyle="Comma">
      <calculatedColumnFormula>IFERROR(ج_ح_آذر[[#This Row],[حقوق پایه]]+ج_ح_آذر[[#This Row],[اضافه کاری]]+ج_ح_آذر[[#This Row],[حق مسکن]]+ج_ح_آذر[[#This Row],[حق اولاد]]+ج_ح_آذر[[#This Row],[حق و خواروبار]],"")</calculatedColumnFormula>
    </tableColumn>
    <tableColumn id="13" xr3:uid="{00000000-0010-0000-0800-00000D000000}" name="جمع ح و م م بیمه " totalsRowFunction="sum" dataDxfId="507" totalsRowDxfId="244" dataCellStyle="Comma">
      <calculatedColumnFormula>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calculatedColumnFormula>
    </tableColumn>
    <tableColumn id="14" xr3:uid="{00000000-0010-0000-0800-00000E000000}" name="جمع ح و م م مالیات" totalsRowFunction="sum" dataDxfId="506" totalsRowDxfId="243" dataCellStyle="Comma">
      <calculatedColumnFormula>IFERROR(ج_ح_آذر[[#This Row],[حقوق پایه]]+ج_ح_آذر[[#This Row],[اضافه کاری]]+ج_ح_آذر[[#This Row],[حق مسکن]]+ج_ح_آذر[[#This Row],[حق و خواروبار]]+ج_ح_آذر[[#This Row],[حق اولاد]]-(2/7)*ج_ح_آذر[[#This Row],[بیمه پرداختنی]],"")</calculatedColumnFormula>
    </tableColumn>
    <tableColumn id="15" xr3:uid="{00000000-0010-0000-0800-00000F000000}" name="وام" totalsRowFunction="sum" dataDxfId="505" totalsRowDxfId="242" dataCellStyle="Comma"/>
    <tableColumn id="16" xr3:uid="{00000000-0010-0000-0800-000010000000}" name="مساعده" totalsRowFunction="sum" dataDxfId="504" totalsRowDxfId="241" dataCellStyle="Comma"/>
    <tableColumn id="17" xr3:uid="{00000000-0010-0000-0800-000011000000}" name="بیمه پرداختنی" totalsRowFunction="sum" dataDxfId="503" totalsRowDxfId="240" dataCellStyle="Comma">
      <calculatedColumnFormula>IFERROR(ج_ح_آذر[[#This Row],[جمع ح و م م بیمه ]]*7%,"")</calculatedColumnFormula>
    </tableColumn>
    <tableColumn id="18" xr3:uid="{00000000-0010-0000-0800-000012000000}" name="مالیات پرداختنی" totalsRowFunction="sum" dataDxfId="327" totalsRowDxfId="239">
      <calculatedColumnFormula>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calculatedColumnFormula>
    </tableColumn>
    <tableColumn id="19" xr3:uid="{00000000-0010-0000-0800-000013000000}" name="جمع کسورات" totalsRowFunction="sum" dataDxfId="502" totalsRowDxfId="238" dataCellStyle="Comma">
      <calculatedColumnFormula>IFERROR(ج_ح_آذر[[#This Row],[وام]]+ج_ح_آذر[[#This Row],[مساعده]]+ج_ح_آذر[[#This Row],[بیمه پرداختنی]]+ج_ح_آذر[[#This Row],[مالیات پرداختنی]],"")</calculatedColumnFormula>
    </tableColumn>
    <tableColumn id="20" xr3:uid="{00000000-0010-0000-0800-000014000000}" name="خالص قابل پرداخت" totalsRowFunction="sum" dataDxfId="501" totalsRowDxfId="237" dataCellStyle="Comma">
      <calculatedColumnFormula>IFERROR(ج_ح_آذر[[#This Row],[جمع ح و م]]-ج_ح_آذر[[#This Row],[جمع کسورات]],"")</calculatedColumnFormula>
    </tableColumn>
    <tableColumn id="22" xr3:uid="{7DDB1111-B04C-4606-90BF-49E75DC03DAE}" name="Column1" dataDxfId="500" totalsRowDxfId="236" dataCellStyle="Comma [0]" totalsRowCellStyle="Comma [0]">
      <calculatedColumnFormula>100000000-ج_ح_آذر[[#This Row],[جمع ح و م م مالیات]]</calculatedColumnFormula>
    </tableColumn>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ج_ح_دی" displayName="ج_ح_دی" ref="C339:X370" totalsRowCount="1" headerRowDxfId="499" dataDxfId="498" totalsRowDxfId="496" tableBorderDxfId="497" dataCellStyle="Comma">
  <autoFilter ref="C339:X369" xr:uid="{00000000-0009-0000-0100-00000A000000}"/>
  <tableColumns count="22">
    <tableColumn id="1" xr3:uid="{00000000-0010-0000-0900-000001000000}" name="ردیف" dataDxfId="495" totalsRowDxfId="279">
      <calculatedColumnFormula>IF(ج_ح_دی[[#This Row],[نام]]&lt;&gt;"",ROW()-340+1,"")</calculatedColumnFormula>
    </tableColumn>
    <tableColumn id="2" xr3:uid="{00000000-0010-0000-0900-000002000000}" name="نام" dataDxfId="494" totalsRowDxfId="278"/>
    <tableColumn id="21" xr3:uid="{00000000-0010-0000-0900-000015000000}" name="نام خانوادگی" totalsRowLabel="جمع" dataDxfId="493" totalsRowDxfId="277"/>
    <tableColumn id="3" xr3:uid="{00000000-0010-0000-0900-000003000000}" name="کارکرد" totalsRowFunction="sum" dataDxfId="492" totalsRowDxfId="276"/>
    <tableColumn id="4" xr3:uid="{00000000-0010-0000-0900-000004000000}" name="دستمزد روزانه " totalsRowFunction="sum" dataDxfId="491" totalsRowDxfId="275" dataCellStyle="Comma">
      <calculatedColumnFormula>IFERROR(IF(COUNT(ج_ح_دی[[#This Row],[کارکرد]]),حداقل_حقوق_پایه_روزانه,""),"")</calculatedColumnFormula>
    </tableColumn>
    <tableColumn id="5" xr3:uid="{00000000-0010-0000-0900-000005000000}" name="حقوق پایه" totalsRowFunction="sum" dataDxfId="490" totalsRowDxfId="274" dataCellStyle="Comma">
      <calculatedColumnFormula>IFERROR(IF(ج_ح_دی[[#This Row],[کارکرد]]*ج_ح_دی[[#This Row],[دستمزد روزانه ]]=0,"",ج_ح_دی[[#This Row],[کارکرد]]*ج_ح_دی[[#This Row],[دستمزد روزانه ]]),"")</calculatedColumnFormula>
    </tableColumn>
    <tableColumn id="6" xr3:uid="{00000000-0010-0000-0900-000006000000}" name="مدت اضافه کاری " totalsRowFunction="sum" dataDxfId="489" totalsRowDxfId="273" dataCellStyle="Comma"/>
    <tableColumn id="7" xr3:uid="{00000000-0010-0000-0900-000007000000}" name="اضافه کاری" totalsRowFunction="sum" dataDxfId="488" totalsRowDxfId="272" dataCellStyle="Comma">
      <calculatedColumnFormula>IFERROR((ج_ح_دی[[#This Row],[دستمزد روزانه ]]/7.33)*1.4*ج_ح_دی[[#This Row],[مدت اضافه کاری ]],"")</calculatedColumnFormula>
    </tableColumn>
    <tableColumn id="8" xr3:uid="{00000000-0010-0000-0900-000008000000}" name="حق مسکن" totalsRowFunction="sum" dataDxfId="487" totalsRowDxfId="271" dataCellStyle="Comma">
      <calculatedColumnFormula>IF(ج_ح_دی[[#This Row],[کارکرد]]="","",ج_ح_دی[[#This Row],[کارکرد]]/30*حق_مسکن)</calculatedColumnFormula>
    </tableColumn>
    <tableColumn id="9" xr3:uid="{00000000-0010-0000-0900-000009000000}" name="تعداد فرزندان" totalsRowFunction="sum" dataDxfId="486" totalsRowDxfId="270" dataCellStyle="Comma"/>
    <tableColumn id="10" xr3:uid="{00000000-0010-0000-0900-00000A000000}" name="حق اولاد" totalsRowFunction="sum" dataDxfId="485" totalsRowDxfId="269" dataCellStyle="Comma">
      <calculatedColumnFormula>IF(ج_ح_دی[[#This Row],[تعداد فرزندان]]="","",ج_ح_دی[[#This Row],[کارکرد]]/30*3*ج_ح_دی[[#This Row],[تعداد فرزندان]]*حداقل_حقوق_پایه_روزانه)</calculatedColumnFormula>
    </tableColumn>
    <tableColumn id="11" xr3:uid="{00000000-0010-0000-0900-00000B000000}" name="حق و خواروبار" totalsRowFunction="sum" dataDxfId="484" totalsRowDxfId="268" dataCellStyle="Comma">
      <calculatedColumnFormula>IF(ج_ح_دی[[#This Row],[کارکرد]]="","",ج_ح_دی[[#This Row],[کارکرد]]/30*حق_خواربار)</calculatedColumnFormula>
    </tableColumn>
    <tableColumn id="12" xr3:uid="{00000000-0010-0000-0900-00000C000000}" name="جمع ح و م" totalsRowFunction="sum" dataDxfId="483" totalsRowDxfId="267" dataCellStyle="Comma">
      <calculatedColumnFormula>IFERROR(ج_ح_دی[[#This Row],[حقوق پایه]]+ج_ح_دی[[#This Row],[اضافه کاری]]+ج_ح_دی[[#This Row],[حق مسکن]]+ج_ح_دی[[#This Row],[حق اولاد]]+ج_ح_دی[[#This Row],[حق و خواروبار]],"")</calculatedColumnFormula>
    </tableColumn>
    <tableColumn id="13" xr3:uid="{00000000-0010-0000-0900-00000D000000}" name="جمع ح و م م بیمه " totalsRowFunction="sum" dataDxfId="482" totalsRowDxfId="266" dataCellStyle="Comma">
      <calculatedColumnFormula>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calculatedColumnFormula>
    </tableColumn>
    <tableColumn id="14" xr3:uid="{00000000-0010-0000-0900-00000E000000}" name="جمع ح و م م مالیات" totalsRowFunction="sum" dataDxfId="481" totalsRowDxfId="265" dataCellStyle="Comma">
      <calculatedColumnFormula>IFERROR(ج_ح_دی[[#This Row],[حقوق پایه]]+ج_ح_دی[[#This Row],[اضافه کاری]]+ج_ح_دی[[#This Row],[حق مسکن]]+ج_ح_دی[[#This Row],[حق و خواروبار]]+ج_ح_دی[[#This Row],[حق اولاد]]-(2/7)*ج_ح_دی[[#This Row],[بیمه پرداختنی]],"")</calculatedColumnFormula>
    </tableColumn>
    <tableColumn id="15" xr3:uid="{00000000-0010-0000-0900-00000F000000}" name="وام" totalsRowFunction="sum" dataDxfId="480" totalsRowDxfId="264" dataCellStyle="Comma"/>
    <tableColumn id="16" xr3:uid="{00000000-0010-0000-0900-000010000000}" name="مساعده" totalsRowFunction="sum" dataDxfId="479" totalsRowDxfId="263" dataCellStyle="Comma"/>
    <tableColumn id="17" xr3:uid="{00000000-0010-0000-0900-000011000000}" name="بیمه پرداختنی" totalsRowFunction="sum" dataDxfId="478" totalsRowDxfId="262" dataCellStyle="Comma">
      <calculatedColumnFormula>IFERROR(ج_ح_دی[[#This Row],[جمع ح و م م بیمه ]]*7%,"")</calculatedColumnFormula>
    </tableColumn>
    <tableColumn id="18" xr3:uid="{00000000-0010-0000-0900-000012000000}" name="مالیات پرداختنی" totalsRowFunction="sum" dataDxfId="326" totalsRowDxfId="261">
      <calculatedColumnFormula>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calculatedColumnFormula>
    </tableColumn>
    <tableColumn id="19" xr3:uid="{00000000-0010-0000-0900-000013000000}" name="جمع کسورات" totalsRowFunction="sum" dataDxfId="477" totalsRowDxfId="260" dataCellStyle="Comma">
      <calculatedColumnFormula>IFERROR(ج_ح_دی[[#This Row],[وام]]+ج_ح_دی[[#This Row],[مساعده]]+ج_ح_دی[[#This Row],[بیمه پرداختنی]]+ج_ح_دی[[#This Row],[مالیات پرداختنی]],"")</calculatedColumnFormula>
    </tableColumn>
    <tableColumn id="20" xr3:uid="{00000000-0010-0000-0900-000014000000}" name="خالص قابل پرداخت" totalsRowFunction="sum" dataDxfId="476" totalsRowDxfId="259" dataCellStyle="Comma">
      <calculatedColumnFormula>IFERROR(ج_ح_دی[[#This Row],[جمع ح و م]]-ج_ح_دی[[#This Row],[جمع کسورات]],"")</calculatedColumnFormula>
    </tableColumn>
    <tableColumn id="22" xr3:uid="{53822B4A-9435-4433-8F32-2FE0FA9AF406}" name="Column1" dataDxfId="475" totalsRowDxfId="258" dataCellStyle="Comma [0]" totalsRowCellStyle="Comma [0]">
      <calculatedColumnFormula>100000000-ج_ح_دی[[#This Row],[جمع ح و م م مالیات]]</calculatedColumnFormula>
    </tableColumn>
  </tableColumns>
  <tableStyleInfo name="TableStyleLight1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ج_ح_بهمن" displayName="ج_ح_بهمن" ref="C376:X407" totalsRowCount="1" headerRowDxfId="474" dataDxfId="473" totalsRowDxfId="471" tableBorderDxfId="472" dataCellStyle="Comma">
  <autoFilter ref="C376:X406" xr:uid="{00000000-0009-0000-0100-00000B000000}"/>
  <tableColumns count="22">
    <tableColumn id="1" xr3:uid="{00000000-0010-0000-0A00-000001000000}" name="ردیف" dataDxfId="470" totalsRowDxfId="301">
      <calculatedColumnFormula>IF(ج_ح_بهمن[[#This Row],[نام]]&lt;&gt;"",ROW()-377+1,"")</calculatedColumnFormula>
    </tableColumn>
    <tableColumn id="2" xr3:uid="{00000000-0010-0000-0A00-000002000000}" name="نام" dataDxfId="469" totalsRowDxfId="300"/>
    <tableColumn id="21" xr3:uid="{00000000-0010-0000-0A00-000015000000}" name="نام خانوادگی" totalsRowLabel="جمع" dataDxfId="468" totalsRowDxfId="299"/>
    <tableColumn id="3" xr3:uid="{00000000-0010-0000-0A00-000003000000}" name="کارکرد" totalsRowFunction="sum" dataDxfId="467" totalsRowDxfId="298"/>
    <tableColumn id="4" xr3:uid="{00000000-0010-0000-0A00-000004000000}" name="دستمزد روزانه " totalsRowFunction="sum" dataDxfId="466" totalsRowDxfId="297" dataCellStyle="Comma">
      <calculatedColumnFormula>IFERROR(IF(COUNT(ج_ح_بهمن[[#This Row],[کارکرد]]),حداقل_حقوق_پایه_روزانه,""),"")</calculatedColumnFormula>
    </tableColumn>
    <tableColumn id="5" xr3:uid="{00000000-0010-0000-0A00-000005000000}" name="حقوق پایه" totalsRowFunction="sum" dataDxfId="465" totalsRowDxfId="296" dataCellStyle="Comma">
      <calculatedColumnFormula>IFERROR(IF(ج_ح_بهمن[[#This Row],[کارکرد]]*ج_ح_بهمن[[#This Row],[دستمزد روزانه ]]=0,"",ج_ح_بهمن[[#This Row],[کارکرد]]*ج_ح_بهمن[[#This Row],[دستمزد روزانه ]]),"")</calculatedColumnFormula>
    </tableColumn>
    <tableColumn id="6" xr3:uid="{00000000-0010-0000-0A00-000006000000}" name="مدت اضافه کاری " totalsRowFunction="sum" dataDxfId="464" totalsRowDxfId="295" dataCellStyle="Comma"/>
    <tableColumn id="7" xr3:uid="{00000000-0010-0000-0A00-000007000000}" name="اضافه کاری" totalsRowFunction="sum" dataDxfId="463" totalsRowDxfId="294" dataCellStyle="Comma">
      <calculatedColumnFormula>IFERROR((ج_ح_بهمن[[#This Row],[دستمزد روزانه ]]/7.33)*1.4*ج_ح_بهمن[[#This Row],[مدت اضافه کاری ]],"")</calculatedColumnFormula>
    </tableColumn>
    <tableColumn id="8" xr3:uid="{00000000-0010-0000-0A00-000008000000}" name="حق مسکن" totalsRowFunction="sum" dataDxfId="462" totalsRowDxfId="293" dataCellStyle="Comma">
      <calculatedColumnFormula>IF(ج_ح_بهمن[[#This Row],[کارکرد]]="","",ج_ح_بهمن[[#This Row],[کارکرد]]/30*حق_مسکن)</calculatedColumnFormula>
    </tableColumn>
    <tableColumn id="9" xr3:uid="{00000000-0010-0000-0A00-000009000000}" name="تعداد فرزندان" totalsRowFunction="sum" dataDxfId="461" totalsRowDxfId="292" dataCellStyle="Comma"/>
    <tableColumn id="10" xr3:uid="{00000000-0010-0000-0A00-00000A000000}" name="حق اولاد" totalsRowFunction="sum" dataDxfId="460" totalsRowDxfId="291" dataCellStyle="Comma">
      <calculatedColumnFormula>IF(ج_ح_بهمن[[#This Row],[تعداد فرزندان]]="","",ج_ح_بهمن[[#This Row],[کارکرد]]/30*3*ج_ح_بهمن[[#This Row],[تعداد فرزندان]]*حداقل_حقوق_پایه_روزانه)</calculatedColumnFormula>
    </tableColumn>
    <tableColumn id="11" xr3:uid="{00000000-0010-0000-0A00-00000B000000}" name="حق و خواروبار" totalsRowFunction="sum" dataDxfId="459" totalsRowDxfId="290" dataCellStyle="Comma">
      <calculatedColumnFormula>IF(ج_ح_بهمن[[#This Row],[کارکرد]]="","",ج_ح_بهمن[[#This Row],[کارکرد]]/30*حق_خواربار)</calculatedColumnFormula>
    </tableColumn>
    <tableColumn id="12" xr3:uid="{00000000-0010-0000-0A00-00000C000000}" name="جمع ح و م" totalsRowFunction="sum" dataDxfId="458" totalsRowDxfId="289" dataCellStyle="Comma">
      <calculatedColumnFormula>IFERROR(ج_ح_بهمن[[#This Row],[حقوق پایه]]+ج_ح_بهمن[[#This Row],[اضافه کاری]]+ج_ح_بهمن[[#This Row],[حق مسکن]]+ج_ح_بهمن[[#This Row],[حق اولاد]]+ج_ح_بهمن[[#This Row],[حق و خواروبار]],"")</calculatedColumnFormula>
    </tableColumn>
    <tableColumn id="13" xr3:uid="{00000000-0010-0000-0A00-00000D000000}" name="جمع ح و م م بیمه " totalsRowFunction="sum" dataDxfId="457" totalsRowDxfId="288" dataCellStyle="Comma">
      <calculatedColumnFormula>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calculatedColumnFormula>
    </tableColumn>
    <tableColumn id="14" xr3:uid="{00000000-0010-0000-0A00-00000E000000}" name="جمع ح و م م مالیات" totalsRowFunction="sum" dataDxfId="456" totalsRowDxfId="287" dataCellStyle="Comma">
      <calculatedColumnFormula>IFERROR(ج_ح_بهمن[[#This Row],[حقوق پایه]]+ج_ح_بهمن[[#This Row],[اضافه کاری]]+ج_ح_بهمن[[#This Row],[حق مسکن]]+ج_ح_بهمن[[#This Row],[حق و خواروبار]]+ج_ح_بهمن[[#This Row],[حق اولاد]]-(2/7)*ج_ح_بهمن[[#This Row],[بیمه پرداختنی]],"")</calculatedColumnFormula>
    </tableColumn>
    <tableColumn id="15" xr3:uid="{00000000-0010-0000-0A00-00000F000000}" name="وام" totalsRowFunction="sum" dataDxfId="455" totalsRowDxfId="286" dataCellStyle="Comma"/>
    <tableColumn id="16" xr3:uid="{00000000-0010-0000-0A00-000010000000}" name="مساعده" totalsRowFunction="sum" dataDxfId="454" totalsRowDxfId="285" dataCellStyle="Comma"/>
    <tableColumn id="17" xr3:uid="{00000000-0010-0000-0A00-000011000000}" name="بیمه پرداختنی" totalsRowFunction="sum" dataDxfId="453" totalsRowDxfId="284" dataCellStyle="Comma">
      <calculatedColumnFormula>IFERROR(ج_ح_بهمن[[#This Row],[جمع ح و م م بیمه ]]*7%,"")</calculatedColumnFormula>
    </tableColumn>
    <tableColumn id="18" xr3:uid="{00000000-0010-0000-0A00-000012000000}" name="مالیات پرداختنی" totalsRowFunction="sum" dataDxfId="325" totalsRowDxfId="283">
      <calculatedColumnFormula>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calculatedColumnFormula>
    </tableColumn>
    <tableColumn id="19" xr3:uid="{00000000-0010-0000-0A00-000013000000}" name="جمع کسورات" totalsRowFunction="sum" dataDxfId="452" totalsRowDxfId="282" dataCellStyle="Comma">
      <calculatedColumnFormula>IFERROR(ج_ح_بهمن[[#This Row],[وام]]+ج_ح_بهمن[[#This Row],[مساعده]]+ج_ح_بهمن[[#This Row],[بیمه پرداختنی]]+ج_ح_بهمن[[#This Row],[مالیات پرداختنی]],"")</calculatedColumnFormula>
    </tableColumn>
    <tableColumn id="20" xr3:uid="{00000000-0010-0000-0A00-000014000000}" name="خالص قابل پرداخت" totalsRowFunction="sum" dataDxfId="451" totalsRowDxfId="281" dataCellStyle="Comma">
      <calculatedColumnFormula>IFERROR(ج_ح_بهمن[[#This Row],[جمع ح و م]]-ج_ح_بهمن[[#This Row],[جمع کسورات]],"")</calculatedColumnFormula>
    </tableColumn>
    <tableColumn id="22" xr3:uid="{A6D42D89-A131-4074-8ADE-FAC4C1D5C4B4}" name="Column1" dataDxfId="450" totalsRowDxfId="280" dataCellStyle="Comma [0]" totalsRowCellStyle="Comma [0]">
      <calculatedColumnFormula>100000000-ج_ح_بهمن[[#This Row],[جمع ح و م م مالیات]]</calculatedColumnFormula>
    </tableColumn>
  </tableColumns>
  <tableStyleInfo name="TableStyleLight1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ج_ح_اسفند" displayName="ج_ح_اسفند" ref="C413:X444" totalsRowCount="1" headerRowDxfId="449" dataDxfId="448" totalsRowDxfId="446" tableBorderDxfId="447" dataCellStyle="Comma">
  <autoFilter ref="C413:X443" xr:uid="{00000000-0009-0000-0100-00000C000000}"/>
  <tableColumns count="22">
    <tableColumn id="1" xr3:uid="{00000000-0010-0000-0B00-000001000000}" name="ردیف" dataDxfId="445" totalsRowDxfId="323">
      <calculatedColumnFormula>IF(ج_ح_اسفند[[#This Row],[نام]]&lt;&gt;"",ROW()-414+1,"")</calculatedColumnFormula>
    </tableColumn>
    <tableColumn id="2" xr3:uid="{00000000-0010-0000-0B00-000002000000}" name="نام" dataDxfId="444" totalsRowDxfId="322"/>
    <tableColumn id="21" xr3:uid="{00000000-0010-0000-0B00-000015000000}" name="نام خانوادگی" totalsRowLabel="جمع" dataDxfId="443" totalsRowDxfId="321"/>
    <tableColumn id="3" xr3:uid="{00000000-0010-0000-0B00-000003000000}" name="کارکرد" totalsRowFunction="sum" dataDxfId="442" totalsRowDxfId="320"/>
    <tableColumn id="4" xr3:uid="{00000000-0010-0000-0B00-000004000000}" name="دستمزد روزانه " totalsRowFunction="sum" dataDxfId="441" totalsRowDxfId="319" dataCellStyle="Comma">
      <calculatedColumnFormula>IFERROR(IF(COUNT(ج_ح_اسفند[[#This Row],[کارکرد]]),حداقل_حقوق_پایه_روزانه,""),"")</calculatedColumnFormula>
    </tableColumn>
    <tableColumn id="5" xr3:uid="{00000000-0010-0000-0B00-000005000000}" name="حقوق پایه" totalsRowFunction="sum" dataDxfId="440" totalsRowDxfId="318" dataCellStyle="Comma">
      <calculatedColumnFormula>IFERROR(IF(ج_ح_اسفند[[#This Row],[کارکرد]]*ج_ح_اسفند[[#This Row],[دستمزد روزانه ]]=0,"",ج_ح_اسفند[[#This Row],[کارکرد]]*ج_ح_اسفند[[#This Row],[دستمزد روزانه ]]),"")</calculatedColumnFormula>
    </tableColumn>
    <tableColumn id="6" xr3:uid="{00000000-0010-0000-0B00-000006000000}" name="مدت اضافه کاری " totalsRowFunction="sum" dataDxfId="439" totalsRowDxfId="317" dataCellStyle="Comma"/>
    <tableColumn id="7" xr3:uid="{00000000-0010-0000-0B00-000007000000}" name="اضافه کاری" totalsRowFunction="sum" dataDxfId="438" totalsRowDxfId="316" dataCellStyle="Comma">
      <calculatedColumnFormula>IFERROR((ج_ح_اسفند[[#This Row],[دستمزد روزانه ]]/7.33)*1.4*ج_ح_اسفند[[#This Row],[مدت اضافه کاری ]],"")</calculatedColumnFormula>
    </tableColumn>
    <tableColumn id="8" xr3:uid="{00000000-0010-0000-0B00-000008000000}" name="حق مسکن" totalsRowFunction="sum" dataDxfId="437" totalsRowDxfId="315" dataCellStyle="Comma">
      <calculatedColumnFormula>IF(ج_ح_اسفند[[#This Row],[کارکرد]]="","",ج_ح_اسفند[[#This Row],[کارکرد]]/29*حق_مسکن)</calculatedColumnFormula>
    </tableColumn>
    <tableColumn id="9" xr3:uid="{00000000-0010-0000-0B00-000009000000}" name="تعداد فرزندان" totalsRowFunction="sum" dataDxfId="436" totalsRowDxfId="314" dataCellStyle="Comma"/>
    <tableColumn id="10" xr3:uid="{00000000-0010-0000-0B00-00000A000000}" name="حق اولاد" totalsRowFunction="sum" dataDxfId="435" totalsRowDxfId="313" dataCellStyle="Comma">
      <calculatedColumnFormula>IF(ج_ح_اسفند[[#This Row],[تعداد فرزندان]]="","",ج_ح_اسفند[[#This Row],[کارکرد]]/29*3*ج_ح_اسفند[[#This Row],[تعداد فرزندان]]*حداقل_حقوق_پایه_روزانه)</calculatedColumnFormula>
    </tableColumn>
    <tableColumn id="11" xr3:uid="{00000000-0010-0000-0B00-00000B000000}" name="حق و خواروبار" totalsRowFunction="sum" dataDxfId="434" totalsRowDxfId="312" dataCellStyle="Comma">
      <calculatedColumnFormula>IF(ج_ح_اسفند[[#This Row],[کارکرد]]="","",ج_ح_اسفند[[#This Row],[کارکرد]]/29*حق_خواربار)</calculatedColumnFormula>
    </tableColumn>
    <tableColumn id="12" xr3:uid="{00000000-0010-0000-0B00-00000C000000}" name="جمع ح و م" totalsRowFunction="sum" dataDxfId="433" totalsRowDxfId="311" dataCellStyle="Comma">
      <calculatedColumnFormula>IFERROR(ج_ح_اسفند[[#This Row],[حقوق پایه]]+ج_ح_اسفند[[#This Row],[اضافه کاری]]+ج_ح_اسفند[[#This Row],[حق مسکن]]+ج_ح_اسفند[[#This Row],[حق اولاد]]+ج_ح_اسفند[[#This Row],[حق و خواروبار]],"")</calculatedColumnFormula>
    </tableColumn>
    <tableColumn id="13" xr3:uid="{00000000-0010-0000-0B00-00000D000000}" name="جمع ح و م م بیمه " totalsRowFunction="sum" dataDxfId="432" totalsRowDxfId="310" dataCellStyle="Comma">
      <calculatedColumnFormula>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calculatedColumnFormula>
    </tableColumn>
    <tableColumn id="14" xr3:uid="{00000000-0010-0000-0B00-00000E000000}" name="جمع ح و م م مالیات" totalsRowFunction="sum" dataDxfId="431" totalsRowDxfId="309" dataCellStyle="Comma">
      <calculatedColumnFormula>IFERROR(ج_ح_اسفند[[#This Row],[حقوق پایه]]+ج_ح_اسفند[[#This Row],[اضافه کاری]]+ج_ح_اسفند[[#This Row],[حق مسکن]]+ج_ح_اسفند[[#This Row],[حق و خواروبار]]+ج_ح_اسفند[[#This Row],[حق اولاد]]-(2/7)*ج_ح_اسفند[[#This Row],[بیمه پرداختنی]],"")</calculatedColumnFormula>
    </tableColumn>
    <tableColumn id="15" xr3:uid="{00000000-0010-0000-0B00-00000F000000}" name="وام" totalsRowFunction="sum" dataDxfId="430" totalsRowDxfId="308" dataCellStyle="Comma"/>
    <tableColumn id="16" xr3:uid="{00000000-0010-0000-0B00-000010000000}" name="مساعده" totalsRowFunction="sum" dataDxfId="429" totalsRowDxfId="307" dataCellStyle="Comma"/>
    <tableColumn id="17" xr3:uid="{00000000-0010-0000-0B00-000011000000}" name="بیمه پرداختنی" totalsRowFunction="sum" dataDxfId="428" totalsRowDxfId="306" dataCellStyle="Comma">
      <calculatedColumnFormula>IFERROR(ج_ح_اسفند[[#This Row],[جمع ح و م م بیمه ]]*7%,"")</calculatedColumnFormula>
    </tableColumn>
    <tableColumn id="18" xr3:uid="{00000000-0010-0000-0B00-000012000000}" name="مالیات پرداختنی" totalsRowFunction="sum" dataDxfId="324" totalsRowDxfId="305">
      <calculatedColumnFormula>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calculatedColumnFormula>
    </tableColumn>
    <tableColumn id="19" xr3:uid="{00000000-0010-0000-0B00-000013000000}" name="جمع کسورات" totalsRowFunction="sum" dataDxfId="427" totalsRowDxfId="304" dataCellStyle="Comma">
      <calculatedColumnFormula>IFERROR(ج_ح_اسفند[[#This Row],[وام]]+ج_ح_اسفند[[#This Row],[مساعده]]+ج_ح_اسفند[[#This Row],[بیمه پرداختنی]]+ج_ح_اسفند[[#This Row],[مالیات پرداختنی]],"")</calculatedColumnFormula>
    </tableColumn>
    <tableColumn id="20" xr3:uid="{00000000-0010-0000-0B00-000014000000}" name="خالص قابل پرداخت" totalsRowFunction="sum" dataDxfId="426" totalsRowDxfId="303" dataCellStyle="Comma">
      <calculatedColumnFormula>IFERROR(ج_ح_اسفند[[#This Row],[جمع ح و م]]-ج_ح_اسفند[[#This Row],[جمع کسورات]],"")</calculatedColumnFormula>
    </tableColumn>
    <tableColumn id="22" xr3:uid="{9CA5CFB9-2E4D-415A-B3DC-996D5BF57A50}" name="Column1" dataDxfId="425" totalsRowDxfId="302" dataCellStyle="Comma [0]" totalsRowCellStyle="Comma [0]">
      <calculatedColumnFormula>100000000-ج_ح_اسفند[[#This Row],[جمع ح و م م مالیات]]</calculatedColumnFormula>
    </tableColumn>
  </tableColumns>
  <tableStyleInfo name="TableStyleLight1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C000000}" name="ج_ح_تجمیعی" displayName="ج_ح_تجمیعی" ref="A6:AK37" totalsRowCount="1" headerRowDxfId="424" dataDxfId="423" totalsRowDxfId="421" tableBorderDxfId="422" dataCellStyle="Comma">
  <autoFilter ref="A6:AK36" xr:uid="{00000000-0009-0000-0100-00001B000000}"/>
  <sortState xmlns:xlrd2="http://schemas.microsoft.com/office/spreadsheetml/2017/richdata2" ref="B7:Q36">
    <sortCondition ref="D6:D36"/>
  </sortState>
  <tableColumns count="37">
    <tableColumn id="30" xr3:uid="{A7D0BFC5-305A-47A6-910A-411630A13592}" name="Column14" dataDxfId="420" totalsRowDxfId="59" dataCellStyle="Comma"/>
    <tableColumn id="1" xr3:uid="{00000000-0010-0000-0C00-000001000000}" name="ردیف" dataDxfId="419" totalsRowDxfId="58">
      <calculatedColumnFormula>IF(ج_ح_تجمیعی[[#This Row],[نام]]&lt;&gt;"",ROW()-7+1,"")</calculatedColumnFormula>
    </tableColumn>
    <tableColumn id="2" xr3:uid="{00000000-0010-0000-0C00-000002000000}" name="نام" dataDxfId="418" totalsRowDxfId="57"/>
    <tableColumn id="21" xr3:uid="{00000000-0010-0000-0C00-000015000000}" name="نام خانوادگی" totalsRowLabel="جمع" dataDxfId="417" totalsRowDxfId="56"/>
    <tableColumn id="5" xr3:uid="{00000000-0010-0000-0C00-000005000000}" name="فروردین" totalsRowFunction="sum" dataDxfId="416" totalsRowDxfId="55"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calculatedColumnFormula>
    </tableColumn>
    <tableColumn id="10" xr3:uid="{00000000-0010-0000-0C00-00000A000000}" name="اردیبهشت" totalsRowFunction="sum" dataDxfId="415" totalsRowDxfId="54"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calculatedColumnFormula>
    </tableColumn>
    <tableColumn id="11" xr3:uid="{00000000-0010-0000-0C00-00000B000000}" name="خرداد" totalsRowFunction="sum" dataDxfId="414" totalsRowDxfId="53"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calculatedColumnFormula>
    </tableColumn>
    <tableColumn id="12" xr3:uid="{00000000-0010-0000-0C00-00000C000000}" name="تیر" totalsRowFunction="sum" dataDxfId="413" totalsRowDxfId="52"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calculatedColumnFormula>
    </tableColumn>
    <tableColumn id="13" xr3:uid="{00000000-0010-0000-0C00-00000D000000}" name="مرداد" totalsRowFunction="sum" dataDxfId="412" totalsRowDxfId="51"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calculatedColumnFormula>
    </tableColumn>
    <tableColumn id="14" xr3:uid="{00000000-0010-0000-0C00-00000E000000}" name="شهریور" totalsRowFunction="sum" dataDxfId="411" totalsRowDxfId="50"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calculatedColumnFormula>
    </tableColumn>
    <tableColumn id="15" xr3:uid="{00000000-0010-0000-0C00-00000F000000}" name="مهر" totalsRowFunction="sum" dataDxfId="410" totalsRowDxfId="49"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calculatedColumnFormula>
    </tableColumn>
    <tableColumn id="16" xr3:uid="{00000000-0010-0000-0C00-000010000000}" name="آبان" totalsRowFunction="sum" dataDxfId="409" totalsRowDxfId="48"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calculatedColumnFormula>
    </tableColumn>
    <tableColumn id="17" xr3:uid="{00000000-0010-0000-0C00-000011000000}" name="آذر" totalsRowFunction="sum" dataDxfId="408" totalsRowDxfId="47"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calculatedColumnFormula>
    </tableColumn>
    <tableColumn id="18" xr3:uid="{00000000-0010-0000-0C00-000012000000}" name="دی" totalsRowFunction="sum" dataDxfId="407" totalsRowDxfId="46">
      <calculatedColumnFormula>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calculatedColumnFormula>
    </tableColumn>
    <tableColumn id="19" xr3:uid="{00000000-0010-0000-0C00-000013000000}" name="بهمن" totalsRowFunction="sum" dataDxfId="406" totalsRowDxfId="45"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calculatedColumnFormula>
    </tableColumn>
    <tableColumn id="3" xr3:uid="{00000000-0010-0000-0C00-000003000000}" name="اسفند" totalsRowFunction="sum" dataDxfId="405" totalsRowDxfId="44" dataCellStyle="Comma">
      <calculatedColumnFormula>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calculatedColumnFormula>
    </tableColumn>
    <tableColumn id="20" xr3:uid="{00000000-0010-0000-0C00-000014000000}" name="جمع افقی" totalsRowFunction="sum" dataDxfId="404" totalsRowDxfId="43" dataCellStyle="Comma">
      <calculatedColumnFormula>IF(SUM(ج_ح_تجمیعی[[#This Row],[فروردین]:[اسفند]])&gt;0,SUM(ج_ح_تجمیعی[[#This Row],[فروردین]:[اسفند]]),"")</calculatedColumnFormula>
    </tableColumn>
    <tableColumn id="4" xr3:uid="{9332FEBA-9897-4CDA-8C2B-7986E8FD418D}" name="Column1" totalsRowFunction="sum" dataDxfId="403" totalsRowDxfId="42"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calculatedColumnFormula>
    </tableColumn>
    <tableColumn id="6" xr3:uid="{80BAA92B-4055-4D8E-9853-4130AD759FA5}" name="Column2" totalsRowFunction="sum" dataDxfId="402" totalsRowDxfId="41"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calculatedColumnFormula>
    </tableColumn>
    <tableColumn id="7" xr3:uid="{0EBBA645-87CB-4F7A-8A2C-D670B14D4724}" name="Column3" totalsRowFunction="sum" dataDxfId="401" totalsRowDxfId="40"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calculatedColumnFormula>
    </tableColumn>
    <tableColumn id="8" xr3:uid="{2E5AF41E-1726-4D84-A01A-622691024A14}" name="Column4" totalsRowFunction="sum" dataDxfId="400" totalsRowDxfId="39"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calculatedColumnFormula>
    </tableColumn>
    <tableColumn id="9" xr3:uid="{F45C1A14-4711-4713-82B6-3502D409C986}" name="Column5" totalsRowFunction="sum" dataDxfId="399" totalsRowDxfId="38"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calculatedColumnFormula>
    </tableColumn>
    <tableColumn id="22" xr3:uid="{52931A27-DEE4-4E91-89C3-983EC7C96DF1}" name="Column6" totalsRowFunction="sum" dataDxfId="398" totalsRowDxfId="37"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calculatedColumnFormula>
    </tableColumn>
    <tableColumn id="23" xr3:uid="{38B2B681-D0E9-449A-A3DF-AB8703DC166D}" name="Column7" totalsRowFunction="sum" dataDxfId="397" totalsRowDxfId="36"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calculatedColumnFormula>
    </tableColumn>
    <tableColumn id="24" xr3:uid="{FDDC3BDF-2DCF-4017-A0C3-F478C3BD3F80}" name="Column8" totalsRowFunction="sum" dataDxfId="396" totalsRowDxfId="35"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calculatedColumnFormula>
    </tableColumn>
    <tableColumn id="25" xr3:uid="{B7D677F0-CF16-4246-B737-D33B81CA589D}" name="Column9" totalsRowFunction="sum" dataDxfId="395" totalsRowDxfId="34"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calculatedColumnFormula>
    </tableColumn>
    <tableColumn id="26" xr3:uid="{BCFF8C8B-C2C0-4B87-8482-1D7699007A83}" name="Column10" totalsRowFunction="sum" dataDxfId="394" totalsRowDxfId="33"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calculatedColumnFormula>
    </tableColumn>
    <tableColumn id="27" xr3:uid="{B0AC690C-4A6F-41D8-9B09-069B1A660853}" name="Column11" totalsRowFunction="sum" dataDxfId="393" totalsRowDxfId="32"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calculatedColumnFormula>
    </tableColumn>
    <tableColumn id="28" xr3:uid="{FA472A12-A1D7-48ED-A154-962F5B19B622}" name="Column12" totalsRowFunction="sum" dataDxfId="392" totalsRowDxfId="31" dataCellStyle="Comma">
      <calculatedColumnFormula>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calculatedColumnFormula>
    </tableColumn>
    <tableColumn id="29" xr3:uid="{A47A754B-02B8-4533-A576-B5EBFEC8AF0E}" name="Column13" totalsRowFunction="sum" dataDxfId="391" totalsRowDxfId="30" dataCellStyle="Comma">
      <calculatedColumnFormula>SUM(ج_ح_تجمیعی[[#This Row],[Column1]:[Column12]])</calculatedColumnFormula>
    </tableColumn>
    <tableColumn id="31" xr3:uid="{B07CC8E5-CB0E-483B-9958-18213E5EDA25}" name="Column132" totalsRowFunction="sum" dataDxfId="390" totalsRowDxfId="29" dataCellStyle="Comma">
      <calculatedColumnFormula>IF(ج_ح_تجمیعی[[#This Row],[Column13]]&lt;=0," ",365)</calculatedColumnFormula>
    </tableColumn>
    <tableColumn id="38" xr3:uid="{14A05470-2D77-4C8E-96F5-F42860054987}" name="Column1322" dataDxfId="389" totalsRowDxfId="28" dataCellStyle="Comma">
      <calculatedColumnFormula>IFERROR(معافیت_مالیاتی_ماهانه_حقوق*ج_ح_تجمیعی[[#This Row],[Column13]]/ج_ح_تجمیعی[[#This Row],[Column132]],"")</calculatedColumnFormula>
    </tableColumn>
    <tableColumn id="32" xr3:uid="{31B39351-8259-4C85-9F43-D149A49A64F8}" name="Column133" totalsRowFunction="sum" dataDxfId="388" totalsRowDxfId="27" dataCellStyle="Comma">
      <calculatedColumnFormula>IF(COUNT(ج_ح_تجمیعی[[#This Row],[ردیف]]),(حداقل_حقوق_ماهانه_30_روزه)*2," ")</calculatedColumnFormula>
    </tableColumn>
    <tableColumn id="34" xr3:uid="{7BBC243E-8109-4837-836B-98A4ADBB4773}" name="Column1332" totalsRowFunction="sum" dataDxfId="387" totalsRowDxfId="26" dataCellStyle="Comma">
      <calculatedColumnFormula>IF(COUNT(ج_ح_تجمیعی[[#This Row],[ردیف]]),ج_ح_تجمیعی[[#This Row],[Column13]]*ج_ح_تجمیعی[[#This Row],[Column133]]/ج_ح_تجمیعی[[#This Row],[Column132]]," ")</calculatedColumnFormula>
    </tableColumn>
    <tableColumn id="35" xr3:uid="{6791D677-EF98-4D39-891C-FB3E8543275D}" name="Column1333" totalsRowFunction="sum" dataDxfId="386" totalsRowDxfId="25" dataCellStyle="Comma">
      <calculatedColumnFormula>IF(COUNT(ج_ح_تجمیعی[[#This Row],[ردیف]]),IF(ج_ح_تجمیعی[[#This Row],[Column1332]]&lt;حداکثر_عیدی,ج_ح_تجمیعی[[#This Row],[Column1332]],حداکثر_عیدی)," ")</calculatedColumnFormula>
    </tableColumn>
    <tableColumn id="36" xr3:uid="{65E438B0-F6C9-412C-8ABE-EBC45DF35A62}" name="Column1334" totalsRowFunction="sum" dataDxfId="385" totalsRowDxfId="24" dataCellStyle="Comma">
      <calculatedColumnFormula>IF(COUNT(ج_ح_تجمیعی[[#This Row],[ردیف]]),(حداقل_حقوق_ماهانه_30_روزه+حق_مسکن+حق_خواربار)," ")</calculatedColumnFormula>
    </tableColumn>
    <tableColumn id="33" xr3:uid="{07E51291-2E87-4E2A-AB27-FCE428406301}" name="Column134" totalsRowFunction="sum" dataDxfId="384" totalsRowDxfId="23" dataCellStyle="Comma">
      <calculatedColumnFormula>IF(COUNT(ج_ح_تجمیعی[[#This Row],[ردیف]]),ج_ح_تجمیعی[[#This Row],[Column13]]*ج_ح_تجمیعی[[#This Row],[Column1334]]/ج_ح_تجمیعی[[#This Row],[Column132]]," ")</calculatedColumnFormula>
    </tableColumn>
  </tableColumns>
  <tableStyleInfo name="TableStyleLight1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0D000000}" name="ج_ح_دارایی" displayName="ج_ح_دارایی" ref="B6:X19" totalsRowCount="1" headerRowDxfId="383" dataDxfId="382" totalsRowDxfId="380" tableBorderDxfId="381" dataCellStyle="Comma">
  <autoFilter ref="B6:X18" xr:uid="{00000000-0009-0000-0100-000027000000}"/>
  <sortState xmlns:xlrd2="http://schemas.microsoft.com/office/spreadsheetml/2017/richdata2" ref="B7:X18">
    <sortCondition ref="E6:E18"/>
  </sortState>
  <tableColumns count="23">
    <tableColumn id="1" xr3:uid="{00000000-0010-0000-0D00-000001000000}" name="ماه" dataDxfId="379" totalsRowDxfId="22">
      <calculatedColumnFormula>IF(ج_ح_دارایی[[#This Row],[تاریخ سند]]&lt;&gt;"",ROW()-7+1,"")</calculatedColumnFormula>
    </tableColumn>
    <tableColumn id="28" xr3:uid="{00000000-0010-0000-0D00-00001C000000}" name="شماره ماه" dataDxfId="378" totalsRowDxfId="21"/>
    <tableColumn id="2" xr3:uid="{00000000-0010-0000-0D00-000002000000}" name="تاریخ سند" dataDxfId="377" totalsRowDxfId="20"/>
    <tableColumn id="21" xr3:uid="{00000000-0010-0000-0D00-000015000000}" name="شماره سند" totalsRowLabel="جمع" dataDxfId="376" totalsRowDxfId="19"/>
    <tableColumn id="5" xr3:uid="{00000000-0010-0000-0D00-000005000000}" name="حقوق پایه" totalsRowFunction="sum" dataDxfId="375" totalsRowDxfId="18" dataCellStyle="Comma">
      <calculatedColumnFormula>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calculatedColumnFormula>
    </tableColumn>
    <tableColumn id="10" xr3:uid="{00000000-0010-0000-0D00-00000A000000}" name="حق اولاد" totalsRowFunction="sum" dataDxfId="374" totalsRowDxfId="17" dataCellStyle="Comma">
      <calculatedColumnFormula>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calculatedColumnFormula>
    </tableColumn>
    <tableColumn id="11" xr3:uid="{00000000-0010-0000-0D00-00000B000000}" name="حق مسکن" totalsRowFunction="sum" dataDxfId="373" totalsRowDxfId="16" dataCellStyle="Comma">
      <calculatedColumnFormula>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calculatedColumnFormula>
    </tableColumn>
    <tableColumn id="12" xr3:uid="{00000000-0010-0000-0D00-00000C000000}" name="حق خواربار" totalsRowFunction="sum" dataDxfId="372" totalsRowDxfId="15" dataCellStyle="Comma">
      <calculatedColumnFormula>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calculatedColumnFormula>
    </tableColumn>
    <tableColumn id="13" xr3:uid="{00000000-0010-0000-0D00-00000D000000}" name="اضافه کاری" totalsRowFunction="sum" dataDxfId="371" totalsRowDxfId="14" dataCellStyle="Comma">
      <calculatedColumnFormula>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calculatedColumnFormula>
    </tableColumn>
    <tableColumn id="14" xr3:uid="{00000000-0010-0000-0D00-00000E000000}" name="عیدی" totalsRowFunction="sum" dataDxfId="370" totalsRowDxfId="13" dataCellStyle="Comma"/>
    <tableColumn id="15" xr3:uid="{00000000-0010-0000-0D00-00000F000000}" name="بازخرید سنوات" totalsRowFunction="sum" dataDxfId="369" totalsRowDxfId="12" dataCellStyle="Comma"/>
    <tableColumn id="16" xr3:uid="{00000000-0010-0000-0D00-000010000000}" name="جمع حقوق و مزایا" totalsRowFunction="sum" dataDxfId="368" totalsRowDxfId="11" dataCellStyle="Comma">
      <calculatedColumnFormula>IFERROR(ج_ح_دارایی[[#This Row],[حقوق پایه]]+ج_ح_دارایی[[#This Row],[حق اولاد]]+ج_ح_دارایی[[#This Row],[حق مسکن]]+ج_ح_دارایی[[#This Row],[حق خواربار]]+ج_ح_دارایی[[#This Row],[اضافه کاری]],"")</calculatedColumnFormula>
    </tableColumn>
    <tableColumn id="17" xr3:uid="{00000000-0010-0000-0D00-000011000000}" name="جمع حقوق و مزایای مشمول بیمه " totalsRowFunction="sum" dataDxfId="367" totalsRowDxfId="10" dataCellStyle="Comma">
      <calculatedColumnFormula>IFERROR(ج_ح_دارایی[[#This Row],[حقوق پایه]]+ج_ح_دارایی[[#This Row],[حق مسکن]]+ج_ح_دارایی[[#This Row],[حق خواربار]]+ج_ح_دارایی[[#This Row],[اضافه کاری]],"")</calculatedColumnFormula>
    </tableColumn>
    <tableColumn id="27" xr3:uid="{00000000-0010-0000-0D00-00001B000000}" name="جمع حقوق و مزایای مشمول مالیات " totalsRowFunction="sum" dataDxfId="366" totalsRowDxfId="9" dataCellStyle="Comma">
      <calculatedColumnFormula>IFERROR(ج_ح_دارایی[[#This Row],[حقوق پایه]]+ج_ح_دارایی[[#This Row],[حق اولاد]]+ج_ح_دارایی[[#This Row],[حق مسکن]]+ج_ح_دارایی[[#This Row],[حق خواربار]]+ج_ح_دارایی[[#This Row],[اضافه کاری]],"")</calculatedColumnFormula>
    </tableColumn>
    <tableColumn id="18" xr3:uid="{00000000-0010-0000-0D00-000012000000}" name="سهم بیمه کارمند 7%" totalsRowFunction="sum" dataDxfId="365" totalsRowDxfId="8">
      <calculatedColumnFormula>IFERROR(ج_ح_دارایی[[#This Row],[جمع حقوق و مزایای مشمول بیمه ]]*7%,"")</calculatedColumnFormula>
    </tableColumn>
    <tableColumn id="19" xr3:uid="{00000000-0010-0000-0D00-000013000000}" name="کل حق بیمه 30%" totalsRowFunction="sum" dataDxfId="364" totalsRowDxfId="7" dataCellStyle="Comma">
      <calculatedColumnFormula>IFERROR(ج_ح_دارایی[[#This Row],[جمع حقوق و مزایای مشمول بیمه ]]*30%,"")</calculatedColumnFormula>
    </tableColumn>
    <tableColumn id="9" xr3:uid="{00000000-0010-0000-0D00-000009000000}" name="وام" totalsRowFunction="sum" dataDxfId="363" totalsRowDxfId="6" dataCellStyle="Comma">
      <calculatedColumnFormula>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calculatedColumnFormula>
    </tableColumn>
    <tableColumn id="22" xr3:uid="{00000000-0010-0000-0D00-000016000000}" name="مساعده" totalsRowFunction="sum" dataDxfId="362" totalsRowDxfId="5" dataCellStyle="Comma">
      <calculatedColumnFormula>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calculatedColumnFormula>
    </tableColumn>
    <tableColumn id="24" xr3:uid="{00000000-0010-0000-0D00-000018000000}" name="مالیات پرداختنی" totalsRowFunction="sum" dataDxfId="361" totalsRowDxfId="4" dataCellStyle="Comma">
      <calculatedColumnFormula>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calculatedColumnFormula>
    </tableColumn>
    <tableColumn id="25" xr3:uid="{00000000-0010-0000-0D00-000019000000}" name="جمع کسورات" totalsRowFunction="sum" dataDxfId="360" totalsRowDxfId="3" dataCellStyle="Comma">
      <calculatedColumnFormula>IFERROR(ج_ح_دارایی[[#This Row],[سهم بیمه کارمند 7%]]+ج_ح_دارایی[[#This Row],[وام]]+ج_ح_دارایی[[#This Row],[مساعده]]+ج_ح_دارایی[[#This Row],[مالیات پرداختنی]],"")</calculatedColumnFormula>
    </tableColumn>
    <tableColumn id="26" xr3:uid="{00000000-0010-0000-0D00-00001A000000}" name="خالص قابل پرداخت" totalsRowFunction="sum" dataDxfId="359" totalsRowDxfId="2" dataCellStyle="Comma">
      <calculatedColumnFormula>IFERROR(ج_ح_دارایی[[#This Row],[جمع حقوق و مزایا]]-ج_ح_دارایی[[#This Row],[جمع کسورات]],"")</calculatedColumnFormula>
    </tableColumn>
    <tableColumn id="7" xr3:uid="{00000000-0010-0000-0D00-000007000000}" name="تاریخ ارسال لیست به اداره مالیات" dataDxfId="358" totalsRowDxfId="1" dataCellStyle="Comma"/>
    <tableColumn id="8" xr3:uid="{00000000-0010-0000-0D00-000008000000}" name="شماره قبض مالیات" dataDxfId="357" totalsRowDxfId="0" dataCellStyle="Comma"/>
  </tableColumns>
  <tableStyleInfo name="TableStyleLight1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5D3D0-1270-4300-A9E0-48CE432811E3}">
  <dimension ref="A1:B2"/>
  <sheetViews>
    <sheetView rightToLeft="1" view="pageBreakPreview" zoomScale="175" zoomScaleNormal="100" zoomScaleSheetLayoutView="175" workbookViewId="0">
      <selection activeCell="B3" sqref="B3"/>
    </sheetView>
  </sheetViews>
  <sheetFormatPr defaultRowHeight="18"/>
  <cols>
    <col min="1" max="1" width="6.875" style="58" bestFit="1" customWidth="1"/>
    <col min="2" max="2" width="13.375" style="58" bestFit="1" customWidth="1"/>
    <col min="3" max="16384" width="9" style="58"/>
  </cols>
  <sheetData>
    <row r="1" spans="1:2">
      <c r="A1" s="58" t="s">
        <v>123</v>
      </c>
      <c r="B1" s="58" t="s">
        <v>186</v>
      </c>
    </row>
    <row r="2" spans="1:2">
      <c r="A2" s="58" t="s">
        <v>124</v>
      </c>
      <c r="B2" s="58">
        <v>1402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50"/>
  <sheetViews>
    <sheetView rightToLeft="1" topLeftCell="A3" zoomScaleNormal="100" zoomScaleSheetLayoutView="100" workbookViewId="0">
      <selection activeCell="D8" sqref="D8"/>
    </sheetView>
  </sheetViews>
  <sheetFormatPr defaultColWidth="9" defaultRowHeight="18"/>
  <cols>
    <col min="1" max="1" width="1.5" style="1" customWidth="1"/>
    <col min="2" max="2" width="13.875" style="7" bestFit="1" customWidth="1"/>
    <col min="3" max="3" width="11.875" style="7" bestFit="1" customWidth="1"/>
    <col min="4" max="5" width="21.5" style="7" bestFit="1" customWidth="1"/>
    <col min="6" max="6" width="10" style="7" bestFit="1" customWidth="1"/>
    <col min="7" max="7" width="27.5" style="7" bestFit="1" customWidth="1"/>
    <col min="8" max="8" width="19.625" style="7" bestFit="1" customWidth="1"/>
    <col min="9" max="16384" width="9" style="1"/>
  </cols>
  <sheetData>
    <row r="1" spans="2:13" ht="9.9499999999999993" customHeight="1"/>
    <row r="2" spans="2:13" s="3" customFormat="1" ht="50.1" customHeight="1">
      <c r="B2" s="112" t="str">
        <f>CONCATENATE("درآمد ماهانه مشمول مالیات حقوق سال",'اطلاعات شرکت'!B2,"(ریال)")</f>
        <v>درآمد ماهانه مشمول مالیات حقوق سال1402(ریال)</v>
      </c>
      <c r="C2" s="113"/>
      <c r="D2" s="113"/>
      <c r="E2" s="113"/>
      <c r="F2" s="114" t="s">
        <v>91</v>
      </c>
      <c r="G2" s="114" t="s">
        <v>89</v>
      </c>
      <c r="H2" s="114" t="s">
        <v>90</v>
      </c>
    </row>
    <row r="3" spans="2:13" s="4" customFormat="1" ht="20.100000000000001" customHeight="1">
      <c r="B3" s="6" t="s">
        <v>88</v>
      </c>
      <c r="C3" s="6" t="s">
        <v>43</v>
      </c>
      <c r="D3" s="6" t="s">
        <v>44</v>
      </c>
      <c r="E3" s="6" t="s">
        <v>45</v>
      </c>
      <c r="F3" s="115"/>
      <c r="G3" s="115"/>
      <c r="H3" s="115"/>
      <c r="M3" s="5"/>
    </row>
    <row r="4" spans="2:13" s="2" customFormat="1" ht="22.5">
      <c r="B4" s="11" t="s">
        <v>83</v>
      </c>
      <c r="C4" s="9">
        <v>0</v>
      </c>
      <c r="D4" s="9">
        <v>120000000</v>
      </c>
      <c r="E4" s="9">
        <f>D4-C4</f>
        <v>120000000</v>
      </c>
      <c r="F4" s="8">
        <v>0</v>
      </c>
      <c r="G4" s="9">
        <f>E4*F4</f>
        <v>0</v>
      </c>
      <c r="H4" s="11">
        <v>0</v>
      </c>
    </row>
    <row r="5" spans="2:13" s="2" customFormat="1" ht="22.5">
      <c r="B5" s="11" t="s">
        <v>84</v>
      </c>
      <c r="C5" s="9">
        <f>D4+1</f>
        <v>120000001</v>
      </c>
      <c r="D5" s="9">
        <v>165000000</v>
      </c>
      <c r="E5" s="9">
        <f>D5-C5+1</f>
        <v>45000000</v>
      </c>
      <c r="F5" s="8">
        <v>0.1</v>
      </c>
      <c r="G5" s="9">
        <f t="shared" ref="G5:G8" si="0">E5*F5</f>
        <v>4500000</v>
      </c>
      <c r="H5" s="9">
        <f>SUM($G$5:G5)</f>
        <v>4500000</v>
      </c>
    </row>
    <row r="6" spans="2:13" s="2" customFormat="1" ht="22.5">
      <c r="B6" s="11" t="s">
        <v>85</v>
      </c>
      <c r="C6" s="9">
        <f>D5+1</f>
        <v>165000001</v>
      </c>
      <c r="D6" s="9">
        <v>270000000</v>
      </c>
      <c r="E6" s="9">
        <f>D6-C6+1</f>
        <v>105000000</v>
      </c>
      <c r="F6" s="8">
        <v>0.15</v>
      </c>
      <c r="G6" s="9">
        <f t="shared" si="0"/>
        <v>15750000</v>
      </c>
      <c r="H6" s="9">
        <f>SUM($G$5:G6)</f>
        <v>20250000</v>
      </c>
    </row>
    <row r="7" spans="2:13" s="2" customFormat="1" ht="22.5">
      <c r="B7" s="11" t="s">
        <v>86</v>
      </c>
      <c r="C7" s="9">
        <f>D6+1</f>
        <v>270000001</v>
      </c>
      <c r="D7" s="9">
        <v>400000000</v>
      </c>
      <c r="E7" s="9">
        <f>D7-C7+1</f>
        <v>130000000</v>
      </c>
      <c r="F7" s="8">
        <v>0.2</v>
      </c>
      <c r="G7" s="9">
        <f t="shared" si="0"/>
        <v>26000000</v>
      </c>
      <c r="H7" s="9">
        <f>SUM($G$5:G7)</f>
        <v>46250000</v>
      </c>
    </row>
    <row r="8" spans="2:13" s="2" customFormat="1" ht="22.5">
      <c r="B8" s="13" t="s">
        <v>87</v>
      </c>
      <c r="C8" s="9">
        <f>D7+1</f>
        <v>400000001</v>
      </c>
      <c r="D8" s="9">
        <v>1000000000</v>
      </c>
      <c r="E8" s="9">
        <f>D8-C8+1</f>
        <v>600000000</v>
      </c>
      <c r="F8" s="8">
        <v>0.3</v>
      </c>
      <c r="G8" s="9">
        <f t="shared" si="0"/>
        <v>180000000</v>
      </c>
      <c r="H8" s="9">
        <f>SUM($G$5:G8)</f>
        <v>226250000</v>
      </c>
    </row>
    <row r="9" spans="2:13" ht="22.5">
      <c r="C9" s="10"/>
      <c r="D9" s="10"/>
      <c r="E9" s="10"/>
      <c r="G9" s="12"/>
    </row>
    <row r="10" spans="2:13">
      <c r="B10" s="1"/>
      <c r="C10" s="1"/>
      <c r="D10" s="1"/>
      <c r="E10" s="1"/>
      <c r="F10" s="1"/>
      <c r="G10" s="1"/>
      <c r="H10" s="1"/>
    </row>
    <row r="11" spans="2:13">
      <c r="B11" s="1"/>
      <c r="C11" s="1"/>
      <c r="D11" s="1"/>
      <c r="E11" s="1"/>
      <c r="F11" s="1"/>
      <c r="G11" s="1"/>
      <c r="H11" s="1"/>
    </row>
    <row r="12" spans="2:13">
      <c r="B12" s="1"/>
      <c r="C12" s="1"/>
      <c r="D12" s="1"/>
      <c r="E12" s="1"/>
      <c r="F12" s="1"/>
      <c r="G12" s="1"/>
      <c r="H12" s="1"/>
    </row>
    <row r="13" spans="2:13">
      <c r="B13" s="1"/>
      <c r="C13" s="1"/>
      <c r="D13" s="1"/>
      <c r="E13" s="1"/>
      <c r="F13" s="1"/>
      <c r="G13" s="1"/>
      <c r="H13" s="1"/>
    </row>
    <row r="14" spans="2:13">
      <c r="B14" s="1"/>
      <c r="C14" s="1"/>
      <c r="D14" s="14"/>
      <c r="E14" s="1"/>
      <c r="F14" s="1"/>
      <c r="G14" s="1"/>
      <c r="H14" s="1"/>
    </row>
    <row r="15" spans="2:13">
      <c r="B15" s="1"/>
      <c r="C15" s="1"/>
      <c r="D15" s="1"/>
      <c r="E15" s="1"/>
      <c r="F15" s="1"/>
      <c r="G15" s="1"/>
      <c r="H15" s="1"/>
    </row>
    <row r="16" spans="2:13">
      <c r="B16" s="1"/>
      <c r="C16" s="1"/>
      <c r="D16" s="1"/>
      <c r="E16" s="1"/>
      <c r="F16" s="1"/>
      <c r="G16" s="1"/>
      <c r="H16" s="1"/>
    </row>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sheetData>
  <mergeCells count="4">
    <mergeCell ref="B2:E2"/>
    <mergeCell ref="F2:F3"/>
    <mergeCell ref="G2:G3"/>
    <mergeCell ref="H2:H3"/>
  </mergeCells>
  <pageMargins left="0.7" right="0.7" top="0.75" bottom="0.75" header="0.3" footer="0.3"/>
  <pageSetup paperSize="9" scale="62"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1:J26"/>
  <sheetViews>
    <sheetView rightToLeft="1" topLeftCell="A7" zoomScale="80" zoomScaleNormal="80" zoomScaleSheetLayoutView="80" workbookViewId="0">
      <selection activeCell="D15" sqref="D15"/>
    </sheetView>
  </sheetViews>
  <sheetFormatPr defaultColWidth="9" defaultRowHeight="18"/>
  <cols>
    <col min="1" max="1" width="1.5" style="43" customWidth="1"/>
    <col min="2" max="2" width="9" style="43"/>
    <col min="3" max="3" width="40.5" style="43" customWidth="1"/>
    <col min="4" max="4" width="28" style="43" bestFit="1" customWidth="1"/>
    <col min="5" max="5" width="3.5" style="43" customWidth="1"/>
    <col min="6" max="6" width="70.5" style="43" customWidth="1"/>
    <col min="7" max="7" width="2.5" style="43" customWidth="1"/>
    <col min="8" max="10" width="6.5" style="43" customWidth="1"/>
    <col min="11" max="16384" width="9" style="43"/>
  </cols>
  <sheetData>
    <row r="1" spans="2:10" ht="9.9499999999999993" customHeight="1" thickBot="1"/>
    <row r="2" spans="2:10" ht="28.5" customHeight="1" thickTop="1" thickBot="1">
      <c r="B2" s="116" t="str">
        <f>CONCATENATE("مشخصات حقوق و دستمزد سال ",'اطلاعات شرکت'!B2," با توجه به بخشنامه")</f>
        <v>مشخصات حقوق و دستمزد سال 1402 با توجه به بخشنامه</v>
      </c>
      <c r="C2" s="117"/>
      <c r="D2" s="118"/>
      <c r="F2" s="119" t="s">
        <v>70</v>
      </c>
      <c r="H2" s="124" t="s">
        <v>0</v>
      </c>
      <c r="I2" s="124"/>
      <c r="J2" s="124"/>
    </row>
    <row r="3" spans="2:10" ht="30" customHeight="1" thickTop="1" thickBot="1">
      <c r="B3" s="44" t="s">
        <v>1</v>
      </c>
      <c r="C3" s="45" t="s">
        <v>2</v>
      </c>
      <c r="D3" s="46" t="s">
        <v>3</v>
      </c>
      <c r="F3" s="120"/>
      <c r="H3" s="124"/>
      <c r="I3" s="124"/>
      <c r="J3" s="124"/>
    </row>
    <row r="4" spans="2:10" ht="26.1" customHeight="1" thickTop="1">
      <c r="B4" s="47">
        <v>1</v>
      </c>
      <c r="C4" s="48" t="s">
        <v>60</v>
      </c>
      <c r="D4" s="49">
        <v>2388728</v>
      </c>
      <c r="F4" s="121" t="s">
        <v>104</v>
      </c>
      <c r="H4" s="124"/>
      <c r="I4" s="124"/>
      <c r="J4" s="124"/>
    </row>
    <row r="5" spans="2:10" ht="26.1" customHeight="1">
      <c r="B5" s="47">
        <v>2</v>
      </c>
      <c r="C5" s="48" t="s">
        <v>61</v>
      </c>
      <c r="D5" s="49">
        <f>حداقل_حقوق_پایه_روزانه*30</f>
        <v>71661840</v>
      </c>
      <c r="F5" s="122"/>
      <c r="H5" s="124"/>
      <c r="I5" s="124"/>
      <c r="J5" s="124"/>
    </row>
    <row r="6" spans="2:10" ht="26.1" customHeight="1">
      <c r="B6" s="47">
        <v>3</v>
      </c>
      <c r="C6" s="48" t="s">
        <v>66</v>
      </c>
      <c r="D6" s="49">
        <v>9000000</v>
      </c>
      <c r="F6" s="122"/>
      <c r="H6" s="124"/>
      <c r="I6" s="124"/>
      <c r="J6" s="124"/>
    </row>
    <row r="7" spans="2:10" ht="26.1" customHeight="1">
      <c r="B7" s="47">
        <v>4</v>
      </c>
      <c r="C7" s="48" t="s">
        <v>67</v>
      </c>
      <c r="D7" s="49">
        <v>14000000</v>
      </c>
      <c r="F7" s="122"/>
      <c r="H7" s="124"/>
      <c r="I7" s="124"/>
      <c r="J7" s="124"/>
    </row>
    <row r="8" spans="2:10" ht="26.1" customHeight="1">
      <c r="B8" s="47">
        <v>5</v>
      </c>
      <c r="C8" s="48" t="s">
        <v>68</v>
      </c>
      <c r="D8" s="49">
        <f>حداقل_حقوق_پایه_روزانه*3</f>
        <v>7166184</v>
      </c>
      <c r="F8" s="122"/>
      <c r="H8" s="124"/>
      <c r="I8" s="124"/>
      <c r="J8" s="124"/>
    </row>
    <row r="9" spans="2:10" ht="26.1" customHeight="1">
      <c r="B9" s="47">
        <v>6</v>
      </c>
      <c r="C9" s="48" t="s">
        <v>69</v>
      </c>
      <c r="D9" s="49">
        <f>2*D8</f>
        <v>14332368</v>
      </c>
      <c r="F9" s="122"/>
      <c r="H9" s="124"/>
      <c r="I9" s="124"/>
      <c r="J9" s="124"/>
    </row>
    <row r="10" spans="2:10" ht="26.1" customHeight="1">
      <c r="B10" s="47">
        <v>7</v>
      </c>
      <c r="C10" s="48" t="s">
        <v>6</v>
      </c>
      <c r="D10" s="49">
        <v>70000</v>
      </c>
      <c r="F10" s="122"/>
      <c r="H10" s="124"/>
      <c r="I10" s="124"/>
      <c r="J10" s="124"/>
    </row>
    <row r="11" spans="2:10" ht="26.1" customHeight="1">
      <c r="B11" s="47">
        <v>8</v>
      </c>
      <c r="C11" s="48" t="s">
        <v>7</v>
      </c>
      <c r="D11" s="49">
        <f>(پایه_سنوات_روزانه*30)+حق_اولاد_یک_نفر+حق_خواربار+حق_مسکن+حداقل_حقوق_ماهانه_30_روزه</f>
        <v>103928024</v>
      </c>
      <c r="F11" s="122"/>
      <c r="H11" s="124"/>
      <c r="I11" s="124"/>
      <c r="J11" s="124"/>
    </row>
    <row r="12" spans="2:10" ht="26.1" customHeight="1">
      <c r="B12" s="47">
        <v>9</v>
      </c>
      <c r="C12" s="48" t="s">
        <v>8</v>
      </c>
      <c r="D12" s="49">
        <f>2*30*D4</f>
        <v>143323680</v>
      </c>
      <c r="F12" s="122"/>
      <c r="H12" s="124"/>
      <c r="I12" s="124"/>
      <c r="J12" s="124"/>
    </row>
    <row r="13" spans="2:10" ht="26.1" customHeight="1">
      <c r="B13" s="47">
        <v>10</v>
      </c>
      <c r="C13" s="48" t="s">
        <v>9</v>
      </c>
      <c r="D13" s="49">
        <f>30*3*حداقل_حقوق_پایه_روزانه</f>
        <v>214985520</v>
      </c>
      <c r="F13" s="122"/>
      <c r="H13" s="124"/>
      <c r="I13" s="124"/>
      <c r="J13" s="124"/>
    </row>
    <row r="14" spans="2:10" ht="26.1" customHeight="1">
      <c r="B14" s="47">
        <v>11</v>
      </c>
      <c r="C14" s="48" t="s">
        <v>52</v>
      </c>
      <c r="D14" s="49">
        <v>120000000</v>
      </c>
      <c r="F14" s="122"/>
      <c r="H14" s="124"/>
      <c r="I14" s="124"/>
      <c r="J14" s="124"/>
    </row>
    <row r="15" spans="2:10" ht="26.1" customHeight="1">
      <c r="B15" s="47">
        <v>12</v>
      </c>
      <c r="C15" s="48" t="s">
        <v>65</v>
      </c>
      <c r="D15" s="50">
        <v>30</v>
      </c>
      <c r="F15" s="122"/>
      <c r="H15" s="124"/>
      <c r="I15" s="124"/>
      <c r="J15" s="124"/>
    </row>
    <row r="16" spans="2:10" ht="26.1" customHeight="1">
      <c r="B16" s="47">
        <v>13</v>
      </c>
      <c r="C16" s="48" t="s">
        <v>64</v>
      </c>
      <c r="D16" s="51">
        <f>(مرخصی_سالانه*متوسط_ساعت_کاری_روزانه)/12</f>
        <v>0.76388888888888884</v>
      </c>
      <c r="F16" s="122"/>
      <c r="H16" s="124"/>
      <c r="I16" s="124"/>
      <c r="J16" s="124"/>
    </row>
    <row r="17" spans="2:10" ht="26.1" customHeight="1">
      <c r="B17" s="47">
        <v>14</v>
      </c>
      <c r="C17" s="48" t="s">
        <v>63</v>
      </c>
      <c r="D17" s="50">
        <v>6</v>
      </c>
      <c r="F17" s="122"/>
      <c r="H17" s="124"/>
      <c r="I17" s="124"/>
      <c r="J17" s="124"/>
    </row>
    <row r="18" spans="2:10" ht="26.1" customHeight="1" thickBot="1">
      <c r="B18" s="47">
        <v>15</v>
      </c>
      <c r="C18" s="52" t="s">
        <v>62</v>
      </c>
      <c r="D18" s="51">
        <f>(44/تعداد_روزهای_کاری_در_هفته)/24</f>
        <v>0.30555555555555552</v>
      </c>
      <c r="F18" s="123"/>
      <c r="H18" s="124"/>
      <c r="I18" s="124"/>
      <c r="J18" s="124"/>
    </row>
    <row r="19" spans="2:10" ht="26.1" customHeight="1" thickTop="1">
      <c r="B19" s="47">
        <v>16</v>
      </c>
      <c r="C19" s="52" t="s">
        <v>10</v>
      </c>
      <c r="D19" s="53">
        <v>365</v>
      </c>
      <c r="H19" s="124"/>
      <c r="I19" s="124"/>
      <c r="J19" s="124"/>
    </row>
    <row r="20" spans="2:10" ht="26.1" customHeight="1" thickBot="1">
      <c r="B20" s="54">
        <v>17</v>
      </c>
      <c r="C20" s="55" t="s">
        <v>121</v>
      </c>
      <c r="D20" s="56">
        <f>حداقل_حقوق_پایه_روزانه*30*7</f>
        <v>501632880</v>
      </c>
    </row>
    <row r="21" spans="2:10" ht="18.75" thickTop="1"/>
    <row r="26" spans="2:10">
      <c r="D26" s="57"/>
    </row>
  </sheetData>
  <mergeCells count="4">
    <mergeCell ref="B2:D2"/>
    <mergeCell ref="F2:F3"/>
    <mergeCell ref="F4:F18"/>
    <mergeCell ref="H2:J19"/>
  </mergeCells>
  <pageMargins left="0.7" right="0.7" top="0.75" bottom="0.75" header="0.3" footer="0.3"/>
  <pageSetup paperSize="9" scale="5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rightToLeft="1" workbookViewId="0">
      <selection activeCell="D1" sqref="D1:G1048576"/>
    </sheetView>
  </sheetViews>
  <sheetFormatPr defaultColWidth="9" defaultRowHeight="40.5" customHeight="1"/>
  <cols>
    <col min="1" max="1" width="8.25" style="41" customWidth="1"/>
    <col min="2" max="2" width="101.75" style="42" customWidth="1"/>
    <col min="3" max="3" width="9" style="38"/>
    <col min="4" max="4" width="4.875" style="38" bestFit="1" customWidth="1"/>
    <col min="5" max="5" width="60.5" style="38" bestFit="1" customWidth="1"/>
    <col min="6" max="6" width="5.75" style="38" bestFit="1" customWidth="1"/>
    <col min="7" max="7" width="4.125" style="38" bestFit="1" customWidth="1"/>
    <col min="8" max="16384" width="9" style="38"/>
  </cols>
  <sheetData>
    <row r="1" spans="1:7" ht="21">
      <c r="A1" s="37" t="s">
        <v>1</v>
      </c>
      <c r="B1" s="37" t="s">
        <v>105</v>
      </c>
      <c r="D1" s="103" t="s">
        <v>185</v>
      </c>
      <c r="E1" s="103" t="s">
        <v>184</v>
      </c>
      <c r="F1" s="102" t="s">
        <v>183</v>
      </c>
      <c r="G1" s="102" t="s">
        <v>182</v>
      </c>
    </row>
    <row r="2" spans="1:7" ht="21">
      <c r="A2" s="39">
        <v>1</v>
      </c>
      <c r="B2" s="40" t="s">
        <v>106</v>
      </c>
      <c r="D2" s="103">
        <v>1</v>
      </c>
      <c r="E2" s="103" t="s">
        <v>181</v>
      </c>
      <c r="F2" s="102" t="s">
        <v>158</v>
      </c>
      <c r="G2" s="102" t="s">
        <v>158</v>
      </c>
    </row>
    <row r="3" spans="1:7" ht="37.5">
      <c r="A3" s="39">
        <v>2</v>
      </c>
      <c r="B3" s="40" t="s">
        <v>107</v>
      </c>
      <c r="D3" s="103">
        <v>2</v>
      </c>
      <c r="E3" s="103" t="s">
        <v>180</v>
      </c>
      <c r="F3" s="102" t="s">
        <v>160</v>
      </c>
      <c r="G3" s="102" t="s">
        <v>158</v>
      </c>
    </row>
    <row r="4" spans="1:7" ht="21">
      <c r="A4" s="39">
        <v>3</v>
      </c>
      <c r="B4" s="40" t="s">
        <v>108</v>
      </c>
      <c r="D4" s="103">
        <v>3</v>
      </c>
      <c r="E4" s="103" t="s">
        <v>179</v>
      </c>
      <c r="F4" s="102" t="s">
        <v>160</v>
      </c>
      <c r="G4" s="102" t="s">
        <v>158</v>
      </c>
    </row>
    <row r="5" spans="1:7" ht="21">
      <c r="A5" s="38"/>
      <c r="B5" s="38"/>
      <c r="D5" s="103">
        <v>4</v>
      </c>
      <c r="E5" s="103" t="s">
        <v>178</v>
      </c>
      <c r="F5" s="102" t="s">
        <v>158</v>
      </c>
      <c r="G5" s="102" t="s">
        <v>160</v>
      </c>
    </row>
    <row r="6" spans="1:7" ht="21">
      <c r="A6" s="125" t="s">
        <v>109</v>
      </c>
      <c r="B6" s="126"/>
      <c r="D6" s="103">
        <v>5</v>
      </c>
      <c r="E6" s="103" t="s">
        <v>177</v>
      </c>
      <c r="F6" s="102" t="s">
        <v>158</v>
      </c>
      <c r="G6" s="102" t="s">
        <v>160</v>
      </c>
    </row>
    <row r="7" spans="1:7" ht="56.25">
      <c r="A7" s="39">
        <v>1</v>
      </c>
      <c r="B7" s="40" t="s">
        <v>110</v>
      </c>
      <c r="D7" s="103">
        <v>6</v>
      </c>
      <c r="E7" s="103" t="s">
        <v>176</v>
      </c>
      <c r="F7" s="102" t="s">
        <v>158</v>
      </c>
      <c r="G7" s="102" t="s">
        <v>158</v>
      </c>
    </row>
    <row r="8" spans="1:7" ht="37.5">
      <c r="A8" s="39">
        <v>2</v>
      </c>
      <c r="B8" s="40" t="s">
        <v>111</v>
      </c>
      <c r="D8" s="103">
        <v>7</v>
      </c>
      <c r="E8" s="103" t="s">
        <v>175</v>
      </c>
      <c r="F8" s="102" t="s">
        <v>160</v>
      </c>
      <c r="G8" s="102" t="s">
        <v>158</v>
      </c>
    </row>
    <row r="9" spans="1:7" ht="37.5">
      <c r="A9" s="39">
        <v>3</v>
      </c>
      <c r="B9" s="40" t="s">
        <v>112</v>
      </c>
      <c r="D9" s="103">
        <v>8</v>
      </c>
      <c r="E9" s="103" t="s">
        <v>174</v>
      </c>
      <c r="F9" s="102" t="s">
        <v>160</v>
      </c>
      <c r="G9" s="102" t="s">
        <v>160</v>
      </c>
    </row>
    <row r="10" spans="1:7" ht="37.5">
      <c r="A10" s="39">
        <v>4</v>
      </c>
      <c r="B10" s="40" t="s">
        <v>113</v>
      </c>
      <c r="D10" s="103">
        <v>9</v>
      </c>
      <c r="E10" s="103" t="s">
        <v>173</v>
      </c>
      <c r="F10" s="102" t="s">
        <v>160</v>
      </c>
      <c r="G10" s="102" t="s">
        <v>160</v>
      </c>
    </row>
    <row r="11" spans="1:7" ht="37.5">
      <c r="A11" s="39">
        <v>5</v>
      </c>
      <c r="B11" s="40" t="s">
        <v>114</v>
      </c>
      <c r="D11" s="103">
        <v>10</v>
      </c>
      <c r="E11" s="103" t="s">
        <v>172</v>
      </c>
      <c r="F11" s="102" t="s">
        <v>160</v>
      </c>
      <c r="G11" s="102" t="s">
        <v>160</v>
      </c>
    </row>
    <row r="12" spans="1:7" ht="37.5">
      <c r="A12" s="39">
        <v>6</v>
      </c>
      <c r="B12" s="40" t="s">
        <v>115</v>
      </c>
      <c r="D12" s="103">
        <v>11</v>
      </c>
      <c r="E12" s="103" t="s">
        <v>171</v>
      </c>
      <c r="F12" s="102" t="s">
        <v>160</v>
      </c>
      <c r="G12" s="102" t="s">
        <v>160</v>
      </c>
    </row>
    <row r="13" spans="1:7" ht="37.5">
      <c r="A13" s="39">
        <v>7</v>
      </c>
      <c r="B13" s="40" t="s">
        <v>116</v>
      </c>
      <c r="D13" s="103">
        <v>12</v>
      </c>
      <c r="E13" s="103" t="s">
        <v>170</v>
      </c>
      <c r="F13" s="102" t="s">
        <v>160</v>
      </c>
      <c r="G13" s="102" t="s">
        <v>158</v>
      </c>
    </row>
    <row r="14" spans="1:7" ht="21">
      <c r="A14" s="39">
        <v>8</v>
      </c>
      <c r="B14" s="40" t="s">
        <v>93</v>
      </c>
      <c r="D14" s="103">
        <v>13</v>
      </c>
      <c r="E14" s="103" t="s">
        <v>169</v>
      </c>
      <c r="F14" s="102" t="s">
        <v>160</v>
      </c>
      <c r="G14" s="102" t="s">
        <v>158</v>
      </c>
    </row>
    <row r="15" spans="1:7" ht="21">
      <c r="A15" s="39">
        <v>9</v>
      </c>
      <c r="B15" s="40" t="s">
        <v>117</v>
      </c>
      <c r="D15" s="103">
        <v>14</v>
      </c>
      <c r="E15" s="103" t="s">
        <v>168</v>
      </c>
      <c r="F15" s="102" t="s">
        <v>158</v>
      </c>
      <c r="G15" s="102" t="s">
        <v>158</v>
      </c>
    </row>
    <row r="16" spans="1:7" ht="21">
      <c r="A16" s="39">
        <v>10</v>
      </c>
      <c r="B16" s="40" t="s">
        <v>118</v>
      </c>
      <c r="D16" s="103">
        <v>15</v>
      </c>
      <c r="E16" s="103" t="s">
        <v>167</v>
      </c>
      <c r="F16" s="102" t="s">
        <v>158</v>
      </c>
      <c r="G16" s="102" t="s">
        <v>158</v>
      </c>
    </row>
    <row r="17" spans="1:7" ht="37.5">
      <c r="A17" s="39">
        <v>11</v>
      </c>
      <c r="B17" s="40" t="s">
        <v>94</v>
      </c>
      <c r="D17" s="103">
        <v>16</v>
      </c>
      <c r="E17" s="103" t="s">
        <v>166</v>
      </c>
      <c r="F17" s="102" t="s">
        <v>158</v>
      </c>
      <c r="G17" s="102" t="s">
        <v>158</v>
      </c>
    </row>
    <row r="18" spans="1:7" ht="21">
      <c r="A18" s="39">
        <v>12</v>
      </c>
      <c r="B18" s="40" t="s">
        <v>92</v>
      </c>
      <c r="D18" s="103">
        <v>17</v>
      </c>
      <c r="E18" s="103" t="s">
        <v>165</v>
      </c>
      <c r="F18" s="102" t="s">
        <v>158</v>
      </c>
      <c r="G18" s="102" t="s">
        <v>158</v>
      </c>
    </row>
    <row r="19" spans="1:7" ht="37.5">
      <c r="A19" s="39">
        <v>13</v>
      </c>
      <c r="B19" s="40" t="s">
        <v>119</v>
      </c>
      <c r="D19" s="103">
        <v>18</v>
      </c>
      <c r="E19" s="103" t="s">
        <v>164</v>
      </c>
      <c r="F19" s="102" t="s">
        <v>160</v>
      </c>
      <c r="G19" s="102" t="s">
        <v>158</v>
      </c>
    </row>
    <row r="20" spans="1:7" ht="21">
      <c r="A20" s="38"/>
      <c r="B20" s="38"/>
      <c r="D20" s="103">
        <v>19</v>
      </c>
      <c r="E20" s="103" t="s">
        <v>163</v>
      </c>
      <c r="F20" s="102" t="s">
        <v>158</v>
      </c>
      <c r="G20" s="102" t="s">
        <v>160</v>
      </c>
    </row>
    <row r="21" spans="1:7" ht="21">
      <c r="A21" s="37" t="s">
        <v>1</v>
      </c>
      <c r="B21" s="37" t="s">
        <v>120</v>
      </c>
      <c r="D21" s="103">
        <v>20</v>
      </c>
      <c r="E21" s="103" t="s">
        <v>162</v>
      </c>
      <c r="F21" s="102" t="s">
        <v>160</v>
      </c>
      <c r="G21" s="102" t="s">
        <v>158</v>
      </c>
    </row>
    <row r="22" spans="1:7" ht="21">
      <c r="A22" s="39">
        <v>1</v>
      </c>
      <c r="B22" s="40" t="s">
        <v>95</v>
      </c>
      <c r="D22" s="103">
        <v>21</v>
      </c>
      <c r="E22" s="103" t="s">
        <v>161</v>
      </c>
      <c r="F22" s="102" t="s">
        <v>158</v>
      </c>
      <c r="G22" s="102" t="s">
        <v>160</v>
      </c>
    </row>
    <row r="23" spans="1:7" ht="21">
      <c r="A23" s="39">
        <v>2</v>
      </c>
      <c r="B23" s="40" t="s">
        <v>122</v>
      </c>
      <c r="D23" s="103">
        <v>22</v>
      </c>
      <c r="E23" s="103" t="s">
        <v>159</v>
      </c>
      <c r="F23" s="102" t="s">
        <v>158</v>
      </c>
      <c r="G23" s="102" t="s">
        <v>158</v>
      </c>
    </row>
    <row r="24" spans="1:7" ht="18.75">
      <c r="A24" s="39">
        <v>3</v>
      </c>
      <c r="B24" s="40" t="s">
        <v>96</v>
      </c>
    </row>
    <row r="25" spans="1:7" ht="18.75">
      <c r="A25" s="39">
        <v>4</v>
      </c>
      <c r="B25" s="40" t="s">
        <v>97</v>
      </c>
    </row>
    <row r="26" spans="1:7" ht="18.75">
      <c r="A26" s="39">
        <v>5</v>
      </c>
      <c r="B26" s="40" t="s">
        <v>98</v>
      </c>
    </row>
    <row r="27" spans="1:7" ht="18.75">
      <c r="A27" s="39">
        <v>6</v>
      </c>
      <c r="B27" s="40" t="s">
        <v>99</v>
      </c>
    </row>
    <row r="28" spans="1:7" ht="18.75">
      <c r="A28" s="39">
        <v>7</v>
      </c>
      <c r="B28" s="40" t="s">
        <v>100</v>
      </c>
    </row>
    <row r="29" spans="1:7" ht="18.75">
      <c r="A29" s="39">
        <v>8</v>
      </c>
      <c r="B29" s="40" t="s">
        <v>101</v>
      </c>
    </row>
    <row r="30" spans="1:7" ht="18.75">
      <c r="A30" s="39">
        <v>9</v>
      </c>
      <c r="B30" s="40" t="s">
        <v>102</v>
      </c>
    </row>
    <row r="31" spans="1:7" ht="18.75">
      <c r="A31" s="39">
        <v>10</v>
      </c>
      <c r="B31" s="40" t="s">
        <v>103</v>
      </c>
    </row>
  </sheetData>
  <mergeCells count="1">
    <mergeCell ref="A6:B6"/>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X445"/>
  <sheetViews>
    <sheetView rightToLeft="1" view="pageBreakPreview" zoomScale="60" zoomScaleNormal="60" workbookViewId="0">
      <selection activeCell="L10" sqref="L10"/>
    </sheetView>
  </sheetViews>
  <sheetFormatPr defaultColWidth="9" defaultRowHeight="18"/>
  <cols>
    <col min="1" max="1" width="1.25" style="1" customWidth="1"/>
    <col min="2" max="2" width="12.25" style="1" hidden="1" customWidth="1"/>
    <col min="3" max="3" width="5.5" style="1" customWidth="1"/>
    <col min="4" max="5" width="14.5" style="1" customWidth="1"/>
    <col min="6" max="6" width="6.5" style="1" customWidth="1"/>
    <col min="7" max="7" width="15.5" style="1" customWidth="1"/>
    <col min="8" max="8" width="15.375" style="1" customWidth="1"/>
    <col min="9" max="9" width="12.25" style="1" customWidth="1"/>
    <col min="10" max="10" width="11.5" style="7" customWidth="1"/>
    <col min="11" max="11" width="13.625" style="1" customWidth="1"/>
    <col min="12" max="12" width="8.5" style="1" customWidth="1"/>
    <col min="13" max="14" width="16.5" style="1" customWidth="1"/>
    <col min="15" max="17" width="18.5" style="1" customWidth="1"/>
    <col min="18" max="18" width="10.375" style="1" bestFit="1" customWidth="1"/>
    <col min="19" max="19" width="14.25" style="1" bestFit="1" customWidth="1"/>
    <col min="20" max="20" width="16.5" style="1" customWidth="1"/>
    <col min="21" max="21" width="12.375" style="1" customWidth="1"/>
    <col min="22" max="22" width="16.5" style="1" customWidth="1"/>
    <col min="23" max="23" width="18.5" style="1" customWidth="1"/>
    <col min="24" max="24" width="18.25" style="104" bestFit="1" customWidth="1"/>
    <col min="25" max="16384" width="9" style="1"/>
  </cols>
  <sheetData>
    <row r="1" spans="1:24" ht="9.9499999999999993" customHeight="1"/>
    <row r="2" spans="1:24" s="7" customFormat="1" ht="39.950000000000003" customHeight="1">
      <c r="A2" s="15"/>
      <c r="B2" s="15"/>
      <c r="C2" s="128" t="str">
        <f>CONCATENATE("شرکت"," ",'اطلاعات شرکت'!$B$1)</f>
        <v>شرکت پندار حساب شهسوار</v>
      </c>
      <c r="D2" s="128"/>
      <c r="E2" s="128"/>
      <c r="F2" s="128"/>
      <c r="G2" s="128"/>
      <c r="H2" s="128"/>
      <c r="I2" s="128"/>
      <c r="J2" s="128"/>
      <c r="K2" s="128"/>
      <c r="L2" s="128"/>
      <c r="M2" s="128"/>
      <c r="N2" s="128"/>
      <c r="O2" s="128"/>
      <c r="P2" s="128"/>
      <c r="Q2" s="128"/>
      <c r="R2" s="128"/>
      <c r="S2" s="128"/>
      <c r="T2" s="128"/>
      <c r="U2" s="128"/>
      <c r="V2" s="128"/>
      <c r="W2" s="128"/>
      <c r="X2" s="105"/>
    </row>
    <row r="3" spans="1:24" s="7" customFormat="1" ht="50.1" customHeight="1">
      <c r="C3" s="127" t="str">
        <f>CONCATENATE("جدول حقوق و دستمزد فروردین ماه سال"," ",'اطلاعات شرکت'!$B$2)</f>
        <v>جدول حقوق و دستمزد فروردین ماه سال 1402</v>
      </c>
      <c r="D3" s="127"/>
      <c r="E3" s="127"/>
      <c r="F3" s="127"/>
      <c r="G3" s="127"/>
      <c r="H3" s="127"/>
      <c r="I3" s="127"/>
      <c r="J3" s="127"/>
      <c r="K3" s="127"/>
      <c r="L3" s="127"/>
      <c r="M3" s="127"/>
      <c r="N3" s="127"/>
      <c r="O3" s="127"/>
      <c r="P3" s="127"/>
      <c r="Q3" s="127"/>
      <c r="R3" s="127"/>
      <c r="S3" s="127"/>
      <c r="T3" s="127"/>
      <c r="U3" s="127"/>
      <c r="V3" s="127"/>
      <c r="W3" s="127"/>
      <c r="X3" s="105"/>
    </row>
    <row r="4" spans="1:24" s="12" customFormat="1" ht="50.1" customHeight="1">
      <c r="C4" s="129" t="s">
        <v>1</v>
      </c>
      <c r="D4" s="28" t="s">
        <v>23</v>
      </c>
      <c r="E4" s="28" t="s">
        <v>56</v>
      </c>
      <c r="F4" s="28" t="s">
        <v>11</v>
      </c>
      <c r="G4" s="28" t="s">
        <v>12</v>
      </c>
      <c r="H4" s="28" t="s">
        <v>37</v>
      </c>
      <c r="I4" s="28" t="s">
        <v>51</v>
      </c>
      <c r="J4" s="28" t="s">
        <v>47</v>
      </c>
      <c r="K4" s="28" t="s">
        <v>4</v>
      </c>
      <c r="L4" s="28" t="s">
        <v>48</v>
      </c>
      <c r="M4" s="28" t="s">
        <v>14</v>
      </c>
      <c r="N4" s="28" t="s">
        <v>5</v>
      </c>
      <c r="O4" s="28" t="s">
        <v>17</v>
      </c>
      <c r="P4" s="28" t="s">
        <v>49</v>
      </c>
      <c r="Q4" s="28" t="s">
        <v>50</v>
      </c>
      <c r="R4" s="28" t="s">
        <v>15</v>
      </c>
      <c r="S4" s="28" t="s">
        <v>16</v>
      </c>
      <c r="T4" s="28" t="s">
        <v>59</v>
      </c>
      <c r="U4" s="28" t="s">
        <v>58</v>
      </c>
      <c r="V4" s="28" t="s">
        <v>21</v>
      </c>
      <c r="W4" s="28" t="s">
        <v>57</v>
      </c>
      <c r="X4" s="106"/>
    </row>
    <row r="5" spans="1:24" s="7" customFormat="1" ht="32.1" customHeight="1">
      <c r="C5" s="129"/>
      <c r="D5" s="29">
        <v>1</v>
      </c>
      <c r="E5" s="29">
        <v>2</v>
      </c>
      <c r="F5" s="29">
        <v>3</v>
      </c>
      <c r="G5" s="29">
        <v>4</v>
      </c>
      <c r="H5" s="29">
        <v>5</v>
      </c>
      <c r="I5" s="29">
        <v>6</v>
      </c>
      <c r="J5" s="29">
        <v>7</v>
      </c>
      <c r="K5" s="29">
        <v>8</v>
      </c>
      <c r="L5" s="29">
        <v>9</v>
      </c>
      <c r="M5" s="29">
        <v>10</v>
      </c>
      <c r="N5" s="29">
        <v>11</v>
      </c>
      <c r="O5" s="29">
        <v>12</v>
      </c>
      <c r="P5" s="29">
        <v>13</v>
      </c>
      <c r="Q5" s="29">
        <v>14</v>
      </c>
      <c r="R5" s="29">
        <v>15</v>
      </c>
      <c r="S5" s="29">
        <v>16</v>
      </c>
      <c r="T5" s="29">
        <v>17</v>
      </c>
      <c r="U5" s="29">
        <v>18</v>
      </c>
      <c r="V5" s="29">
        <v>19</v>
      </c>
      <c r="W5" s="30">
        <v>20</v>
      </c>
      <c r="X5" s="105"/>
    </row>
    <row r="6" spans="1:24" s="7" customFormat="1" ht="20.100000000000001" customHeight="1">
      <c r="C6" s="16" t="s">
        <v>1</v>
      </c>
      <c r="D6" s="16" t="s">
        <v>23</v>
      </c>
      <c r="E6" s="16" t="s">
        <v>56</v>
      </c>
      <c r="F6" s="16" t="s">
        <v>11</v>
      </c>
      <c r="G6" s="16" t="s">
        <v>12</v>
      </c>
      <c r="H6" s="16" t="s">
        <v>37</v>
      </c>
      <c r="I6" s="16" t="s">
        <v>46</v>
      </c>
      <c r="J6" s="16" t="s">
        <v>47</v>
      </c>
      <c r="K6" s="16" t="s">
        <v>4</v>
      </c>
      <c r="L6" s="16" t="s">
        <v>13</v>
      </c>
      <c r="M6" s="16" t="s">
        <v>14</v>
      </c>
      <c r="N6" s="16" t="s">
        <v>79</v>
      </c>
      <c r="O6" s="16" t="s">
        <v>53</v>
      </c>
      <c r="P6" s="16" t="s">
        <v>54</v>
      </c>
      <c r="Q6" s="31" t="s">
        <v>55</v>
      </c>
      <c r="R6" s="16" t="s">
        <v>15</v>
      </c>
      <c r="S6" s="16" t="s">
        <v>16</v>
      </c>
      <c r="T6" s="31" t="s">
        <v>19</v>
      </c>
      <c r="U6" s="31" t="s">
        <v>20</v>
      </c>
      <c r="V6" s="16" t="s">
        <v>21</v>
      </c>
      <c r="W6" s="16" t="s">
        <v>22</v>
      </c>
      <c r="X6" s="107" t="s">
        <v>133</v>
      </c>
    </row>
    <row r="7" spans="1:24" s="32" customFormat="1" ht="32.1" customHeight="1">
      <c r="B7" s="32">
        <v>1</v>
      </c>
      <c r="C7" s="85" t="str">
        <f>IF(ج_ح_فروردین[[#This Row],[نام]]&lt;&gt;"",ROW()-7+1,"")</f>
        <v/>
      </c>
      <c r="D7" s="86"/>
      <c r="E7" s="86"/>
      <c r="F7" s="87"/>
      <c r="G7" s="88" t="str">
        <f>IFERROR(IF(COUNT(ج_ح_فروردین[[#This Row],[کارکرد]]),حداقل_حقوق_پایه_روزانه,""),"")</f>
        <v/>
      </c>
      <c r="H7" s="89" t="str">
        <f>IFERROR(IF(ج_ح_فروردین[[#This Row],[کارکرد]]*ج_ح_فروردین[[#This Row],[دستمزد روزانه ]]=0,"",ج_ح_فروردین[[#This Row],[کارکرد]]*ج_ح_فروردین[[#This Row],[دستمزد روزانه ]]),"")</f>
        <v/>
      </c>
      <c r="I7" s="91">
        <v>0</v>
      </c>
      <c r="J7" s="93" t="str">
        <f>IFERROR((ج_ح_فروردین[[#This Row],[دستمزد روزانه ]]/7.33)*1.4*ج_ح_فروردین[[#This Row],[مدت اضافه کاری ]],"")</f>
        <v/>
      </c>
      <c r="K7" s="89" t="str">
        <f>IF(ج_ح_فروردین[[#This Row],[کارکرد]]="","",ج_ح_فروردین[[#This Row],[کارکرد]]/31*حق_مسکن)</f>
        <v/>
      </c>
      <c r="L7" s="91">
        <v>0</v>
      </c>
      <c r="M7" s="89">
        <f>IFERROR(IF(ج_ح_فروردین[[#This Row],[تعداد فرزندان]]="","",ج_ح_فروردین[[#This Row],[کارکرد]]/31*3*ج_ح_فروردین[[#This Row],[تعداد فرزندان]]*حداقل_حقوق_پایه_روزانه),"")</f>
        <v>0</v>
      </c>
      <c r="N7" s="89" t="str">
        <f>IF(ج_ح_فروردین[[#This Row],[کارکرد]]="","",ج_ح_فروردین[[#This Row],[کارکرد]]/31*حق_خواربار)</f>
        <v/>
      </c>
      <c r="O7" s="89" t="str">
        <f>IFERROR(ج_ح_فروردین[[#This Row],[حقوق پایه]]+ج_ح_فروردین[[#This Row],[اضافه کاری]]+ج_ح_فروردین[[#This Row],[حق مسکن]]+ج_ح_فروردین[[#This Row],[حق اولاد]]+ج_ح_فروردین[[#This Row],[حق و خواروبار]],"")</f>
        <v/>
      </c>
      <c r="P7"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7"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7" s="91">
        <v>0</v>
      </c>
      <c r="S7" s="91">
        <v>0</v>
      </c>
      <c r="T7" s="89" t="str">
        <f>IFERROR(ج_ح_فروردین[[#This Row],[جمع ح و م م بیمه ]]*7%,"")</f>
        <v/>
      </c>
      <c r="U7"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7" s="89" t="str">
        <f>IFERROR(ج_ح_فروردین[[#This Row],[وام]]+ج_ح_فروردین[[#This Row],[مساعده]]+ج_ح_فروردین[[#This Row],[بیمه پرداختنی]]+ج_ح_فروردین[[#This Row],[مالیات پرداختنی]],"")</f>
        <v/>
      </c>
      <c r="W7" s="89" t="str">
        <f>IFERROR(ج_ح_فروردین[[#This Row],[جمع ح و م]]-ج_ح_فروردین[[#This Row],[جمع کسورات]],"")</f>
        <v/>
      </c>
      <c r="X7" s="108" t="e">
        <f>100000000-ج_ح_فروردین[[#This Row],[جمع ح و م م مالیات]]</f>
        <v>#VALUE!</v>
      </c>
    </row>
    <row r="8" spans="1:24" ht="32.1" customHeight="1">
      <c r="B8" s="1">
        <v>1</v>
      </c>
      <c r="C8" s="85" t="str">
        <f>IF(ج_ح_فروردین[[#This Row],[نام]]&lt;&gt;"",ROW()-7+1,"")</f>
        <v/>
      </c>
      <c r="D8" s="86"/>
      <c r="E8" s="86"/>
      <c r="F8" s="87"/>
      <c r="G8" s="88" t="str">
        <f>IFERROR(IF(COUNT(ج_ح_فروردین[[#This Row],[کارکرد]]),حداقل_حقوق_پایه_روزانه,""),"")</f>
        <v/>
      </c>
      <c r="H8" s="89" t="str">
        <f>IFERROR(IF(ج_ح_فروردین[[#This Row],[کارکرد]]*ج_ح_فروردین[[#This Row],[دستمزد روزانه ]]=0,"",ج_ح_فروردین[[#This Row],[کارکرد]]*ج_ح_فروردین[[#This Row],[دستمزد روزانه ]]),"")</f>
        <v/>
      </c>
      <c r="I8" s="91">
        <v>0</v>
      </c>
      <c r="J8" s="93" t="str">
        <f>IFERROR((ج_ح_فروردین[[#This Row],[دستمزد روزانه ]]/7.33)*1.4*ج_ح_فروردین[[#This Row],[مدت اضافه کاری ]],"")</f>
        <v/>
      </c>
      <c r="K8" s="89" t="str">
        <f>IF(ج_ح_فروردین[[#This Row],[کارکرد]]="","",ج_ح_فروردین[[#This Row],[کارکرد]]/31*حق_مسکن)</f>
        <v/>
      </c>
      <c r="L8" s="91">
        <v>0</v>
      </c>
      <c r="M8" s="89">
        <f>IFERROR(IF(ج_ح_فروردین[[#This Row],[تعداد فرزندان]]="","",ج_ح_فروردین[[#This Row],[کارکرد]]/31*3*ج_ح_فروردین[[#This Row],[تعداد فرزندان]]*حداقل_حقوق_پایه_روزانه),"")</f>
        <v>0</v>
      </c>
      <c r="N8" s="89" t="str">
        <f>IF(ج_ح_فروردین[[#This Row],[کارکرد]]="","",ج_ح_فروردین[[#This Row],[کارکرد]]/31*حق_خواربار)</f>
        <v/>
      </c>
      <c r="O8" s="89" t="str">
        <f>IFERROR(ج_ح_فروردین[[#This Row],[حقوق پایه]]+ج_ح_فروردین[[#This Row],[اضافه کاری]]+ج_ح_فروردین[[#This Row],[حق مسکن]]+ج_ح_فروردین[[#This Row],[حق اولاد]]+ج_ح_فروردین[[#This Row],[حق و خواروبار]],"")</f>
        <v/>
      </c>
      <c r="P8"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8"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8" s="91">
        <v>0</v>
      </c>
      <c r="S8" s="91">
        <v>0</v>
      </c>
      <c r="T8" s="89" t="str">
        <f>IFERROR(ج_ح_فروردین[[#This Row],[جمع ح و م م بیمه ]]*7%,"")</f>
        <v/>
      </c>
      <c r="U8"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8" s="89" t="str">
        <f>IFERROR(ج_ح_فروردین[[#This Row],[وام]]+ج_ح_فروردین[[#This Row],[مساعده]]+ج_ح_فروردین[[#This Row],[بیمه پرداختنی]]+ج_ح_فروردین[[#This Row],[مالیات پرداختنی]],"")</f>
        <v/>
      </c>
      <c r="W8" s="89" t="str">
        <f>IFERROR(ج_ح_فروردین[[#This Row],[جمع ح و م]]-ج_ح_فروردین[[#This Row],[جمع کسورات]],"")</f>
        <v/>
      </c>
      <c r="X8" s="108" t="e">
        <f>100000000-ج_ح_فروردین[[#This Row],[جمع ح و م م مالیات]]</f>
        <v>#VALUE!</v>
      </c>
    </row>
    <row r="9" spans="1:24" ht="32.1" customHeight="1">
      <c r="B9" s="1">
        <v>1</v>
      </c>
      <c r="C9" s="85" t="str">
        <f>IF(ج_ح_فروردین[[#This Row],[نام]]&lt;&gt;"",ROW()-7+1,"")</f>
        <v/>
      </c>
      <c r="D9" s="86"/>
      <c r="E9" s="86"/>
      <c r="F9" s="87"/>
      <c r="G9" s="88" t="str">
        <f>IFERROR(IF(COUNT(ج_ح_فروردین[[#This Row],[کارکرد]]),حداقل_حقوق_پایه_روزانه,""),"")</f>
        <v/>
      </c>
      <c r="H9" s="89" t="str">
        <f>IFERROR(IF(ج_ح_فروردین[[#This Row],[کارکرد]]*ج_ح_فروردین[[#This Row],[دستمزد روزانه ]]=0,"",ج_ح_فروردین[[#This Row],[کارکرد]]*ج_ح_فروردین[[#This Row],[دستمزد روزانه ]]),"")</f>
        <v/>
      </c>
      <c r="I9" s="91">
        <v>0</v>
      </c>
      <c r="J9" s="93" t="str">
        <f>IFERROR((ج_ح_فروردین[[#This Row],[دستمزد روزانه ]]/7.33)*1.4*ج_ح_فروردین[[#This Row],[مدت اضافه کاری ]],"")</f>
        <v/>
      </c>
      <c r="K9" s="89" t="str">
        <f>IF(ج_ح_فروردین[[#This Row],[کارکرد]]="","",ج_ح_فروردین[[#This Row],[کارکرد]]/31*حق_مسکن)</f>
        <v/>
      </c>
      <c r="L9" s="91">
        <v>0</v>
      </c>
      <c r="M9" s="89">
        <f>IFERROR(IF(ج_ح_فروردین[[#This Row],[تعداد فرزندان]]="","",ج_ح_فروردین[[#This Row],[کارکرد]]/31*3*ج_ح_فروردین[[#This Row],[تعداد فرزندان]]*حداقل_حقوق_پایه_روزانه),"")</f>
        <v>0</v>
      </c>
      <c r="N9" s="89" t="str">
        <f>IF(ج_ح_فروردین[[#This Row],[کارکرد]]="","",ج_ح_فروردین[[#This Row],[کارکرد]]/31*حق_خواربار)</f>
        <v/>
      </c>
      <c r="O9" s="89" t="str">
        <f>IFERROR(ج_ح_فروردین[[#This Row],[حقوق پایه]]+ج_ح_فروردین[[#This Row],[اضافه کاری]]+ج_ح_فروردین[[#This Row],[حق مسکن]]+ج_ح_فروردین[[#This Row],[حق اولاد]]+ج_ح_فروردین[[#This Row],[حق و خواروبار]],"")</f>
        <v/>
      </c>
      <c r="P9"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9"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9" s="91">
        <v>0</v>
      </c>
      <c r="S9" s="91">
        <v>0</v>
      </c>
      <c r="T9" s="89" t="str">
        <f>IFERROR(ج_ح_فروردین[[#This Row],[جمع ح و م م بیمه ]]*7%,"")</f>
        <v/>
      </c>
      <c r="U9"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9" s="89" t="str">
        <f>IFERROR(ج_ح_فروردین[[#This Row],[وام]]+ج_ح_فروردین[[#This Row],[مساعده]]+ج_ح_فروردین[[#This Row],[بیمه پرداختنی]]+ج_ح_فروردین[[#This Row],[مالیات پرداختنی]],"")</f>
        <v/>
      </c>
      <c r="W9" s="89" t="str">
        <f>IFERROR(ج_ح_فروردین[[#This Row],[جمع ح و م]]-ج_ح_فروردین[[#This Row],[جمع کسورات]],"")</f>
        <v/>
      </c>
      <c r="X9" s="108" t="e">
        <f>100000000-ج_ح_فروردین[[#This Row],[جمع ح و م م مالیات]]</f>
        <v>#VALUE!</v>
      </c>
    </row>
    <row r="10" spans="1:24" ht="32.1" customHeight="1">
      <c r="B10" s="1">
        <v>1</v>
      </c>
      <c r="C10" s="85" t="str">
        <f>IF(ج_ح_فروردین[[#This Row],[نام]]&lt;&gt;"",ROW()-7+1,"")</f>
        <v/>
      </c>
      <c r="D10" s="86"/>
      <c r="E10" s="86"/>
      <c r="F10" s="87"/>
      <c r="G10" s="88" t="str">
        <f>IFERROR(IF(COUNT(ج_ح_فروردین[[#This Row],[کارکرد]]),حداقل_حقوق_پایه_روزانه,""),"")</f>
        <v/>
      </c>
      <c r="H10" s="89" t="str">
        <f>IFERROR(IF(ج_ح_فروردین[[#This Row],[کارکرد]]*ج_ح_فروردین[[#This Row],[دستمزد روزانه ]]=0,"",ج_ح_فروردین[[#This Row],[کارکرد]]*ج_ح_فروردین[[#This Row],[دستمزد روزانه ]]),"")</f>
        <v/>
      </c>
      <c r="I10" s="91"/>
      <c r="J10" s="93" t="str">
        <f>IFERROR((ج_ح_فروردین[[#This Row],[دستمزد روزانه ]]/7.33)*1.4*ج_ح_فروردین[[#This Row],[مدت اضافه کاری ]],"")</f>
        <v/>
      </c>
      <c r="K10" s="89" t="str">
        <f>IF(ج_ح_فروردین[[#This Row],[کارکرد]]="","",ج_ح_فروردین[[#This Row],[کارکرد]]/31*حق_مسکن)</f>
        <v/>
      </c>
      <c r="L10" s="91"/>
      <c r="M10" s="89" t="str">
        <f>IFERROR(IF(ج_ح_فروردین[[#This Row],[تعداد فرزندان]]="","",ج_ح_فروردین[[#This Row],[کارکرد]]/31*3*ج_ح_فروردین[[#This Row],[تعداد فرزندان]]*حداقل_حقوق_پایه_روزانه),"")</f>
        <v/>
      </c>
      <c r="N10" s="89" t="str">
        <f>IF(ج_ح_فروردین[[#This Row],[کارکرد]]="","",ج_ح_فروردین[[#This Row],[کارکرد]]/31*حق_خواربار)</f>
        <v/>
      </c>
      <c r="O10" s="89" t="str">
        <f>IFERROR(ج_ح_فروردین[[#This Row],[حقوق پایه]]+ج_ح_فروردین[[#This Row],[اضافه کاری]]+ج_ح_فروردین[[#This Row],[حق مسکن]]+ج_ح_فروردین[[#This Row],[حق اولاد]]+ج_ح_فروردین[[#This Row],[حق و خواروبار]],"")</f>
        <v/>
      </c>
      <c r="P10"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10"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10" s="91"/>
      <c r="S10" s="91"/>
      <c r="T10" s="89" t="str">
        <f>IFERROR(ج_ح_فروردین[[#This Row],[جمع ح و م م بیمه ]]*7%,"")</f>
        <v/>
      </c>
      <c r="U10"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10" s="89" t="str">
        <f>IFERROR(ج_ح_فروردین[[#This Row],[وام]]+ج_ح_فروردین[[#This Row],[مساعده]]+ج_ح_فروردین[[#This Row],[بیمه پرداختنی]]+ج_ح_فروردین[[#This Row],[مالیات پرداختنی]],"")</f>
        <v/>
      </c>
      <c r="W10" s="89" t="str">
        <f>IFERROR(ج_ح_فروردین[[#This Row],[جمع ح و م]]-ج_ح_فروردین[[#This Row],[جمع کسورات]],"")</f>
        <v/>
      </c>
      <c r="X10" s="108"/>
    </row>
    <row r="11" spans="1:24" ht="32.1" customHeight="1">
      <c r="B11" s="1">
        <v>1</v>
      </c>
      <c r="C11" s="85" t="str">
        <f>IF(ج_ح_فروردین[[#This Row],[نام]]&lt;&gt;"",ROW()-7+1,"")</f>
        <v/>
      </c>
      <c r="D11" s="86"/>
      <c r="E11" s="86"/>
      <c r="F11" s="87"/>
      <c r="G11" s="88" t="str">
        <f>IFERROR(IF(COUNT(ج_ح_فروردین[[#This Row],[کارکرد]]),حداقل_حقوق_پایه_روزانه,""),"")</f>
        <v/>
      </c>
      <c r="H11" s="89" t="str">
        <f>IFERROR(IF(ج_ح_فروردین[[#This Row],[کارکرد]]*ج_ح_فروردین[[#This Row],[دستمزد روزانه ]]=0,"",ج_ح_فروردین[[#This Row],[کارکرد]]*ج_ح_فروردین[[#This Row],[دستمزد روزانه ]]),"")</f>
        <v/>
      </c>
      <c r="I11" s="91"/>
      <c r="J11" s="93" t="str">
        <f>IFERROR((ج_ح_فروردین[[#This Row],[دستمزد روزانه ]]/7.33)*1.4*ج_ح_فروردین[[#This Row],[مدت اضافه کاری ]],"")</f>
        <v/>
      </c>
      <c r="K11" s="89" t="str">
        <f>IF(ج_ح_فروردین[[#This Row],[کارکرد]]="","",ج_ح_فروردین[[#This Row],[کارکرد]]/31*حق_مسکن)</f>
        <v/>
      </c>
      <c r="L11" s="91"/>
      <c r="M11" s="89" t="str">
        <f>IFERROR(IF(ج_ح_فروردین[[#This Row],[تعداد فرزندان]]="","",ج_ح_فروردین[[#This Row],[کارکرد]]/31*3*ج_ح_فروردین[[#This Row],[تعداد فرزندان]]*حداقل_حقوق_پایه_روزانه),"")</f>
        <v/>
      </c>
      <c r="N11" s="89" t="str">
        <f>IF(ج_ح_فروردین[[#This Row],[کارکرد]]="","",ج_ح_فروردین[[#This Row],[کارکرد]]/31*حق_خواربار)</f>
        <v/>
      </c>
      <c r="O11" s="89" t="str">
        <f>IFERROR(ج_ح_فروردین[[#This Row],[حقوق پایه]]+ج_ح_فروردین[[#This Row],[اضافه کاری]]+ج_ح_فروردین[[#This Row],[حق مسکن]]+ج_ح_فروردین[[#This Row],[حق اولاد]]+ج_ح_فروردین[[#This Row],[حق و خواروبار]],"")</f>
        <v/>
      </c>
      <c r="P11"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11"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11" s="91"/>
      <c r="S11" s="91"/>
      <c r="T11" s="89" t="str">
        <f>IFERROR(ج_ح_فروردین[[#This Row],[جمع ح و م م بیمه ]]*7%,"")</f>
        <v/>
      </c>
      <c r="U11"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11" s="89" t="str">
        <f>IFERROR(ج_ح_فروردین[[#This Row],[وام]]+ج_ح_فروردین[[#This Row],[مساعده]]+ج_ح_فروردین[[#This Row],[بیمه پرداختنی]]+ج_ح_فروردین[[#This Row],[مالیات پرداختنی]],"")</f>
        <v/>
      </c>
      <c r="W11" s="89" t="str">
        <f>IFERROR(ج_ح_فروردین[[#This Row],[جمع ح و م]]-ج_ح_فروردین[[#This Row],[جمع کسورات]],"")</f>
        <v/>
      </c>
      <c r="X11" s="108"/>
    </row>
    <row r="12" spans="1:24" ht="32.1" customHeight="1">
      <c r="B12" s="1">
        <v>1</v>
      </c>
      <c r="C12" s="85" t="str">
        <f>IF(ج_ح_فروردین[[#This Row],[نام]]&lt;&gt;"",ROW()-7+1,"")</f>
        <v/>
      </c>
      <c r="D12" s="86"/>
      <c r="E12" s="86"/>
      <c r="F12" s="87"/>
      <c r="G12" s="88" t="str">
        <f>IFERROR(IF(COUNT(ج_ح_فروردین[[#This Row],[کارکرد]]),حداقل_حقوق_پایه_روزانه,""),"")</f>
        <v/>
      </c>
      <c r="H12" s="89" t="str">
        <f>IFERROR(IF(ج_ح_فروردین[[#This Row],[کارکرد]]*ج_ح_فروردین[[#This Row],[دستمزد روزانه ]]=0,"",ج_ح_فروردین[[#This Row],[کارکرد]]*ج_ح_فروردین[[#This Row],[دستمزد روزانه ]]),"")</f>
        <v/>
      </c>
      <c r="I12" s="91"/>
      <c r="J12" s="93" t="str">
        <f>IFERROR((ج_ح_فروردین[[#This Row],[دستمزد روزانه ]]/7.33)*1.4*ج_ح_فروردین[[#This Row],[مدت اضافه کاری ]],"")</f>
        <v/>
      </c>
      <c r="K12" s="89" t="str">
        <f>IF(ج_ح_فروردین[[#This Row],[کارکرد]]="","",ج_ح_فروردین[[#This Row],[کارکرد]]/31*حق_مسکن)</f>
        <v/>
      </c>
      <c r="L12" s="91"/>
      <c r="M12" s="89" t="str">
        <f>IFERROR(IF(ج_ح_فروردین[[#This Row],[تعداد فرزندان]]="","",ج_ح_فروردین[[#This Row],[کارکرد]]/31*3*ج_ح_فروردین[[#This Row],[تعداد فرزندان]]*حداقل_حقوق_پایه_روزانه),"")</f>
        <v/>
      </c>
      <c r="N12" s="89" t="str">
        <f>IF(ج_ح_فروردین[[#This Row],[کارکرد]]="","",ج_ح_فروردین[[#This Row],[کارکرد]]/31*حق_خواربار)</f>
        <v/>
      </c>
      <c r="O12" s="89" t="str">
        <f>IFERROR(ج_ح_فروردین[[#This Row],[حقوق پایه]]+ج_ح_فروردین[[#This Row],[اضافه کاری]]+ج_ح_فروردین[[#This Row],[حق مسکن]]+ج_ح_فروردین[[#This Row],[حق اولاد]]+ج_ح_فروردین[[#This Row],[حق و خواروبار]],"")</f>
        <v/>
      </c>
      <c r="P12"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12"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12" s="91"/>
      <c r="S12" s="91"/>
      <c r="T12" s="89" t="str">
        <f>IFERROR(ج_ح_فروردین[[#This Row],[جمع ح و م م بیمه ]]*7%,"")</f>
        <v/>
      </c>
      <c r="U12"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12" s="89" t="str">
        <f>IFERROR(ج_ح_فروردین[[#This Row],[وام]]+ج_ح_فروردین[[#This Row],[مساعده]]+ج_ح_فروردین[[#This Row],[بیمه پرداختنی]]+ج_ح_فروردین[[#This Row],[مالیات پرداختنی]],"")</f>
        <v/>
      </c>
      <c r="W12" s="89" t="str">
        <f>IFERROR(ج_ح_فروردین[[#This Row],[جمع ح و م]]-ج_ح_فروردین[[#This Row],[جمع کسورات]],"")</f>
        <v/>
      </c>
      <c r="X12" s="108"/>
    </row>
    <row r="13" spans="1:24" ht="32.1" customHeight="1">
      <c r="B13" s="1">
        <v>1</v>
      </c>
      <c r="C13" s="85" t="str">
        <f>IF(ج_ح_فروردین[[#This Row],[نام]]&lt;&gt;"",ROW()-7+1,"")</f>
        <v/>
      </c>
      <c r="D13" s="86"/>
      <c r="E13" s="86"/>
      <c r="F13" s="87"/>
      <c r="G13" s="88" t="str">
        <f>IFERROR(IF(COUNT(ج_ح_فروردین[[#This Row],[کارکرد]]),حداقل_حقوق_پایه_روزانه,""),"")</f>
        <v/>
      </c>
      <c r="H13" s="89" t="str">
        <f>IFERROR(IF(ج_ح_فروردین[[#This Row],[کارکرد]]*ج_ح_فروردین[[#This Row],[دستمزد روزانه ]]=0,"",ج_ح_فروردین[[#This Row],[کارکرد]]*ج_ح_فروردین[[#This Row],[دستمزد روزانه ]]),"")</f>
        <v/>
      </c>
      <c r="I13" s="91"/>
      <c r="J13" s="93" t="str">
        <f>IFERROR((ج_ح_فروردین[[#This Row],[دستمزد روزانه ]]/7.33)*1.4*ج_ح_فروردین[[#This Row],[مدت اضافه کاری ]],"")</f>
        <v/>
      </c>
      <c r="K13" s="89" t="str">
        <f>IF(ج_ح_فروردین[[#This Row],[کارکرد]]="","",ج_ح_فروردین[[#This Row],[کارکرد]]/31*حق_مسکن)</f>
        <v/>
      </c>
      <c r="L13" s="91"/>
      <c r="M13" s="89" t="str">
        <f>IFERROR(IF(ج_ح_فروردین[[#This Row],[تعداد فرزندان]]="","",ج_ح_فروردین[[#This Row],[کارکرد]]/31*3*ج_ح_فروردین[[#This Row],[تعداد فرزندان]]*حداقل_حقوق_پایه_روزانه),"")</f>
        <v/>
      </c>
      <c r="N13" s="89" t="str">
        <f>IF(ج_ح_فروردین[[#This Row],[کارکرد]]="","",ج_ح_فروردین[[#This Row],[کارکرد]]/31*حق_خواربار)</f>
        <v/>
      </c>
      <c r="O13" s="89" t="str">
        <f>IFERROR(ج_ح_فروردین[[#This Row],[حقوق پایه]]+ج_ح_فروردین[[#This Row],[اضافه کاری]]+ج_ح_فروردین[[#This Row],[حق مسکن]]+ج_ح_فروردین[[#This Row],[حق اولاد]]+ج_ح_فروردین[[#This Row],[حق و خواروبار]],"")</f>
        <v/>
      </c>
      <c r="P13"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13"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13" s="91"/>
      <c r="S13" s="91"/>
      <c r="T13" s="89" t="str">
        <f>IFERROR(ج_ح_فروردین[[#This Row],[جمع ح و م م بیمه ]]*7%,"")</f>
        <v/>
      </c>
      <c r="U13"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13" s="89" t="str">
        <f>IFERROR(ج_ح_فروردین[[#This Row],[وام]]+ج_ح_فروردین[[#This Row],[مساعده]]+ج_ح_فروردین[[#This Row],[بیمه پرداختنی]]+ج_ح_فروردین[[#This Row],[مالیات پرداختنی]],"")</f>
        <v/>
      </c>
      <c r="W13" s="89" t="str">
        <f>IFERROR(ج_ح_فروردین[[#This Row],[جمع ح و م]]-ج_ح_فروردین[[#This Row],[جمع کسورات]],"")</f>
        <v/>
      </c>
      <c r="X13" s="108"/>
    </row>
    <row r="14" spans="1:24" ht="32.1" customHeight="1">
      <c r="B14" s="1">
        <v>1</v>
      </c>
      <c r="C14" s="85" t="str">
        <f>IF(ج_ح_فروردین[[#This Row],[نام]]&lt;&gt;"",ROW()-7+1,"")</f>
        <v/>
      </c>
      <c r="D14" s="86"/>
      <c r="E14" s="86"/>
      <c r="F14" s="87"/>
      <c r="G14" s="88" t="str">
        <f>IFERROR(IF(COUNT(ج_ح_فروردین[[#This Row],[کارکرد]]),حداقل_حقوق_پایه_روزانه,""),"")</f>
        <v/>
      </c>
      <c r="H14" s="89" t="str">
        <f>IFERROR(IF(ج_ح_فروردین[[#This Row],[کارکرد]]*ج_ح_فروردین[[#This Row],[دستمزد روزانه ]]=0,"",ج_ح_فروردین[[#This Row],[کارکرد]]*ج_ح_فروردین[[#This Row],[دستمزد روزانه ]]),"")</f>
        <v/>
      </c>
      <c r="I14" s="91"/>
      <c r="J14" s="93" t="str">
        <f>IFERROR((ج_ح_فروردین[[#This Row],[دستمزد روزانه ]]/7.33)*1.4*ج_ح_فروردین[[#This Row],[مدت اضافه کاری ]],"")</f>
        <v/>
      </c>
      <c r="K14" s="89" t="str">
        <f>IF(ج_ح_فروردین[[#This Row],[کارکرد]]="","",ج_ح_فروردین[[#This Row],[کارکرد]]/31*حق_مسکن)</f>
        <v/>
      </c>
      <c r="L14" s="91"/>
      <c r="M14" s="89" t="str">
        <f>IFERROR(IF(ج_ح_فروردین[[#This Row],[تعداد فرزندان]]="","",ج_ح_فروردین[[#This Row],[کارکرد]]/31*3*ج_ح_فروردین[[#This Row],[تعداد فرزندان]]*حداقل_حقوق_پایه_روزانه),"")</f>
        <v/>
      </c>
      <c r="N14" s="89" t="str">
        <f>IF(ج_ح_فروردین[[#This Row],[کارکرد]]="","",ج_ح_فروردین[[#This Row],[کارکرد]]/31*حق_خواربار)</f>
        <v/>
      </c>
      <c r="O14" s="89" t="str">
        <f>IFERROR(ج_ح_فروردین[[#This Row],[حقوق پایه]]+ج_ح_فروردین[[#This Row],[اضافه کاری]]+ج_ح_فروردین[[#This Row],[حق مسکن]]+ج_ح_فروردین[[#This Row],[حق اولاد]]+ج_ح_فروردین[[#This Row],[حق و خواروبار]],"")</f>
        <v/>
      </c>
      <c r="P14"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14"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14" s="91"/>
      <c r="S14" s="91"/>
      <c r="T14" s="89" t="str">
        <f>IFERROR(ج_ح_فروردین[[#This Row],[جمع ح و م م بیمه ]]*7%,"")</f>
        <v/>
      </c>
      <c r="U14"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14" s="89" t="str">
        <f>IFERROR(ج_ح_فروردین[[#This Row],[وام]]+ج_ح_فروردین[[#This Row],[مساعده]]+ج_ح_فروردین[[#This Row],[بیمه پرداختنی]]+ج_ح_فروردین[[#This Row],[مالیات پرداختنی]],"")</f>
        <v/>
      </c>
      <c r="W14" s="89" t="str">
        <f>IFERROR(ج_ح_فروردین[[#This Row],[جمع ح و م]]-ج_ح_فروردین[[#This Row],[جمع کسورات]],"")</f>
        <v/>
      </c>
      <c r="X14" s="108"/>
    </row>
    <row r="15" spans="1:24" ht="32.1" customHeight="1">
      <c r="B15" s="1">
        <v>1</v>
      </c>
      <c r="C15" s="85" t="str">
        <f>IF(ج_ح_فروردین[[#This Row],[نام]]&lt;&gt;"",ROW()-7+1,"")</f>
        <v/>
      </c>
      <c r="D15" s="86"/>
      <c r="E15" s="86"/>
      <c r="F15" s="87"/>
      <c r="G15" s="88" t="str">
        <f>IFERROR(IF(COUNT(ج_ح_فروردین[[#This Row],[کارکرد]]),حداقل_حقوق_پایه_روزانه,""),"")</f>
        <v/>
      </c>
      <c r="H15" s="89" t="str">
        <f>IFERROR(IF(ج_ح_فروردین[[#This Row],[کارکرد]]*ج_ح_فروردین[[#This Row],[دستمزد روزانه ]]=0,"",ج_ح_فروردین[[#This Row],[کارکرد]]*ج_ح_فروردین[[#This Row],[دستمزد روزانه ]]),"")</f>
        <v/>
      </c>
      <c r="I15" s="91"/>
      <c r="J15" s="93" t="str">
        <f>IFERROR((ج_ح_فروردین[[#This Row],[دستمزد روزانه ]]/7.33)*1.4*ج_ح_فروردین[[#This Row],[مدت اضافه کاری ]],"")</f>
        <v/>
      </c>
      <c r="K15" s="89" t="str">
        <f>IF(ج_ح_فروردین[[#This Row],[کارکرد]]="","",ج_ح_فروردین[[#This Row],[کارکرد]]/31*حق_مسکن)</f>
        <v/>
      </c>
      <c r="L15" s="91"/>
      <c r="M15" s="89" t="str">
        <f>IFERROR(IF(ج_ح_فروردین[[#This Row],[تعداد فرزندان]]="","",ج_ح_فروردین[[#This Row],[کارکرد]]/31*3*ج_ح_فروردین[[#This Row],[تعداد فرزندان]]*حداقل_حقوق_پایه_روزانه),"")</f>
        <v/>
      </c>
      <c r="N15" s="89" t="str">
        <f>IF(ج_ح_فروردین[[#This Row],[کارکرد]]="","",ج_ح_فروردین[[#This Row],[کارکرد]]/31*حق_خواربار)</f>
        <v/>
      </c>
      <c r="O15" s="89" t="str">
        <f>IFERROR(ج_ح_فروردین[[#This Row],[حقوق پایه]]+ج_ح_فروردین[[#This Row],[اضافه کاری]]+ج_ح_فروردین[[#This Row],[حق مسکن]]+ج_ح_فروردین[[#This Row],[حق اولاد]]+ج_ح_فروردین[[#This Row],[حق و خواروبار]],"")</f>
        <v/>
      </c>
      <c r="P15"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15"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15" s="91"/>
      <c r="S15" s="91"/>
      <c r="T15" s="89" t="str">
        <f>IFERROR(ج_ح_فروردین[[#This Row],[جمع ح و م م بیمه ]]*7%,"")</f>
        <v/>
      </c>
      <c r="U15"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15" s="89" t="str">
        <f>IFERROR(ج_ح_فروردین[[#This Row],[وام]]+ج_ح_فروردین[[#This Row],[مساعده]]+ج_ح_فروردین[[#This Row],[بیمه پرداختنی]]+ج_ح_فروردین[[#This Row],[مالیات پرداختنی]],"")</f>
        <v/>
      </c>
      <c r="W15" s="89" t="str">
        <f>IFERROR(ج_ح_فروردین[[#This Row],[جمع ح و م]]-ج_ح_فروردین[[#This Row],[جمع کسورات]],"")</f>
        <v/>
      </c>
      <c r="X15" s="108"/>
    </row>
    <row r="16" spans="1:24" ht="32.1" customHeight="1">
      <c r="B16" s="1">
        <v>1</v>
      </c>
      <c r="C16" s="85" t="str">
        <f>IF(ج_ح_فروردین[[#This Row],[نام]]&lt;&gt;"",ROW()-7+1,"")</f>
        <v/>
      </c>
      <c r="D16" s="86"/>
      <c r="E16" s="86"/>
      <c r="F16" s="87"/>
      <c r="G16" s="88" t="str">
        <f>IFERROR(IF(COUNT(ج_ح_فروردین[[#This Row],[کارکرد]]),حداقل_حقوق_پایه_روزانه,""),"")</f>
        <v/>
      </c>
      <c r="H16" s="89" t="str">
        <f>IFERROR(IF(ج_ح_فروردین[[#This Row],[کارکرد]]*ج_ح_فروردین[[#This Row],[دستمزد روزانه ]]=0,"",ج_ح_فروردین[[#This Row],[کارکرد]]*ج_ح_فروردین[[#This Row],[دستمزد روزانه ]]),"")</f>
        <v/>
      </c>
      <c r="I16" s="91"/>
      <c r="J16" s="93" t="str">
        <f>IFERROR((ج_ح_فروردین[[#This Row],[دستمزد روزانه ]]/7.33)*1.4*ج_ح_فروردین[[#This Row],[مدت اضافه کاری ]],"")</f>
        <v/>
      </c>
      <c r="K16" s="89" t="str">
        <f>IF(ج_ح_فروردین[[#This Row],[کارکرد]]="","",ج_ح_فروردین[[#This Row],[کارکرد]]/31*حق_مسکن)</f>
        <v/>
      </c>
      <c r="L16" s="91"/>
      <c r="M16" s="89" t="str">
        <f>IFERROR(IF(ج_ح_فروردین[[#This Row],[تعداد فرزندان]]="","",ج_ح_فروردین[[#This Row],[کارکرد]]/31*3*ج_ح_فروردین[[#This Row],[تعداد فرزندان]]*حداقل_حقوق_پایه_روزانه),"")</f>
        <v/>
      </c>
      <c r="N16" s="89" t="str">
        <f>IF(ج_ح_فروردین[[#This Row],[کارکرد]]="","",ج_ح_فروردین[[#This Row],[کارکرد]]/31*حق_خواربار)</f>
        <v/>
      </c>
      <c r="O16" s="89" t="str">
        <f>IFERROR(ج_ح_فروردین[[#This Row],[حقوق پایه]]+ج_ح_فروردین[[#This Row],[اضافه کاری]]+ج_ح_فروردین[[#This Row],[حق مسکن]]+ج_ح_فروردین[[#This Row],[حق اولاد]]+ج_ح_فروردین[[#This Row],[حق و خواروبار]],"")</f>
        <v/>
      </c>
      <c r="P16"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16"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16" s="91"/>
      <c r="S16" s="91"/>
      <c r="T16" s="89" t="str">
        <f>IFERROR(ج_ح_فروردین[[#This Row],[جمع ح و م م بیمه ]]*7%,"")</f>
        <v/>
      </c>
      <c r="U16"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16" s="89" t="str">
        <f>IFERROR(ج_ح_فروردین[[#This Row],[وام]]+ج_ح_فروردین[[#This Row],[مساعده]]+ج_ح_فروردین[[#This Row],[بیمه پرداختنی]]+ج_ح_فروردین[[#This Row],[مالیات پرداختنی]],"")</f>
        <v/>
      </c>
      <c r="W16" s="89" t="str">
        <f>IFERROR(ج_ح_فروردین[[#This Row],[جمع ح و م]]-ج_ح_فروردین[[#This Row],[جمع کسورات]],"")</f>
        <v/>
      </c>
      <c r="X16" s="108"/>
    </row>
    <row r="17" spans="2:24" ht="32.1" customHeight="1">
      <c r="B17" s="1">
        <v>1</v>
      </c>
      <c r="C17" s="85" t="str">
        <f>IF(ج_ح_فروردین[[#This Row],[نام]]&lt;&gt;"",ROW()-7+1,"")</f>
        <v/>
      </c>
      <c r="D17" s="86"/>
      <c r="E17" s="86"/>
      <c r="F17" s="87"/>
      <c r="G17" s="88" t="str">
        <f>IFERROR(IF(COUNT(ج_ح_فروردین[[#This Row],[کارکرد]]),حداقل_حقوق_پایه_روزانه,""),"")</f>
        <v/>
      </c>
      <c r="H17" s="89" t="str">
        <f>IFERROR(IF(ج_ح_فروردین[[#This Row],[کارکرد]]*ج_ح_فروردین[[#This Row],[دستمزد روزانه ]]=0,"",ج_ح_فروردین[[#This Row],[کارکرد]]*ج_ح_فروردین[[#This Row],[دستمزد روزانه ]]),"")</f>
        <v/>
      </c>
      <c r="I17" s="91"/>
      <c r="J17" s="93" t="str">
        <f>IFERROR((ج_ح_فروردین[[#This Row],[دستمزد روزانه ]]/7.33)*1.4*ج_ح_فروردین[[#This Row],[مدت اضافه کاری ]],"")</f>
        <v/>
      </c>
      <c r="K17" s="89" t="str">
        <f>IF(ج_ح_فروردین[[#This Row],[کارکرد]]="","",ج_ح_فروردین[[#This Row],[کارکرد]]/31*حق_مسکن)</f>
        <v/>
      </c>
      <c r="L17" s="91"/>
      <c r="M17" s="89" t="str">
        <f>IFERROR(IF(ج_ح_فروردین[[#This Row],[تعداد فرزندان]]="","",ج_ح_فروردین[[#This Row],[کارکرد]]/31*3*ج_ح_فروردین[[#This Row],[تعداد فرزندان]]*حداقل_حقوق_پایه_روزانه),"")</f>
        <v/>
      </c>
      <c r="N17" s="89" t="str">
        <f>IF(ج_ح_فروردین[[#This Row],[کارکرد]]="","",ج_ح_فروردین[[#This Row],[کارکرد]]/31*حق_خواربار)</f>
        <v/>
      </c>
      <c r="O17" s="89" t="str">
        <f>IFERROR(ج_ح_فروردین[[#This Row],[حقوق پایه]]+ج_ح_فروردین[[#This Row],[اضافه کاری]]+ج_ح_فروردین[[#This Row],[حق مسکن]]+ج_ح_فروردین[[#This Row],[حق اولاد]]+ج_ح_فروردین[[#This Row],[حق و خواروبار]],"")</f>
        <v/>
      </c>
      <c r="P17"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17"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17" s="91"/>
      <c r="S17" s="91"/>
      <c r="T17" s="89" t="str">
        <f>IFERROR(ج_ح_فروردین[[#This Row],[جمع ح و م م بیمه ]]*7%,"")</f>
        <v/>
      </c>
      <c r="U17"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17" s="89" t="str">
        <f>IFERROR(ج_ح_فروردین[[#This Row],[وام]]+ج_ح_فروردین[[#This Row],[مساعده]]+ج_ح_فروردین[[#This Row],[بیمه پرداختنی]]+ج_ح_فروردین[[#This Row],[مالیات پرداختنی]],"")</f>
        <v/>
      </c>
      <c r="W17" s="89" t="str">
        <f>IFERROR(ج_ح_فروردین[[#This Row],[جمع ح و م]]-ج_ح_فروردین[[#This Row],[جمع کسورات]],"")</f>
        <v/>
      </c>
      <c r="X17" s="108"/>
    </row>
    <row r="18" spans="2:24" ht="32.1" customHeight="1">
      <c r="B18" s="1">
        <v>1</v>
      </c>
      <c r="C18" s="85" t="str">
        <f>IF(ج_ح_فروردین[[#This Row],[نام]]&lt;&gt;"",ROW()-7+1,"")</f>
        <v/>
      </c>
      <c r="D18" s="86"/>
      <c r="E18" s="86"/>
      <c r="F18" s="87"/>
      <c r="G18" s="88" t="str">
        <f>IFERROR(IF(COUNT(ج_ح_فروردین[[#This Row],[کارکرد]]),حداقل_حقوق_پایه_روزانه,""),"")</f>
        <v/>
      </c>
      <c r="H18" s="89" t="str">
        <f>IFERROR(IF(ج_ح_فروردین[[#This Row],[کارکرد]]*ج_ح_فروردین[[#This Row],[دستمزد روزانه ]]=0,"",ج_ح_فروردین[[#This Row],[کارکرد]]*ج_ح_فروردین[[#This Row],[دستمزد روزانه ]]),"")</f>
        <v/>
      </c>
      <c r="I18" s="91"/>
      <c r="J18" s="93" t="str">
        <f>IFERROR((ج_ح_فروردین[[#This Row],[دستمزد روزانه ]]/7.33)*1.4*ج_ح_فروردین[[#This Row],[مدت اضافه کاری ]],"")</f>
        <v/>
      </c>
      <c r="K18" s="89" t="str">
        <f>IF(ج_ح_فروردین[[#This Row],[کارکرد]]="","",ج_ح_فروردین[[#This Row],[کارکرد]]/31*حق_مسکن)</f>
        <v/>
      </c>
      <c r="L18" s="91"/>
      <c r="M18" s="89" t="str">
        <f>IFERROR(IF(ج_ح_فروردین[[#This Row],[تعداد فرزندان]]="","",ج_ح_فروردین[[#This Row],[کارکرد]]/31*3*ج_ح_فروردین[[#This Row],[تعداد فرزندان]]*حداقل_حقوق_پایه_روزانه),"")</f>
        <v/>
      </c>
      <c r="N18" s="89" t="str">
        <f>IF(ج_ح_فروردین[[#This Row],[کارکرد]]="","",ج_ح_فروردین[[#This Row],[کارکرد]]/31*حق_خواربار)</f>
        <v/>
      </c>
      <c r="O18" s="89" t="str">
        <f>IFERROR(ج_ح_فروردین[[#This Row],[حقوق پایه]]+ج_ح_فروردین[[#This Row],[اضافه کاری]]+ج_ح_فروردین[[#This Row],[حق مسکن]]+ج_ح_فروردین[[#This Row],[حق اولاد]]+ج_ح_فروردین[[#This Row],[حق و خواروبار]],"")</f>
        <v/>
      </c>
      <c r="P18"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18"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18" s="91"/>
      <c r="S18" s="91"/>
      <c r="T18" s="89" t="str">
        <f>IFERROR(ج_ح_فروردین[[#This Row],[جمع ح و م م بیمه ]]*7%,"")</f>
        <v/>
      </c>
      <c r="U18"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18" s="89" t="str">
        <f>IFERROR(ج_ح_فروردین[[#This Row],[وام]]+ج_ح_فروردین[[#This Row],[مساعده]]+ج_ح_فروردین[[#This Row],[بیمه پرداختنی]]+ج_ح_فروردین[[#This Row],[مالیات پرداختنی]],"")</f>
        <v/>
      </c>
      <c r="W18" s="89" t="str">
        <f>IFERROR(ج_ح_فروردین[[#This Row],[جمع ح و م]]-ج_ح_فروردین[[#This Row],[جمع کسورات]],"")</f>
        <v/>
      </c>
      <c r="X18" s="108"/>
    </row>
    <row r="19" spans="2:24" ht="32.1" customHeight="1">
      <c r="B19" s="1">
        <v>1</v>
      </c>
      <c r="C19" s="85" t="str">
        <f>IF(ج_ح_فروردین[[#This Row],[نام]]&lt;&gt;"",ROW()-7+1,"")</f>
        <v/>
      </c>
      <c r="D19" s="86"/>
      <c r="E19" s="86"/>
      <c r="F19" s="87"/>
      <c r="G19" s="88" t="str">
        <f>IFERROR(IF(COUNT(ج_ح_فروردین[[#This Row],[کارکرد]]),حداقل_حقوق_پایه_روزانه,""),"")</f>
        <v/>
      </c>
      <c r="H19" s="89" t="str">
        <f>IFERROR(IF(ج_ح_فروردین[[#This Row],[کارکرد]]*ج_ح_فروردین[[#This Row],[دستمزد روزانه ]]=0,"",ج_ح_فروردین[[#This Row],[کارکرد]]*ج_ح_فروردین[[#This Row],[دستمزد روزانه ]]),"")</f>
        <v/>
      </c>
      <c r="I19" s="91"/>
      <c r="J19" s="93" t="str">
        <f>IFERROR((ج_ح_فروردین[[#This Row],[دستمزد روزانه ]]/7.33)*1.4*ج_ح_فروردین[[#This Row],[مدت اضافه کاری ]],"")</f>
        <v/>
      </c>
      <c r="K19" s="89" t="str">
        <f>IF(ج_ح_فروردین[[#This Row],[کارکرد]]="","",ج_ح_فروردین[[#This Row],[کارکرد]]/31*حق_مسکن)</f>
        <v/>
      </c>
      <c r="L19" s="91"/>
      <c r="M19" s="89" t="str">
        <f>IFERROR(IF(ج_ح_فروردین[[#This Row],[تعداد فرزندان]]="","",ج_ح_فروردین[[#This Row],[کارکرد]]/31*3*ج_ح_فروردین[[#This Row],[تعداد فرزندان]]*حداقل_حقوق_پایه_روزانه),"")</f>
        <v/>
      </c>
      <c r="N19" s="89" t="str">
        <f>IF(ج_ح_فروردین[[#This Row],[کارکرد]]="","",ج_ح_فروردین[[#This Row],[کارکرد]]/31*حق_خواربار)</f>
        <v/>
      </c>
      <c r="O19" s="89" t="str">
        <f>IFERROR(ج_ح_فروردین[[#This Row],[حقوق پایه]]+ج_ح_فروردین[[#This Row],[اضافه کاری]]+ج_ح_فروردین[[#This Row],[حق مسکن]]+ج_ح_فروردین[[#This Row],[حق اولاد]]+ج_ح_فروردین[[#This Row],[حق و خواروبار]],"")</f>
        <v/>
      </c>
      <c r="P19"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19"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19" s="91"/>
      <c r="S19" s="91"/>
      <c r="T19" s="89" t="str">
        <f>IFERROR(ج_ح_فروردین[[#This Row],[جمع ح و م م بیمه ]]*7%,"")</f>
        <v/>
      </c>
      <c r="U19"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19" s="89" t="str">
        <f>IFERROR(ج_ح_فروردین[[#This Row],[وام]]+ج_ح_فروردین[[#This Row],[مساعده]]+ج_ح_فروردین[[#This Row],[بیمه پرداختنی]]+ج_ح_فروردین[[#This Row],[مالیات پرداختنی]],"")</f>
        <v/>
      </c>
      <c r="W19" s="89" t="str">
        <f>IFERROR(ج_ح_فروردین[[#This Row],[جمع ح و م]]-ج_ح_فروردین[[#This Row],[جمع کسورات]],"")</f>
        <v/>
      </c>
      <c r="X19" s="108"/>
    </row>
    <row r="20" spans="2:24" ht="32.1" customHeight="1">
      <c r="B20" s="1">
        <v>1</v>
      </c>
      <c r="C20" s="85" t="str">
        <f>IF(ج_ح_فروردین[[#This Row],[نام]]&lt;&gt;"",ROW()-7+1,"")</f>
        <v/>
      </c>
      <c r="D20" s="86"/>
      <c r="E20" s="86"/>
      <c r="F20" s="87"/>
      <c r="G20" s="88" t="str">
        <f>IFERROR(IF(COUNT(ج_ح_فروردین[[#This Row],[کارکرد]]),حداقل_حقوق_پایه_روزانه,""),"")</f>
        <v/>
      </c>
      <c r="H20" s="89" t="str">
        <f>IFERROR(IF(ج_ح_فروردین[[#This Row],[کارکرد]]*ج_ح_فروردین[[#This Row],[دستمزد روزانه ]]=0,"",ج_ح_فروردین[[#This Row],[کارکرد]]*ج_ح_فروردین[[#This Row],[دستمزد روزانه ]]),"")</f>
        <v/>
      </c>
      <c r="I20" s="91"/>
      <c r="J20" s="93" t="str">
        <f>IFERROR((ج_ح_فروردین[[#This Row],[دستمزد روزانه ]]/7.33)*1.4*ج_ح_فروردین[[#This Row],[مدت اضافه کاری ]],"")</f>
        <v/>
      </c>
      <c r="K20" s="89" t="str">
        <f>IF(ج_ح_فروردین[[#This Row],[کارکرد]]="","",ج_ح_فروردین[[#This Row],[کارکرد]]/31*حق_مسکن)</f>
        <v/>
      </c>
      <c r="L20" s="91"/>
      <c r="M20" s="89" t="str">
        <f>IFERROR(IF(ج_ح_فروردین[[#This Row],[تعداد فرزندان]]="","",ج_ح_فروردین[[#This Row],[کارکرد]]/31*3*ج_ح_فروردین[[#This Row],[تعداد فرزندان]]*حداقل_حقوق_پایه_روزانه),"")</f>
        <v/>
      </c>
      <c r="N20" s="89" t="str">
        <f>IF(ج_ح_فروردین[[#This Row],[کارکرد]]="","",ج_ح_فروردین[[#This Row],[کارکرد]]/31*حق_خواربار)</f>
        <v/>
      </c>
      <c r="O20" s="89" t="str">
        <f>IFERROR(ج_ح_فروردین[[#This Row],[حقوق پایه]]+ج_ح_فروردین[[#This Row],[اضافه کاری]]+ج_ح_فروردین[[#This Row],[حق مسکن]]+ج_ح_فروردین[[#This Row],[حق اولاد]]+ج_ح_فروردین[[#This Row],[حق و خواروبار]],"")</f>
        <v/>
      </c>
      <c r="P20"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20"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20" s="91"/>
      <c r="S20" s="91"/>
      <c r="T20" s="89" t="str">
        <f>IFERROR(ج_ح_فروردین[[#This Row],[جمع ح و م م بیمه ]]*7%,"")</f>
        <v/>
      </c>
      <c r="U20"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20" s="89" t="str">
        <f>IFERROR(ج_ح_فروردین[[#This Row],[وام]]+ج_ح_فروردین[[#This Row],[مساعده]]+ج_ح_فروردین[[#This Row],[بیمه پرداختنی]]+ج_ح_فروردین[[#This Row],[مالیات پرداختنی]],"")</f>
        <v/>
      </c>
      <c r="W20" s="89" t="str">
        <f>IFERROR(ج_ح_فروردین[[#This Row],[جمع ح و م]]-ج_ح_فروردین[[#This Row],[جمع کسورات]],"")</f>
        <v/>
      </c>
      <c r="X20" s="108"/>
    </row>
    <row r="21" spans="2:24" ht="32.1" customHeight="1">
      <c r="B21" s="1">
        <v>1</v>
      </c>
      <c r="C21" s="85" t="str">
        <f>IF(ج_ح_فروردین[[#This Row],[نام]]&lt;&gt;"",ROW()-7+1,"")</f>
        <v/>
      </c>
      <c r="D21" s="86"/>
      <c r="E21" s="86"/>
      <c r="F21" s="87"/>
      <c r="G21" s="88" t="str">
        <f>IFERROR(IF(COUNT(ج_ح_فروردین[[#This Row],[کارکرد]]),حداقل_حقوق_پایه_روزانه,""),"")</f>
        <v/>
      </c>
      <c r="H21" s="89" t="str">
        <f>IFERROR(IF(ج_ح_فروردین[[#This Row],[کارکرد]]*ج_ح_فروردین[[#This Row],[دستمزد روزانه ]]=0,"",ج_ح_فروردین[[#This Row],[کارکرد]]*ج_ح_فروردین[[#This Row],[دستمزد روزانه ]]),"")</f>
        <v/>
      </c>
      <c r="I21" s="91"/>
      <c r="J21" s="93" t="str">
        <f>IFERROR((ج_ح_فروردین[[#This Row],[دستمزد روزانه ]]/7.33)*1.4*ج_ح_فروردین[[#This Row],[مدت اضافه کاری ]],"")</f>
        <v/>
      </c>
      <c r="K21" s="89" t="str">
        <f>IF(ج_ح_فروردین[[#This Row],[کارکرد]]="","",ج_ح_فروردین[[#This Row],[کارکرد]]/31*حق_مسکن)</f>
        <v/>
      </c>
      <c r="L21" s="91"/>
      <c r="M21" s="89" t="str">
        <f>IFERROR(IF(ج_ح_فروردین[[#This Row],[تعداد فرزندان]]="","",ج_ح_فروردین[[#This Row],[کارکرد]]/31*3*ج_ح_فروردین[[#This Row],[تعداد فرزندان]]*حداقل_حقوق_پایه_روزانه),"")</f>
        <v/>
      </c>
      <c r="N21" s="89" t="str">
        <f>IF(ج_ح_فروردین[[#This Row],[کارکرد]]="","",ج_ح_فروردین[[#This Row],[کارکرد]]/31*حق_خواربار)</f>
        <v/>
      </c>
      <c r="O21" s="89" t="str">
        <f>IFERROR(ج_ح_فروردین[[#This Row],[حقوق پایه]]+ج_ح_فروردین[[#This Row],[اضافه کاری]]+ج_ح_فروردین[[#This Row],[حق مسکن]]+ج_ح_فروردین[[#This Row],[حق اولاد]]+ج_ح_فروردین[[#This Row],[حق و خواروبار]],"")</f>
        <v/>
      </c>
      <c r="P21"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21"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21" s="91"/>
      <c r="S21" s="91"/>
      <c r="T21" s="89" t="str">
        <f>IFERROR(ج_ح_فروردین[[#This Row],[جمع ح و م م بیمه ]]*7%,"")</f>
        <v/>
      </c>
      <c r="U21"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21" s="89" t="str">
        <f>IFERROR(ج_ح_فروردین[[#This Row],[وام]]+ج_ح_فروردین[[#This Row],[مساعده]]+ج_ح_فروردین[[#This Row],[بیمه پرداختنی]]+ج_ح_فروردین[[#This Row],[مالیات پرداختنی]],"")</f>
        <v/>
      </c>
      <c r="W21" s="89" t="str">
        <f>IFERROR(ج_ح_فروردین[[#This Row],[جمع ح و م]]-ج_ح_فروردین[[#This Row],[جمع کسورات]],"")</f>
        <v/>
      </c>
      <c r="X21" s="108"/>
    </row>
    <row r="22" spans="2:24" ht="32.1" customHeight="1">
      <c r="B22" s="1">
        <v>1</v>
      </c>
      <c r="C22" s="85" t="str">
        <f>IF(ج_ح_فروردین[[#This Row],[نام]]&lt;&gt;"",ROW()-7+1,"")</f>
        <v/>
      </c>
      <c r="D22" s="86"/>
      <c r="E22" s="86"/>
      <c r="F22" s="87"/>
      <c r="G22" s="88" t="str">
        <f>IFERROR(IF(COUNT(ج_ح_فروردین[[#This Row],[کارکرد]]),حداقل_حقوق_پایه_روزانه,""),"")</f>
        <v/>
      </c>
      <c r="H22" s="89" t="str">
        <f>IFERROR(IF(ج_ح_فروردین[[#This Row],[کارکرد]]*ج_ح_فروردین[[#This Row],[دستمزد روزانه ]]=0,"",ج_ح_فروردین[[#This Row],[کارکرد]]*ج_ح_فروردین[[#This Row],[دستمزد روزانه ]]),"")</f>
        <v/>
      </c>
      <c r="I22" s="91"/>
      <c r="J22" s="93" t="str">
        <f>IFERROR((ج_ح_فروردین[[#This Row],[دستمزد روزانه ]]/7.33)*1.4*ج_ح_فروردین[[#This Row],[مدت اضافه کاری ]],"")</f>
        <v/>
      </c>
      <c r="K22" s="89" t="str">
        <f>IF(ج_ح_فروردین[[#This Row],[کارکرد]]="","",ج_ح_فروردین[[#This Row],[کارکرد]]/31*حق_مسکن)</f>
        <v/>
      </c>
      <c r="L22" s="91"/>
      <c r="M22" s="89" t="str">
        <f>IFERROR(IF(ج_ح_فروردین[[#This Row],[تعداد فرزندان]]="","",ج_ح_فروردین[[#This Row],[کارکرد]]/31*3*ج_ح_فروردین[[#This Row],[تعداد فرزندان]]*حداقل_حقوق_پایه_روزانه),"")</f>
        <v/>
      </c>
      <c r="N22" s="89" t="str">
        <f>IF(ج_ح_فروردین[[#This Row],[کارکرد]]="","",ج_ح_فروردین[[#This Row],[کارکرد]]/31*حق_خواربار)</f>
        <v/>
      </c>
      <c r="O22" s="89" t="str">
        <f>IFERROR(ج_ح_فروردین[[#This Row],[حقوق پایه]]+ج_ح_فروردین[[#This Row],[اضافه کاری]]+ج_ح_فروردین[[#This Row],[حق مسکن]]+ج_ح_فروردین[[#This Row],[حق اولاد]]+ج_ح_فروردین[[#This Row],[حق و خواروبار]],"")</f>
        <v/>
      </c>
      <c r="P22"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22"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22" s="91"/>
      <c r="S22" s="91"/>
      <c r="T22" s="89" t="str">
        <f>IFERROR(ج_ح_فروردین[[#This Row],[جمع ح و م م بیمه ]]*7%,"")</f>
        <v/>
      </c>
      <c r="U22"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22" s="89" t="str">
        <f>IFERROR(ج_ح_فروردین[[#This Row],[وام]]+ج_ح_فروردین[[#This Row],[مساعده]]+ج_ح_فروردین[[#This Row],[بیمه پرداختنی]]+ج_ح_فروردین[[#This Row],[مالیات پرداختنی]],"")</f>
        <v/>
      </c>
      <c r="W22" s="89" t="str">
        <f>IFERROR(ج_ح_فروردین[[#This Row],[جمع ح و م]]-ج_ح_فروردین[[#This Row],[جمع کسورات]],"")</f>
        <v/>
      </c>
      <c r="X22" s="108"/>
    </row>
    <row r="23" spans="2:24" ht="32.1" customHeight="1">
      <c r="B23" s="1">
        <v>1</v>
      </c>
      <c r="C23" s="85" t="str">
        <f>IF(ج_ح_فروردین[[#This Row],[نام]]&lt;&gt;"",ROW()-7+1,"")</f>
        <v/>
      </c>
      <c r="D23" s="86"/>
      <c r="E23" s="86"/>
      <c r="F23" s="87"/>
      <c r="G23" s="88" t="str">
        <f>IFERROR(IF(COUNT(ج_ح_فروردین[[#This Row],[کارکرد]]),حداقل_حقوق_پایه_روزانه,""),"")</f>
        <v/>
      </c>
      <c r="H23" s="89" t="str">
        <f>IFERROR(IF(ج_ح_فروردین[[#This Row],[کارکرد]]*ج_ح_فروردین[[#This Row],[دستمزد روزانه ]]=0,"",ج_ح_فروردین[[#This Row],[کارکرد]]*ج_ح_فروردین[[#This Row],[دستمزد روزانه ]]),"")</f>
        <v/>
      </c>
      <c r="I23" s="91"/>
      <c r="J23" s="93" t="str">
        <f>IFERROR((ج_ح_فروردین[[#This Row],[دستمزد روزانه ]]/7.33)*1.4*ج_ح_فروردین[[#This Row],[مدت اضافه کاری ]],"")</f>
        <v/>
      </c>
      <c r="K23" s="89" t="str">
        <f>IF(ج_ح_فروردین[[#This Row],[کارکرد]]="","",ج_ح_فروردین[[#This Row],[کارکرد]]/31*حق_مسکن)</f>
        <v/>
      </c>
      <c r="L23" s="91"/>
      <c r="M23" s="89" t="str">
        <f>IFERROR(IF(ج_ح_فروردین[[#This Row],[تعداد فرزندان]]="","",ج_ح_فروردین[[#This Row],[کارکرد]]/31*3*ج_ح_فروردین[[#This Row],[تعداد فرزندان]]*حداقل_حقوق_پایه_روزانه),"")</f>
        <v/>
      </c>
      <c r="N23" s="89" t="str">
        <f>IF(ج_ح_فروردین[[#This Row],[کارکرد]]="","",ج_ح_فروردین[[#This Row],[کارکرد]]/31*حق_خواربار)</f>
        <v/>
      </c>
      <c r="O23" s="89" t="str">
        <f>IFERROR(ج_ح_فروردین[[#This Row],[حقوق پایه]]+ج_ح_فروردین[[#This Row],[اضافه کاری]]+ج_ح_فروردین[[#This Row],[حق مسکن]]+ج_ح_فروردین[[#This Row],[حق اولاد]]+ج_ح_فروردین[[#This Row],[حق و خواروبار]],"")</f>
        <v/>
      </c>
      <c r="P23"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23"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23" s="91"/>
      <c r="S23" s="91"/>
      <c r="T23" s="89" t="str">
        <f>IFERROR(ج_ح_فروردین[[#This Row],[جمع ح و م م بیمه ]]*7%,"")</f>
        <v/>
      </c>
      <c r="U23"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23" s="89" t="str">
        <f>IFERROR(ج_ح_فروردین[[#This Row],[وام]]+ج_ح_فروردین[[#This Row],[مساعده]]+ج_ح_فروردین[[#This Row],[بیمه پرداختنی]]+ج_ح_فروردین[[#This Row],[مالیات پرداختنی]],"")</f>
        <v/>
      </c>
      <c r="W23" s="89" t="str">
        <f>IFERROR(ج_ح_فروردین[[#This Row],[جمع ح و م]]-ج_ح_فروردین[[#This Row],[جمع کسورات]],"")</f>
        <v/>
      </c>
      <c r="X23" s="108"/>
    </row>
    <row r="24" spans="2:24" ht="32.1" customHeight="1">
      <c r="B24" s="1">
        <v>1</v>
      </c>
      <c r="C24" s="85" t="str">
        <f>IF(ج_ح_فروردین[[#This Row],[نام]]&lt;&gt;"",ROW()-7+1,"")</f>
        <v/>
      </c>
      <c r="D24" s="86"/>
      <c r="E24" s="86"/>
      <c r="F24" s="87"/>
      <c r="G24" s="88" t="str">
        <f>IFERROR(IF(COUNT(ج_ح_فروردین[[#This Row],[کارکرد]]),حداقل_حقوق_پایه_روزانه,""),"")</f>
        <v/>
      </c>
      <c r="H24" s="89" t="str">
        <f>IFERROR(IF(ج_ح_فروردین[[#This Row],[کارکرد]]*ج_ح_فروردین[[#This Row],[دستمزد روزانه ]]=0,"",ج_ح_فروردین[[#This Row],[کارکرد]]*ج_ح_فروردین[[#This Row],[دستمزد روزانه ]]),"")</f>
        <v/>
      </c>
      <c r="I24" s="91"/>
      <c r="J24" s="93" t="str">
        <f>IFERROR((ج_ح_فروردین[[#This Row],[دستمزد روزانه ]]/7.33)*1.4*ج_ح_فروردین[[#This Row],[مدت اضافه کاری ]],"")</f>
        <v/>
      </c>
      <c r="K24" s="89" t="str">
        <f>IF(ج_ح_فروردین[[#This Row],[کارکرد]]="","",ج_ح_فروردین[[#This Row],[کارکرد]]/31*حق_مسکن)</f>
        <v/>
      </c>
      <c r="L24" s="91"/>
      <c r="M24" s="89" t="str">
        <f>IFERROR(IF(ج_ح_فروردین[[#This Row],[تعداد فرزندان]]="","",ج_ح_فروردین[[#This Row],[کارکرد]]/31*3*ج_ح_فروردین[[#This Row],[تعداد فرزندان]]*حداقل_حقوق_پایه_روزانه),"")</f>
        <v/>
      </c>
      <c r="N24" s="89" t="str">
        <f>IF(ج_ح_فروردین[[#This Row],[کارکرد]]="","",ج_ح_فروردین[[#This Row],[کارکرد]]/31*حق_خواربار)</f>
        <v/>
      </c>
      <c r="O24" s="89" t="str">
        <f>IFERROR(ج_ح_فروردین[[#This Row],[حقوق پایه]]+ج_ح_فروردین[[#This Row],[اضافه کاری]]+ج_ح_فروردین[[#This Row],[حق مسکن]]+ج_ح_فروردین[[#This Row],[حق اولاد]]+ج_ح_فروردین[[#This Row],[حق و خواروبار]],"")</f>
        <v/>
      </c>
      <c r="P24"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24"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24" s="91"/>
      <c r="S24" s="91"/>
      <c r="T24" s="89" t="str">
        <f>IFERROR(ج_ح_فروردین[[#This Row],[جمع ح و م م بیمه ]]*7%,"")</f>
        <v/>
      </c>
      <c r="U24"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24" s="89" t="str">
        <f>IFERROR(ج_ح_فروردین[[#This Row],[وام]]+ج_ح_فروردین[[#This Row],[مساعده]]+ج_ح_فروردین[[#This Row],[بیمه پرداختنی]]+ج_ح_فروردین[[#This Row],[مالیات پرداختنی]],"")</f>
        <v/>
      </c>
      <c r="W24" s="89" t="str">
        <f>IFERROR(ج_ح_فروردین[[#This Row],[جمع ح و م]]-ج_ح_فروردین[[#This Row],[جمع کسورات]],"")</f>
        <v/>
      </c>
      <c r="X24" s="108"/>
    </row>
    <row r="25" spans="2:24" ht="32.1" customHeight="1">
      <c r="B25" s="1">
        <v>1</v>
      </c>
      <c r="C25" s="85" t="str">
        <f>IF(ج_ح_فروردین[[#This Row],[نام]]&lt;&gt;"",ROW()-7+1,"")</f>
        <v/>
      </c>
      <c r="D25" s="86"/>
      <c r="E25" s="86"/>
      <c r="F25" s="87"/>
      <c r="G25" s="88" t="str">
        <f>IFERROR(IF(COUNT(ج_ح_فروردین[[#This Row],[کارکرد]]),حداقل_حقوق_پایه_روزانه,""),"")</f>
        <v/>
      </c>
      <c r="H25" s="89" t="str">
        <f>IFERROR(IF(ج_ح_فروردین[[#This Row],[کارکرد]]*ج_ح_فروردین[[#This Row],[دستمزد روزانه ]]=0,"",ج_ح_فروردین[[#This Row],[کارکرد]]*ج_ح_فروردین[[#This Row],[دستمزد روزانه ]]),"")</f>
        <v/>
      </c>
      <c r="I25" s="91"/>
      <c r="J25" s="93" t="str">
        <f>IFERROR((ج_ح_فروردین[[#This Row],[دستمزد روزانه ]]/7.33)*1.4*ج_ح_فروردین[[#This Row],[مدت اضافه کاری ]],"")</f>
        <v/>
      </c>
      <c r="K25" s="89" t="str">
        <f>IF(ج_ح_فروردین[[#This Row],[کارکرد]]="","",ج_ح_فروردین[[#This Row],[کارکرد]]/31*حق_مسکن)</f>
        <v/>
      </c>
      <c r="L25" s="91"/>
      <c r="M25" s="89" t="str">
        <f>IFERROR(IF(ج_ح_فروردین[[#This Row],[تعداد فرزندان]]="","",ج_ح_فروردین[[#This Row],[کارکرد]]/31*3*ج_ح_فروردین[[#This Row],[تعداد فرزندان]]*حداقل_حقوق_پایه_روزانه),"")</f>
        <v/>
      </c>
      <c r="N25" s="89" t="str">
        <f>IF(ج_ح_فروردین[[#This Row],[کارکرد]]="","",ج_ح_فروردین[[#This Row],[کارکرد]]/31*حق_خواربار)</f>
        <v/>
      </c>
      <c r="O25" s="89" t="str">
        <f>IFERROR(ج_ح_فروردین[[#This Row],[حقوق پایه]]+ج_ح_فروردین[[#This Row],[اضافه کاری]]+ج_ح_فروردین[[#This Row],[حق مسکن]]+ج_ح_فروردین[[#This Row],[حق اولاد]]+ج_ح_فروردین[[#This Row],[حق و خواروبار]],"")</f>
        <v/>
      </c>
      <c r="P25"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25"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25" s="91"/>
      <c r="S25" s="91"/>
      <c r="T25" s="89" t="str">
        <f>IFERROR(ج_ح_فروردین[[#This Row],[جمع ح و م م بیمه ]]*7%,"")</f>
        <v/>
      </c>
      <c r="U25"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25" s="89" t="str">
        <f>IFERROR(ج_ح_فروردین[[#This Row],[وام]]+ج_ح_فروردین[[#This Row],[مساعده]]+ج_ح_فروردین[[#This Row],[بیمه پرداختنی]]+ج_ح_فروردین[[#This Row],[مالیات پرداختنی]],"")</f>
        <v/>
      </c>
      <c r="W25" s="89" t="str">
        <f>IFERROR(ج_ح_فروردین[[#This Row],[جمع ح و م]]-ج_ح_فروردین[[#This Row],[جمع کسورات]],"")</f>
        <v/>
      </c>
      <c r="X25" s="108"/>
    </row>
    <row r="26" spans="2:24" ht="32.1" customHeight="1">
      <c r="B26" s="1">
        <v>1</v>
      </c>
      <c r="C26" s="85" t="str">
        <f>IF(ج_ح_فروردین[[#This Row],[نام]]&lt;&gt;"",ROW()-7+1,"")</f>
        <v/>
      </c>
      <c r="D26" s="86"/>
      <c r="E26" s="86"/>
      <c r="F26" s="87"/>
      <c r="G26" s="88" t="str">
        <f>IFERROR(IF(COUNT(ج_ح_فروردین[[#This Row],[کارکرد]]),حداقل_حقوق_پایه_روزانه,""),"")</f>
        <v/>
      </c>
      <c r="H26" s="89" t="str">
        <f>IFERROR(IF(ج_ح_فروردین[[#This Row],[کارکرد]]*ج_ح_فروردین[[#This Row],[دستمزد روزانه ]]=0,"",ج_ح_فروردین[[#This Row],[کارکرد]]*ج_ح_فروردین[[#This Row],[دستمزد روزانه ]]),"")</f>
        <v/>
      </c>
      <c r="I26" s="91"/>
      <c r="J26" s="93" t="str">
        <f>IFERROR((ج_ح_فروردین[[#This Row],[دستمزد روزانه ]]/7.33)*1.4*ج_ح_فروردین[[#This Row],[مدت اضافه کاری ]],"")</f>
        <v/>
      </c>
      <c r="K26" s="89" t="str">
        <f>IF(ج_ح_فروردین[[#This Row],[کارکرد]]="","",ج_ح_فروردین[[#This Row],[کارکرد]]/31*حق_مسکن)</f>
        <v/>
      </c>
      <c r="L26" s="91"/>
      <c r="M26" s="89" t="str">
        <f>IFERROR(IF(ج_ح_فروردین[[#This Row],[تعداد فرزندان]]="","",ج_ح_فروردین[[#This Row],[کارکرد]]/31*3*ج_ح_فروردین[[#This Row],[تعداد فرزندان]]*حداقل_حقوق_پایه_روزانه),"")</f>
        <v/>
      </c>
      <c r="N26" s="89" t="str">
        <f>IF(ج_ح_فروردین[[#This Row],[کارکرد]]="","",ج_ح_فروردین[[#This Row],[کارکرد]]/31*حق_خواربار)</f>
        <v/>
      </c>
      <c r="O26" s="89" t="str">
        <f>IFERROR(ج_ح_فروردین[[#This Row],[حقوق پایه]]+ج_ح_فروردین[[#This Row],[اضافه کاری]]+ج_ح_فروردین[[#This Row],[حق مسکن]]+ج_ح_فروردین[[#This Row],[حق اولاد]]+ج_ح_فروردین[[#This Row],[حق و خواروبار]],"")</f>
        <v/>
      </c>
      <c r="P26"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26"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26" s="91"/>
      <c r="S26" s="91"/>
      <c r="T26" s="89" t="str">
        <f>IFERROR(ج_ح_فروردین[[#This Row],[جمع ح و م م بیمه ]]*7%,"")</f>
        <v/>
      </c>
      <c r="U26"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26" s="89" t="str">
        <f>IFERROR(ج_ح_فروردین[[#This Row],[وام]]+ج_ح_فروردین[[#This Row],[مساعده]]+ج_ح_فروردین[[#This Row],[بیمه پرداختنی]]+ج_ح_فروردین[[#This Row],[مالیات پرداختنی]],"")</f>
        <v/>
      </c>
      <c r="W26" s="89" t="str">
        <f>IFERROR(ج_ح_فروردین[[#This Row],[جمع ح و م]]-ج_ح_فروردین[[#This Row],[جمع کسورات]],"")</f>
        <v/>
      </c>
      <c r="X26" s="108"/>
    </row>
    <row r="27" spans="2:24" ht="32.1" customHeight="1">
      <c r="B27" s="1">
        <v>1</v>
      </c>
      <c r="C27" s="85" t="str">
        <f>IF(ج_ح_فروردین[[#This Row],[نام]]&lt;&gt;"",ROW()-7+1,"")</f>
        <v/>
      </c>
      <c r="D27" s="86"/>
      <c r="E27" s="86"/>
      <c r="F27" s="87"/>
      <c r="G27" s="88" t="str">
        <f>IFERROR(IF(COUNT(ج_ح_فروردین[[#This Row],[کارکرد]]),حداقل_حقوق_پایه_روزانه,""),"")</f>
        <v/>
      </c>
      <c r="H27" s="89" t="str">
        <f>IFERROR(IF(ج_ح_فروردین[[#This Row],[کارکرد]]*ج_ح_فروردین[[#This Row],[دستمزد روزانه ]]=0,"",ج_ح_فروردین[[#This Row],[کارکرد]]*ج_ح_فروردین[[#This Row],[دستمزد روزانه ]]),"")</f>
        <v/>
      </c>
      <c r="I27" s="91"/>
      <c r="J27" s="93" t="str">
        <f>IFERROR((ج_ح_فروردین[[#This Row],[دستمزد روزانه ]]/7.33)*1.4*ج_ح_فروردین[[#This Row],[مدت اضافه کاری ]],"")</f>
        <v/>
      </c>
      <c r="K27" s="89" t="str">
        <f>IF(ج_ح_فروردین[[#This Row],[کارکرد]]="","",ج_ح_فروردین[[#This Row],[کارکرد]]/31*حق_مسکن)</f>
        <v/>
      </c>
      <c r="L27" s="91"/>
      <c r="M27" s="89" t="str">
        <f>IFERROR(IF(ج_ح_فروردین[[#This Row],[تعداد فرزندان]]="","",ج_ح_فروردین[[#This Row],[کارکرد]]/31*3*ج_ح_فروردین[[#This Row],[تعداد فرزندان]]*حداقل_حقوق_پایه_روزانه),"")</f>
        <v/>
      </c>
      <c r="N27" s="89" t="str">
        <f>IF(ج_ح_فروردین[[#This Row],[کارکرد]]="","",ج_ح_فروردین[[#This Row],[کارکرد]]/31*حق_خواربار)</f>
        <v/>
      </c>
      <c r="O27" s="89" t="str">
        <f>IFERROR(ج_ح_فروردین[[#This Row],[حقوق پایه]]+ج_ح_فروردین[[#This Row],[اضافه کاری]]+ج_ح_فروردین[[#This Row],[حق مسکن]]+ج_ح_فروردین[[#This Row],[حق اولاد]]+ج_ح_فروردین[[#This Row],[حق و خواروبار]],"")</f>
        <v/>
      </c>
      <c r="P27"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27"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27" s="91"/>
      <c r="S27" s="91"/>
      <c r="T27" s="89" t="str">
        <f>IFERROR(ج_ح_فروردین[[#This Row],[جمع ح و م م بیمه ]]*7%,"")</f>
        <v/>
      </c>
      <c r="U27"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27" s="89" t="str">
        <f>IFERROR(ج_ح_فروردین[[#This Row],[وام]]+ج_ح_فروردین[[#This Row],[مساعده]]+ج_ح_فروردین[[#This Row],[بیمه پرداختنی]]+ج_ح_فروردین[[#This Row],[مالیات پرداختنی]],"")</f>
        <v/>
      </c>
      <c r="W27" s="89" t="str">
        <f>IFERROR(ج_ح_فروردین[[#This Row],[جمع ح و م]]-ج_ح_فروردین[[#This Row],[جمع کسورات]],"")</f>
        <v/>
      </c>
      <c r="X27" s="108"/>
    </row>
    <row r="28" spans="2:24" ht="32.1" customHeight="1">
      <c r="B28" s="1">
        <v>1</v>
      </c>
      <c r="C28" s="85" t="str">
        <f>IF(ج_ح_فروردین[[#This Row],[نام]]&lt;&gt;"",ROW()-7+1,"")</f>
        <v/>
      </c>
      <c r="D28" s="86"/>
      <c r="E28" s="86"/>
      <c r="F28" s="87"/>
      <c r="G28" s="88" t="str">
        <f>IFERROR(IF(COUNT(ج_ح_فروردین[[#This Row],[کارکرد]]),حداقل_حقوق_پایه_روزانه,""),"")</f>
        <v/>
      </c>
      <c r="H28" s="89" t="str">
        <f>IFERROR(IF(ج_ح_فروردین[[#This Row],[کارکرد]]*ج_ح_فروردین[[#This Row],[دستمزد روزانه ]]=0,"",ج_ح_فروردین[[#This Row],[کارکرد]]*ج_ح_فروردین[[#This Row],[دستمزد روزانه ]]),"")</f>
        <v/>
      </c>
      <c r="I28" s="91"/>
      <c r="J28" s="93" t="str">
        <f>IFERROR((ج_ح_فروردین[[#This Row],[دستمزد روزانه ]]/7.33)*1.4*ج_ح_فروردین[[#This Row],[مدت اضافه کاری ]],"")</f>
        <v/>
      </c>
      <c r="K28" s="89" t="str">
        <f>IF(ج_ح_فروردین[[#This Row],[کارکرد]]="","",ج_ح_فروردین[[#This Row],[کارکرد]]/31*حق_مسکن)</f>
        <v/>
      </c>
      <c r="L28" s="91"/>
      <c r="M28" s="89" t="str">
        <f>IFERROR(IF(ج_ح_فروردین[[#This Row],[تعداد فرزندان]]="","",ج_ح_فروردین[[#This Row],[کارکرد]]/31*3*ج_ح_فروردین[[#This Row],[تعداد فرزندان]]*حداقل_حقوق_پایه_روزانه),"")</f>
        <v/>
      </c>
      <c r="N28" s="89" t="str">
        <f>IF(ج_ح_فروردین[[#This Row],[کارکرد]]="","",ج_ح_فروردین[[#This Row],[کارکرد]]/31*حق_خواربار)</f>
        <v/>
      </c>
      <c r="O28" s="89" t="str">
        <f>IFERROR(ج_ح_فروردین[[#This Row],[حقوق پایه]]+ج_ح_فروردین[[#This Row],[اضافه کاری]]+ج_ح_فروردین[[#This Row],[حق مسکن]]+ج_ح_فروردین[[#This Row],[حق اولاد]]+ج_ح_فروردین[[#This Row],[حق و خواروبار]],"")</f>
        <v/>
      </c>
      <c r="P28"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28"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28" s="91"/>
      <c r="S28" s="91"/>
      <c r="T28" s="89" t="str">
        <f>IFERROR(ج_ح_فروردین[[#This Row],[جمع ح و م م بیمه ]]*7%,"")</f>
        <v/>
      </c>
      <c r="U28"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28" s="89" t="str">
        <f>IFERROR(ج_ح_فروردین[[#This Row],[وام]]+ج_ح_فروردین[[#This Row],[مساعده]]+ج_ح_فروردین[[#This Row],[بیمه پرداختنی]]+ج_ح_فروردین[[#This Row],[مالیات پرداختنی]],"")</f>
        <v/>
      </c>
      <c r="W28" s="89" t="str">
        <f>IFERROR(ج_ح_فروردین[[#This Row],[جمع ح و م]]-ج_ح_فروردین[[#This Row],[جمع کسورات]],"")</f>
        <v/>
      </c>
      <c r="X28" s="108"/>
    </row>
    <row r="29" spans="2:24" ht="32.1" customHeight="1">
      <c r="B29" s="1">
        <v>1</v>
      </c>
      <c r="C29" s="85" t="str">
        <f>IF(ج_ح_فروردین[[#This Row],[نام]]&lt;&gt;"",ROW()-7+1,"")</f>
        <v/>
      </c>
      <c r="D29" s="86"/>
      <c r="E29" s="86"/>
      <c r="F29" s="87"/>
      <c r="G29" s="88" t="str">
        <f>IFERROR(IF(COUNT(ج_ح_فروردین[[#This Row],[کارکرد]]),حداقل_حقوق_پایه_روزانه,""),"")</f>
        <v/>
      </c>
      <c r="H29" s="89" t="str">
        <f>IFERROR(IF(ج_ح_فروردین[[#This Row],[کارکرد]]*ج_ح_فروردین[[#This Row],[دستمزد روزانه ]]=0,"",ج_ح_فروردین[[#This Row],[کارکرد]]*ج_ح_فروردین[[#This Row],[دستمزد روزانه ]]),"")</f>
        <v/>
      </c>
      <c r="I29" s="91"/>
      <c r="J29" s="93" t="str">
        <f>IFERROR((ج_ح_فروردین[[#This Row],[دستمزد روزانه ]]/7.33)*1.4*ج_ح_فروردین[[#This Row],[مدت اضافه کاری ]],"")</f>
        <v/>
      </c>
      <c r="K29" s="89" t="str">
        <f>IF(ج_ح_فروردین[[#This Row],[کارکرد]]="","",ج_ح_فروردین[[#This Row],[کارکرد]]/31*حق_مسکن)</f>
        <v/>
      </c>
      <c r="L29" s="91"/>
      <c r="M29" s="89" t="str">
        <f>IFERROR(IF(ج_ح_فروردین[[#This Row],[تعداد فرزندان]]="","",ج_ح_فروردین[[#This Row],[کارکرد]]/31*3*ج_ح_فروردین[[#This Row],[تعداد فرزندان]]*حداقل_حقوق_پایه_روزانه),"")</f>
        <v/>
      </c>
      <c r="N29" s="89" t="str">
        <f>IF(ج_ح_فروردین[[#This Row],[کارکرد]]="","",ج_ح_فروردین[[#This Row],[کارکرد]]/31*حق_خواربار)</f>
        <v/>
      </c>
      <c r="O29" s="89" t="str">
        <f>IFERROR(ج_ح_فروردین[[#This Row],[حقوق پایه]]+ج_ح_فروردین[[#This Row],[اضافه کاری]]+ج_ح_فروردین[[#This Row],[حق مسکن]]+ج_ح_فروردین[[#This Row],[حق اولاد]]+ج_ح_فروردین[[#This Row],[حق و خواروبار]],"")</f>
        <v/>
      </c>
      <c r="P29"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29"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29" s="91"/>
      <c r="S29" s="91"/>
      <c r="T29" s="89" t="str">
        <f>IFERROR(ج_ح_فروردین[[#This Row],[جمع ح و م م بیمه ]]*7%,"")</f>
        <v/>
      </c>
      <c r="U29"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29" s="89" t="str">
        <f>IFERROR(ج_ح_فروردین[[#This Row],[وام]]+ج_ح_فروردین[[#This Row],[مساعده]]+ج_ح_فروردین[[#This Row],[بیمه پرداختنی]]+ج_ح_فروردین[[#This Row],[مالیات پرداختنی]],"")</f>
        <v/>
      </c>
      <c r="W29" s="89" t="str">
        <f>IFERROR(ج_ح_فروردین[[#This Row],[جمع ح و م]]-ج_ح_فروردین[[#This Row],[جمع کسورات]],"")</f>
        <v/>
      </c>
      <c r="X29" s="108"/>
    </row>
    <row r="30" spans="2:24" ht="32.1" customHeight="1">
      <c r="B30" s="1">
        <v>1</v>
      </c>
      <c r="C30" s="85" t="str">
        <f>IF(ج_ح_فروردین[[#This Row],[نام]]&lt;&gt;"",ROW()-7+1,"")</f>
        <v/>
      </c>
      <c r="D30" s="86"/>
      <c r="E30" s="86"/>
      <c r="F30" s="87"/>
      <c r="G30" s="88" t="str">
        <f>IFERROR(IF(COUNT(ج_ح_فروردین[[#This Row],[کارکرد]]),حداقل_حقوق_پایه_روزانه,""),"")</f>
        <v/>
      </c>
      <c r="H30" s="89" t="str">
        <f>IFERROR(IF(ج_ح_فروردین[[#This Row],[کارکرد]]*ج_ح_فروردین[[#This Row],[دستمزد روزانه ]]=0,"",ج_ح_فروردین[[#This Row],[کارکرد]]*ج_ح_فروردین[[#This Row],[دستمزد روزانه ]]),"")</f>
        <v/>
      </c>
      <c r="I30" s="91"/>
      <c r="J30" s="93" t="str">
        <f>IFERROR((ج_ح_فروردین[[#This Row],[دستمزد روزانه ]]/7.33)*1.4*ج_ح_فروردین[[#This Row],[مدت اضافه کاری ]],"")</f>
        <v/>
      </c>
      <c r="K30" s="89" t="str">
        <f>IF(ج_ح_فروردین[[#This Row],[کارکرد]]="","",ج_ح_فروردین[[#This Row],[کارکرد]]/31*حق_مسکن)</f>
        <v/>
      </c>
      <c r="L30" s="91"/>
      <c r="M30" s="89" t="str">
        <f>IFERROR(IF(ج_ح_فروردین[[#This Row],[تعداد فرزندان]]="","",ج_ح_فروردین[[#This Row],[کارکرد]]/31*3*ج_ح_فروردین[[#This Row],[تعداد فرزندان]]*حداقل_حقوق_پایه_روزانه),"")</f>
        <v/>
      </c>
      <c r="N30" s="89" t="str">
        <f>IF(ج_ح_فروردین[[#This Row],[کارکرد]]="","",ج_ح_فروردین[[#This Row],[کارکرد]]/31*حق_خواربار)</f>
        <v/>
      </c>
      <c r="O30" s="89" t="str">
        <f>IFERROR(ج_ح_فروردین[[#This Row],[حقوق پایه]]+ج_ح_فروردین[[#This Row],[اضافه کاری]]+ج_ح_فروردین[[#This Row],[حق مسکن]]+ج_ح_فروردین[[#This Row],[حق اولاد]]+ج_ح_فروردین[[#This Row],[حق و خواروبار]],"")</f>
        <v/>
      </c>
      <c r="P30"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30"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30" s="91"/>
      <c r="S30" s="91"/>
      <c r="T30" s="89" t="str">
        <f>IFERROR(ج_ح_فروردین[[#This Row],[جمع ح و م م بیمه ]]*7%,"")</f>
        <v/>
      </c>
      <c r="U30"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30" s="89" t="str">
        <f>IFERROR(ج_ح_فروردین[[#This Row],[وام]]+ج_ح_فروردین[[#This Row],[مساعده]]+ج_ح_فروردین[[#This Row],[بیمه پرداختنی]]+ج_ح_فروردین[[#This Row],[مالیات پرداختنی]],"")</f>
        <v/>
      </c>
      <c r="W30" s="89" t="str">
        <f>IFERROR(ج_ح_فروردین[[#This Row],[جمع ح و م]]-ج_ح_فروردین[[#This Row],[جمع کسورات]],"")</f>
        <v/>
      </c>
      <c r="X30" s="108"/>
    </row>
    <row r="31" spans="2:24" ht="32.1" customHeight="1">
      <c r="B31" s="1">
        <v>1</v>
      </c>
      <c r="C31" s="85" t="str">
        <f>IF(ج_ح_فروردین[[#This Row],[نام]]&lt;&gt;"",ROW()-7+1,"")</f>
        <v/>
      </c>
      <c r="D31" s="86"/>
      <c r="E31" s="86"/>
      <c r="F31" s="87"/>
      <c r="G31" s="88" t="str">
        <f>IFERROR(IF(COUNT(ج_ح_فروردین[[#This Row],[کارکرد]]),حداقل_حقوق_پایه_روزانه,""),"")</f>
        <v/>
      </c>
      <c r="H31" s="89" t="str">
        <f>IFERROR(IF(ج_ح_فروردین[[#This Row],[کارکرد]]*ج_ح_فروردین[[#This Row],[دستمزد روزانه ]]=0,"",ج_ح_فروردین[[#This Row],[کارکرد]]*ج_ح_فروردین[[#This Row],[دستمزد روزانه ]]),"")</f>
        <v/>
      </c>
      <c r="I31" s="91"/>
      <c r="J31" s="93" t="str">
        <f>IFERROR((ج_ح_فروردین[[#This Row],[دستمزد روزانه ]]/7.33)*1.4*ج_ح_فروردین[[#This Row],[مدت اضافه کاری ]],"")</f>
        <v/>
      </c>
      <c r="K31" s="89" t="str">
        <f>IF(ج_ح_فروردین[[#This Row],[کارکرد]]="","",ج_ح_فروردین[[#This Row],[کارکرد]]/31*حق_مسکن)</f>
        <v/>
      </c>
      <c r="L31" s="91"/>
      <c r="M31" s="89" t="str">
        <f>IFERROR(IF(ج_ح_فروردین[[#This Row],[تعداد فرزندان]]="","",ج_ح_فروردین[[#This Row],[کارکرد]]/31*3*ج_ح_فروردین[[#This Row],[تعداد فرزندان]]*حداقل_حقوق_پایه_روزانه),"")</f>
        <v/>
      </c>
      <c r="N31" s="89" t="str">
        <f>IF(ج_ح_فروردین[[#This Row],[کارکرد]]="","",ج_ح_فروردین[[#This Row],[کارکرد]]/31*حق_خواربار)</f>
        <v/>
      </c>
      <c r="O31" s="89" t="str">
        <f>IFERROR(ج_ح_فروردین[[#This Row],[حقوق پایه]]+ج_ح_فروردین[[#This Row],[اضافه کاری]]+ج_ح_فروردین[[#This Row],[حق مسکن]]+ج_ح_فروردین[[#This Row],[حق اولاد]]+ج_ح_فروردین[[#This Row],[حق و خواروبار]],"")</f>
        <v/>
      </c>
      <c r="P31"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31"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31" s="91"/>
      <c r="S31" s="91"/>
      <c r="T31" s="89" t="str">
        <f>IFERROR(ج_ح_فروردین[[#This Row],[جمع ح و م م بیمه ]]*7%,"")</f>
        <v/>
      </c>
      <c r="U31"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31" s="89" t="str">
        <f>IFERROR(ج_ح_فروردین[[#This Row],[وام]]+ج_ح_فروردین[[#This Row],[مساعده]]+ج_ح_فروردین[[#This Row],[بیمه پرداختنی]]+ج_ح_فروردین[[#This Row],[مالیات پرداختنی]],"")</f>
        <v/>
      </c>
      <c r="W31" s="89" t="str">
        <f>IFERROR(ج_ح_فروردین[[#This Row],[جمع ح و م]]-ج_ح_فروردین[[#This Row],[جمع کسورات]],"")</f>
        <v/>
      </c>
      <c r="X31" s="108"/>
    </row>
    <row r="32" spans="2:24" ht="32.1" customHeight="1">
      <c r="B32" s="1">
        <v>1</v>
      </c>
      <c r="C32" s="85" t="str">
        <f>IF(ج_ح_فروردین[[#This Row],[نام]]&lt;&gt;"",ROW()-7+1,"")</f>
        <v/>
      </c>
      <c r="D32" s="86"/>
      <c r="E32" s="86"/>
      <c r="F32" s="87"/>
      <c r="G32" s="88" t="str">
        <f>IFERROR(IF(COUNT(ج_ح_فروردین[[#This Row],[کارکرد]]),حداقل_حقوق_پایه_روزانه,""),"")</f>
        <v/>
      </c>
      <c r="H32" s="89" t="str">
        <f>IFERROR(IF(ج_ح_فروردین[[#This Row],[کارکرد]]*ج_ح_فروردین[[#This Row],[دستمزد روزانه ]]=0,"",ج_ح_فروردین[[#This Row],[کارکرد]]*ج_ح_فروردین[[#This Row],[دستمزد روزانه ]]),"")</f>
        <v/>
      </c>
      <c r="I32" s="91"/>
      <c r="J32" s="93" t="str">
        <f>IFERROR((ج_ح_فروردین[[#This Row],[دستمزد روزانه ]]/7.33)*1.4*ج_ح_فروردین[[#This Row],[مدت اضافه کاری ]],"")</f>
        <v/>
      </c>
      <c r="K32" s="89" t="str">
        <f>IF(ج_ح_فروردین[[#This Row],[کارکرد]]="","",ج_ح_فروردین[[#This Row],[کارکرد]]/31*حق_مسکن)</f>
        <v/>
      </c>
      <c r="L32" s="91"/>
      <c r="M32" s="89" t="str">
        <f>IFERROR(IF(ج_ح_فروردین[[#This Row],[تعداد فرزندان]]="","",ج_ح_فروردین[[#This Row],[کارکرد]]/31*3*ج_ح_فروردین[[#This Row],[تعداد فرزندان]]*حداقل_حقوق_پایه_روزانه),"")</f>
        <v/>
      </c>
      <c r="N32" s="89" t="str">
        <f>IF(ج_ح_فروردین[[#This Row],[کارکرد]]="","",ج_ح_فروردین[[#This Row],[کارکرد]]/31*حق_خواربار)</f>
        <v/>
      </c>
      <c r="O32" s="89" t="str">
        <f>IFERROR(ج_ح_فروردین[[#This Row],[حقوق پایه]]+ج_ح_فروردین[[#This Row],[اضافه کاری]]+ج_ح_فروردین[[#This Row],[حق مسکن]]+ج_ح_فروردین[[#This Row],[حق اولاد]]+ج_ح_فروردین[[#This Row],[حق و خواروبار]],"")</f>
        <v/>
      </c>
      <c r="P32"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32"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32" s="91"/>
      <c r="S32" s="91"/>
      <c r="T32" s="89" t="str">
        <f>IFERROR(ج_ح_فروردین[[#This Row],[جمع ح و م م بیمه ]]*7%,"")</f>
        <v/>
      </c>
      <c r="U32"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32" s="89" t="str">
        <f>IFERROR(ج_ح_فروردین[[#This Row],[وام]]+ج_ح_فروردین[[#This Row],[مساعده]]+ج_ح_فروردین[[#This Row],[بیمه پرداختنی]]+ج_ح_فروردین[[#This Row],[مالیات پرداختنی]],"")</f>
        <v/>
      </c>
      <c r="W32" s="89" t="str">
        <f>IFERROR(ج_ح_فروردین[[#This Row],[جمع ح و م]]-ج_ح_فروردین[[#This Row],[جمع کسورات]],"")</f>
        <v/>
      </c>
      <c r="X32" s="108"/>
    </row>
    <row r="33" spans="1:24" ht="32.1" customHeight="1">
      <c r="B33" s="1">
        <v>1</v>
      </c>
      <c r="C33" s="85" t="str">
        <f>IF(ج_ح_فروردین[[#This Row],[نام]]&lt;&gt;"",ROW()-7+1,"")</f>
        <v/>
      </c>
      <c r="D33" s="86"/>
      <c r="E33" s="86"/>
      <c r="F33" s="87"/>
      <c r="G33" s="88" t="str">
        <f>IFERROR(IF(COUNT(ج_ح_فروردین[[#This Row],[کارکرد]]),حداقل_حقوق_پایه_روزانه,""),"")</f>
        <v/>
      </c>
      <c r="H33" s="89" t="str">
        <f>IFERROR(IF(ج_ح_فروردین[[#This Row],[کارکرد]]*ج_ح_فروردین[[#This Row],[دستمزد روزانه ]]=0,"",ج_ح_فروردین[[#This Row],[کارکرد]]*ج_ح_فروردین[[#This Row],[دستمزد روزانه ]]),"")</f>
        <v/>
      </c>
      <c r="I33" s="91"/>
      <c r="J33" s="93" t="str">
        <f>IFERROR((ج_ح_فروردین[[#This Row],[دستمزد روزانه ]]/7.33)*1.4*ج_ح_فروردین[[#This Row],[مدت اضافه کاری ]],"")</f>
        <v/>
      </c>
      <c r="K33" s="89" t="str">
        <f>IF(ج_ح_فروردین[[#This Row],[کارکرد]]="","",ج_ح_فروردین[[#This Row],[کارکرد]]/31*حق_مسکن)</f>
        <v/>
      </c>
      <c r="L33" s="91"/>
      <c r="M33" s="89" t="str">
        <f>IFERROR(IF(ج_ح_فروردین[[#This Row],[تعداد فرزندان]]="","",ج_ح_فروردین[[#This Row],[کارکرد]]/31*3*ج_ح_فروردین[[#This Row],[تعداد فرزندان]]*حداقل_حقوق_پایه_روزانه),"")</f>
        <v/>
      </c>
      <c r="N33" s="89" t="str">
        <f>IF(ج_ح_فروردین[[#This Row],[کارکرد]]="","",ج_ح_فروردین[[#This Row],[کارکرد]]/31*حق_خواربار)</f>
        <v/>
      </c>
      <c r="O33" s="89" t="str">
        <f>IFERROR(ج_ح_فروردین[[#This Row],[حقوق پایه]]+ج_ح_فروردین[[#This Row],[اضافه کاری]]+ج_ح_فروردین[[#This Row],[حق مسکن]]+ج_ح_فروردین[[#This Row],[حق اولاد]]+ج_ح_فروردین[[#This Row],[حق و خواروبار]],"")</f>
        <v/>
      </c>
      <c r="P33"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33"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33" s="91"/>
      <c r="S33" s="91"/>
      <c r="T33" s="89" t="str">
        <f>IFERROR(ج_ح_فروردین[[#This Row],[جمع ح و م م بیمه ]]*7%,"")</f>
        <v/>
      </c>
      <c r="U33"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33" s="89" t="str">
        <f>IFERROR(ج_ح_فروردین[[#This Row],[وام]]+ج_ح_فروردین[[#This Row],[مساعده]]+ج_ح_فروردین[[#This Row],[بیمه پرداختنی]]+ج_ح_فروردین[[#This Row],[مالیات پرداختنی]],"")</f>
        <v/>
      </c>
      <c r="W33" s="89" t="str">
        <f>IFERROR(ج_ح_فروردین[[#This Row],[جمع ح و م]]-ج_ح_فروردین[[#This Row],[جمع کسورات]],"")</f>
        <v/>
      </c>
      <c r="X33" s="108"/>
    </row>
    <row r="34" spans="1:24" ht="32.1" customHeight="1">
      <c r="B34" s="1">
        <v>1</v>
      </c>
      <c r="C34" s="85" t="str">
        <f>IF(ج_ح_فروردین[[#This Row],[نام]]&lt;&gt;"",ROW()-7+1,"")</f>
        <v/>
      </c>
      <c r="D34" s="86"/>
      <c r="E34" s="86"/>
      <c r="F34" s="87"/>
      <c r="G34" s="88" t="str">
        <f>IFERROR(IF(COUNT(ج_ح_فروردین[[#This Row],[کارکرد]]),حداقل_حقوق_پایه_روزانه,""),"")</f>
        <v/>
      </c>
      <c r="H34" s="89" t="str">
        <f>IFERROR(IF(ج_ح_فروردین[[#This Row],[کارکرد]]*ج_ح_فروردین[[#This Row],[دستمزد روزانه ]]=0,"",ج_ح_فروردین[[#This Row],[کارکرد]]*ج_ح_فروردین[[#This Row],[دستمزد روزانه ]]),"")</f>
        <v/>
      </c>
      <c r="I34" s="91"/>
      <c r="J34" s="93" t="str">
        <f>IFERROR((ج_ح_فروردین[[#This Row],[دستمزد روزانه ]]/7.33)*1.4*ج_ح_فروردین[[#This Row],[مدت اضافه کاری ]],"")</f>
        <v/>
      </c>
      <c r="K34" s="89" t="str">
        <f>IF(ج_ح_فروردین[[#This Row],[کارکرد]]="","",ج_ح_فروردین[[#This Row],[کارکرد]]/31*حق_مسکن)</f>
        <v/>
      </c>
      <c r="L34" s="91"/>
      <c r="M34" s="89" t="str">
        <f>IFERROR(IF(ج_ح_فروردین[[#This Row],[تعداد فرزندان]]="","",ج_ح_فروردین[[#This Row],[کارکرد]]/31*3*ج_ح_فروردین[[#This Row],[تعداد فرزندان]]*حداقل_حقوق_پایه_روزانه),"")</f>
        <v/>
      </c>
      <c r="N34" s="89" t="str">
        <f>IF(ج_ح_فروردین[[#This Row],[کارکرد]]="","",ج_ح_فروردین[[#This Row],[کارکرد]]/31*حق_خواربار)</f>
        <v/>
      </c>
      <c r="O34" s="89" t="str">
        <f>IFERROR(ج_ح_فروردین[[#This Row],[حقوق پایه]]+ج_ح_فروردین[[#This Row],[اضافه کاری]]+ج_ح_فروردین[[#This Row],[حق مسکن]]+ج_ح_فروردین[[#This Row],[حق اولاد]]+ج_ح_فروردین[[#This Row],[حق و خواروبار]],"")</f>
        <v/>
      </c>
      <c r="P34"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34"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34" s="91"/>
      <c r="S34" s="91"/>
      <c r="T34" s="89" t="str">
        <f>IFERROR(ج_ح_فروردین[[#This Row],[جمع ح و م م بیمه ]]*7%,"")</f>
        <v/>
      </c>
      <c r="U34"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34" s="89" t="str">
        <f>IFERROR(ج_ح_فروردین[[#This Row],[وام]]+ج_ح_فروردین[[#This Row],[مساعده]]+ج_ح_فروردین[[#This Row],[بیمه پرداختنی]]+ج_ح_فروردین[[#This Row],[مالیات پرداختنی]],"")</f>
        <v/>
      </c>
      <c r="W34" s="89" t="str">
        <f>IFERROR(ج_ح_فروردین[[#This Row],[جمع ح و م]]-ج_ح_فروردین[[#This Row],[جمع کسورات]],"")</f>
        <v/>
      </c>
      <c r="X34" s="108"/>
    </row>
    <row r="35" spans="1:24" ht="32.1" customHeight="1">
      <c r="B35" s="1">
        <v>1</v>
      </c>
      <c r="C35" s="85" t="str">
        <f>IF(ج_ح_فروردین[[#This Row],[نام]]&lt;&gt;"",ROW()-7+1,"")</f>
        <v/>
      </c>
      <c r="D35" s="86"/>
      <c r="E35" s="86"/>
      <c r="F35" s="87"/>
      <c r="G35" s="88" t="str">
        <f>IFERROR(IF(COUNT(ج_ح_فروردین[[#This Row],[کارکرد]]),حداقل_حقوق_پایه_روزانه,""),"")</f>
        <v/>
      </c>
      <c r="H35" s="89" t="str">
        <f>IFERROR(IF(ج_ح_فروردین[[#This Row],[کارکرد]]*ج_ح_فروردین[[#This Row],[دستمزد روزانه ]]=0,"",ج_ح_فروردین[[#This Row],[کارکرد]]*ج_ح_فروردین[[#This Row],[دستمزد روزانه ]]),"")</f>
        <v/>
      </c>
      <c r="I35" s="91"/>
      <c r="J35" s="93" t="str">
        <f>IFERROR((ج_ح_فروردین[[#This Row],[دستمزد روزانه ]]/7.33)*1.4*ج_ح_فروردین[[#This Row],[مدت اضافه کاری ]],"")</f>
        <v/>
      </c>
      <c r="K35" s="89" t="str">
        <f>IF(ج_ح_فروردین[[#This Row],[کارکرد]]="","",ج_ح_فروردین[[#This Row],[کارکرد]]/31*حق_مسکن)</f>
        <v/>
      </c>
      <c r="L35" s="91"/>
      <c r="M35" s="89" t="str">
        <f>IFERROR(IF(ج_ح_فروردین[[#This Row],[تعداد فرزندان]]="","",ج_ح_فروردین[[#This Row],[کارکرد]]/31*3*ج_ح_فروردین[[#This Row],[تعداد فرزندان]]*حداقل_حقوق_پایه_روزانه),"")</f>
        <v/>
      </c>
      <c r="N35" s="89" t="str">
        <f>IF(ج_ح_فروردین[[#This Row],[کارکرد]]="","",ج_ح_فروردین[[#This Row],[کارکرد]]/31*حق_خواربار)</f>
        <v/>
      </c>
      <c r="O35" s="89" t="str">
        <f>IFERROR(ج_ح_فروردین[[#This Row],[حقوق پایه]]+ج_ح_فروردین[[#This Row],[اضافه کاری]]+ج_ح_فروردین[[#This Row],[حق مسکن]]+ج_ح_فروردین[[#This Row],[حق اولاد]]+ج_ح_فروردین[[#This Row],[حق و خواروبار]],"")</f>
        <v/>
      </c>
      <c r="P35"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35"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35" s="91"/>
      <c r="S35" s="91"/>
      <c r="T35" s="89" t="str">
        <f>IFERROR(ج_ح_فروردین[[#This Row],[جمع ح و م م بیمه ]]*7%,"")</f>
        <v/>
      </c>
      <c r="U35"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35" s="89" t="str">
        <f>IFERROR(ج_ح_فروردین[[#This Row],[وام]]+ج_ح_فروردین[[#This Row],[مساعده]]+ج_ح_فروردین[[#This Row],[بیمه پرداختنی]]+ج_ح_فروردین[[#This Row],[مالیات پرداختنی]],"")</f>
        <v/>
      </c>
      <c r="W35" s="89" t="str">
        <f>IFERROR(ج_ح_فروردین[[#This Row],[جمع ح و م]]-ج_ح_فروردین[[#This Row],[جمع کسورات]],"")</f>
        <v/>
      </c>
      <c r="X35" s="108"/>
    </row>
    <row r="36" spans="1:24" ht="32.1" customHeight="1">
      <c r="B36" s="1">
        <v>1</v>
      </c>
      <c r="C36" s="85" t="str">
        <f>IF(ج_ح_فروردین[[#This Row],[نام]]&lt;&gt;"",ROW()-7+1,"")</f>
        <v/>
      </c>
      <c r="D36" s="86"/>
      <c r="E36" s="86"/>
      <c r="F36" s="87"/>
      <c r="G36" s="88" t="str">
        <f>IFERROR(IF(COUNT(ج_ح_فروردین[[#This Row],[کارکرد]]),حداقل_حقوق_پایه_روزانه,""),"")</f>
        <v/>
      </c>
      <c r="H36" s="89" t="str">
        <f>IFERROR(IF(ج_ح_فروردین[[#This Row],[کارکرد]]*ج_ح_فروردین[[#This Row],[دستمزد روزانه ]]=0,"",ج_ح_فروردین[[#This Row],[کارکرد]]*ج_ح_فروردین[[#This Row],[دستمزد روزانه ]]),"")</f>
        <v/>
      </c>
      <c r="I36" s="91"/>
      <c r="J36" s="93" t="str">
        <f>IFERROR((ج_ح_فروردین[[#This Row],[دستمزد روزانه ]]/7.33)*1.4*ج_ح_فروردین[[#This Row],[مدت اضافه کاری ]],"")</f>
        <v/>
      </c>
      <c r="K36" s="89" t="str">
        <f>IF(ج_ح_فروردین[[#This Row],[کارکرد]]="","",ج_ح_فروردین[[#This Row],[کارکرد]]/31*حق_مسکن)</f>
        <v/>
      </c>
      <c r="L36" s="91"/>
      <c r="M36" s="89" t="str">
        <f>IFERROR(IF(ج_ح_فروردین[[#This Row],[تعداد فرزندان]]="","",ج_ح_فروردین[[#This Row],[کارکرد]]/31*3*ج_ح_فروردین[[#This Row],[تعداد فرزندان]]*حداقل_حقوق_پایه_روزانه),"")</f>
        <v/>
      </c>
      <c r="N36" s="89" t="str">
        <f>IF(ج_ح_فروردین[[#This Row],[کارکرد]]="","",ج_ح_فروردین[[#This Row],[کارکرد]]/31*حق_خواربار)</f>
        <v/>
      </c>
      <c r="O36" s="89" t="str">
        <f>IFERROR(ج_ح_فروردین[[#This Row],[حقوق پایه]]+ج_ح_فروردین[[#This Row],[اضافه کاری]]+ج_ح_فروردین[[#This Row],[حق مسکن]]+ج_ح_فروردین[[#This Row],[حق اولاد]]+ج_ح_فروردین[[#This Row],[حق و خواروبار]],"")</f>
        <v/>
      </c>
      <c r="P36" s="89" t="str">
        <f>IFERROR(IF(ج_ح_فروردین[[#This Row],[حقوق پایه]]+ج_ح_فروردین[[#This Row],[اضافه کاری]]+ج_ح_فروردین[[#This Row],[حق مسکن]]+ج_ح_فروردین[[#This Row],[حق و خواروبار]]&gt;حداکثر_حقوق_مشمول_بیمه_ماهانه,حداکثر_حقوق_مشمول_بیمه_ماهانه,ج_ح_فروردین[[#This Row],[حقوق پایه]]+ج_ح_فروردین[[#This Row],[اضافه کاری]]+ج_ح_فروردین[[#This Row],[حق مسکن]]+ج_ح_فروردین[[#This Row],[حق و خواروبار]]),"")</f>
        <v/>
      </c>
      <c r="Q36" s="89" t="str">
        <f>IFERROR(ج_ح_فروردین[[#This Row],[حقوق پایه]]+ج_ح_فروردین[[#This Row],[اضافه کاری]]+ج_ح_فروردین[[#This Row],[حق مسکن]]+ج_ح_فروردین[[#This Row],[حق و خواروبار]]+ج_ح_فروردین[[#This Row],[حق اولاد]]-(2/7)*ج_ح_فروردین[[#This Row],[بیمه پرداختنی]],"")</f>
        <v/>
      </c>
      <c r="R36" s="91"/>
      <c r="S36" s="91"/>
      <c r="T36" s="89" t="str">
        <f>IFERROR(ج_ح_فروردین[[#This Row],[جمع ح و م م بیمه ]]*7%,"")</f>
        <v/>
      </c>
      <c r="U36" s="92" t="str">
        <f>IFERROR(IF(ج_ح_فروردین[[#This Row],[جمع ح و م م مالیات]]&gt;=400000000,(ج_ح_فروردین[[#This Row],[جمع ح و م م مالیات]]-400000000)*30%+26000000,IF(ج_ح_فروردین[[#This Row],[جمع ح و م م مالیات]]&gt;=270000000,(ج_ح_فروردین[[#This Row],[جمع ح و م م مالیات]]-270000000)*20%+15750000,IF(ج_ح_فروردین[[#This Row],[جمع ح و م م مالیات]]&gt;=165000000,(ج_ح_فروردین[[#This Row],[جمع ح و م م مالیات]]-165000000)*15%+4500000,IF(ج_ح_فروردین[[#This Row],[جمع ح و م م مالیات]]&gt;=120000000,(ج_ح_فروردین[[#This Row],[جمع ح و م م مالیات]]-120000000)*10%,0)))),"")</f>
        <v/>
      </c>
      <c r="V36" s="89" t="str">
        <f>IFERROR(ج_ح_فروردین[[#This Row],[وام]]+ج_ح_فروردین[[#This Row],[مساعده]]+ج_ح_فروردین[[#This Row],[بیمه پرداختنی]]+ج_ح_فروردین[[#This Row],[مالیات پرداختنی]],"")</f>
        <v/>
      </c>
      <c r="W36" s="89" t="str">
        <f>IFERROR(ج_ح_فروردین[[#This Row],[جمع ح و م]]-ج_ح_فروردین[[#This Row],[جمع کسورات]],"")</f>
        <v/>
      </c>
      <c r="X36" s="108"/>
    </row>
    <row r="37" spans="1:24" ht="32.1" customHeight="1">
      <c r="B37" s="1">
        <v>1</v>
      </c>
      <c r="C37" s="23"/>
      <c r="D37" s="24"/>
      <c r="E37" s="24" t="s">
        <v>35</v>
      </c>
      <c r="F37" s="33">
        <f>SUBTOTAL(109,ج_ح_فروردین[کارکرد])</f>
        <v>0</v>
      </c>
      <c r="G37" s="25">
        <f>SUBTOTAL(109,ج_ح_فروردین[[دستمزد روزانه ]])</f>
        <v>0</v>
      </c>
      <c r="H37" s="25">
        <f>SUBTOTAL(109,ج_ح_فروردین[حقوق پایه])</f>
        <v>0</v>
      </c>
      <c r="I37" s="34">
        <f>SUBTOTAL(109,ج_ح_فروردین[[مدت اضافه کاری ]])</f>
        <v>0</v>
      </c>
      <c r="J37" s="84">
        <f>SUBTOTAL(109,ج_ح_فروردین[اضافه کاری])</f>
        <v>0</v>
      </c>
      <c r="K37" s="25">
        <f>SUBTOTAL(109,ج_ح_فروردین[حق مسکن])</f>
        <v>0</v>
      </c>
      <c r="L37" s="36">
        <f>SUBTOTAL(109,ج_ح_فروردین[تعداد فرزندان])</f>
        <v>0</v>
      </c>
      <c r="M37" s="25">
        <f>SUBTOTAL(109,ج_ح_فروردین[حق اولاد])</f>
        <v>0</v>
      </c>
      <c r="N37" s="25">
        <f>SUBTOTAL(109,ج_ح_فروردین[حق و خواروبار])</f>
        <v>0</v>
      </c>
      <c r="O37" s="25">
        <f>SUBTOTAL(109,ج_ح_فروردین[جمع ح و م])</f>
        <v>0</v>
      </c>
      <c r="P37" s="25">
        <f>SUBTOTAL(109,ج_ح_فروردین[[جمع ح و م م بیمه ]])</f>
        <v>0</v>
      </c>
      <c r="Q37" s="25">
        <f>SUBTOTAL(109,ج_ح_فروردین[جمع ح و م م مالیات])</f>
        <v>0</v>
      </c>
      <c r="R37" s="25">
        <f>SUBTOTAL(109,ج_ح_فروردین[وام])</f>
        <v>0</v>
      </c>
      <c r="S37" s="25">
        <f>SUBTOTAL(109,ج_ح_فروردین[مساعده])</f>
        <v>0</v>
      </c>
      <c r="T37" s="25">
        <f>SUBTOTAL(109,ج_ح_فروردین[بیمه پرداختنی])</f>
        <v>0</v>
      </c>
      <c r="U37" s="25">
        <f>SUBTOTAL(109,ج_ح_فروردین[مالیات پرداختنی])</f>
        <v>0</v>
      </c>
      <c r="V37" s="25">
        <f>SUBTOTAL(109,ج_ح_فروردین[جمع کسورات])</f>
        <v>0</v>
      </c>
      <c r="W37" s="25">
        <f>SUBTOTAL(109,ج_ح_فروردین[خالص قابل پرداخت])</f>
        <v>0</v>
      </c>
      <c r="X37" s="152"/>
    </row>
    <row r="38" spans="1:24" ht="8.1" customHeight="1"/>
    <row r="39" spans="1:24" s="7" customFormat="1" ht="39.950000000000003" customHeight="1">
      <c r="A39" s="15"/>
      <c r="B39" s="15"/>
      <c r="C39" s="128" t="str">
        <f>CONCATENATE("شرکت"," ",'اطلاعات شرکت'!$B$1)</f>
        <v>شرکت پندار حساب شهسوار</v>
      </c>
      <c r="D39" s="128"/>
      <c r="E39" s="128"/>
      <c r="F39" s="128"/>
      <c r="G39" s="128"/>
      <c r="H39" s="128"/>
      <c r="I39" s="128"/>
      <c r="J39" s="128"/>
      <c r="K39" s="128"/>
      <c r="L39" s="128"/>
      <c r="M39" s="128"/>
      <c r="N39" s="128"/>
      <c r="O39" s="128"/>
      <c r="P39" s="128"/>
      <c r="Q39" s="128"/>
      <c r="R39" s="128"/>
      <c r="S39" s="128"/>
      <c r="T39" s="128"/>
      <c r="U39" s="128"/>
      <c r="V39" s="128"/>
      <c r="W39" s="128"/>
      <c r="X39" s="105"/>
    </row>
    <row r="40" spans="1:24" s="7" customFormat="1" ht="50.1" customHeight="1">
      <c r="C40" s="127" t="str">
        <f>CONCATENATE("جدول حقوق و دستمزد اردیبهشت ماه سال"," ",'اطلاعات شرکت'!$B$2)</f>
        <v>جدول حقوق و دستمزد اردیبهشت ماه سال 1402</v>
      </c>
      <c r="D40" s="127"/>
      <c r="E40" s="127"/>
      <c r="F40" s="127"/>
      <c r="G40" s="127"/>
      <c r="H40" s="127"/>
      <c r="I40" s="127"/>
      <c r="J40" s="127"/>
      <c r="K40" s="127"/>
      <c r="L40" s="127"/>
      <c r="M40" s="127"/>
      <c r="N40" s="127"/>
      <c r="O40" s="127"/>
      <c r="P40" s="127"/>
      <c r="Q40" s="127"/>
      <c r="R40" s="127"/>
      <c r="S40" s="127"/>
      <c r="T40" s="127"/>
      <c r="U40" s="127"/>
      <c r="V40" s="127"/>
      <c r="W40" s="127"/>
      <c r="X40" s="105"/>
    </row>
    <row r="41" spans="1:24" s="12" customFormat="1" ht="50.1" customHeight="1">
      <c r="C41" s="129" t="s">
        <v>1</v>
      </c>
      <c r="D41" s="28" t="s">
        <v>23</v>
      </c>
      <c r="E41" s="28" t="s">
        <v>56</v>
      </c>
      <c r="F41" s="28" t="s">
        <v>11</v>
      </c>
      <c r="G41" s="28" t="s">
        <v>12</v>
      </c>
      <c r="H41" s="28" t="s">
        <v>37</v>
      </c>
      <c r="I41" s="28" t="s">
        <v>51</v>
      </c>
      <c r="J41" s="28" t="s">
        <v>47</v>
      </c>
      <c r="K41" s="28" t="s">
        <v>4</v>
      </c>
      <c r="L41" s="28" t="s">
        <v>48</v>
      </c>
      <c r="M41" s="28" t="s">
        <v>14</v>
      </c>
      <c r="N41" s="28" t="s">
        <v>5</v>
      </c>
      <c r="O41" s="28" t="s">
        <v>17</v>
      </c>
      <c r="P41" s="28" t="s">
        <v>49</v>
      </c>
      <c r="Q41" s="28" t="s">
        <v>50</v>
      </c>
      <c r="R41" s="28" t="s">
        <v>15</v>
      </c>
      <c r="S41" s="28" t="s">
        <v>16</v>
      </c>
      <c r="T41" s="28" t="s">
        <v>59</v>
      </c>
      <c r="U41" s="28" t="s">
        <v>58</v>
      </c>
      <c r="V41" s="28" t="s">
        <v>21</v>
      </c>
      <c r="W41" s="28" t="s">
        <v>57</v>
      </c>
      <c r="X41" s="106"/>
    </row>
    <row r="42" spans="1:24" s="7" customFormat="1" ht="32.1" customHeight="1">
      <c r="C42" s="129"/>
      <c r="D42" s="29">
        <v>1</v>
      </c>
      <c r="E42" s="29">
        <v>2</v>
      </c>
      <c r="F42" s="29">
        <v>3</v>
      </c>
      <c r="G42" s="29">
        <v>4</v>
      </c>
      <c r="H42" s="29">
        <v>5</v>
      </c>
      <c r="I42" s="29">
        <v>6</v>
      </c>
      <c r="J42" s="29">
        <v>7</v>
      </c>
      <c r="K42" s="29">
        <v>8</v>
      </c>
      <c r="L42" s="29">
        <v>9</v>
      </c>
      <c r="M42" s="29">
        <v>10</v>
      </c>
      <c r="N42" s="29">
        <v>11</v>
      </c>
      <c r="O42" s="29">
        <v>12</v>
      </c>
      <c r="P42" s="29">
        <v>13</v>
      </c>
      <c r="Q42" s="29">
        <v>14</v>
      </c>
      <c r="R42" s="29">
        <v>15</v>
      </c>
      <c r="S42" s="29">
        <v>16</v>
      </c>
      <c r="T42" s="29">
        <v>17</v>
      </c>
      <c r="U42" s="29">
        <v>18</v>
      </c>
      <c r="V42" s="29">
        <v>19</v>
      </c>
      <c r="W42" s="30">
        <v>20</v>
      </c>
      <c r="X42" s="105"/>
    </row>
    <row r="43" spans="1:24" s="7" customFormat="1" ht="20.100000000000001" customHeight="1">
      <c r="C43" s="16" t="s">
        <v>1</v>
      </c>
      <c r="D43" s="16" t="s">
        <v>23</v>
      </c>
      <c r="E43" s="16" t="s">
        <v>56</v>
      </c>
      <c r="F43" s="16" t="s">
        <v>11</v>
      </c>
      <c r="G43" s="16" t="s">
        <v>12</v>
      </c>
      <c r="H43" s="16" t="s">
        <v>37</v>
      </c>
      <c r="I43" s="16" t="s">
        <v>46</v>
      </c>
      <c r="J43" s="16" t="s">
        <v>47</v>
      </c>
      <c r="K43" s="16" t="s">
        <v>4</v>
      </c>
      <c r="L43" s="16" t="s">
        <v>13</v>
      </c>
      <c r="M43" s="16" t="s">
        <v>14</v>
      </c>
      <c r="N43" s="16" t="s">
        <v>79</v>
      </c>
      <c r="O43" s="16" t="s">
        <v>53</v>
      </c>
      <c r="P43" s="16" t="s">
        <v>54</v>
      </c>
      <c r="Q43" s="31" t="s">
        <v>55</v>
      </c>
      <c r="R43" s="16" t="s">
        <v>15</v>
      </c>
      <c r="S43" s="16" t="s">
        <v>16</v>
      </c>
      <c r="T43" s="31" t="s">
        <v>19</v>
      </c>
      <c r="U43" s="31" t="s">
        <v>20</v>
      </c>
      <c r="V43" s="16" t="s">
        <v>21</v>
      </c>
      <c r="W43" s="16" t="s">
        <v>22</v>
      </c>
      <c r="X43" s="110" t="s">
        <v>133</v>
      </c>
    </row>
    <row r="44" spans="1:24" ht="32.1" customHeight="1">
      <c r="B44" s="1">
        <f>B37+1</f>
        <v>2</v>
      </c>
      <c r="C44" s="85" t="str">
        <f>IF(ج_ح_اردیبهشت[[#This Row],[نام]]&lt;&gt;"",ROW()-44+1,"")</f>
        <v/>
      </c>
      <c r="D44" s="86"/>
      <c r="E44" s="86"/>
      <c r="F44" s="87"/>
      <c r="G44" s="88" t="str">
        <f>IFERROR(IF(COUNT(ج_ح_اردیبهشت[[#This Row],[کارکرد]]),حداقل_حقوق_پایه_روزانه,""),"")</f>
        <v/>
      </c>
      <c r="H44" s="89" t="str">
        <f>IFERROR(IF(ج_ح_اردیبهشت[[#This Row],[کارکرد]]*ج_ح_اردیبهشت[[#This Row],[دستمزد روزانه ]]=0,"",ج_ح_اردیبهشت[[#This Row],[کارکرد]]*ج_ح_اردیبهشت[[#This Row],[دستمزد روزانه ]]),"")</f>
        <v/>
      </c>
      <c r="I44" s="91">
        <v>0</v>
      </c>
      <c r="J44" s="90" t="str">
        <f>IFERROR((ج_ح_اردیبهشت[[#This Row],[دستمزد روزانه ]]/7.33)*1.4*ج_ح_اردیبهشت[[#This Row],[مدت اضافه کاری ]],"")</f>
        <v/>
      </c>
      <c r="K44" s="89" t="str">
        <f>IF(ج_ح_اردیبهشت[[#This Row],[کارکرد]]="","",ج_ح_اردیبهشت[[#This Row],[کارکرد]]/31*حق_مسکن)</f>
        <v/>
      </c>
      <c r="L44" s="91">
        <v>0</v>
      </c>
      <c r="M44" s="89">
        <f>IF(ج_ح_اردیبهشت[[#This Row],[تعداد فرزندان]]="","",ج_ح_اردیبهشت[[#This Row],[کارکرد]]/31*3*ج_ح_اردیبهشت[[#This Row],[تعداد فرزندان]]*حداقل_حقوق_پایه_روزانه)</f>
        <v>0</v>
      </c>
      <c r="N44" s="89" t="str">
        <f>IF(ج_ح_اردیبهشت[[#This Row],[کارکرد]]="","",ج_ح_اردیبهشت[[#This Row],[کارکرد]]/31*حق_خواربار)</f>
        <v/>
      </c>
      <c r="O44" s="89" t="str">
        <f>IFERROR(ج_ح_اردیبهشت[[#This Row],[حقوق پایه]]+ج_ح_اردیبهشت[[#This Row],[اضافه کاری]]+ج_ح_اردیبهشت[[#This Row],[حق مسکن]]+ج_ح_اردیبهشت[[#This Row],[حق اولاد]]+ج_ح_اردیبهشت[[#This Row],[حق و خواروبار]],"")</f>
        <v/>
      </c>
      <c r="P44"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44"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44" s="91">
        <v>0</v>
      </c>
      <c r="S44" s="91">
        <v>0</v>
      </c>
      <c r="T44" s="89" t="str">
        <f>IFERROR(ج_ح_اردیبهشت[[#This Row],[جمع ح و م م بیمه ]]*7%,"")</f>
        <v/>
      </c>
      <c r="U44"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44" s="89" t="str">
        <f>IFERROR(ج_ح_اردیبهشت[[#This Row],[وام]]+ج_ح_اردیبهشت[[#This Row],[مساعده]]+ج_ح_اردیبهشت[[#This Row],[بیمه پرداختنی]]+ج_ح_اردیبهشت[[#This Row],[مالیات پرداختنی]],"")</f>
        <v/>
      </c>
      <c r="W44" s="89" t="str">
        <f>IFERROR(ج_ح_اردیبهشت[[#This Row],[جمع ح و م]]-ج_ح_اردیبهشت[[#This Row],[جمع کسورات]],"")</f>
        <v/>
      </c>
      <c r="X44" s="108" t="e">
        <f>100000000-ج_ح_اردیبهشت[[#This Row],[جمع ح و م م مالیات]]</f>
        <v>#VALUE!</v>
      </c>
    </row>
    <row r="45" spans="1:24" ht="32.1" customHeight="1">
      <c r="B45" s="1">
        <f>B44</f>
        <v>2</v>
      </c>
      <c r="C45" s="85" t="str">
        <f>IF(ج_ح_اردیبهشت[[#This Row],[نام]]&lt;&gt;"",ROW()-44+1,"")</f>
        <v/>
      </c>
      <c r="D45" s="86"/>
      <c r="E45" s="86"/>
      <c r="F45" s="87"/>
      <c r="G45" s="88" t="str">
        <f>IFERROR(IF(COUNT(ج_ح_اردیبهشت[[#This Row],[کارکرد]]),حداقل_حقوق_پایه_روزانه,""),"")</f>
        <v/>
      </c>
      <c r="H45" s="89" t="str">
        <f>IFERROR(IF(ج_ح_اردیبهشت[[#This Row],[کارکرد]]*ج_ح_اردیبهشت[[#This Row],[دستمزد روزانه ]]=0,"",ج_ح_اردیبهشت[[#This Row],[کارکرد]]*ج_ح_اردیبهشت[[#This Row],[دستمزد روزانه ]]),"")</f>
        <v/>
      </c>
      <c r="I45" s="91">
        <v>0</v>
      </c>
      <c r="J45" s="90" t="str">
        <f>IFERROR((ج_ح_اردیبهشت[[#This Row],[دستمزد روزانه ]]/7.33)*1.4*ج_ح_اردیبهشت[[#This Row],[مدت اضافه کاری ]],"")</f>
        <v/>
      </c>
      <c r="K45" s="89" t="str">
        <f>IF(ج_ح_اردیبهشت[[#This Row],[کارکرد]]="","",ج_ح_اردیبهشت[[#This Row],[کارکرد]]/31*حق_مسکن)</f>
        <v/>
      </c>
      <c r="L45" s="91">
        <v>0</v>
      </c>
      <c r="M45" s="89">
        <f>IF(ج_ح_اردیبهشت[[#This Row],[تعداد فرزندان]]="","",ج_ح_اردیبهشت[[#This Row],[کارکرد]]/31*3*ج_ح_اردیبهشت[[#This Row],[تعداد فرزندان]]*حداقل_حقوق_پایه_روزانه)</f>
        <v>0</v>
      </c>
      <c r="N45" s="89" t="str">
        <f>IF(ج_ح_اردیبهشت[[#This Row],[کارکرد]]="","",ج_ح_اردیبهشت[[#This Row],[کارکرد]]/31*حق_خواربار)</f>
        <v/>
      </c>
      <c r="O45" s="89" t="str">
        <f>IFERROR(ج_ح_اردیبهشت[[#This Row],[حقوق پایه]]+ج_ح_اردیبهشت[[#This Row],[اضافه کاری]]+ج_ح_اردیبهشت[[#This Row],[حق مسکن]]+ج_ح_اردیبهشت[[#This Row],[حق اولاد]]+ج_ح_اردیبهشت[[#This Row],[حق و خواروبار]],"")</f>
        <v/>
      </c>
      <c r="P45"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45"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45" s="91">
        <v>0</v>
      </c>
      <c r="S45" s="91">
        <v>0</v>
      </c>
      <c r="T45" s="89" t="str">
        <f>IFERROR(ج_ح_اردیبهشت[[#This Row],[جمع ح و م م بیمه ]]*7%,"")</f>
        <v/>
      </c>
      <c r="U45"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45" s="89" t="str">
        <f>IFERROR(ج_ح_اردیبهشت[[#This Row],[وام]]+ج_ح_اردیبهشت[[#This Row],[مساعده]]+ج_ح_اردیبهشت[[#This Row],[بیمه پرداختنی]]+ج_ح_اردیبهشت[[#This Row],[مالیات پرداختنی]],"")</f>
        <v/>
      </c>
      <c r="W45" s="89" t="str">
        <f>IFERROR(ج_ح_اردیبهشت[[#This Row],[جمع ح و م]]-ج_ح_اردیبهشت[[#This Row],[جمع کسورات]],"")</f>
        <v/>
      </c>
      <c r="X45" s="108" t="e">
        <f>100000000-ج_ح_اردیبهشت[[#This Row],[جمع ح و م م مالیات]]</f>
        <v>#VALUE!</v>
      </c>
    </row>
    <row r="46" spans="1:24" ht="32.1" customHeight="1">
      <c r="B46" s="1">
        <f t="shared" ref="B46:B74" si="0">B45</f>
        <v>2</v>
      </c>
      <c r="C46" s="85" t="str">
        <f>IF(ج_ح_اردیبهشت[[#This Row],[نام]]&lt;&gt;"",ROW()-44+1,"")</f>
        <v/>
      </c>
      <c r="D46" s="86"/>
      <c r="E46" s="86"/>
      <c r="F46" s="87"/>
      <c r="G46" s="88" t="str">
        <f>IFERROR(IF(COUNT(ج_ح_اردیبهشت[[#This Row],[کارکرد]]),حداقل_حقوق_پایه_روزانه,""),"")</f>
        <v/>
      </c>
      <c r="H46" s="89" t="str">
        <f>IFERROR(IF(ج_ح_اردیبهشت[[#This Row],[کارکرد]]*ج_ح_اردیبهشت[[#This Row],[دستمزد روزانه ]]=0,"",ج_ح_اردیبهشت[[#This Row],[کارکرد]]*ج_ح_اردیبهشت[[#This Row],[دستمزد روزانه ]]),"")</f>
        <v/>
      </c>
      <c r="I46" s="91">
        <v>0</v>
      </c>
      <c r="J46" s="90" t="str">
        <f>IFERROR((ج_ح_اردیبهشت[[#This Row],[دستمزد روزانه ]]/7.33)*1.4*ج_ح_اردیبهشت[[#This Row],[مدت اضافه کاری ]],"")</f>
        <v/>
      </c>
      <c r="K46" s="89" t="str">
        <f>IF(ج_ح_اردیبهشت[[#This Row],[کارکرد]]="","",ج_ح_اردیبهشت[[#This Row],[کارکرد]]/31*حق_مسکن)</f>
        <v/>
      </c>
      <c r="L46" s="91">
        <v>0</v>
      </c>
      <c r="M46" s="89">
        <f>IF(ج_ح_اردیبهشت[[#This Row],[تعداد فرزندان]]="","",ج_ح_اردیبهشت[[#This Row],[کارکرد]]/31*3*ج_ح_اردیبهشت[[#This Row],[تعداد فرزندان]]*حداقل_حقوق_پایه_روزانه)</f>
        <v>0</v>
      </c>
      <c r="N46" s="89" t="str">
        <f>IF(ج_ح_اردیبهشت[[#This Row],[کارکرد]]="","",ج_ح_اردیبهشت[[#This Row],[کارکرد]]/31*حق_خواربار)</f>
        <v/>
      </c>
      <c r="O46" s="89" t="str">
        <f>IFERROR(ج_ح_اردیبهشت[[#This Row],[حقوق پایه]]+ج_ح_اردیبهشت[[#This Row],[اضافه کاری]]+ج_ح_اردیبهشت[[#This Row],[حق مسکن]]+ج_ح_اردیبهشت[[#This Row],[حق اولاد]]+ج_ح_اردیبهشت[[#This Row],[حق و خواروبار]],"")</f>
        <v/>
      </c>
      <c r="P46"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46"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46" s="91">
        <v>0</v>
      </c>
      <c r="S46" s="91">
        <v>0</v>
      </c>
      <c r="T46" s="89" t="str">
        <f>IFERROR(ج_ح_اردیبهشت[[#This Row],[جمع ح و م م بیمه ]]*7%,"")</f>
        <v/>
      </c>
      <c r="U46"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46" s="89" t="str">
        <f>IFERROR(ج_ح_اردیبهشت[[#This Row],[وام]]+ج_ح_اردیبهشت[[#This Row],[مساعده]]+ج_ح_اردیبهشت[[#This Row],[بیمه پرداختنی]]+ج_ح_اردیبهشت[[#This Row],[مالیات پرداختنی]],"")</f>
        <v/>
      </c>
      <c r="W46" s="89" t="str">
        <f>IFERROR(ج_ح_اردیبهشت[[#This Row],[جمع ح و م]]-ج_ح_اردیبهشت[[#This Row],[جمع کسورات]],"")</f>
        <v/>
      </c>
      <c r="X46" s="108" t="e">
        <f>100000000-ج_ح_اردیبهشت[[#This Row],[جمع ح و م م مالیات]]</f>
        <v>#VALUE!</v>
      </c>
    </row>
    <row r="47" spans="1:24" ht="32.1" customHeight="1">
      <c r="B47" s="1">
        <f t="shared" si="0"/>
        <v>2</v>
      </c>
      <c r="C47" s="85" t="str">
        <f>IF(ج_ح_اردیبهشت[[#This Row],[نام]]&lt;&gt;"",ROW()-44+1,"")</f>
        <v/>
      </c>
      <c r="D47" s="86"/>
      <c r="E47" s="86"/>
      <c r="F47" s="87"/>
      <c r="G47" s="88" t="str">
        <f>IFERROR(IF(COUNT(ج_ح_اردیبهشت[[#This Row],[کارکرد]]),حداقل_حقوق_پایه_روزانه,""),"")</f>
        <v/>
      </c>
      <c r="H47" s="89" t="str">
        <f>IFERROR(IF(ج_ح_اردیبهشت[[#This Row],[کارکرد]]*ج_ح_اردیبهشت[[#This Row],[دستمزد روزانه ]]=0,"",ج_ح_اردیبهشت[[#This Row],[کارکرد]]*ج_ح_اردیبهشت[[#This Row],[دستمزد روزانه ]]),"")</f>
        <v/>
      </c>
      <c r="I47" s="91"/>
      <c r="J47" s="90" t="str">
        <f>IFERROR((ج_ح_اردیبهشت[[#This Row],[دستمزد روزانه ]]/7.33)*1.4*ج_ح_اردیبهشت[[#This Row],[مدت اضافه کاری ]],"")</f>
        <v/>
      </c>
      <c r="K47" s="89" t="str">
        <f>IF(ج_ح_اردیبهشت[[#This Row],[کارکرد]]="","",ج_ح_اردیبهشت[[#This Row],[کارکرد]]/31*حق_مسکن)</f>
        <v/>
      </c>
      <c r="L47" s="91"/>
      <c r="M47" s="89" t="str">
        <f>IF(ج_ح_اردیبهشت[[#This Row],[تعداد فرزندان]]="","",ج_ح_اردیبهشت[[#This Row],[کارکرد]]/31*3*ج_ح_اردیبهشت[[#This Row],[تعداد فرزندان]]*حداقل_حقوق_پایه_روزانه)</f>
        <v/>
      </c>
      <c r="N47" s="89" t="str">
        <f>IF(ج_ح_اردیبهشت[[#This Row],[کارکرد]]="","",ج_ح_اردیبهشت[[#This Row],[کارکرد]]/31*حق_خواربار)</f>
        <v/>
      </c>
      <c r="O47" s="89" t="str">
        <f>IFERROR(ج_ح_اردیبهشت[[#This Row],[حقوق پایه]]+ج_ح_اردیبهشت[[#This Row],[اضافه کاری]]+ج_ح_اردیبهشت[[#This Row],[حق مسکن]]+ج_ح_اردیبهشت[[#This Row],[حق اولاد]]+ج_ح_اردیبهشت[[#This Row],[حق و خواروبار]],"")</f>
        <v/>
      </c>
      <c r="P47"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47"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47" s="91"/>
      <c r="S47" s="91"/>
      <c r="T47" s="89" t="str">
        <f>IFERROR(ج_ح_اردیبهشت[[#This Row],[جمع ح و م م بیمه ]]*7%,"")</f>
        <v/>
      </c>
      <c r="U47"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47" s="89" t="str">
        <f>IFERROR(ج_ح_اردیبهشت[[#This Row],[وام]]+ج_ح_اردیبهشت[[#This Row],[مساعده]]+ج_ح_اردیبهشت[[#This Row],[بیمه پرداختنی]]+ج_ح_اردیبهشت[[#This Row],[مالیات پرداختنی]],"")</f>
        <v/>
      </c>
      <c r="W47" s="89" t="str">
        <f>IFERROR(ج_ح_اردیبهشت[[#This Row],[جمع ح و م]]-ج_ح_اردیبهشت[[#This Row],[جمع کسورات]],"")</f>
        <v/>
      </c>
      <c r="X47" s="108"/>
    </row>
    <row r="48" spans="1:24" ht="32.1" customHeight="1">
      <c r="B48" s="1">
        <f t="shared" si="0"/>
        <v>2</v>
      </c>
      <c r="C48" s="85" t="str">
        <f>IF(ج_ح_اردیبهشت[[#This Row],[نام]]&lt;&gt;"",ROW()-44+1,"")</f>
        <v/>
      </c>
      <c r="D48" s="86"/>
      <c r="E48" s="86"/>
      <c r="F48" s="87"/>
      <c r="G48" s="88" t="str">
        <f>IFERROR(IF(COUNT(ج_ح_اردیبهشت[[#This Row],[کارکرد]]),حداقل_حقوق_پایه_روزانه,""),"")</f>
        <v/>
      </c>
      <c r="H48" s="89" t="str">
        <f>IFERROR(IF(ج_ح_اردیبهشت[[#This Row],[کارکرد]]*ج_ح_اردیبهشت[[#This Row],[دستمزد روزانه ]]=0,"",ج_ح_اردیبهشت[[#This Row],[کارکرد]]*ج_ح_اردیبهشت[[#This Row],[دستمزد روزانه ]]),"")</f>
        <v/>
      </c>
      <c r="I48" s="91"/>
      <c r="J48" s="90" t="str">
        <f>IFERROR((ج_ح_اردیبهشت[[#This Row],[دستمزد روزانه ]]/7.33)*1.4*ج_ح_اردیبهشت[[#This Row],[مدت اضافه کاری ]],"")</f>
        <v/>
      </c>
      <c r="K48" s="89" t="str">
        <f>IF(ج_ح_اردیبهشت[[#This Row],[کارکرد]]="","",ج_ح_اردیبهشت[[#This Row],[کارکرد]]/31*حق_مسکن)</f>
        <v/>
      </c>
      <c r="L48" s="91"/>
      <c r="M48" s="89" t="str">
        <f>IF(ج_ح_اردیبهشت[[#This Row],[تعداد فرزندان]]="","",ج_ح_اردیبهشت[[#This Row],[کارکرد]]/31*3*ج_ح_اردیبهشت[[#This Row],[تعداد فرزندان]]*حداقل_حقوق_پایه_روزانه)</f>
        <v/>
      </c>
      <c r="N48" s="89" t="str">
        <f>IF(ج_ح_اردیبهشت[[#This Row],[کارکرد]]="","",ج_ح_اردیبهشت[[#This Row],[کارکرد]]/31*حق_خواربار)</f>
        <v/>
      </c>
      <c r="O48" s="89" t="str">
        <f>IFERROR(ج_ح_اردیبهشت[[#This Row],[حقوق پایه]]+ج_ح_اردیبهشت[[#This Row],[اضافه کاری]]+ج_ح_اردیبهشت[[#This Row],[حق مسکن]]+ج_ح_اردیبهشت[[#This Row],[حق اولاد]]+ج_ح_اردیبهشت[[#This Row],[حق و خواروبار]],"")</f>
        <v/>
      </c>
      <c r="P48"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48"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48" s="91"/>
      <c r="S48" s="91"/>
      <c r="T48" s="89" t="str">
        <f>IFERROR(ج_ح_اردیبهشت[[#This Row],[جمع ح و م م بیمه ]]*7%,"")</f>
        <v/>
      </c>
      <c r="U48"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48" s="89" t="str">
        <f>IFERROR(ج_ح_اردیبهشت[[#This Row],[وام]]+ج_ح_اردیبهشت[[#This Row],[مساعده]]+ج_ح_اردیبهشت[[#This Row],[بیمه پرداختنی]]+ج_ح_اردیبهشت[[#This Row],[مالیات پرداختنی]],"")</f>
        <v/>
      </c>
      <c r="W48" s="89" t="str">
        <f>IFERROR(ج_ح_اردیبهشت[[#This Row],[جمع ح و م]]-ج_ح_اردیبهشت[[#This Row],[جمع کسورات]],"")</f>
        <v/>
      </c>
      <c r="X48" s="108"/>
    </row>
    <row r="49" spans="2:24" ht="32.1" customHeight="1">
      <c r="B49" s="1">
        <f t="shared" si="0"/>
        <v>2</v>
      </c>
      <c r="C49" s="85" t="str">
        <f>IF(ج_ح_اردیبهشت[[#This Row],[نام]]&lt;&gt;"",ROW()-44+1,"")</f>
        <v/>
      </c>
      <c r="D49" s="86"/>
      <c r="E49" s="86"/>
      <c r="F49" s="87"/>
      <c r="G49" s="88" t="str">
        <f>IFERROR(IF(COUNT(ج_ح_اردیبهشت[[#This Row],[کارکرد]]),حداقل_حقوق_پایه_روزانه,""),"")</f>
        <v/>
      </c>
      <c r="H49" s="89" t="str">
        <f>IFERROR(IF(ج_ح_اردیبهشت[[#This Row],[کارکرد]]*ج_ح_اردیبهشت[[#This Row],[دستمزد روزانه ]]=0,"",ج_ح_اردیبهشت[[#This Row],[کارکرد]]*ج_ح_اردیبهشت[[#This Row],[دستمزد روزانه ]]),"")</f>
        <v/>
      </c>
      <c r="I49" s="91"/>
      <c r="J49" s="90" t="str">
        <f>IFERROR((ج_ح_اردیبهشت[[#This Row],[دستمزد روزانه ]]/7.33)*1.4*ج_ح_اردیبهشت[[#This Row],[مدت اضافه کاری ]],"")</f>
        <v/>
      </c>
      <c r="K49" s="89" t="str">
        <f>IF(ج_ح_اردیبهشت[[#This Row],[کارکرد]]="","",ج_ح_اردیبهشت[[#This Row],[کارکرد]]/31*حق_مسکن)</f>
        <v/>
      </c>
      <c r="L49" s="91"/>
      <c r="M49" s="89" t="str">
        <f>IF(ج_ح_اردیبهشت[[#This Row],[تعداد فرزندان]]="","",ج_ح_اردیبهشت[[#This Row],[کارکرد]]/31*3*ج_ح_اردیبهشت[[#This Row],[تعداد فرزندان]]*حداقل_حقوق_پایه_روزانه)</f>
        <v/>
      </c>
      <c r="N49" s="89" t="str">
        <f>IF(ج_ح_اردیبهشت[[#This Row],[کارکرد]]="","",ج_ح_اردیبهشت[[#This Row],[کارکرد]]/31*حق_خواربار)</f>
        <v/>
      </c>
      <c r="O49" s="89" t="str">
        <f>IFERROR(ج_ح_اردیبهشت[[#This Row],[حقوق پایه]]+ج_ح_اردیبهشت[[#This Row],[اضافه کاری]]+ج_ح_اردیبهشت[[#This Row],[حق مسکن]]+ج_ح_اردیبهشت[[#This Row],[حق اولاد]]+ج_ح_اردیبهشت[[#This Row],[حق و خواروبار]],"")</f>
        <v/>
      </c>
      <c r="P49"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49"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49" s="91"/>
      <c r="S49" s="91"/>
      <c r="T49" s="89" t="str">
        <f>IFERROR(ج_ح_اردیبهشت[[#This Row],[جمع ح و م م بیمه ]]*7%,"")</f>
        <v/>
      </c>
      <c r="U49"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49" s="89" t="str">
        <f>IFERROR(ج_ح_اردیبهشت[[#This Row],[وام]]+ج_ح_اردیبهشت[[#This Row],[مساعده]]+ج_ح_اردیبهشت[[#This Row],[بیمه پرداختنی]]+ج_ح_اردیبهشت[[#This Row],[مالیات پرداختنی]],"")</f>
        <v/>
      </c>
      <c r="W49" s="89" t="str">
        <f>IFERROR(ج_ح_اردیبهشت[[#This Row],[جمع ح و م]]-ج_ح_اردیبهشت[[#This Row],[جمع کسورات]],"")</f>
        <v/>
      </c>
      <c r="X49" s="108"/>
    </row>
    <row r="50" spans="2:24" ht="32.1" customHeight="1">
      <c r="B50" s="1">
        <f t="shared" si="0"/>
        <v>2</v>
      </c>
      <c r="C50" s="85" t="str">
        <f>IF(ج_ح_اردیبهشت[[#This Row],[نام]]&lt;&gt;"",ROW()-44+1,"")</f>
        <v/>
      </c>
      <c r="D50" s="86"/>
      <c r="E50" s="86"/>
      <c r="F50" s="87"/>
      <c r="G50" s="88" t="str">
        <f>IFERROR(IF(COUNT(ج_ح_اردیبهشت[[#This Row],[کارکرد]]),حداقل_حقوق_پایه_روزانه,""),"")</f>
        <v/>
      </c>
      <c r="H50" s="89" t="str">
        <f>IFERROR(IF(ج_ح_اردیبهشت[[#This Row],[کارکرد]]*ج_ح_اردیبهشت[[#This Row],[دستمزد روزانه ]]=0,"",ج_ح_اردیبهشت[[#This Row],[کارکرد]]*ج_ح_اردیبهشت[[#This Row],[دستمزد روزانه ]]),"")</f>
        <v/>
      </c>
      <c r="I50" s="91"/>
      <c r="J50" s="90" t="str">
        <f>IFERROR((ج_ح_اردیبهشت[[#This Row],[دستمزد روزانه ]]/7.33)*1.4*ج_ح_اردیبهشت[[#This Row],[مدت اضافه کاری ]],"")</f>
        <v/>
      </c>
      <c r="K50" s="89" t="str">
        <f>IF(ج_ح_اردیبهشت[[#This Row],[کارکرد]]="","",ج_ح_اردیبهشت[[#This Row],[کارکرد]]/31*حق_مسکن)</f>
        <v/>
      </c>
      <c r="L50" s="91"/>
      <c r="M50" s="89" t="str">
        <f>IF(ج_ح_اردیبهشت[[#This Row],[تعداد فرزندان]]="","",ج_ح_اردیبهشت[[#This Row],[کارکرد]]/31*3*ج_ح_اردیبهشت[[#This Row],[تعداد فرزندان]]*حداقل_حقوق_پایه_روزانه)</f>
        <v/>
      </c>
      <c r="N50" s="89" t="str">
        <f>IF(ج_ح_اردیبهشت[[#This Row],[کارکرد]]="","",ج_ح_اردیبهشت[[#This Row],[کارکرد]]/31*حق_خواربار)</f>
        <v/>
      </c>
      <c r="O50" s="89" t="str">
        <f>IFERROR(ج_ح_اردیبهشت[[#This Row],[حقوق پایه]]+ج_ح_اردیبهشت[[#This Row],[اضافه کاری]]+ج_ح_اردیبهشت[[#This Row],[حق مسکن]]+ج_ح_اردیبهشت[[#This Row],[حق اولاد]]+ج_ح_اردیبهشت[[#This Row],[حق و خواروبار]],"")</f>
        <v/>
      </c>
      <c r="P50"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50"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50" s="91"/>
      <c r="S50" s="91"/>
      <c r="T50" s="89" t="str">
        <f>IFERROR(ج_ح_اردیبهشت[[#This Row],[جمع ح و م م بیمه ]]*7%,"")</f>
        <v/>
      </c>
      <c r="U50"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50" s="89" t="str">
        <f>IFERROR(ج_ح_اردیبهشت[[#This Row],[وام]]+ج_ح_اردیبهشت[[#This Row],[مساعده]]+ج_ح_اردیبهشت[[#This Row],[بیمه پرداختنی]]+ج_ح_اردیبهشت[[#This Row],[مالیات پرداختنی]],"")</f>
        <v/>
      </c>
      <c r="W50" s="89" t="str">
        <f>IFERROR(ج_ح_اردیبهشت[[#This Row],[جمع ح و م]]-ج_ح_اردیبهشت[[#This Row],[جمع کسورات]],"")</f>
        <v/>
      </c>
      <c r="X50" s="108"/>
    </row>
    <row r="51" spans="2:24" ht="32.1" customHeight="1">
      <c r="B51" s="1">
        <f t="shared" si="0"/>
        <v>2</v>
      </c>
      <c r="C51" s="85" t="str">
        <f>IF(ج_ح_اردیبهشت[[#This Row],[نام]]&lt;&gt;"",ROW()-44+1,"")</f>
        <v/>
      </c>
      <c r="D51" s="86"/>
      <c r="E51" s="86"/>
      <c r="F51" s="87"/>
      <c r="G51" s="88" t="str">
        <f>IFERROR(IF(COUNT(ج_ح_اردیبهشت[[#This Row],[کارکرد]]),حداقل_حقوق_پایه_روزانه,""),"")</f>
        <v/>
      </c>
      <c r="H51" s="89" t="str">
        <f>IFERROR(IF(ج_ح_اردیبهشت[[#This Row],[کارکرد]]*ج_ح_اردیبهشت[[#This Row],[دستمزد روزانه ]]=0,"",ج_ح_اردیبهشت[[#This Row],[کارکرد]]*ج_ح_اردیبهشت[[#This Row],[دستمزد روزانه ]]),"")</f>
        <v/>
      </c>
      <c r="I51" s="91"/>
      <c r="J51" s="90" t="str">
        <f>IFERROR((ج_ح_اردیبهشت[[#This Row],[دستمزد روزانه ]]/7.33)*1.4*ج_ح_اردیبهشت[[#This Row],[مدت اضافه کاری ]],"")</f>
        <v/>
      </c>
      <c r="K51" s="89" t="str">
        <f>IF(ج_ح_اردیبهشت[[#This Row],[کارکرد]]="","",ج_ح_اردیبهشت[[#This Row],[کارکرد]]/31*حق_مسکن)</f>
        <v/>
      </c>
      <c r="L51" s="91"/>
      <c r="M51" s="89" t="str">
        <f>IF(ج_ح_اردیبهشت[[#This Row],[تعداد فرزندان]]="","",ج_ح_اردیبهشت[[#This Row],[کارکرد]]/31*3*ج_ح_اردیبهشت[[#This Row],[تعداد فرزندان]]*حداقل_حقوق_پایه_روزانه)</f>
        <v/>
      </c>
      <c r="N51" s="89" t="str">
        <f>IF(ج_ح_اردیبهشت[[#This Row],[کارکرد]]="","",ج_ح_اردیبهشت[[#This Row],[کارکرد]]/31*حق_خواربار)</f>
        <v/>
      </c>
      <c r="O51" s="89" t="str">
        <f>IFERROR(ج_ح_اردیبهشت[[#This Row],[حقوق پایه]]+ج_ح_اردیبهشت[[#This Row],[اضافه کاری]]+ج_ح_اردیبهشت[[#This Row],[حق مسکن]]+ج_ح_اردیبهشت[[#This Row],[حق اولاد]]+ج_ح_اردیبهشت[[#This Row],[حق و خواروبار]],"")</f>
        <v/>
      </c>
      <c r="P51"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51"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51" s="91"/>
      <c r="S51" s="91"/>
      <c r="T51" s="89" t="str">
        <f>IFERROR(ج_ح_اردیبهشت[[#This Row],[جمع ح و م م بیمه ]]*7%,"")</f>
        <v/>
      </c>
      <c r="U51"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51" s="89" t="str">
        <f>IFERROR(ج_ح_اردیبهشت[[#This Row],[وام]]+ج_ح_اردیبهشت[[#This Row],[مساعده]]+ج_ح_اردیبهشت[[#This Row],[بیمه پرداختنی]]+ج_ح_اردیبهشت[[#This Row],[مالیات پرداختنی]],"")</f>
        <v/>
      </c>
      <c r="W51" s="89" t="str">
        <f>IFERROR(ج_ح_اردیبهشت[[#This Row],[جمع ح و م]]-ج_ح_اردیبهشت[[#This Row],[جمع کسورات]],"")</f>
        <v/>
      </c>
      <c r="X51" s="108"/>
    </row>
    <row r="52" spans="2:24" ht="32.1" customHeight="1">
      <c r="B52" s="1">
        <f t="shared" si="0"/>
        <v>2</v>
      </c>
      <c r="C52" s="85" t="str">
        <f>IF(ج_ح_اردیبهشت[[#This Row],[نام]]&lt;&gt;"",ROW()-44+1,"")</f>
        <v/>
      </c>
      <c r="D52" s="86"/>
      <c r="E52" s="86"/>
      <c r="F52" s="87"/>
      <c r="G52" s="88" t="str">
        <f>IFERROR(IF(COUNT(ج_ح_اردیبهشت[[#This Row],[کارکرد]]),حداقل_حقوق_پایه_روزانه,""),"")</f>
        <v/>
      </c>
      <c r="H52" s="89" t="str">
        <f>IFERROR(IF(ج_ح_اردیبهشت[[#This Row],[کارکرد]]*ج_ح_اردیبهشت[[#This Row],[دستمزد روزانه ]]=0,"",ج_ح_اردیبهشت[[#This Row],[کارکرد]]*ج_ح_اردیبهشت[[#This Row],[دستمزد روزانه ]]),"")</f>
        <v/>
      </c>
      <c r="I52" s="91"/>
      <c r="J52" s="90" t="str">
        <f>IFERROR((ج_ح_اردیبهشت[[#This Row],[دستمزد روزانه ]]/7.33)*1.4*ج_ح_اردیبهشت[[#This Row],[مدت اضافه کاری ]],"")</f>
        <v/>
      </c>
      <c r="K52" s="89" t="str">
        <f>IF(ج_ح_اردیبهشت[[#This Row],[کارکرد]]="","",ج_ح_اردیبهشت[[#This Row],[کارکرد]]/31*حق_مسکن)</f>
        <v/>
      </c>
      <c r="L52" s="91"/>
      <c r="M52" s="89" t="str">
        <f>IF(ج_ح_اردیبهشت[[#This Row],[تعداد فرزندان]]="","",ج_ح_اردیبهشت[[#This Row],[کارکرد]]/31*3*ج_ح_اردیبهشت[[#This Row],[تعداد فرزندان]]*حداقل_حقوق_پایه_روزانه)</f>
        <v/>
      </c>
      <c r="N52" s="89" t="str">
        <f>IF(ج_ح_اردیبهشت[[#This Row],[کارکرد]]="","",ج_ح_اردیبهشت[[#This Row],[کارکرد]]/31*حق_خواربار)</f>
        <v/>
      </c>
      <c r="O52" s="89" t="str">
        <f>IFERROR(ج_ح_اردیبهشت[[#This Row],[حقوق پایه]]+ج_ح_اردیبهشت[[#This Row],[اضافه کاری]]+ج_ح_اردیبهشت[[#This Row],[حق مسکن]]+ج_ح_اردیبهشت[[#This Row],[حق اولاد]]+ج_ح_اردیبهشت[[#This Row],[حق و خواروبار]],"")</f>
        <v/>
      </c>
      <c r="P52"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52"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52" s="91"/>
      <c r="S52" s="91"/>
      <c r="T52" s="89" t="str">
        <f>IFERROR(ج_ح_اردیبهشت[[#This Row],[جمع ح و م م بیمه ]]*7%,"")</f>
        <v/>
      </c>
      <c r="U52"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52" s="89" t="str">
        <f>IFERROR(ج_ح_اردیبهشت[[#This Row],[وام]]+ج_ح_اردیبهشت[[#This Row],[مساعده]]+ج_ح_اردیبهشت[[#This Row],[بیمه پرداختنی]]+ج_ح_اردیبهشت[[#This Row],[مالیات پرداختنی]],"")</f>
        <v/>
      </c>
      <c r="W52" s="89" t="str">
        <f>IFERROR(ج_ح_اردیبهشت[[#This Row],[جمع ح و م]]-ج_ح_اردیبهشت[[#This Row],[جمع کسورات]],"")</f>
        <v/>
      </c>
      <c r="X52" s="108"/>
    </row>
    <row r="53" spans="2:24" ht="32.1" customHeight="1">
      <c r="B53" s="1">
        <f t="shared" si="0"/>
        <v>2</v>
      </c>
      <c r="C53" s="85" t="str">
        <f>IF(ج_ح_اردیبهشت[[#This Row],[نام]]&lt;&gt;"",ROW()-44+1,"")</f>
        <v/>
      </c>
      <c r="D53" s="86"/>
      <c r="E53" s="86"/>
      <c r="F53" s="87"/>
      <c r="G53" s="88" t="str">
        <f>IFERROR(IF(COUNT(ج_ح_اردیبهشت[[#This Row],[کارکرد]]),حداقل_حقوق_پایه_روزانه,""),"")</f>
        <v/>
      </c>
      <c r="H53" s="89" t="str">
        <f>IFERROR(IF(ج_ح_اردیبهشت[[#This Row],[کارکرد]]*ج_ح_اردیبهشت[[#This Row],[دستمزد روزانه ]]=0,"",ج_ح_اردیبهشت[[#This Row],[کارکرد]]*ج_ح_اردیبهشت[[#This Row],[دستمزد روزانه ]]),"")</f>
        <v/>
      </c>
      <c r="I53" s="91"/>
      <c r="J53" s="90" t="str">
        <f>IFERROR((ج_ح_اردیبهشت[[#This Row],[دستمزد روزانه ]]/7.33)*1.4*ج_ح_اردیبهشت[[#This Row],[مدت اضافه کاری ]],"")</f>
        <v/>
      </c>
      <c r="K53" s="89" t="str">
        <f>IF(ج_ح_اردیبهشت[[#This Row],[کارکرد]]="","",ج_ح_اردیبهشت[[#This Row],[کارکرد]]/31*حق_مسکن)</f>
        <v/>
      </c>
      <c r="L53" s="91"/>
      <c r="M53" s="89" t="str">
        <f>IF(ج_ح_اردیبهشت[[#This Row],[تعداد فرزندان]]="","",ج_ح_اردیبهشت[[#This Row],[کارکرد]]/31*3*ج_ح_اردیبهشت[[#This Row],[تعداد فرزندان]]*حداقل_حقوق_پایه_روزانه)</f>
        <v/>
      </c>
      <c r="N53" s="89" t="str">
        <f>IF(ج_ح_اردیبهشت[[#This Row],[کارکرد]]="","",ج_ح_اردیبهشت[[#This Row],[کارکرد]]/31*حق_خواربار)</f>
        <v/>
      </c>
      <c r="O53" s="89" t="str">
        <f>IFERROR(ج_ح_اردیبهشت[[#This Row],[حقوق پایه]]+ج_ح_اردیبهشت[[#This Row],[اضافه کاری]]+ج_ح_اردیبهشت[[#This Row],[حق مسکن]]+ج_ح_اردیبهشت[[#This Row],[حق اولاد]]+ج_ح_اردیبهشت[[#This Row],[حق و خواروبار]],"")</f>
        <v/>
      </c>
      <c r="P53"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53"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53" s="91"/>
      <c r="S53" s="91"/>
      <c r="T53" s="89" t="str">
        <f>IFERROR(ج_ح_اردیبهشت[[#This Row],[جمع ح و م م بیمه ]]*7%,"")</f>
        <v/>
      </c>
      <c r="U53"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53" s="89" t="str">
        <f>IFERROR(ج_ح_اردیبهشت[[#This Row],[وام]]+ج_ح_اردیبهشت[[#This Row],[مساعده]]+ج_ح_اردیبهشت[[#This Row],[بیمه پرداختنی]]+ج_ح_اردیبهشت[[#This Row],[مالیات پرداختنی]],"")</f>
        <v/>
      </c>
      <c r="W53" s="89" t="str">
        <f>IFERROR(ج_ح_اردیبهشت[[#This Row],[جمع ح و م]]-ج_ح_اردیبهشت[[#This Row],[جمع کسورات]],"")</f>
        <v/>
      </c>
      <c r="X53" s="108"/>
    </row>
    <row r="54" spans="2:24" ht="32.1" customHeight="1">
      <c r="B54" s="1">
        <f t="shared" si="0"/>
        <v>2</v>
      </c>
      <c r="C54" s="85" t="str">
        <f>IF(ج_ح_اردیبهشت[[#This Row],[نام]]&lt;&gt;"",ROW()-44+1,"")</f>
        <v/>
      </c>
      <c r="D54" s="86"/>
      <c r="E54" s="86"/>
      <c r="F54" s="87"/>
      <c r="G54" s="88" t="str">
        <f>IFERROR(IF(COUNT(ج_ح_اردیبهشت[[#This Row],[کارکرد]]),حداقل_حقوق_پایه_روزانه,""),"")</f>
        <v/>
      </c>
      <c r="H54" s="89" t="str">
        <f>IFERROR(IF(ج_ح_اردیبهشت[[#This Row],[کارکرد]]*ج_ح_اردیبهشت[[#This Row],[دستمزد روزانه ]]=0,"",ج_ح_اردیبهشت[[#This Row],[کارکرد]]*ج_ح_اردیبهشت[[#This Row],[دستمزد روزانه ]]),"")</f>
        <v/>
      </c>
      <c r="I54" s="91"/>
      <c r="J54" s="90" t="str">
        <f>IFERROR((ج_ح_اردیبهشت[[#This Row],[دستمزد روزانه ]]/7.33)*1.4*ج_ح_اردیبهشت[[#This Row],[مدت اضافه کاری ]],"")</f>
        <v/>
      </c>
      <c r="K54" s="89" t="str">
        <f>IF(ج_ح_اردیبهشت[[#This Row],[کارکرد]]="","",ج_ح_اردیبهشت[[#This Row],[کارکرد]]/31*حق_مسکن)</f>
        <v/>
      </c>
      <c r="L54" s="91"/>
      <c r="M54" s="89" t="str">
        <f>IF(ج_ح_اردیبهشت[[#This Row],[تعداد فرزندان]]="","",ج_ح_اردیبهشت[[#This Row],[کارکرد]]/31*3*ج_ح_اردیبهشت[[#This Row],[تعداد فرزندان]]*حداقل_حقوق_پایه_روزانه)</f>
        <v/>
      </c>
      <c r="N54" s="89" t="str">
        <f>IF(ج_ح_اردیبهشت[[#This Row],[کارکرد]]="","",ج_ح_اردیبهشت[[#This Row],[کارکرد]]/31*حق_خواربار)</f>
        <v/>
      </c>
      <c r="O54" s="89" t="str">
        <f>IFERROR(ج_ح_اردیبهشت[[#This Row],[حقوق پایه]]+ج_ح_اردیبهشت[[#This Row],[اضافه کاری]]+ج_ح_اردیبهشت[[#This Row],[حق مسکن]]+ج_ح_اردیبهشت[[#This Row],[حق اولاد]]+ج_ح_اردیبهشت[[#This Row],[حق و خواروبار]],"")</f>
        <v/>
      </c>
      <c r="P54"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54"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54" s="91"/>
      <c r="S54" s="91"/>
      <c r="T54" s="89" t="str">
        <f>IFERROR(ج_ح_اردیبهشت[[#This Row],[جمع ح و م م بیمه ]]*7%,"")</f>
        <v/>
      </c>
      <c r="U54"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54" s="89" t="str">
        <f>IFERROR(ج_ح_اردیبهشت[[#This Row],[وام]]+ج_ح_اردیبهشت[[#This Row],[مساعده]]+ج_ح_اردیبهشت[[#This Row],[بیمه پرداختنی]]+ج_ح_اردیبهشت[[#This Row],[مالیات پرداختنی]],"")</f>
        <v/>
      </c>
      <c r="W54" s="89" t="str">
        <f>IFERROR(ج_ح_اردیبهشت[[#This Row],[جمع ح و م]]-ج_ح_اردیبهشت[[#This Row],[جمع کسورات]],"")</f>
        <v/>
      </c>
      <c r="X54" s="108"/>
    </row>
    <row r="55" spans="2:24" ht="32.1" customHeight="1">
      <c r="B55" s="1">
        <f t="shared" si="0"/>
        <v>2</v>
      </c>
      <c r="C55" s="85" t="str">
        <f>IF(ج_ح_اردیبهشت[[#This Row],[نام]]&lt;&gt;"",ROW()-44+1,"")</f>
        <v/>
      </c>
      <c r="D55" s="86"/>
      <c r="E55" s="86"/>
      <c r="F55" s="87"/>
      <c r="G55" s="88" t="str">
        <f>IFERROR(IF(COUNT(ج_ح_اردیبهشت[[#This Row],[کارکرد]]),حداقل_حقوق_پایه_روزانه,""),"")</f>
        <v/>
      </c>
      <c r="H55" s="89" t="str">
        <f>IFERROR(IF(ج_ح_اردیبهشت[[#This Row],[کارکرد]]*ج_ح_اردیبهشت[[#This Row],[دستمزد روزانه ]]=0,"",ج_ح_اردیبهشت[[#This Row],[کارکرد]]*ج_ح_اردیبهشت[[#This Row],[دستمزد روزانه ]]),"")</f>
        <v/>
      </c>
      <c r="I55" s="91"/>
      <c r="J55" s="90" t="str">
        <f>IFERROR((ج_ح_اردیبهشت[[#This Row],[دستمزد روزانه ]]/7.33)*1.4*ج_ح_اردیبهشت[[#This Row],[مدت اضافه کاری ]],"")</f>
        <v/>
      </c>
      <c r="K55" s="89" t="str">
        <f>IF(ج_ح_اردیبهشت[[#This Row],[کارکرد]]="","",ج_ح_اردیبهشت[[#This Row],[کارکرد]]/31*حق_مسکن)</f>
        <v/>
      </c>
      <c r="L55" s="91"/>
      <c r="M55" s="89" t="str">
        <f>IF(ج_ح_اردیبهشت[[#This Row],[تعداد فرزندان]]="","",ج_ح_اردیبهشت[[#This Row],[کارکرد]]/31*3*ج_ح_اردیبهشت[[#This Row],[تعداد فرزندان]]*حداقل_حقوق_پایه_روزانه)</f>
        <v/>
      </c>
      <c r="N55" s="89" t="str">
        <f>IF(ج_ح_اردیبهشت[[#This Row],[کارکرد]]="","",ج_ح_اردیبهشت[[#This Row],[کارکرد]]/31*حق_خواربار)</f>
        <v/>
      </c>
      <c r="O55" s="89" t="str">
        <f>IFERROR(ج_ح_اردیبهشت[[#This Row],[حقوق پایه]]+ج_ح_اردیبهشت[[#This Row],[اضافه کاری]]+ج_ح_اردیبهشت[[#This Row],[حق مسکن]]+ج_ح_اردیبهشت[[#This Row],[حق اولاد]]+ج_ح_اردیبهشت[[#This Row],[حق و خواروبار]],"")</f>
        <v/>
      </c>
      <c r="P55"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55"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55" s="91"/>
      <c r="S55" s="91"/>
      <c r="T55" s="89" t="str">
        <f>IFERROR(ج_ح_اردیبهشت[[#This Row],[جمع ح و م م بیمه ]]*7%,"")</f>
        <v/>
      </c>
      <c r="U55"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55" s="89" t="str">
        <f>IFERROR(ج_ح_اردیبهشت[[#This Row],[وام]]+ج_ح_اردیبهشت[[#This Row],[مساعده]]+ج_ح_اردیبهشت[[#This Row],[بیمه پرداختنی]]+ج_ح_اردیبهشت[[#This Row],[مالیات پرداختنی]],"")</f>
        <v/>
      </c>
      <c r="W55" s="89" t="str">
        <f>IFERROR(ج_ح_اردیبهشت[[#This Row],[جمع ح و م]]-ج_ح_اردیبهشت[[#This Row],[جمع کسورات]],"")</f>
        <v/>
      </c>
      <c r="X55" s="108"/>
    </row>
    <row r="56" spans="2:24" ht="32.1" customHeight="1">
      <c r="B56" s="1">
        <f t="shared" si="0"/>
        <v>2</v>
      </c>
      <c r="C56" s="85" t="str">
        <f>IF(ج_ح_اردیبهشت[[#This Row],[نام]]&lt;&gt;"",ROW()-44+1,"")</f>
        <v/>
      </c>
      <c r="D56" s="86"/>
      <c r="E56" s="86"/>
      <c r="F56" s="87"/>
      <c r="G56" s="88" t="str">
        <f>IFERROR(IF(COUNT(ج_ح_اردیبهشت[[#This Row],[کارکرد]]),حداقل_حقوق_پایه_روزانه,""),"")</f>
        <v/>
      </c>
      <c r="H56" s="89" t="str">
        <f>IFERROR(IF(ج_ح_اردیبهشت[[#This Row],[کارکرد]]*ج_ح_اردیبهشت[[#This Row],[دستمزد روزانه ]]=0,"",ج_ح_اردیبهشت[[#This Row],[کارکرد]]*ج_ح_اردیبهشت[[#This Row],[دستمزد روزانه ]]),"")</f>
        <v/>
      </c>
      <c r="I56" s="91"/>
      <c r="J56" s="90" t="str">
        <f>IFERROR((ج_ح_اردیبهشت[[#This Row],[دستمزد روزانه ]]/7.33)*1.4*ج_ح_اردیبهشت[[#This Row],[مدت اضافه کاری ]],"")</f>
        <v/>
      </c>
      <c r="K56" s="89" t="str">
        <f>IF(ج_ح_اردیبهشت[[#This Row],[کارکرد]]="","",ج_ح_اردیبهشت[[#This Row],[کارکرد]]/31*حق_مسکن)</f>
        <v/>
      </c>
      <c r="L56" s="91"/>
      <c r="M56" s="89" t="str">
        <f>IF(ج_ح_اردیبهشت[[#This Row],[تعداد فرزندان]]="","",ج_ح_اردیبهشت[[#This Row],[کارکرد]]/31*3*ج_ح_اردیبهشت[[#This Row],[تعداد فرزندان]]*حداقل_حقوق_پایه_روزانه)</f>
        <v/>
      </c>
      <c r="N56" s="89" t="str">
        <f>IF(ج_ح_اردیبهشت[[#This Row],[کارکرد]]="","",ج_ح_اردیبهشت[[#This Row],[کارکرد]]/31*حق_خواربار)</f>
        <v/>
      </c>
      <c r="O56" s="89" t="str">
        <f>IFERROR(ج_ح_اردیبهشت[[#This Row],[حقوق پایه]]+ج_ح_اردیبهشت[[#This Row],[اضافه کاری]]+ج_ح_اردیبهشت[[#This Row],[حق مسکن]]+ج_ح_اردیبهشت[[#This Row],[حق اولاد]]+ج_ح_اردیبهشت[[#This Row],[حق و خواروبار]],"")</f>
        <v/>
      </c>
      <c r="P56"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56"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56" s="91"/>
      <c r="S56" s="91"/>
      <c r="T56" s="89" t="str">
        <f>IFERROR(ج_ح_اردیبهشت[[#This Row],[جمع ح و م م بیمه ]]*7%,"")</f>
        <v/>
      </c>
      <c r="U56"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56" s="89" t="str">
        <f>IFERROR(ج_ح_اردیبهشت[[#This Row],[وام]]+ج_ح_اردیبهشت[[#This Row],[مساعده]]+ج_ح_اردیبهشت[[#This Row],[بیمه پرداختنی]]+ج_ح_اردیبهشت[[#This Row],[مالیات پرداختنی]],"")</f>
        <v/>
      </c>
      <c r="W56" s="89" t="str">
        <f>IFERROR(ج_ح_اردیبهشت[[#This Row],[جمع ح و م]]-ج_ح_اردیبهشت[[#This Row],[جمع کسورات]],"")</f>
        <v/>
      </c>
      <c r="X56" s="108"/>
    </row>
    <row r="57" spans="2:24" ht="32.1" customHeight="1">
      <c r="B57" s="1">
        <f t="shared" si="0"/>
        <v>2</v>
      </c>
      <c r="C57" s="85" t="str">
        <f>IF(ج_ح_اردیبهشت[[#This Row],[نام]]&lt;&gt;"",ROW()-44+1,"")</f>
        <v/>
      </c>
      <c r="D57" s="86"/>
      <c r="E57" s="86"/>
      <c r="F57" s="87"/>
      <c r="G57" s="88" t="str">
        <f>IFERROR(IF(COUNT(ج_ح_اردیبهشت[[#This Row],[کارکرد]]),حداقل_حقوق_پایه_روزانه,""),"")</f>
        <v/>
      </c>
      <c r="H57" s="89" t="str">
        <f>IFERROR(IF(ج_ح_اردیبهشت[[#This Row],[کارکرد]]*ج_ح_اردیبهشت[[#This Row],[دستمزد روزانه ]]=0,"",ج_ح_اردیبهشت[[#This Row],[کارکرد]]*ج_ح_اردیبهشت[[#This Row],[دستمزد روزانه ]]),"")</f>
        <v/>
      </c>
      <c r="I57" s="91"/>
      <c r="J57" s="90" t="str">
        <f>IFERROR((ج_ح_اردیبهشت[[#This Row],[دستمزد روزانه ]]/7.33)*1.4*ج_ح_اردیبهشت[[#This Row],[مدت اضافه کاری ]],"")</f>
        <v/>
      </c>
      <c r="K57" s="89" t="str">
        <f>IF(ج_ح_اردیبهشت[[#This Row],[کارکرد]]="","",ج_ح_اردیبهشت[[#This Row],[کارکرد]]/31*حق_مسکن)</f>
        <v/>
      </c>
      <c r="L57" s="91"/>
      <c r="M57" s="89" t="str">
        <f>IF(ج_ح_اردیبهشت[[#This Row],[تعداد فرزندان]]="","",ج_ح_اردیبهشت[[#This Row],[کارکرد]]/31*3*ج_ح_اردیبهشت[[#This Row],[تعداد فرزندان]]*حداقل_حقوق_پایه_روزانه)</f>
        <v/>
      </c>
      <c r="N57" s="89" t="str">
        <f>IF(ج_ح_اردیبهشت[[#This Row],[کارکرد]]="","",ج_ح_اردیبهشت[[#This Row],[کارکرد]]/31*حق_خواربار)</f>
        <v/>
      </c>
      <c r="O57" s="89" t="str">
        <f>IFERROR(ج_ح_اردیبهشت[[#This Row],[حقوق پایه]]+ج_ح_اردیبهشت[[#This Row],[اضافه کاری]]+ج_ح_اردیبهشت[[#This Row],[حق مسکن]]+ج_ح_اردیبهشت[[#This Row],[حق اولاد]]+ج_ح_اردیبهشت[[#This Row],[حق و خواروبار]],"")</f>
        <v/>
      </c>
      <c r="P57"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57"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57" s="91"/>
      <c r="S57" s="91"/>
      <c r="T57" s="89" t="str">
        <f>IFERROR(ج_ح_اردیبهشت[[#This Row],[جمع ح و م م بیمه ]]*7%,"")</f>
        <v/>
      </c>
      <c r="U57"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57" s="89" t="str">
        <f>IFERROR(ج_ح_اردیبهشت[[#This Row],[وام]]+ج_ح_اردیبهشت[[#This Row],[مساعده]]+ج_ح_اردیبهشت[[#This Row],[بیمه پرداختنی]]+ج_ح_اردیبهشت[[#This Row],[مالیات پرداختنی]],"")</f>
        <v/>
      </c>
      <c r="W57" s="89" t="str">
        <f>IFERROR(ج_ح_اردیبهشت[[#This Row],[جمع ح و م]]-ج_ح_اردیبهشت[[#This Row],[جمع کسورات]],"")</f>
        <v/>
      </c>
      <c r="X57" s="108"/>
    </row>
    <row r="58" spans="2:24" ht="32.1" customHeight="1">
      <c r="B58" s="1">
        <f t="shared" si="0"/>
        <v>2</v>
      </c>
      <c r="C58" s="85" t="str">
        <f>IF(ج_ح_اردیبهشت[[#This Row],[نام]]&lt;&gt;"",ROW()-44+1,"")</f>
        <v/>
      </c>
      <c r="D58" s="86"/>
      <c r="E58" s="86"/>
      <c r="F58" s="87"/>
      <c r="G58" s="88" t="str">
        <f>IFERROR(IF(COUNT(ج_ح_اردیبهشت[[#This Row],[کارکرد]]),حداقل_حقوق_پایه_روزانه,""),"")</f>
        <v/>
      </c>
      <c r="H58" s="89" t="str">
        <f>IFERROR(IF(ج_ح_اردیبهشت[[#This Row],[کارکرد]]*ج_ح_اردیبهشت[[#This Row],[دستمزد روزانه ]]=0,"",ج_ح_اردیبهشت[[#This Row],[کارکرد]]*ج_ح_اردیبهشت[[#This Row],[دستمزد روزانه ]]),"")</f>
        <v/>
      </c>
      <c r="I58" s="91"/>
      <c r="J58" s="90" t="str">
        <f>IFERROR((ج_ح_اردیبهشت[[#This Row],[دستمزد روزانه ]]/7.33)*1.4*ج_ح_اردیبهشت[[#This Row],[مدت اضافه کاری ]],"")</f>
        <v/>
      </c>
      <c r="K58" s="89" t="str">
        <f>IF(ج_ح_اردیبهشت[[#This Row],[کارکرد]]="","",ج_ح_اردیبهشت[[#This Row],[کارکرد]]/31*حق_مسکن)</f>
        <v/>
      </c>
      <c r="L58" s="91"/>
      <c r="M58" s="89" t="str">
        <f>IF(ج_ح_اردیبهشت[[#This Row],[تعداد فرزندان]]="","",ج_ح_اردیبهشت[[#This Row],[کارکرد]]/31*3*ج_ح_اردیبهشت[[#This Row],[تعداد فرزندان]]*حداقل_حقوق_پایه_روزانه)</f>
        <v/>
      </c>
      <c r="N58" s="89" t="str">
        <f>IF(ج_ح_اردیبهشت[[#This Row],[کارکرد]]="","",ج_ح_اردیبهشت[[#This Row],[کارکرد]]/31*حق_خواربار)</f>
        <v/>
      </c>
      <c r="O58" s="89" t="str">
        <f>IFERROR(ج_ح_اردیبهشت[[#This Row],[حقوق پایه]]+ج_ح_اردیبهشت[[#This Row],[اضافه کاری]]+ج_ح_اردیبهشت[[#This Row],[حق مسکن]]+ج_ح_اردیبهشت[[#This Row],[حق اولاد]]+ج_ح_اردیبهشت[[#This Row],[حق و خواروبار]],"")</f>
        <v/>
      </c>
      <c r="P58"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58"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58" s="91"/>
      <c r="S58" s="91"/>
      <c r="T58" s="89" t="str">
        <f>IFERROR(ج_ح_اردیبهشت[[#This Row],[جمع ح و م م بیمه ]]*7%,"")</f>
        <v/>
      </c>
      <c r="U58"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58" s="89" t="str">
        <f>IFERROR(ج_ح_اردیبهشت[[#This Row],[وام]]+ج_ح_اردیبهشت[[#This Row],[مساعده]]+ج_ح_اردیبهشت[[#This Row],[بیمه پرداختنی]]+ج_ح_اردیبهشت[[#This Row],[مالیات پرداختنی]],"")</f>
        <v/>
      </c>
      <c r="W58" s="89" t="str">
        <f>IFERROR(ج_ح_اردیبهشت[[#This Row],[جمع ح و م]]-ج_ح_اردیبهشت[[#This Row],[جمع کسورات]],"")</f>
        <v/>
      </c>
      <c r="X58" s="108"/>
    </row>
    <row r="59" spans="2:24" ht="32.1" customHeight="1">
      <c r="B59" s="1">
        <f t="shared" si="0"/>
        <v>2</v>
      </c>
      <c r="C59" s="85" t="str">
        <f>IF(ج_ح_اردیبهشت[[#This Row],[نام]]&lt;&gt;"",ROW()-44+1,"")</f>
        <v/>
      </c>
      <c r="D59" s="86"/>
      <c r="E59" s="86"/>
      <c r="F59" s="87"/>
      <c r="G59" s="88" t="str">
        <f>IFERROR(IF(COUNT(ج_ح_اردیبهشت[[#This Row],[کارکرد]]),حداقل_حقوق_پایه_روزانه,""),"")</f>
        <v/>
      </c>
      <c r="H59" s="89" t="str">
        <f>IFERROR(IF(ج_ح_اردیبهشت[[#This Row],[کارکرد]]*ج_ح_اردیبهشت[[#This Row],[دستمزد روزانه ]]=0,"",ج_ح_اردیبهشت[[#This Row],[کارکرد]]*ج_ح_اردیبهشت[[#This Row],[دستمزد روزانه ]]),"")</f>
        <v/>
      </c>
      <c r="I59" s="91"/>
      <c r="J59" s="90" t="str">
        <f>IFERROR((ج_ح_اردیبهشت[[#This Row],[دستمزد روزانه ]]/7.33)*1.4*ج_ح_اردیبهشت[[#This Row],[مدت اضافه کاری ]],"")</f>
        <v/>
      </c>
      <c r="K59" s="89" t="str">
        <f>IF(ج_ح_اردیبهشت[[#This Row],[کارکرد]]="","",ج_ح_اردیبهشت[[#This Row],[کارکرد]]/31*حق_مسکن)</f>
        <v/>
      </c>
      <c r="L59" s="91"/>
      <c r="M59" s="89" t="str">
        <f>IF(ج_ح_اردیبهشت[[#This Row],[تعداد فرزندان]]="","",ج_ح_اردیبهشت[[#This Row],[کارکرد]]/31*3*ج_ح_اردیبهشت[[#This Row],[تعداد فرزندان]]*حداقل_حقوق_پایه_روزانه)</f>
        <v/>
      </c>
      <c r="N59" s="89" t="str">
        <f>IF(ج_ح_اردیبهشت[[#This Row],[کارکرد]]="","",ج_ح_اردیبهشت[[#This Row],[کارکرد]]/31*حق_خواربار)</f>
        <v/>
      </c>
      <c r="O59" s="89" t="str">
        <f>IFERROR(ج_ح_اردیبهشت[[#This Row],[حقوق پایه]]+ج_ح_اردیبهشت[[#This Row],[اضافه کاری]]+ج_ح_اردیبهشت[[#This Row],[حق مسکن]]+ج_ح_اردیبهشت[[#This Row],[حق اولاد]]+ج_ح_اردیبهشت[[#This Row],[حق و خواروبار]],"")</f>
        <v/>
      </c>
      <c r="P59"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59"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59" s="91"/>
      <c r="S59" s="91"/>
      <c r="T59" s="89" t="str">
        <f>IFERROR(ج_ح_اردیبهشت[[#This Row],[جمع ح و م م بیمه ]]*7%,"")</f>
        <v/>
      </c>
      <c r="U59"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59" s="89" t="str">
        <f>IFERROR(ج_ح_اردیبهشت[[#This Row],[وام]]+ج_ح_اردیبهشت[[#This Row],[مساعده]]+ج_ح_اردیبهشت[[#This Row],[بیمه پرداختنی]]+ج_ح_اردیبهشت[[#This Row],[مالیات پرداختنی]],"")</f>
        <v/>
      </c>
      <c r="W59" s="89" t="str">
        <f>IFERROR(ج_ح_اردیبهشت[[#This Row],[جمع ح و م]]-ج_ح_اردیبهشت[[#This Row],[جمع کسورات]],"")</f>
        <v/>
      </c>
      <c r="X59" s="108"/>
    </row>
    <row r="60" spans="2:24" ht="32.1" customHeight="1">
      <c r="B60" s="1">
        <f t="shared" si="0"/>
        <v>2</v>
      </c>
      <c r="C60" s="85" t="str">
        <f>IF(ج_ح_اردیبهشت[[#This Row],[نام]]&lt;&gt;"",ROW()-44+1,"")</f>
        <v/>
      </c>
      <c r="D60" s="86"/>
      <c r="E60" s="86"/>
      <c r="F60" s="87"/>
      <c r="G60" s="88" t="str">
        <f>IFERROR(IF(COUNT(ج_ح_اردیبهشت[[#This Row],[کارکرد]]),حداقل_حقوق_پایه_روزانه,""),"")</f>
        <v/>
      </c>
      <c r="H60" s="89" t="str">
        <f>IFERROR(IF(ج_ح_اردیبهشت[[#This Row],[کارکرد]]*ج_ح_اردیبهشت[[#This Row],[دستمزد روزانه ]]=0,"",ج_ح_اردیبهشت[[#This Row],[کارکرد]]*ج_ح_اردیبهشت[[#This Row],[دستمزد روزانه ]]),"")</f>
        <v/>
      </c>
      <c r="I60" s="91"/>
      <c r="J60" s="90" t="str">
        <f>IFERROR((ج_ح_اردیبهشت[[#This Row],[دستمزد روزانه ]]/7.33)*1.4*ج_ح_اردیبهشت[[#This Row],[مدت اضافه کاری ]],"")</f>
        <v/>
      </c>
      <c r="K60" s="89" t="str">
        <f>IF(ج_ح_اردیبهشت[[#This Row],[کارکرد]]="","",ج_ح_اردیبهشت[[#This Row],[کارکرد]]/31*حق_مسکن)</f>
        <v/>
      </c>
      <c r="L60" s="91"/>
      <c r="M60" s="89" t="str">
        <f>IF(ج_ح_اردیبهشت[[#This Row],[تعداد فرزندان]]="","",ج_ح_اردیبهشت[[#This Row],[کارکرد]]/31*3*ج_ح_اردیبهشت[[#This Row],[تعداد فرزندان]]*حداقل_حقوق_پایه_روزانه)</f>
        <v/>
      </c>
      <c r="N60" s="89" t="str">
        <f>IF(ج_ح_اردیبهشت[[#This Row],[کارکرد]]="","",ج_ح_اردیبهشت[[#This Row],[کارکرد]]/31*حق_خواربار)</f>
        <v/>
      </c>
      <c r="O60" s="89" t="str">
        <f>IFERROR(ج_ح_اردیبهشت[[#This Row],[حقوق پایه]]+ج_ح_اردیبهشت[[#This Row],[اضافه کاری]]+ج_ح_اردیبهشت[[#This Row],[حق مسکن]]+ج_ح_اردیبهشت[[#This Row],[حق اولاد]]+ج_ح_اردیبهشت[[#This Row],[حق و خواروبار]],"")</f>
        <v/>
      </c>
      <c r="P60"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60"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60" s="91"/>
      <c r="S60" s="91"/>
      <c r="T60" s="89" t="str">
        <f>IFERROR(ج_ح_اردیبهشت[[#This Row],[جمع ح و م م بیمه ]]*7%,"")</f>
        <v/>
      </c>
      <c r="U60"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60" s="89" t="str">
        <f>IFERROR(ج_ح_اردیبهشت[[#This Row],[وام]]+ج_ح_اردیبهشت[[#This Row],[مساعده]]+ج_ح_اردیبهشت[[#This Row],[بیمه پرداختنی]]+ج_ح_اردیبهشت[[#This Row],[مالیات پرداختنی]],"")</f>
        <v/>
      </c>
      <c r="W60" s="89" t="str">
        <f>IFERROR(ج_ح_اردیبهشت[[#This Row],[جمع ح و م]]-ج_ح_اردیبهشت[[#This Row],[جمع کسورات]],"")</f>
        <v/>
      </c>
      <c r="X60" s="108"/>
    </row>
    <row r="61" spans="2:24" ht="32.1" customHeight="1">
      <c r="B61" s="1">
        <f t="shared" si="0"/>
        <v>2</v>
      </c>
      <c r="C61" s="85" t="str">
        <f>IF(ج_ح_اردیبهشت[[#This Row],[نام]]&lt;&gt;"",ROW()-44+1,"")</f>
        <v/>
      </c>
      <c r="D61" s="86"/>
      <c r="E61" s="86"/>
      <c r="F61" s="87"/>
      <c r="G61" s="88" t="str">
        <f>IFERROR(IF(COUNT(ج_ح_اردیبهشت[[#This Row],[کارکرد]]),حداقل_حقوق_پایه_روزانه,""),"")</f>
        <v/>
      </c>
      <c r="H61" s="89" t="str">
        <f>IFERROR(IF(ج_ح_اردیبهشت[[#This Row],[کارکرد]]*ج_ح_اردیبهشت[[#This Row],[دستمزد روزانه ]]=0,"",ج_ح_اردیبهشت[[#This Row],[کارکرد]]*ج_ح_اردیبهشت[[#This Row],[دستمزد روزانه ]]),"")</f>
        <v/>
      </c>
      <c r="I61" s="91"/>
      <c r="J61" s="90" t="str">
        <f>IFERROR((ج_ح_اردیبهشت[[#This Row],[دستمزد روزانه ]]/7.33)*1.4*ج_ح_اردیبهشت[[#This Row],[مدت اضافه کاری ]],"")</f>
        <v/>
      </c>
      <c r="K61" s="89" t="str">
        <f>IF(ج_ح_اردیبهشت[[#This Row],[کارکرد]]="","",ج_ح_اردیبهشت[[#This Row],[کارکرد]]/31*حق_مسکن)</f>
        <v/>
      </c>
      <c r="L61" s="91"/>
      <c r="M61" s="89" t="str">
        <f>IF(ج_ح_اردیبهشت[[#This Row],[تعداد فرزندان]]="","",ج_ح_اردیبهشت[[#This Row],[کارکرد]]/31*3*ج_ح_اردیبهشت[[#This Row],[تعداد فرزندان]]*حداقل_حقوق_پایه_روزانه)</f>
        <v/>
      </c>
      <c r="N61" s="89" t="str">
        <f>IF(ج_ح_اردیبهشت[[#This Row],[کارکرد]]="","",ج_ح_اردیبهشت[[#This Row],[کارکرد]]/31*حق_خواربار)</f>
        <v/>
      </c>
      <c r="O61" s="89" t="str">
        <f>IFERROR(ج_ح_اردیبهشت[[#This Row],[حقوق پایه]]+ج_ح_اردیبهشت[[#This Row],[اضافه کاری]]+ج_ح_اردیبهشت[[#This Row],[حق مسکن]]+ج_ح_اردیبهشت[[#This Row],[حق اولاد]]+ج_ح_اردیبهشت[[#This Row],[حق و خواروبار]],"")</f>
        <v/>
      </c>
      <c r="P61"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61"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61" s="91"/>
      <c r="S61" s="91"/>
      <c r="T61" s="89" t="str">
        <f>IFERROR(ج_ح_اردیبهشت[[#This Row],[جمع ح و م م بیمه ]]*7%,"")</f>
        <v/>
      </c>
      <c r="U61"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61" s="89" t="str">
        <f>IFERROR(ج_ح_اردیبهشت[[#This Row],[وام]]+ج_ح_اردیبهشت[[#This Row],[مساعده]]+ج_ح_اردیبهشت[[#This Row],[بیمه پرداختنی]]+ج_ح_اردیبهشت[[#This Row],[مالیات پرداختنی]],"")</f>
        <v/>
      </c>
      <c r="W61" s="89" t="str">
        <f>IFERROR(ج_ح_اردیبهشت[[#This Row],[جمع ح و م]]-ج_ح_اردیبهشت[[#This Row],[جمع کسورات]],"")</f>
        <v/>
      </c>
      <c r="X61" s="108"/>
    </row>
    <row r="62" spans="2:24" ht="32.1" customHeight="1">
      <c r="B62" s="1">
        <f t="shared" si="0"/>
        <v>2</v>
      </c>
      <c r="C62" s="85" t="str">
        <f>IF(ج_ح_اردیبهشت[[#This Row],[نام]]&lt;&gt;"",ROW()-44+1,"")</f>
        <v/>
      </c>
      <c r="D62" s="86"/>
      <c r="E62" s="86"/>
      <c r="F62" s="87"/>
      <c r="G62" s="88" t="str">
        <f>IFERROR(IF(COUNT(ج_ح_اردیبهشت[[#This Row],[کارکرد]]),حداقل_حقوق_پایه_روزانه,""),"")</f>
        <v/>
      </c>
      <c r="H62" s="89" t="str">
        <f>IFERROR(IF(ج_ح_اردیبهشت[[#This Row],[کارکرد]]*ج_ح_اردیبهشت[[#This Row],[دستمزد روزانه ]]=0,"",ج_ح_اردیبهشت[[#This Row],[کارکرد]]*ج_ح_اردیبهشت[[#This Row],[دستمزد روزانه ]]),"")</f>
        <v/>
      </c>
      <c r="I62" s="91"/>
      <c r="J62" s="90" t="str">
        <f>IFERROR((ج_ح_اردیبهشت[[#This Row],[دستمزد روزانه ]]/7.33)*1.4*ج_ح_اردیبهشت[[#This Row],[مدت اضافه کاری ]],"")</f>
        <v/>
      </c>
      <c r="K62" s="89" t="str">
        <f>IF(ج_ح_اردیبهشت[[#This Row],[کارکرد]]="","",ج_ح_اردیبهشت[[#This Row],[کارکرد]]/31*حق_مسکن)</f>
        <v/>
      </c>
      <c r="L62" s="91"/>
      <c r="M62" s="89" t="str">
        <f>IF(ج_ح_اردیبهشت[[#This Row],[تعداد فرزندان]]="","",ج_ح_اردیبهشت[[#This Row],[کارکرد]]/31*3*ج_ح_اردیبهشت[[#This Row],[تعداد فرزندان]]*حداقل_حقوق_پایه_روزانه)</f>
        <v/>
      </c>
      <c r="N62" s="89" t="str">
        <f>IF(ج_ح_اردیبهشت[[#This Row],[کارکرد]]="","",ج_ح_اردیبهشت[[#This Row],[کارکرد]]/31*حق_خواربار)</f>
        <v/>
      </c>
      <c r="O62" s="89" t="str">
        <f>IFERROR(ج_ح_اردیبهشت[[#This Row],[حقوق پایه]]+ج_ح_اردیبهشت[[#This Row],[اضافه کاری]]+ج_ح_اردیبهشت[[#This Row],[حق مسکن]]+ج_ح_اردیبهشت[[#This Row],[حق اولاد]]+ج_ح_اردیبهشت[[#This Row],[حق و خواروبار]],"")</f>
        <v/>
      </c>
      <c r="P62"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62"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62" s="91"/>
      <c r="S62" s="91"/>
      <c r="T62" s="89" t="str">
        <f>IFERROR(ج_ح_اردیبهشت[[#This Row],[جمع ح و م م بیمه ]]*7%,"")</f>
        <v/>
      </c>
      <c r="U62"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62" s="89" t="str">
        <f>IFERROR(ج_ح_اردیبهشت[[#This Row],[وام]]+ج_ح_اردیبهشت[[#This Row],[مساعده]]+ج_ح_اردیبهشت[[#This Row],[بیمه پرداختنی]]+ج_ح_اردیبهشت[[#This Row],[مالیات پرداختنی]],"")</f>
        <v/>
      </c>
      <c r="W62" s="89" t="str">
        <f>IFERROR(ج_ح_اردیبهشت[[#This Row],[جمع ح و م]]-ج_ح_اردیبهشت[[#This Row],[جمع کسورات]],"")</f>
        <v/>
      </c>
      <c r="X62" s="108"/>
    </row>
    <row r="63" spans="2:24" ht="32.1" customHeight="1">
      <c r="B63" s="1">
        <f t="shared" si="0"/>
        <v>2</v>
      </c>
      <c r="C63" s="85" t="str">
        <f>IF(ج_ح_اردیبهشت[[#This Row],[نام]]&lt;&gt;"",ROW()-44+1,"")</f>
        <v/>
      </c>
      <c r="D63" s="86"/>
      <c r="E63" s="86"/>
      <c r="F63" s="87"/>
      <c r="G63" s="88" t="str">
        <f>IFERROR(IF(COUNT(ج_ح_اردیبهشت[[#This Row],[کارکرد]]),حداقل_حقوق_پایه_روزانه,""),"")</f>
        <v/>
      </c>
      <c r="H63" s="89" t="str">
        <f>IFERROR(IF(ج_ح_اردیبهشت[[#This Row],[کارکرد]]*ج_ح_اردیبهشت[[#This Row],[دستمزد روزانه ]]=0,"",ج_ح_اردیبهشت[[#This Row],[کارکرد]]*ج_ح_اردیبهشت[[#This Row],[دستمزد روزانه ]]),"")</f>
        <v/>
      </c>
      <c r="I63" s="91"/>
      <c r="J63" s="90" t="str">
        <f>IFERROR((ج_ح_اردیبهشت[[#This Row],[دستمزد روزانه ]]/7.33)*1.4*ج_ح_اردیبهشت[[#This Row],[مدت اضافه کاری ]],"")</f>
        <v/>
      </c>
      <c r="K63" s="89" t="str">
        <f>IF(ج_ح_اردیبهشت[[#This Row],[کارکرد]]="","",ج_ح_اردیبهشت[[#This Row],[کارکرد]]/31*حق_مسکن)</f>
        <v/>
      </c>
      <c r="L63" s="91"/>
      <c r="M63" s="89" t="str">
        <f>IF(ج_ح_اردیبهشت[[#This Row],[تعداد فرزندان]]="","",ج_ح_اردیبهشت[[#This Row],[کارکرد]]/31*3*ج_ح_اردیبهشت[[#This Row],[تعداد فرزندان]]*حداقل_حقوق_پایه_روزانه)</f>
        <v/>
      </c>
      <c r="N63" s="89" t="str">
        <f>IF(ج_ح_اردیبهشت[[#This Row],[کارکرد]]="","",ج_ح_اردیبهشت[[#This Row],[کارکرد]]/31*حق_خواربار)</f>
        <v/>
      </c>
      <c r="O63" s="89" t="str">
        <f>IFERROR(ج_ح_اردیبهشت[[#This Row],[حقوق پایه]]+ج_ح_اردیبهشت[[#This Row],[اضافه کاری]]+ج_ح_اردیبهشت[[#This Row],[حق مسکن]]+ج_ح_اردیبهشت[[#This Row],[حق اولاد]]+ج_ح_اردیبهشت[[#This Row],[حق و خواروبار]],"")</f>
        <v/>
      </c>
      <c r="P63"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63"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63" s="91"/>
      <c r="S63" s="91"/>
      <c r="T63" s="89" t="str">
        <f>IFERROR(ج_ح_اردیبهشت[[#This Row],[جمع ح و م م بیمه ]]*7%,"")</f>
        <v/>
      </c>
      <c r="U63"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63" s="89" t="str">
        <f>IFERROR(ج_ح_اردیبهشت[[#This Row],[وام]]+ج_ح_اردیبهشت[[#This Row],[مساعده]]+ج_ح_اردیبهشت[[#This Row],[بیمه پرداختنی]]+ج_ح_اردیبهشت[[#This Row],[مالیات پرداختنی]],"")</f>
        <v/>
      </c>
      <c r="W63" s="89" t="str">
        <f>IFERROR(ج_ح_اردیبهشت[[#This Row],[جمع ح و م]]-ج_ح_اردیبهشت[[#This Row],[جمع کسورات]],"")</f>
        <v/>
      </c>
      <c r="X63" s="108"/>
    </row>
    <row r="64" spans="2:24" ht="32.1" customHeight="1">
      <c r="B64" s="1">
        <f t="shared" si="0"/>
        <v>2</v>
      </c>
      <c r="C64" s="85" t="str">
        <f>IF(ج_ح_اردیبهشت[[#This Row],[نام]]&lt;&gt;"",ROW()-44+1,"")</f>
        <v/>
      </c>
      <c r="D64" s="86"/>
      <c r="E64" s="86"/>
      <c r="F64" s="87"/>
      <c r="G64" s="88" t="str">
        <f>IFERROR(IF(COUNT(ج_ح_اردیبهشت[[#This Row],[کارکرد]]),حداقل_حقوق_پایه_روزانه,""),"")</f>
        <v/>
      </c>
      <c r="H64" s="89" t="str">
        <f>IFERROR(IF(ج_ح_اردیبهشت[[#This Row],[کارکرد]]*ج_ح_اردیبهشت[[#This Row],[دستمزد روزانه ]]=0,"",ج_ح_اردیبهشت[[#This Row],[کارکرد]]*ج_ح_اردیبهشت[[#This Row],[دستمزد روزانه ]]),"")</f>
        <v/>
      </c>
      <c r="I64" s="91"/>
      <c r="J64" s="90" t="str">
        <f>IFERROR((ج_ح_اردیبهشت[[#This Row],[دستمزد روزانه ]]/7.33)*1.4*ج_ح_اردیبهشت[[#This Row],[مدت اضافه کاری ]],"")</f>
        <v/>
      </c>
      <c r="K64" s="89" t="str">
        <f>IF(ج_ح_اردیبهشت[[#This Row],[کارکرد]]="","",ج_ح_اردیبهشت[[#This Row],[کارکرد]]/31*حق_مسکن)</f>
        <v/>
      </c>
      <c r="L64" s="91"/>
      <c r="M64" s="89" t="str">
        <f>IF(ج_ح_اردیبهشت[[#This Row],[تعداد فرزندان]]="","",ج_ح_اردیبهشت[[#This Row],[کارکرد]]/31*3*ج_ح_اردیبهشت[[#This Row],[تعداد فرزندان]]*حداقل_حقوق_پایه_روزانه)</f>
        <v/>
      </c>
      <c r="N64" s="89" t="str">
        <f>IF(ج_ح_اردیبهشت[[#This Row],[کارکرد]]="","",ج_ح_اردیبهشت[[#This Row],[کارکرد]]/31*حق_خواربار)</f>
        <v/>
      </c>
      <c r="O64" s="89" t="str">
        <f>IFERROR(ج_ح_اردیبهشت[[#This Row],[حقوق پایه]]+ج_ح_اردیبهشت[[#This Row],[اضافه کاری]]+ج_ح_اردیبهشت[[#This Row],[حق مسکن]]+ج_ح_اردیبهشت[[#This Row],[حق اولاد]]+ج_ح_اردیبهشت[[#This Row],[حق و خواروبار]],"")</f>
        <v/>
      </c>
      <c r="P64"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64"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64" s="91"/>
      <c r="S64" s="91"/>
      <c r="T64" s="89" t="str">
        <f>IFERROR(ج_ح_اردیبهشت[[#This Row],[جمع ح و م م بیمه ]]*7%,"")</f>
        <v/>
      </c>
      <c r="U64"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64" s="89" t="str">
        <f>IFERROR(ج_ح_اردیبهشت[[#This Row],[وام]]+ج_ح_اردیبهشت[[#This Row],[مساعده]]+ج_ح_اردیبهشت[[#This Row],[بیمه پرداختنی]]+ج_ح_اردیبهشت[[#This Row],[مالیات پرداختنی]],"")</f>
        <v/>
      </c>
      <c r="W64" s="89" t="str">
        <f>IFERROR(ج_ح_اردیبهشت[[#This Row],[جمع ح و م]]-ج_ح_اردیبهشت[[#This Row],[جمع کسورات]],"")</f>
        <v/>
      </c>
      <c r="X64" s="108"/>
    </row>
    <row r="65" spans="1:24" ht="32.1" customHeight="1">
      <c r="B65" s="1">
        <f t="shared" si="0"/>
        <v>2</v>
      </c>
      <c r="C65" s="85" t="str">
        <f>IF(ج_ح_اردیبهشت[[#This Row],[نام]]&lt;&gt;"",ROW()-44+1,"")</f>
        <v/>
      </c>
      <c r="D65" s="86"/>
      <c r="E65" s="86"/>
      <c r="F65" s="87"/>
      <c r="G65" s="88" t="str">
        <f>IFERROR(IF(COUNT(ج_ح_اردیبهشت[[#This Row],[کارکرد]]),حداقل_حقوق_پایه_روزانه,""),"")</f>
        <v/>
      </c>
      <c r="H65" s="89" t="str">
        <f>IFERROR(IF(ج_ح_اردیبهشت[[#This Row],[کارکرد]]*ج_ح_اردیبهشت[[#This Row],[دستمزد روزانه ]]=0,"",ج_ح_اردیبهشت[[#This Row],[کارکرد]]*ج_ح_اردیبهشت[[#This Row],[دستمزد روزانه ]]),"")</f>
        <v/>
      </c>
      <c r="I65" s="91"/>
      <c r="J65" s="90" t="str">
        <f>IFERROR((ج_ح_اردیبهشت[[#This Row],[دستمزد روزانه ]]/7.33)*1.4*ج_ح_اردیبهشت[[#This Row],[مدت اضافه کاری ]],"")</f>
        <v/>
      </c>
      <c r="K65" s="89" t="str">
        <f>IF(ج_ح_اردیبهشت[[#This Row],[کارکرد]]="","",ج_ح_اردیبهشت[[#This Row],[کارکرد]]/31*حق_مسکن)</f>
        <v/>
      </c>
      <c r="L65" s="91"/>
      <c r="M65" s="89" t="str">
        <f>IF(ج_ح_اردیبهشت[[#This Row],[تعداد فرزندان]]="","",ج_ح_اردیبهشت[[#This Row],[کارکرد]]/31*3*ج_ح_اردیبهشت[[#This Row],[تعداد فرزندان]]*حداقل_حقوق_پایه_روزانه)</f>
        <v/>
      </c>
      <c r="N65" s="89" t="str">
        <f>IF(ج_ح_اردیبهشت[[#This Row],[کارکرد]]="","",ج_ح_اردیبهشت[[#This Row],[کارکرد]]/31*حق_خواربار)</f>
        <v/>
      </c>
      <c r="O65" s="89" t="str">
        <f>IFERROR(ج_ح_اردیبهشت[[#This Row],[حقوق پایه]]+ج_ح_اردیبهشت[[#This Row],[اضافه کاری]]+ج_ح_اردیبهشت[[#This Row],[حق مسکن]]+ج_ح_اردیبهشت[[#This Row],[حق اولاد]]+ج_ح_اردیبهشت[[#This Row],[حق و خواروبار]],"")</f>
        <v/>
      </c>
      <c r="P65"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65"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65" s="91"/>
      <c r="S65" s="91"/>
      <c r="T65" s="89" t="str">
        <f>IFERROR(ج_ح_اردیبهشت[[#This Row],[جمع ح و م م بیمه ]]*7%,"")</f>
        <v/>
      </c>
      <c r="U65"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65" s="89" t="str">
        <f>IFERROR(ج_ح_اردیبهشت[[#This Row],[وام]]+ج_ح_اردیبهشت[[#This Row],[مساعده]]+ج_ح_اردیبهشت[[#This Row],[بیمه پرداختنی]]+ج_ح_اردیبهشت[[#This Row],[مالیات پرداختنی]],"")</f>
        <v/>
      </c>
      <c r="W65" s="89" t="str">
        <f>IFERROR(ج_ح_اردیبهشت[[#This Row],[جمع ح و م]]-ج_ح_اردیبهشت[[#This Row],[جمع کسورات]],"")</f>
        <v/>
      </c>
      <c r="X65" s="108"/>
    </row>
    <row r="66" spans="1:24" ht="32.1" customHeight="1">
      <c r="B66" s="1">
        <f t="shared" si="0"/>
        <v>2</v>
      </c>
      <c r="C66" s="85" t="str">
        <f>IF(ج_ح_اردیبهشت[[#This Row],[نام]]&lt;&gt;"",ROW()-44+1,"")</f>
        <v/>
      </c>
      <c r="D66" s="86"/>
      <c r="E66" s="86"/>
      <c r="F66" s="87"/>
      <c r="G66" s="88" t="str">
        <f>IFERROR(IF(COUNT(ج_ح_اردیبهشت[[#This Row],[کارکرد]]),حداقل_حقوق_پایه_روزانه,""),"")</f>
        <v/>
      </c>
      <c r="H66" s="89" t="str">
        <f>IFERROR(IF(ج_ح_اردیبهشت[[#This Row],[کارکرد]]*ج_ح_اردیبهشت[[#This Row],[دستمزد روزانه ]]=0,"",ج_ح_اردیبهشت[[#This Row],[کارکرد]]*ج_ح_اردیبهشت[[#This Row],[دستمزد روزانه ]]),"")</f>
        <v/>
      </c>
      <c r="I66" s="91"/>
      <c r="J66" s="90" t="str">
        <f>IFERROR((ج_ح_اردیبهشت[[#This Row],[دستمزد روزانه ]]/7.33)*1.4*ج_ح_اردیبهشت[[#This Row],[مدت اضافه کاری ]],"")</f>
        <v/>
      </c>
      <c r="K66" s="89" t="str">
        <f>IF(ج_ح_اردیبهشت[[#This Row],[کارکرد]]="","",ج_ح_اردیبهشت[[#This Row],[کارکرد]]/31*حق_مسکن)</f>
        <v/>
      </c>
      <c r="L66" s="91"/>
      <c r="M66" s="89" t="str">
        <f>IF(ج_ح_اردیبهشت[[#This Row],[تعداد فرزندان]]="","",ج_ح_اردیبهشت[[#This Row],[کارکرد]]/31*3*ج_ح_اردیبهشت[[#This Row],[تعداد فرزندان]]*حداقل_حقوق_پایه_روزانه)</f>
        <v/>
      </c>
      <c r="N66" s="89" t="str">
        <f>IF(ج_ح_اردیبهشت[[#This Row],[کارکرد]]="","",ج_ح_اردیبهشت[[#This Row],[کارکرد]]/31*حق_خواربار)</f>
        <v/>
      </c>
      <c r="O66" s="89" t="str">
        <f>IFERROR(ج_ح_اردیبهشت[[#This Row],[حقوق پایه]]+ج_ح_اردیبهشت[[#This Row],[اضافه کاری]]+ج_ح_اردیبهشت[[#This Row],[حق مسکن]]+ج_ح_اردیبهشت[[#This Row],[حق اولاد]]+ج_ح_اردیبهشت[[#This Row],[حق و خواروبار]],"")</f>
        <v/>
      </c>
      <c r="P66"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66"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66" s="91"/>
      <c r="S66" s="91"/>
      <c r="T66" s="89" t="str">
        <f>IFERROR(ج_ح_اردیبهشت[[#This Row],[جمع ح و م م بیمه ]]*7%,"")</f>
        <v/>
      </c>
      <c r="U66"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66" s="89" t="str">
        <f>IFERROR(ج_ح_اردیبهشت[[#This Row],[وام]]+ج_ح_اردیبهشت[[#This Row],[مساعده]]+ج_ح_اردیبهشت[[#This Row],[بیمه پرداختنی]]+ج_ح_اردیبهشت[[#This Row],[مالیات پرداختنی]],"")</f>
        <v/>
      </c>
      <c r="W66" s="89" t="str">
        <f>IFERROR(ج_ح_اردیبهشت[[#This Row],[جمع ح و م]]-ج_ح_اردیبهشت[[#This Row],[جمع کسورات]],"")</f>
        <v/>
      </c>
      <c r="X66" s="108"/>
    </row>
    <row r="67" spans="1:24" ht="32.1" customHeight="1">
      <c r="B67" s="1">
        <f t="shared" si="0"/>
        <v>2</v>
      </c>
      <c r="C67" s="85" t="str">
        <f>IF(ج_ح_اردیبهشت[[#This Row],[نام]]&lt;&gt;"",ROW()-44+1,"")</f>
        <v/>
      </c>
      <c r="D67" s="86"/>
      <c r="E67" s="86"/>
      <c r="F67" s="87"/>
      <c r="G67" s="88" t="str">
        <f>IFERROR(IF(COUNT(ج_ح_اردیبهشت[[#This Row],[کارکرد]]),حداقل_حقوق_پایه_روزانه,""),"")</f>
        <v/>
      </c>
      <c r="H67" s="89" t="str">
        <f>IFERROR(IF(ج_ح_اردیبهشت[[#This Row],[کارکرد]]*ج_ح_اردیبهشت[[#This Row],[دستمزد روزانه ]]=0,"",ج_ح_اردیبهشت[[#This Row],[کارکرد]]*ج_ح_اردیبهشت[[#This Row],[دستمزد روزانه ]]),"")</f>
        <v/>
      </c>
      <c r="I67" s="91"/>
      <c r="J67" s="90" t="str">
        <f>IFERROR((ج_ح_اردیبهشت[[#This Row],[دستمزد روزانه ]]/7.33)*1.4*ج_ح_اردیبهشت[[#This Row],[مدت اضافه کاری ]],"")</f>
        <v/>
      </c>
      <c r="K67" s="89" t="str">
        <f>IF(ج_ح_اردیبهشت[[#This Row],[کارکرد]]="","",ج_ح_اردیبهشت[[#This Row],[کارکرد]]/31*حق_مسکن)</f>
        <v/>
      </c>
      <c r="L67" s="91"/>
      <c r="M67" s="89" t="str">
        <f>IF(ج_ح_اردیبهشت[[#This Row],[تعداد فرزندان]]="","",ج_ح_اردیبهشت[[#This Row],[کارکرد]]/31*3*ج_ح_اردیبهشت[[#This Row],[تعداد فرزندان]]*حداقل_حقوق_پایه_روزانه)</f>
        <v/>
      </c>
      <c r="N67" s="89" t="str">
        <f>IF(ج_ح_اردیبهشت[[#This Row],[کارکرد]]="","",ج_ح_اردیبهشت[[#This Row],[کارکرد]]/31*حق_خواربار)</f>
        <v/>
      </c>
      <c r="O67" s="89" t="str">
        <f>IFERROR(ج_ح_اردیبهشت[[#This Row],[حقوق پایه]]+ج_ح_اردیبهشت[[#This Row],[اضافه کاری]]+ج_ح_اردیبهشت[[#This Row],[حق مسکن]]+ج_ح_اردیبهشت[[#This Row],[حق اولاد]]+ج_ح_اردیبهشت[[#This Row],[حق و خواروبار]],"")</f>
        <v/>
      </c>
      <c r="P67"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67"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67" s="91"/>
      <c r="S67" s="91"/>
      <c r="T67" s="89" t="str">
        <f>IFERROR(ج_ح_اردیبهشت[[#This Row],[جمع ح و م م بیمه ]]*7%,"")</f>
        <v/>
      </c>
      <c r="U67"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67" s="89" t="str">
        <f>IFERROR(ج_ح_اردیبهشت[[#This Row],[وام]]+ج_ح_اردیبهشت[[#This Row],[مساعده]]+ج_ح_اردیبهشت[[#This Row],[بیمه پرداختنی]]+ج_ح_اردیبهشت[[#This Row],[مالیات پرداختنی]],"")</f>
        <v/>
      </c>
      <c r="W67" s="89" t="str">
        <f>IFERROR(ج_ح_اردیبهشت[[#This Row],[جمع ح و م]]-ج_ح_اردیبهشت[[#This Row],[جمع کسورات]],"")</f>
        <v/>
      </c>
      <c r="X67" s="108"/>
    </row>
    <row r="68" spans="1:24" ht="32.1" customHeight="1">
      <c r="B68" s="1">
        <f t="shared" si="0"/>
        <v>2</v>
      </c>
      <c r="C68" s="85" t="str">
        <f>IF(ج_ح_اردیبهشت[[#This Row],[نام]]&lt;&gt;"",ROW()-44+1,"")</f>
        <v/>
      </c>
      <c r="D68" s="86"/>
      <c r="E68" s="86"/>
      <c r="F68" s="87"/>
      <c r="G68" s="88" t="str">
        <f>IFERROR(IF(COUNT(ج_ح_اردیبهشت[[#This Row],[کارکرد]]),حداقل_حقوق_پایه_روزانه,""),"")</f>
        <v/>
      </c>
      <c r="H68" s="89" t="str">
        <f>IFERROR(IF(ج_ح_اردیبهشت[[#This Row],[کارکرد]]*ج_ح_اردیبهشت[[#This Row],[دستمزد روزانه ]]=0,"",ج_ح_اردیبهشت[[#This Row],[کارکرد]]*ج_ح_اردیبهشت[[#This Row],[دستمزد روزانه ]]),"")</f>
        <v/>
      </c>
      <c r="I68" s="91"/>
      <c r="J68" s="90" t="str">
        <f>IFERROR((ج_ح_اردیبهشت[[#This Row],[دستمزد روزانه ]]/7.33)*1.4*ج_ح_اردیبهشت[[#This Row],[مدت اضافه کاری ]],"")</f>
        <v/>
      </c>
      <c r="K68" s="89" t="str">
        <f>IF(ج_ح_اردیبهشت[[#This Row],[کارکرد]]="","",ج_ح_اردیبهشت[[#This Row],[کارکرد]]/31*حق_مسکن)</f>
        <v/>
      </c>
      <c r="L68" s="91"/>
      <c r="M68" s="89" t="str">
        <f>IF(ج_ح_اردیبهشت[[#This Row],[تعداد فرزندان]]="","",ج_ح_اردیبهشت[[#This Row],[کارکرد]]/31*3*ج_ح_اردیبهشت[[#This Row],[تعداد فرزندان]]*حداقل_حقوق_پایه_روزانه)</f>
        <v/>
      </c>
      <c r="N68" s="89" t="str">
        <f>IF(ج_ح_اردیبهشت[[#This Row],[کارکرد]]="","",ج_ح_اردیبهشت[[#This Row],[کارکرد]]/31*حق_خواربار)</f>
        <v/>
      </c>
      <c r="O68" s="89" t="str">
        <f>IFERROR(ج_ح_اردیبهشت[[#This Row],[حقوق پایه]]+ج_ح_اردیبهشت[[#This Row],[اضافه کاری]]+ج_ح_اردیبهشت[[#This Row],[حق مسکن]]+ج_ح_اردیبهشت[[#This Row],[حق اولاد]]+ج_ح_اردیبهشت[[#This Row],[حق و خواروبار]],"")</f>
        <v/>
      </c>
      <c r="P68"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68"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68" s="91"/>
      <c r="S68" s="91"/>
      <c r="T68" s="89" t="str">
        <f>IFERROR(ج_ح_اردیبهشت[[#This Row],[جمع ح و م م بیمه ]]*7%,"")</f>
        <v/>
      </c>
      <c r="U68"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68" s="89" t="str">
        <f>IFERROR(ج_ح_اردیبهشت[[#This Row],[وام]]+ج_ح_اردیبهشت[[#This Row],[مساعده]]+ج_ح_اردیبهشت[[#This Row],[بیمه پرداختنی]]+ج_ح_اردیبهشت[[#This Row],[مالیات پرداختنی]],"")</f>
        <v/>
      </c>
      <c r="W68" s="89" t="str">
        <f>IFERROR(ج_ح_اردیبهشت[[#This Row],[جمع ح و م]]-ج_ح_اردیبهشت[[#This Row],[جمع کسورات]],"")</f>
        <v/>
      </c>
      <c r="X68" s="108"/>
    </row>
    <row r="69" spans="1:24" ht="32.1" customHeight="1">
      <c r="B69" s="1">
        <f t="shared" si="0"/>
        <v>2</v>
      </c>
      <c r="C69" s="85" t="str">
        <f>IF(ج_ح_اردیبهشت[[#This Row],[نام]]&lt;&gt;"",ROW()-44+1,"")</f>
        <v/>
      </c>
      <c r="D69" s="86"/>
      <c r="E69" s="86"/>
      <c r="F69" s="87"/>
      <c r="G69" s="88" t="str">
        <f>IFERROR(IF(COUNT(ج_ح_اردیبهشت[[#This Row],[کارکرد]]),حداقل_حقوق_پایه_روزانه,""),"")</f>
        <v/>
      </c>
      <c r="H69" s="89" t="str">
        <f>IFERROR(IF(ج_ح_اردیبهشت[[#This Row],[کارکرد]]*ج_ح_اردیبهشت[[#This Row],[دستمزد روزانه ]]=0,"",ج_ح_اردیبهشت[[#This Row],[کارکرد]]*ج_ح_اردیبهشت[[#This Row],[دستمزد روزانه ]]),"")</f>
        <v/>
      </c>
      <c r="I69" s="91"/>
      <c r="J69" s="90" t="str">
        <f>IFERROR((ج_ح_اردیبهشت[[#This Row],[دستمزد روزانه ]]/7.33)*1.4*ج_ح_اردیبهشت[[#This Row],[مدت اضافه کاری ]],"")</f>
        <v/>
      </c>
      <c r="K69" s="89" t="str">
        <f>IF(ج_ح_اردیبهشت[[#This Row],[کارکرد]]="","",ج_ح_اردیبهشت[[#This Row],[کارکرد]]/31*حق_مسکن)</f>
        <v/>
      </c>
      <c r="L69" s="91"/>
      <c r="M69" s="89" t="str">
        <f>IF(ج_ح_اردیبهشت[[#This Row],[تعداد فرزندان]]="","",ج_ح_اردیبهشت[[#This Row],[کارکرد]]/31*3*ج_ح_اردیبهشت[[#This Row],[تعداد فرزندان]]*حداقل_حقوق_پایه_روزانه)</f>
        <v/>
      </c>
      <c r="N69" s="89" t="str">
        <f>IF(ج_ح_اردیبهشت[[#This Row],[کارکرد]]="","",ج_ح_اردیبهشت[[#This Row],[کارکرد]]/31*حق_خواربار)</f>
        <v/>
      </c>
      <c r="O69" s="89" t="str">
        <f>IFERROR(ج_ح_اردیبهشت[[#This Row],[حقوق پایه]]+ج_ح_اردیبهشت[[#This Row],[اضافه کاری]]+ج_ح_اردیبهشت[[#This Row],[حق مسکن]]+ج_ح_اردیبهشت[[#This Row],[حق اولاد]]+ج_ح_اردیبهشت[[#This Row],[حق و خواروبار]],"")</f>
        <v/>
      </c>
      <c r="P69"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69"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69" s="91"/>
      <c r="S69" s="91"/>
      <c r="T69" s="89" t="str">
        <f>IFERROR(ج_ح_اردیبهشت[[#This Row],[جمع ح و م م بیمه ]]*7%,"")</f>
        <v/>
      </c>
      <c r="U69"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69" s="89" t="str">
        <f>IFERROR(ج_ح_اردیبهشت[[#This Row],[وام]]+ج_ح_اردیبهشت[[#This Row],[مساعده]]+ج_ح_اردیبهشت[[#This Row],[بیمه پرداختنی]]+ج_ح_اردیبهشت[[#This Row],[مالیات پرداختنی]],"")</f>
        <v/>
      </c>
      <c r="W69" s="89" t="str">
        <f>IFERROR(ج_ح_اردیبهشت[[#This Row],[جمع ح و م]]-ج_ح_اردیبهشت[[#This Row],[جمع کسورات]],"")</f>
        <v/>
      </c>
      <c r="X69" s="108"/>
    </row>
    <row r="70" spans="1:24" ht="32.1" customHeight="1">
      <c r="B70" s="1">
        <f t="shared" si="0"/>
        <v>2</v>
      </c>
      <c r="C70" s="85" t="str">
        <f>IF(ج_ح_اردیبهشت[[#This Row],[نام]]&lt;&gt;"",ROW()-44+1,"")</f>
        <v/>
      </c>
      <c r="D70" s="86"/>
      <c r="E70" s="86"/>
      <c r="F70" s="87"/>
      <c r="G70" s="88" t="str">
        <f>IFERROR(IF(COUNT(ج_ح_اردیبهشت[[#This Row],[کارکرد]]),حداقل_حقوق_پایه_روزانه,""),"")</f>
        <v/>
      </c>
      <c r="H70" s="89" t="str">
        <f>IFERROR(IF(ج_ح_اردیبهشت[[#This Row],[کارکرد]]*ج_ح_اردیبهشت[[#This Row],[دستمزد روزانه ]]=0,"",ج_ح_اردیبهشت[[#This Row],[کارکرد]]*ج_ح_اردیبهشت[[#This Row],[دستمزد روزانه ]]),"")</f>
        <v/>
      </c>
      <c r="I70" s="91"/>
      <c r="J70" s="90" t="str">
        <f>IFERROR((ج_ح_اردیبهشت[[#This Row],[دستمزد روزانه ]]/7.33)*1.4*ج_ح_اردیبهشت[[#This Row],[مدت اضافه کاری ]],"")</f>
        <v/>
      </c>
      <c r="K70" s="89" t="str">
        <f>IF(ج_ح_اردیبهشت[[#This Row],[کارکرد]]="","",ج_ح_اردیبهشت[[#This Row],[کارکرد]]/31*حق_مسکن)</f>
        <v/>
      </c>
      <c r="L70" s="91"/>
      <c r="M70" s="89" t="str">
        <f>IF(ج_ح_اردیبهشت[[#This Row],[تعداد فرزندان]]="","",ج_ح_اردیبهشت[[#This Row],[کارکرد]]/31*3*ج_ح_اردیبهشت[[#This Row],[تعداد فرزندان]]*حداقل_حقوق_پایه_روزانه)</f>
        <v/>
      </c>
      <c r="N70" s="89" t="str">
        <f>IF(ج_ح_اردیبهشت[[#This Row],[کارکرد]]="","",ج_ح_اردیبهشت[[#This Row],[کارکرد]]/31*حق_خواربار)</f>
        <v/>
      </c>
      <c r="O70" s="89" t="str">
        <f>IFERROR(ج_ح_اردیبهشت[[#This Row],[حقوق پایه]]+ج_ح_اردیبهشت[[#This Row],[اضافه کاری]]+ج_ح_اردیبهشت[[#This Row],[حق مسکن]]+ج_ح_اردیبهشت[[#This Row],[حق اولاد]]+ج_ح_اردیبهشت[[#This Row],[حق و خواروبار]],"")</f>
        <v/>
      </c>
      <c r="P70"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70"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70" s="91"/>
      <c r="S70" s="91"/>
      <c r="T70" s="89" t="str">
        <f>IFERROR(ج_ح_اردیبهشت[[#This Row],[جمع ح و م م بیمه ]]*7%,"")</f>
        <v/>
      </c>
      <c r="U70"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70" s="89" t="str">
        <f>IFERROR(ج_ح_اردیبهشت[[#This Row],[وام]]+ج_ح_اردیبهشت[[#This Row],[مساعده]]+ج_ح_اردیبهشت[[#This Row],[بیمه پرداختنی]]+ج_ح_اردیبهشت[[#This Row],[مالیات پرداختنی]],"")</f>
        <v/>
      </c>
      <c r="W70" s="89" t="str">
        <f>IFERROR(ج_ح_اردیبهشت[[#This Row],[جمع ح و م]]-ج_ح_اردیبهشت[[#This Row],[جمع کسورات]],"")</f>
        <v/>
      </c>
      <c r="X70" s="108"/>
    </row>
    <row r="71" spans="1:24" ht="32.1" customHeight="1">
      <c r="B71" s="1">
        <f t="shared" si="0"/>
        <v>2</v>
      </c>
      <c r="C71" s="85" t="str">
        <f>IF(ج_ح_اردیبهشت[[#This Row],[نام]]&lt;&gt;"",ROW()-44+1,"")</f>
        <v/>
      </c>
      <c r="D71" s="86"/>
      <c r="E71" s="86"/>
      <c r="F71" s="87"/>
      <c r="G71" s="88" t="str">
        <f>IFERROR(IF(COUNT(ج_ح_اردیبهشت[[#This Row],[کارکرد]]),حداقل_حقوق_پایه_روزانه,""),"")</f>
        <v/>
      </c>
      <c r="H71" s="89" t="str">
        <f>IFERROR(IF(ج_ح_اردیبهشت[[#This Row],[کارکرد]]*ج_ح_اردیبهشت[[#This Row],[دستمزد روزانه ]]=0,"",ج_ح_اردیبهشت[[#This Row],[کارکرد]]*ج_ح_اردیبهشت[[#This Row],[دستمزد روزانه ]]),"")</f>
        <v/>
      </c>
      <c r="I71" s="91"/>
      <c r="J71" s="90" t="str">
        <f>IFERROR((ج_ح_اردیبهشت[[#This Row],[دستمزد روزانه ]]/7.33)*1.4*ج_ح_اردیبهشت[[#This Row],[مدت اضافه کاری ]],"")</f>
        <v/>
      </c>
      <c r="K71" s="89" t="str">
        <f>IF(ج_ح_اردیبهشت[[#This Row],[کارکرد]]="","",ج_ح_اردیبهشت[[#This Row],[کارکرد]]/31*حق_مسکن)</f>
        <v/>
      </c>
      <c r="L71" s="91"/>
      <c r="M71" s="89" t="str">
        <f>IF(ج_ح_اردیبهشت[[#This Row],[تعداد فرزندان]]="","",ج_ح_اردیبهشت[[#This Row],[کارکرد]]/31*3*ج_ح_اردیبهشت[[#This Row],[تعداد فرزندان]]*حداقل_حقوق_پایه_روزانه)</f>
        <v/>
      </c>
      <c r="N71" s="89" t="str">
        <f>IF(ج_ح_اردیبهشت[[#This Row],[کارکرد]]="","",ج_ح_اردیبهشت[[#This Row],[کارکرد]]/31*حق_خواربار)</f>
        <v/>
      </c>
      <c r="O71" s="89" t="str">
        <f>IFERROR(ج_ح_اردیبهشت[[#This Row],[حقوق پایه]]+ج_ح_اردیبهشت[[#This Row],[اضافه کاری]]+ج_ح_اردیبهشت[[#This Row],[حق مسکن]]+ج_ح_اردیبهشت[[#This Row],[حق اولاد]]+ج_ح_اردیبهشت[[#This Row],[حق و خواروبار]],"")</f>
        <v/>
      </c>
      <c r="P71"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71"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71" s="91"/>
      <c r="S71" s="91"/>
      <c r="T71" s="89" t="str">
        <f>IFERROR(ج_ح_اردیبهشت[[#This Row],[جمع ح و م م بیمه ]]*7%,"")</f>
        <v/>
      </c>
      <c r="U71"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71" s="89" t="str">
        <f>IFERROR(ج_ح_اردیبهشت[[#This Row],[وام]]+ج_ح_اردیبهشت[[#This Row],[مساعده]]+ج_ح_اردیبهشت[[#This Row],[بیمه پرداختنی]]+ج_ح_اردیبهشت[[#This Row],[مالیات پرداختنی]],"")</f>
        <v/>
      </c>
      <c r="W71" s="89" t="str">
        <f>IFERROR(ج_ح_اردیبهشت[[#This Row],[جمع ح و م]]-ج_ح_اردیبهشت[[#This Row],[جمع کسورات]],"")</f>
        <v/>
      </c>
      <c r="X71" s="108"/>
    </row>
    <row r="72" spans="1:24" ht="32.1" customHeight="1">
      <c r="B72" s="1">
        <f t="shared" si="0"/>
        <v>2</v>
      </c>
      <c r="C72" s="85" t="str">
        <f>IF(ج_ح_اردیبهشت[[#This Row],[نام]]&lt;&gt;"",ROW()-44+1,"")</f>
        <v/>
      </c>
      <c r="D72" s="86"/>
      <c r="E72" s="86"/>
      <c r="F72" s="87"/>
      <c r="G72" s="88" t="str">
        <f>IFERROR(IF(COUNT(ج_ح_اردیبهشت[[#This Row],[کارکرد]]),حداقل_حقوق_پایه_روزانه,""),"")</f>
        <v/>
      </c>
      <c r="H72" s="89" t="str">
        <f>IFERROR(IF(ج_ح_اردیبهشت[[#This Row],[کارکرد]]*ج_ح_اردیبهشت[[#This Row],[دستمزد روزانه ]]=0,"",ج_ح_اردیبهشت[[#This Row],[کارکرد]]*ج_ح_اردیبهشت[[#This Row],[دستمزد روزانه ]]),"")</f>
        <v/>
      </c>
      <c r="I72" s="91"/>
      <c r="J72" s="90" t="str">
        <f>IFERROR((ج_ح_اردیبهشت[[#This Row],[دستمزد روزانه ]]/7.33)*1.4*ج_ح_اردیبهشت[[#This Row],[مدت اضافه کاری ]],"")</f>
        <v/>
      </c>
      <c r="K72" s="89" t="str">
        <f>IF(ج_ح_اردیبهشت[[#This Row],[کارکرد]]="","",ج_ح_اردیبهشت[[#This Row],[کارکرد]]/31*حق_مسکن)</f>
        <v/>
      </c>
      <c r="L72" s="91"/>
      <c r="M72" s="89" t="str">
        <f>IF(ج_ح_اردیبهشت[[#This Row],[تعداد فرزندان]]="","",ج_ح_اردیبهشت[[#This Row],[کارکرد]]/31*3*ج_ح_اردیبهشت[[#This Row],[تعداد فرزندان]]*حداقل_حقوق_پایه_روزانه)</f>
        <v/>
      </c>
      <c r="N72" s="89" t="str">
        <f>IF(ج_ح_اردیبهشت[[#This Row],[کارکرد]]="","",ج_ح_اردیبهشت[[#This Row],[کارکرد]]/31*حق_خواربار)</f>
        <v/>
      </c>
      <c r="O72" s="89" t="str">
        <f>IFERROR(ج_ح_اردیبهشت[[#This Row],[حقوق پایه]]+ج_ح_اردیبهشت[[#This Row],[اضافه کاری]]+ج_ح_اردیبهشت[[#This Row],[حق مسکن]]+ج_ح_اردیبهشت[[#This Row],[حق اولاد]]+ج_ح_اردیبهشت[[#This Row],[حق و خواروبار]],"")</f>
        <v/>
      </c>
      <c r="P72"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72"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72" s="91"/>
      <c r="S72" s="91"/>
      <c r="T72" s="89" t="str">
        <f>IFERROR(ج_ح_اردیبهشت[[#This Row],[جمع ح و م م بیمه ]]*7%,"")</f>
        <v/>
      </c>
      <c r="U72"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72" s="89" t="str">
        <f>IFERROR(ج_ح_اردیبهشت[[#This Row],[وام]]+ج_ح_اردیبهشت[[#This Row],[مساعده]]+ج_ح_اردیبهشت[[#This Row],[بیمه پرداختنی]]+ج_ح_اردیبهشت[[#This Row],[مالیات پرداختنی]],"")</f>
        <v/>
      </c>
      <c r="W72" s="89" t="str">
        <f>IFERROR(ج_ح_اردیبهشت[[#This Row],[جمع ح و م]]-ج_ح_اردیبهشت[[#This Row],[جمع کسورات]],"")</f>
        <v/>
      </c>
      <c r="X72" s="108"/>
    </row>
    <row r="73" spans="1:24" ht="32.1" customHeight="1">
      <c r="B73" s="1">
        <f t="shared" si="0"/>
        <v>2</v>
      </c>
      <c r="C73" s="85" t="str">
        <f>IF(ج_ح_اردیبهشت[[#This Row],[نام]]&lt;&gt;"",ROW()-44+1,"")</f>
        <v/>
      </c>
      <c r="D73" s="86"/>
      <c r="E73" s="86"/>
      <c r="F73" s="87"/>
      <c r="G73" s="88" t="str">
        <f>IFERROR(IF(COUNT(ج_ح_اردیبهشت[[#This Row],[کارکرد]]),حداقل_حقوق_پایه_روزانه,""),"")</f>
        <v/>
      </c>
      <c r="H73" s="89" t="str">
        <f>IFERROR(IF(ج_ح_اردیبهشت[[#This Row],[کارکرد]]*ج_ح_اردیبهشت[[#This Row],[دستمزد روزانه ]]=0,"",ج_ح_اردیبهشت[[#This Row],[کارکرد]]*ج_ح_اردیبهشت[[#This Row],[دستمزد روزانه ]]),"")</f>
        <v/>
      </c>
      <c r="I73" s="91"/>
      <c r="J73" s="90" t="str">
        <f>IFERROR((ج_ح_اردیبهشت[[#This Row],[دستمزد روزانه ]]/7.33)*1.4*ج_ح_اردیبهشت[[#This Row],[مدت اضافه کاری ]],"")</f>
        <v/>
      </c>
      <c r="K73" s="89" t="str">
        <f>IF(ج_ح_اردیبهشت[[#This Row],[کارکرد]]="","",ج_ح_اردیبهشت[[#This Row],[کارکرد]]/31*حق_مسکن)</f>
        <v/>
      </c>
      <c r="L73" s="91"/>
      <c r="M73" s="89" t="str">
        <f>IF(ج_ح_اردیبهشت[[#This Row],[تعداد فرزندان]]="","",ج_ح_اردیبهشت[[#This Row],[کارکرد]]/31*3*ج_ح_اردیبهشت[[#This Row],[تعداد فرزندان]]*حداقل_حقوق_پایه_روزانه)</f>
        <v/>
      </c>
      <c r="N73" s="89" t="str">
        <f>IF(ج_ح_اردیبهشت[[#This Row],[کارکرد]]="","",ج_ح_اردیبهشت[[#This Row],[کارکرد]]/31*حق_خواربار)</f>
        <v/>
      </c>
      <c r="O73" s="89" t="str">
        <f>IFERROR(ج_ح_اردیبهشت[[#This Row],[حقوق پایه]]+ج_ح_اردیبهشت[[#This Row],[اضافه کاری]]+ج_ح_اردیبهشت[[#This Row],[حق مسکن]]+ج_ح_اردیبهشت[[#This Row],[حق اولاد]]+ج_ح_اردیبهشت[[#This Row],[حق و خواروبار]],"")</f>
        <v/>
      </c>
      <c r="P73" s="89" t="str">
        <f>IFERROR(IF(ج_ح_اردیبهشت[[#This Row],[حقوق پایه]]+ج_ح_اردیبهشت[[#This Row],[اضافه کاری]]+ج_ح_اردیبهشت[[#This Row],[حق مسکن]]+ج_ح_اردیبهشت[[#This Row],[حق و خواروبار]]&gt;حداکثر_حقوق_مشمول_بیمه_ماهانه,حداکثر_حقوق_مشمول_بیمه_ماهانه,ج_ح_اردیبهشت[[#This Row],[حقوق پایه]]+ج_ح_اردیبهشت[[#This Row],[اضافه کاری]]+ج_ح_اردیبهشت[[#This Row],[حق مسکن]]+ج_ح_اردیبهشت[[#This Row],[حق و خواروبار]]),"")</f>
        <v/>
      </c>
      <c r="Q73" s="89" t="str">
        <f>IFERROR(ج_ح_اردیبهشت[[#This Row],[حقوق پایه]]+ج_ح_اردیبهشت[[#This Row],[اضافه کاری]]+ج_ح_اردیبهشت[[#This Row],[حق مسکن]]+ج_ح_اردیبهشت[[#This Row],[حق و خواروبار]]+ج_ح_اردیبهشت[[#This Row],[حق اولاد]]-(2/7)*ج_ح_اردیبهشت[[#This Row],[بیمه پرداختنی]],"")</f>
        <v/>
      </c>
      <c r="R73" s="91"/>
      <c r="S73" s="91"/>
      <c r="T73" s="89" t="str">
        <f>IFERROR(ج_ح_اردیبهشت[[#This Row],[جمع ح و م م بیمه ]]*7%,"")</f>
        <v/>
      </c>
      <c r="U73" s="92" t="str">
        <f>IFERROR(IF(ج_ح_اردیبهشت[[#This Row],[جمع ح و م م مالیات]]&gt;=400000000,(ج_ح_اردیبهشت[[#This Row],[جمع ح و م م مالیات]]-400000000)*30%+26000000,IF(ج_ح_اردیبهشت[[#This Row],[جمع ح و م م مالیات]]&gt;=270000000,(ج_ح_اردیبهشت[[#This Row],[جمع ح و م م مالیات]]-270000000)*20%+15750000,IF(ج_ح_اردیبهشت[[#This Row],[جمع ح و م م مالیات]]&gt;=165000000,(ج_ح_اردیبهشت[[#This Row],[جمع ح و م م مالیات]]-165000000)*15%+4500000,IF(ج_ح_اردیبهشت[[#This Row],[جمع ح و م م مالیات]]&gt;=120000000,(ج_ح_اردیبهشت[[#This Row],[جمع ح و م م مالیات]]-120000000)*10%,0)))),"")</f>
        <v/>
      </c>
      <c r="V73" s="89" t="str">
        <f>IFERROR(ج_ح_اردیبهشت[[#This Row],[وام]]+ج_ح_اردیبهشت[[#This Row],[مساعده]]+ج_ح_اردیبهشت[[#This Row],[بیمه پرداختنی]]+ج_ح_اردیبهشت[[#This Row],[مالیات پرداختنی]],"")</f>
        <v/>
      </c>
      <c r="W73" s="89" t="str">
        <f>IFERROR(ج_ح_اردیبهشت[[#This Row],[جمع ح و م]]-ج_ح_اردیبهشت[[#This Row],[جمع کسورات]],"")</f>
        <v/>
      </c>
      <c r="X73" s="108"/>
    </row>
    <row r="74" spans="1:24" ht="32.1" customHeight="1">
      <c r="B74" s="1">
        <f t="shared" si="0"/>
        <v>2</v>
      </c>
      <c r="C74" s="23"/>
      <c r="D74" s="24"/>
      <c r="E74" s="24" t="s">
        <v>35</v>
      </c>
      <c r="F74" s="33">
        <f>SUBTOTAL(109,ج_ح_اردیبهشت[کارکرد])</f>
        <v>0</v>
      </c>
      <c r="G74" s="25">
        <f>SUBTOTAL(109,ج_ح_اردیبهشت[[دستمزد روزانه ]])</f>
        <v>0</v>
      </c>
      <c r="H74" s="25">
        <f>SUBTOTAL(109,ج_ح_اردیبهشت[حقوق پایه])</f>
        <v>0</v>
      </c>
      <c r="I74" s="34">
        <f>SUBTOTAL(109,ج_ح_اردیبهشت[[مدت اضافه کاری ]])</f>
        <v>0</v>
      </c>
      <c r="J74" s="35">
        <f>SUBTOTAL(109,ج_ح_اردیبهشت[اضافه کاری])</f>
        <v>0</v>
      </c>
      <c r="K74" s="25">
        <f>SUBTOTAL(109,ج_ح_اردیبهشت[حق مسکن])</f>
        <v>0</v>
      </c>
      <c r="L74" s="36">
        <f>SUBTOTAL(109,ج_ح_اردیبهشت[تعداد فرزندان])</f>
        <v>0</v>
      </c>
      <c r="M74" s="25">
        <f>SUBTOTAL(109,ج_ح_اردیبهشت[حق اولاد])</f>
        <v>0</v>
      </c>
      <c r="N74" s="25">
        <f>SUBTOTAL(109,ج_ح_اردیبهشت[حق و خواروبار])</f>
        <v>0</v>
      </c>
      <c r="O74" s="25">
        <f>SUBTOTAL(109,ج_ح_اردیبهشت[جمع ح و م])</f>
        <v>0</v>
      </c>
      <c r="P74" s="25">
        <f>SUBTOTAL(109,ج_ح_اردیبهشت[[جمع ح و م م بیمه ]])</f>
        <v>0</v>
      </c>
      <c r="Q74" s="25">
        <f>SUBTOTAL(109,ج_ح_اردیبهشت[جمع ح و م م مالیات])</f>
        <v>0</v>
      </c>
      <c r="R74" s="25">
        <f>SUBTOTAL(109,ج_ح_اردیبهشت[وام])</f>
        <v>0</v>
      </c>
      <c r="S74" s="25">
        <f>SUBTOTAL(109,ج_ح_اردیبهشت[مساعده])</f>
        <v>0</v>
      </c>
      <c r="T74" s="25">
        <f>SUBTOTAL(109,ج_ح_اردیبهشت[بیمه پرداختنی])</f>
        <v>0</v>
      </c>
      <c r="U74" s="25">
        <f>SUBTOTAL(109,ج_ح_اردیبهشت[مالیات پرداختنی])</f>
        <v>0</v>
      </c>
      <c r="V74" s="25">
        <f>SUBTOTAL(109,ج_ح_اردیبهشت[جمع کسورات])</f>
        <v>0</v>
      </c>
      <c r="W74" s="25">
        <f>SUBTOTAL(109,ج_ح_اردیبهشت[خالص قابل پرداخت])</f>
        <v>0</v>
      </c>
      <c r="X74" s="109"/>
    </row>
    <row r="75" spans="1:24" ht="8.1" customHeight="1"/>
    <row r="76" spans="1:24" s="7" customFormat="1" ht="39.950000000000003" customHeight="1">
      <c r="A76" s="15"/>
      <c r="B76" s="15"/>
      <c r="C76" s="128" t="str">
        <f>CONCATENATE("شرکت"," ",'اطلاعات شرکت'!$B$1)</f>
        <v>شرکت پندار حساب شهسوار</v>
      </c>
      <c r="D76" s="128"/>
      <c r="E76" s="128"/>
      <c r="F76" s="128"/>
      <c r="G76" s="128"/>
      <c r="H76" s="128"/>
      <c r="I76" s="128"/>
      <c r="J76" s="128"/>
      <c r="K76" s="128"/>
      <c r="L76" s="128"/>
      <c r="M76" s="128"/>
      <c r="N76" s="128"/>
      <c r="O76" s="128"/>
      <c r="P76" s="128"/>
      <c r="Q76" s="128"/>
      <c r="R76" s="128"/>
      <c r="S76" s="128"/>
      <c r="T76" s="128"/>
      <c r="U76" s="128"/>
      <c r="V76" s="128"/>
      <c r="W76" s="128"/>
      <c r="X76" s="105"/>
    </row>
    <row r="77" spans="1:24" s="7" customFormat="1" ht="50.1" customHeight="1">
      <c r="C77" s="127" t="str">
        <f>CONCATENATE("جدول حقوق و دستمزد خرداد ماه سال"," ",'اطلاعات شرکت'!$B$2)</f>
        <v>جدول حقوق و دستمزد خرداد ماه سال 1402</v>
      </c>
      <c r="D77" s="127"/>
      <c r="E77" s="127"/>
      <c r="F77" s="127"/>
      <c r="G77" s="127"/>
      <c r="H77" s="127"/>
      <c r="I77" s="127"/>
      <c r="J77" s="127"/>
      <c r="K77" s="127"/>
      <c r="L77" s="127"/>
      <c r="M77" s="127"/>
      <c r="N77" s="127"/>
      <c r="O77" s="127"/>
      <c r="P77" s="127"/>
      <c r="Q77" s="127"/>
      <c r="R77" s="127"/>
      <c r="S77" s="127"/>
      <c r="T77" s="127"/>
      <c r="U77" s="127"/>
      <c r="V77" s="127"/>
      <c r="W77" s="127"/>
      <c r="X77" s="105"/>
    </row>
    <row r="78" spans="1:24" s="12" customFormat="1" ht="50.1" customHeight="1">
      <c r="C78" s="129" t="s">
        <v>1</v>
      </c>
      <c r="D78" s="28" t="s">
        <v>23</v>
      </c>
      <c r="E78" s="28" t="s">
        <v>56</v>
      </c>
      <c r="F78" s="28" t="s">
        <v>11</v>
      </c>
      <c r="G78" s="28" t="s">
        <v>12</v>
      </c>
      <c r="H78" s="28" t="s">
        <v>37</v>
      </c>
      <c r="I78" s="28" t="s">
        <v>51</v>
      </c>
      <c r="J78" s="28" t="s">
        <v>47</v>
      </c>
      <c r="K78" s="28" t="s">
        <v>4</v>
      </c>
      <c r="L78" s="28" t="s">
        <v>48</v>
      </c>
      <c r="M78" s="28" t="s">
        <v>14</v>
      </c>
      <c r="N78" s="28" t="s">
        <v>5</v>
      </c>
      <c r="O78" s="28" t="s">
        <v>17</v>
      </c>
      <c r="P78" s="28" t="s">
        <v>49</v>
      </c>
      <c r="Q78" s="28" t="s">
        <v>50</v>
      </c>
      <c r="R78" s="28" t="s">
        <v>15</v>
      </c>
      <c r="S78" s="28" t="s">
        <v>16</v>
      </c>
      <c r="T78" s="28" t="s">
        <v>59</v>
      </c>
      <c r="U78" s="28" t="s">
        <v>58</v>
      </c>
      <c r="V78" s="28" t="s">
        <v>21</v>
      </c>
      <c r="W78" s="28" t="s">
        <v>57</v>
      </c>
      <c r="X78" s="106"/>
    </row>
    <row r="79" spans="1:24" s="7" customFormat="1" ht="32.1" customHeight="1">
      <c r="C79" s="129"/>
      <c r="D79" s="29">
        <v>1</v>
      </c>
      <c r="E79" s="29">
        <v>2</v>
      </c>
      <c r="F79" s="29">
        <v>3</v>
      </c>
      <c r="G79" s="29">
        <v>4</v>
      </c>
      <c r="H79" s="29">
        <v>5</v>
      </c>
      <c r="I79" s="29">
        <v>6</v>
      </c>
      <c r="J79" s="29">
        <v>7</v>
      </c>
      <c r="K79" s="29">
        <v>8</v>
      </c>
      <c r="L79" s="29">
        <v>9</v>
      </c>
      <c r="M79" s="29">
        <v>10</v>
      </c>
      <c r="N79" s="29">
        <v>11</v>
      </c>
      <c r="O79" s="29">
        <v>12</v>
      </c>
      <c r="P79" s="29">
        <v>13</v>
      </c>
      <c r="Q79" s="29">
        <v>14</v>
      </c>
      <c r="R79" s="29">
        <v>15</v>
      </c>
      <c r="S79" s="29">
        <v>16</v>
      </c>
      <c r="T79" s="29">
        <v>17</v>
      </c>
      <c r="U79" s="29">
        <v>18</v>
      </c>
      <c r="V79" s="29">
        <v>19</v>
      </c>
      <c r="W79" s="30">
        <v>20</v>
      </c>
      <c r="X79" s="105"/>
    </row>
    <row r="80" spans="1:24" s="7" customFormat="1" ht="20.100000000000001" customHeight="1">
      <c r="C80" s="16" t="s">
        <v>1</v>
      </c>
      <c r="D80" s="16" t="s">
        <v>23</v>
      </c>
      <c r="E80" s="16" t="s">
        <v>56</v>
      </c>
      <c r="F80" s="16" t="s">
        <v>11</v>
      </c>
      <c r="G80" s="16" t="s">
        <v>12</v>
      </c>
      <c r="H80" s="16" t="s">
        <v>37</v>
      </c>
      <c r="I80" s="16" t="s">
        <v>46</v>
      </c>
      <c r="J80" s="16" t="s">
        <v>47</v>
      </c>
      <c r="K80" s="16" t="s">
        <v>4</v>
      </c>
      <c r="L80" s="16" t="s">
        <v>13</v>
      </c>
      <c r="M80" s="16" t="s">
        <v>14</v>
      </c>
      <c r="N80" s="16" t="s">
        <v>79</v>
      </c>
      <c r="O80" s="16" t="s">
        <v>53</v>
      </c>
      <c r="P80" s="16" t="s">
        <v>54</v>
      </c>
      <c r="Q80" s="31" t="s">
        <v>55</v>
      </c>
      <c r="R80" s="16" t="s">
        <v>15</v>
      </c>
      <c r="S80" s="16" t="s">
        <v>16</v>
      </c>
      <c r="T80" s="31" t="s">
        <v>19</v>
      </c>
      <c r="U80" s="31" t="s">
        <v>20</v>
      </c>
      <c r="V80" s="16" t="s">
        <v>21</v>
      </c>
      <c r="W80" s="16" t="s">
        <v>22</v>
      </c>
      <c r="X80" s="110" t="s">
        <v>133</v>
      </c>
    </row>
    <row r="81" spans="2:24" ht="32.1" customHeight="1">
      <c r="B81" s="1">
        <f>B74+1</f>
        <v>3</v>
      </c>
      <c r="C81" s="85" t="str">
        <f>IF(ج_ح_خرداد[[#This Row],[نام]]&lt;&gt;"",ROW()-81+1,"")</f>
        <v/>
      </c>
      <c r="D81" s="86"/>
      <c r="E81" s="86"/>
      <c r="F81" s="87"/>
      <c r="G81" s="88" t="str">
        <f>IFERROR(IF(COUNT(ج_ح_خرداد[[#This Row],[کارکرد]]),حداقل_حقوق_پایه_روزانه,""),"")</f>
        <v/>
      </c>
      <c r="H81" s="89" t="str">
        <f>IFERROR(IF(ج_ح_خرداد[[#This Row],[کارکرد]]*ج_ح_خرداد[[#This Row],[دستمزد روزانه ]]=0,"",ج_ح_خرداد[[#This Row],[کارکرد]]*ج_ح_خرداد[[#This Row],[دستمزد روزانه ]]),"")</f>
        <v/>
      </c>
      <c r="I81" s="91">
        <v>0</v>
      </c>
      <c r="J81" s="90" t="str">
        <f>IFERROR((ج_ح_خرداد[[#This Row],[دستمزد روزانه ]]/7.33)*1.4*ج_ح_خرداد[[#This Row],[مدت اضافه کاری ]],"")</f>
        <v/>
      </c>
      <c r="K81" s="89" t="str">
        <f>IF(ج_ح_خرداد[[#This Row],[کارکرد]]="","",ج_ح_خرداد[[#This Row],[کارکرد]]/31*حق_مسکن)</f>
        <v/>
      </c>
      <c r="L81" s="91">
        <v>0</v>
      </c>
      <c r="M81" s="89">
        <f>IF(ج_ح_خرداد[[#This Row],[تعداد فرزندان]]="","",ج_ح_خرداد[[#This Row],[کارکرد]]/31*3*ج_ح_خرداد[[#This Row],[تعداد فرزندان]]*حداقل_حقوق_پایه_روزانه)</f>
        <v>0</v>
      </c>
      <c r="N81" s="89" t="str">
        <f>IF(ج_ح_خرداد[[#This Row],[کارکرد]]="","",ج_ح_خرداد[[#This Row],[کارکرد]]/31*حق_خواربار)</f>
        <v/>
      </c>
      <c r="O81" s="89" t="str">
        <f>IFERROR(ج_ح_خرداد[[#This Row],[حقوق پایه]]+ج_ح_خرداد[[#This Row],[اضافه کاری]]+ج_ح_خرداد[[#This Row],[حق مسکن]]+ج_ح_خرداد[[#This Row],[حق اولاد]]+ج_ح_خرداد[[#This Row],[حق و خواروبار]],"")</f>
        <v/>
      </c>
      <c r="P81"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81"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81" s="91">
        <v>0</v>
      </c>
      <c r="S81" s="91">
        <v>0</v>
      </c>
      <c r="T81" s="89" t="str">
        <f>IFERROR(ج_ح_خرداد[[#This Row],[جمع ح و م م بیمه ]]*7%,"")</f>
        <v/>
      </c>
      <c r="U81"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81" s="89" t="str">
        <f>IFERROR(ج_ح_خرداد[[#This Row],[وام]]+ج_ح_خرداد[[#This Row],[مساعده]]+ج_ح_خرداد[[#This Row],[بیمه پرداختنی]]+ج_ح_خرداد[[#This Row],[مالیات پرداختنی]],"")</f>
        <v/>
      </c>
      <c r="W81" s="89" t="str">
        <f>IFERROR(ج_ح_خرداد[[#This Row],[جمع ح و م]]-ج_ح_خرداد[[#This Row],[جمع کسورات]],"")</f>
        <v/>
      </c>
      <c r="X81" s="108" t="e">
        <f>100000000-ج_ح_خرداد[[#This Row],[جمع ح و م م مالیات]]</f>
        <v>#VALUE!</v>
      </c>
    </row>
    <row r="82" spans="2:24" ht="32.1" customHeight="1">
      <c r="B82" s="1">
        <f>B81</f>
        <v>3</v>
      </c>
      <c r="C82" s="85" t="str">
        <f>IF(ج_ح_خرداد[[#This Row],[نام]]&lt;&gt;"",ROW()-81+1,"")</f>
        <v/>
      </c>
      <c r="D82" s="86"/>
      <c r="E82" s="86"/>
      <c r="F82" s="87"/>
      <c r="G82" s="88" t="str">
        <f>IFERROR(IF(COUNT(ج_ح_خرداد[[#This Row],[کارکرد]]),حداقل_حقوق_پایه_روزانه,""),"")</f>
        <v/>
      </c>
      <c r="H82" s="89" t="str">
        <f>IFERROR(IF(ج_ح_خرداد[[#This Row],[کارکرد]]*ج_ح_خرداد[[#This Row],[دستمزد روزانه ]]=0,"",ج_ح_خرداد[[#This Row],[کارکرد]]*ج_ح_خرداد[[#This Row],[دستمزد روزانه ]]),"")</f>
        <v/>
      </c>
      <c r="I82" s="91">
        <v>0</v>
      </c>
      <c r="J82" s="90" t="str">
        <f>IFERROR((ج_ح_خرداد[[#This Row],[دستمزد روزانه ]]/7.33)*1.4*ج_ح_خرداد[[#This Row],[مدت اضافه کاری ]],"")</f>
        <v/>
      </c>
      <c r="K82" s="89" t="str">
        <f>IF(ج_ح_خرداد[[#This Row],[کارکرد]]="","",ج_ح_خرداد[[#This Row],[کارکرد]]/31*حق_مسکن)</f>
        <v/>
      </c>
      <c r="L82" s="91">
        <v>0</v>
      </c>
      <c r="M82" s="89">
        <f>IF(ج_ح_خرداد[[#This Row],[تعداد فرزندان]]="","",ج_ح_خرداد[[#This Row],[کارکرد]]/31*3*ج_ح_خرداد[[#This Row],[تعداد فرزندان]]*حداقل_حقوق_پایه_روزانه)</f>
        <v>0</v>
      </c>
      <c r="N82" s="89" t="str">
        <f>IF(ج_ح_خرداد[[#This Row],[کارکرد]]="","",ج_ح_خرداد[[#This Row],[کارکرد]]/31*حق_خواربار)</f>
        <v/>
      </c>
      <c r="O82" s="89" t="str">
        <f>IFERROR(ج_ح_خرداد[[#This Row],[حقوق پایه]]+ج_ح_خرداد[[#This Row],[اضافه کاری]]+ج_ح_خرداد[[#This Row],[حق مسکن]]+ج_ح_خرداد[[#This Row],[حق اولاد]]+ج_ح_خرداد[[#This Row],[حق و خواروبار]],"")</f>
        <v/>
      </c>
      <c r="P82"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82"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82" s="91">
        <v>0</v>
      </c>
      <c r="S82" s="91">
        <v>0</v>
      </c>
      <c r="T82" s="89" t="str">
        <f>IFERROR(ج_ح_خرداد[[#This Row],[جمع ح و م م بیمه ]]*7%,"")</f>
        <v/>
      </c>
      <c r="U82"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82" s="89" t="str">
        <f>IFERROR(ج_ح_خرداد[[#This Row],[وام]]+ج_ح_خرداد[[#This Row],[مساعده]]+ج_ح_خرداد[[#This Row],[بیمه پرداختنی]]+ج_ح_خرداد[[#This Row],[مالیات پرداختنی]],"")</f>
        <v/>
      </c>
      <c r="W82" s="89" t="str">
        <f>IFERROR(ج_ح_خرداد[[#This Row],[جمع ح و م]]-ج_ح_خرداد[[#This Row],[جمع کسورات]],"")</f>
        <v/>
      </c>
      <c r="X82" s="108" t="e">
        <f>100000000-ج_ح_خرداد[[#This Row],[جمع ح و م م مالیات]]</f>
        <v>#VALUE!</v>
      </c>
    </row>
    <row r="83" spans="2:24" ht="32.1" customHeight="1">
      <c r="B83" s="1">
        <f t="shared" ref="B83:B111" si="1">B82</f>
        <v>3</v>
      </c>
      <c r="C83" s="85" t="str">
        <f>IF(ج_ح_خرداد[[#This Row],[نام]]&lt;&gt;"",ROW()-81+1,"")</f>
        <v/>
      </c>
      <c r="D83" s="86"/>
      <c r="E83" s="86"/>
      <c r="F83" s="87"/>
      <c r="G83" s="88" t="str">
        <f>IFERROR(IF(COUNT(ج_ح_خرداد[[#This Row],[کارکرد]]),حداقل_حقوق_پایه_روزانه,""),"")</f>
        <v/>
      </c>
      <c r="H83" s="89" t="str">
        <f>IFERROR(IF(ج_ح_خرداد[[#This Row],[کارکرد]]*ج_ح_خرداد[[#This Row],[دستمزد روزانه ]]=0,"",ج_ح_خرداد[[#This Row],[کارکرد]]*ج_ح_خرداد[[#This Row],[دستمزد روزانه ]]),"")</f>
        <v/>
      </c>
      <c r="I83" s="91">
        <v>0</v>
      </c>
      <c r="J83" s="90" t="str">
        <f>IFERROR((ج_ح_خرداد[[#This Row],[دستمزد روزانه ]]/7.33)*1.4*ج_ح_خرداد[[#This Row],[مدت اضافه کاری ]],"")</f>
        <v/>
      </c>
      <c r="K83" s="89" t="str">
        <f>IF(ج_ح_خرداد[[#This Row],[کارکرد]]="","",ج_ح_خرداد[[#This Row],[کارکرد]]/31*حق_مسکن)</f>
        <v/>
      </c>
      <c r="L83" s="91">
        <v>0</v>
      </c>
      <c r="M83" s="89">
        <f>IF(ج_ح_خرداد[[#This Row],[تعداد فرزندان]]="","",ج_ح_خرداد[[#This Row],[کارکرد]]/31*3*ج_ح_خرداد[[#This Row],[تعداد فرزندان]]*حداقل_حقوق_پایه_روزانه)</f>
        <v>0</v>
      </c>
      <c r="N83" s="89" t="str">
        <f>IF(ج_ح_خرداد[[#This Row],[کارکرد]]="","",ج_ح_خرداد[[#This Row],[کارکرد]]/31*حق_خواربار)</f>
        <v/>
      </c>
      <c r="O83" s="89" t="str">
        <f>IFERROR(ج_ح_خرداد[[#This Row],[حقوق پایه]]+ج_ح_خرداد[[#This Row],[اضافه کاری]]+ج_ح_خرداد[[#This Row],[حق مسکن]]+ج_ح_خرداد[[#This Row],[حق اولاد]]+ج_ح_خرداد[[#This Row],[حق و خواروبار]],"")</f>
        <v/>
      </c>
      <c r="P83"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83"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83" s="91">
        <v>0</v>
      </c>
      <c r="S83" s="91">
        <v>0</v>
      </c>
      <c r="T83" s="89" t="str">
        <f>IFERROR(ج_ح_خرداد[[#This Row],[جمع ح و م م بیمه ]]*7%,"")</f>
        <v/>
      </c>
      <c r="U83"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83" s="89" t="str">
        <f>IFERROR(ج_ح_خرداد[[#This Row],[وام]]+ج_ح_خرداد[[#This Row],[مساعده]]+ج_ح_خرداد[[#This Row],[بیمه پرداختنی]]+ج_ح_خرداد[[#This Row],[مالیات پرداختنی]],"")</f>
        <v/>
      </c>
      <c r="W83" s="89" t="str">
        <f>IFERROR(ج_ح_خرداد[[#This Row],[جمع ح و م]]-ج_ح_خرداد[[#This Row],[جمع کسورات]],"")</f>
        <v/>
      </c>
      <c r="X83" s="108" t="e">
        <f>100000000-ج_ح_خرداد[[#This Row],[جمع ح و م م مالیات]]</f>
        <v>#VALUE!</v>
      </c>
    </row>
    <row r="84" spans="2:24" ht="32.1" customHeight="1">
      <c r="B84" s="1">
        <f t="shared" si="1"/>
        <v>3</v>
      </c>
      <c r="C84" s="85" t="str">
        <f>IF(ج_ح_خرداد[[#This Row],[نام]]&lt;&gt;"",ROW()-81+1,"")</f>
        <v/>
      </c>
      <c r="D84" s="86"/>
      <c r="E84" s="86"/>
      <c r="F84" s="87"/>
      <c r="G84" s="88" t="str">
        <f>IFERROR(IF(COUNT(ج_ح_خرداد[[#This Row],[کارکرد]]),حداقل_حقوق_پایه_روزانه,""),"")</f>
        <v/>
      </c>
      <c r="H84" s="89" t="str">
        <f>IFERROR(IF(ج_ح_خرداد[[#This Row],[کارکرد]]*ج_ح_خرداد[[#This Row],[دستمزد روزانه ]]=0,"",ج_ح_خرداد[[#This Row],[کارکرد]]*ج_ح_خرداد[[#This Row],[دستمزد روزانه ]]),"")</f>
        <v/>
      </c>
      <c r="I84" s="91">
        <v>0</v>
      </c>
      <c r="J84" s="90" t="str">
        <f>IFERROR((ج_ح_خرداد[[#This Row],[دستمزد روزانه ]]/7.33)*1.4*ج_ح_خرداد[[#This Row],[مدت اضافه کاری ]],"")</f>
        <v/>
      </c>
      <c r="K84" s="89" t="str">
        <f>IF(ج_ح_خرداد[[#This Row],[کارکرد]]="","",ج_ح_خرداد[[#This Row],[کارکرد]]/30*حق_مسکن)</f>
        <v/>
      </c>
      <c r="L84" s="91">
        <v>0</v>
      </c>
      <c r="M84" s="89">
        <f>IF(ج_ح_خرداد[[#This Row],[تعداد فرزندان]]="","",ج_ح_خرداد[[#This Row],[کارکرد]]/31*3*ج_ح_خرداد[[#This Row],[تعداد فرزندان]]*حداقل_حقوق_پایه_روزانه)</f>
        <v>0</v>
      </c>
      <c r="N84" s="89" t="str">
        <f>IF(ج_ح_خرداد[[#This Row],[کارکرد]]="","",ج_ح_خرداد[[#This Row],[کارکرد]]/30*حق_خواربار)</f>
        <v/>
      </c>
      <c r="O84" s="89" t="str">
        <f>IFERROR(ج_ح_خرداد[[#This Row],[حقوق پایه]]+ج_ح_خرداد[[#This Row],[اضافه کاری]]+ج_ح_خرداد[[#This Row],[حق مسکن]]+ج_ح_خرداد[[#This Row],[حق اولاد]]+ج_ح_خرداد[[#This Row],[حق و خواروبار]],"")</f>
        <v/>
      </c>
      <c r="P84"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84"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84" s="91">
        <v>0</v>
      </c>
      <c r="S84" s="91">
        <v>0</v>
      </c>
      <c r="T84" s="89" t="str">
        <f>IFERROR(ج_ح_خرداد[[#This Row],[جمع ح و م م بیمه ]]*7%,"")</f>
        <v/>
      </c>
      <c r="U84"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84" s="89" t="str">
        <f>IFERROR(ج_ح_خرداد[[#This Row],[وام]]+ج_ح_خرداد[[#This Row],[مساعده]]+ج_ح_خرداد[[#This Row],[بیمه پرداختنی]]+ج_ح_خرداد[[#This Row],[مالیات پرداختنی]],"")</f>
        <v/>
      </c>
      <c r="W84" s="89" t="str">
        <f>IFERROR(ج_ح_خرداد[[#This Row],[جمع ح و م]]-ج_ح_خرداد[[#This Row],[جمع کسورات]],"")</f>
        <v/>
      </c>
      <c r="X84" s="108" t="e">
        <f>50000000-ج_ح_خرداد[[#This Row],[جمع ح و م م مالیات]]</f>
        <v>#VALUE!</v>
      </c>
    </row>
    <row r="85" spans="2:24" ht="32.1" customHeight="1">
      <c r="B85" s="1">
        <f t="shared" si="1"/>
        <v>3</v>
      </c>
      <c r="C85" s="85" t="str">
        <f>IF(ج_ح_خرداد[[#This Row],[نام]]&lt;&gt;"",ROW()-81+1,"")</f>
        <v/>
      </c>
      <c r="D85" s="86"/>
      <c r="E85" s="86"/>
      <c r="F85" s="87"/>
      <c r="G85" s="88" t="str">
        <f>IFERROR(IF(COUNT(ج_ح_خرداد[[#This Row],[کارکرد]]),حداقل_حقوق_پایه_روزانه,""),"")</f>
        <v/>
      </c>
      <c r="H85" s="89" t="str">
        <f>IFERROR(IF(ج_ح_خرداد[[#This Row],[کارکرد]]*ج_ح_خرداد[[#This Row],[دستمزد روزانه ]]=0,"",ج_ح_خرداد[[#This Row],[کارکرد]]*ج_ح_خرداد[[#This Row],[دستمزد روزانه ]]),"")</f>
        <v/>
      </c>
      <c r="I85" s="91"/>
      <c r="J85" s="90" t="str">
        <f>IFERROR((ج_ح_خرداد[[#This Row],[دستمزد روزانه ]]/7.33)*1.4*ج_ح_خرداد[[#This Row],[مدت اضافه کاری ]],"")</f>
        <v/>
      </c>
      <c r="K85" s="89" t="str">
        <f>IF(ج_ح_خرداد[[#This Row],[کارکرد]]="","",ج_ح_خرداد[[#This Row],[کارکرد]]/30*حق_مسکن)</f>
        <v/>
      </c>
      <c r="L85" s="91"/>
      <c r="M85" s="89" t="str">
        <f>IF(ج_ح_خرداد[[#This Row],[تعداد فرزندان]]="","",ج_ح_خرداد[[#This Row],[کارکرد]]/31*3*ج_ح_خرداد[[#This Row],[تعداد فرزندان]]*حداقل_حقوق_پایه_روزانه)</f>
        <v/>
      </c>
      <c r="N85" s="89" t="str">
        <f>IF(ج_ح_خرداد[[#This Row],[کارکرد]]="","",ج_ح_خرداد[[#This Row],[کارکرد]]/30*حق_خواربار)</f>
        <v/>
      </c>
      <c r="O85" s="89" t="str">
        <f>IFERROR(ج_ح_خرداد[[#This Row],[حقوق پایه]]+ج_ح_خرداد[[#This Row],[اضافه کاری]]+ج_ح_خرداد[[#This Row],[حق مسکن]]+ج_ح_خرداد[[#This Row],[حق اولاد]]+ج_ح_خرداد[[#This Row],[حق و خواروبار]],"")</f>
        <v/>
      </c>
      <c r="P85"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85"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85" s="91"/>
      <c r="S85" s="91"/>
      <c r="T85" s="89" t="str">
        <f>IFERROR(ج_ح_خرداد[[#This Row],[جمع ح و م م بیمه ]]*7%,"")</f>
        <v/>
      </c>
      <c r="U85"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85" s="89" t="str">
        <f>IFERROR(ج_ح_خرداد[[#This Row],[وام]]+ج_ح_خرداد[[#This Row],[مساعده]]+ج_ح_خرداد[[#This Row],[بیمه پرداختنی]]+ج_ح_خرداد[[#This Row],[مالیات پرداختنی]],"")</f>
        <v/>
      </c>
      <c r="W85" s="89" t="str">
        <f>IFERROR(ج_ح_خرداد[[#This Row],[جمع ح و م]]-ج_ح_خرداد[[#This Row],[جمع کسورات]],"")</f>
        <v/>
      </c>
      <c r="X85" s="108"/>
    </row>
    <row r="86" spans="2:24" ht="32.1" customHeight="1">
      <c r="B86" s="1">
        <f t="shared" si="1"/>
        <v>3</v>
      </c>
      <c r="C86" s="85" t="str">
        <f>IF(ج_ح_خرداد[[#This Row],[نام]]&lt;&gt;"",ROW()-81+1,"")</f>
        <v/>
      </c>
      <c r="D86" s="86"/>
      <c r="E86" s="86"/>
      <c r="F86" s="87"/>
      <c r="G86" s="88" t="str">
        <f>IFERROR(IF(COUNT(ج_ح_خرداد[[#This Row],[کارکرد]]),حداقل_حقوق_پایه_روزانه,""),"")</f>
        <v/>
      </c>
      <c r="H86" s="89" t="str">
        <f>IFERROR(IF(ج_ح_خرداد[[#This Row],[کارکرد]]*ج_ح_خرداد[[#This Row],[دستمزد روزانه ]]=0,"",ج_ح_خرداد[[#This Row],[کارکرد]]*ج_ح_خرداد[[#This Row],[دستمزد روزانه ]]),"")</f>
        <v/>
      </c>
      <c r="I86" s="91"/>
      <c r="J86" s="90" t="str">
        <f>IFERROR((ج_ح_خرداد[[#This Row],[دستمزد روزانه ]]/7.33)*1.4*ج_ح_خرداد[[#This Row],[مدت اضافه کاری ]],"")</f>
        <v/>
      </c>
      <c r="K86" s="89" t="str">
        <f>IF(ج_ح_خرداد[[#This Row],[کارکرد]]="","",ج_ح_خرداد[[#This Row],[کارکرد]]/30*حق_مسکن)</f>
        <v/>
      </c>
      <c r="L86" s="91"/>
      <c r="M86" s="89" t="str">
        <f>IF(ج_ح_خرداد[[#This Row],[تعداد فرزندان]]="","",ج_ح_خرداد[[#This Row],[کارکرد]]/31*3*ج_ح_خرداد[[#This Row],[تعداد فرزندان]]*حداقل_حقوق_پایه_روزانه)</f>
        <v/>
      </c>
      <c r="N86" s="89" t="str">
        <f>IF(ج_ح_خرداد[[#This Row],[کارکرد]]="","",ج_ح_خرداد[[#This Row],[کارکرد]]/30*حق_خواربار)</f>
        <v/>
      </c>
      <c r="O86" s="89" t="str">
        <f>IFERROR(ج_ح_خرداد[[#This Row],[حقوق پایه]]+ج_ح_خرداد[[#This Row],[اضافه کاری]]+ج_ح_خرداد[[#This Row],[حق مسکن]]+ج_ح_خرداد[[#This Row],[حق اولاد]]+ج_ح_خرداد[[#This Row],[حق و خواروبار]],"")</f>
        <v/>
      </c>
      <c r="P86"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86"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86" s="91"/>
      <c r="S86" s="91"/>
      <c r="T86" s="89" t="str">
        <f>IFERROR(ج_ح_خرداد[[#This Row],[جمع ح و م م بیمه ]]*7%,"")</f>
        <v/>
      </c>
      <c r="U86"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86" s="89" t="str">
        <f>IFERROR(ج_ح_خرداد[[#This Row],[وام]]+ج_ح_خرداد[[#This Row],[مساعده]]+ج_ح_خرداد[[#This Row],[بیمه پرداختنی]]+ج_ح_خرداد[[#This Row],[مالیات پرداختنی]],"")</f>
        <v/>
      </c>
      <c r="W86" s="89" t="str">
        <f>IFERROR(ج_ح_خرداد[[#This Row],[جمع ح و م]]-ج_ح_خرداد[[#This Row],[جمع کسورات]],"")</f>
        <v/>
      </c>
      <c r="X86" s="108"/>
    </row>
    <row r="87" spans="2:24" ht="32.1" customHeight="1">
      <c r="B87" s="1">
        <f t="shared" si="1"/>
        <v>3</v>
      </c>
      <c r="C87" s="85" t="str">
        <f>IF(ج_ح_خرداد[[#This Row],[نام]]&lt;&gt;"",ROW()-81+1,"")</f>
        <v/>
      </c>
      <c r="D87" s="86"/>
      <c r="E87" s="86"/>
      <c r="F87" s="87"/>
      <c r="G87" s="88" t="str">
        <f>IFERROR(IF(COUNT(ج_ح_خرداد[[#This Row],[کارکرد]]),حداقل_حقوق_پایه_روزانه,""),"")</f>
        <v/>
      </c>
      <c r="H87" s="89" t="str">
        <f>IFERROR(IF(ج_ح_خرداد[[#This Row],[کارکرد]]*ج_ح_خرداد[[#This Row],[دستمزد روزانه ]]=0,"",ج_ح_خرداد[[#This Row],[کارکرد]]*ج_ح_خرداد[[#This Row],[دستمزد روزانه ]]),"")</f>
        <v/>
      </c>
      <c r="I87" s="91"/>
      <c r="J87" s="90" t="str">
        <f>IFERROR((ج_ح_خرداد[[#This Row],[دستمزد روزانه ]]/7.33)*1.4*ج_ح_خرداد[[#This Row],[مدت اضافه کاری ]],"")</f>
        <v/>
      </c>
      <c r="K87" s="89" t="str">
        <f>IF(ج_ح_خرداد[[#This Row],[کارکرد]]="","",ج_ح_خرداد[[#This Row],[کارکرد]]/30*حق_مسکن)</f>
        <v/>
      </c>
      <c r="L87" s="91"/>
      <c r="M87" s="89" t="str">
        <f>IF(ج_ح_خرداد[[#This Row],[تعداد فرزندان]]="","",ج_ح_خرداد[[#This Row],[کارکرد]]/31*3*ج_ح_خرداد[[#This Row],[تعداد فرزندان]]*حداقل_حقوق_پایه_روزانه)</f>
        <v/>
      </c>
      <c r="N87" s="89" t="str">
        <f>IF(ج_ح_خرداد[[#This Row],[کارکرد]]="","",ج_ح_خرداد[[#This Row],[کارکرد]]/30*حق_خواربار)</f>
        <v/>
      </c>
      <c r="O87" s="89" t="str">
        <f>IFERROR(ج_ح_خرداد[[#This Row],[حقوق پایه]]+ج_ح_خرداد[[#This Row],[اضافه کاری]]+ج_ح_خرداد[[#This Row],[حق مسکن]]+ج_ح_خرداد[[#This Row],[حق اولاد]]+ج_ح_خرداد[[#This Row],[حق و خواروبار]],"")</f>
        <v/>
      </c>
      <c r="P87"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87"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87" s="91"/>
      <c r="S87" s="91"/>
      <c r="T87" s="89" t="str">
        <f>IFERROR(ج_ح_خرداد[[#This Row],[جمع ح و م م بیمه ]]*7%,"")</f>
        <v/>
      </c>
      <c r="U87"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87" s="89" t="str">
        <f>IFERROR(ج_ح_خرداد[[#This Row],[وام]]+ج_ح_خرداد[[#This Row],[مساعده]]+ج_ح_خرداد[[#This Row],[بیمه پرداختنی]]+ج_ح_خرداد[[#This Row],[مالیات پرداختنی]],"")</f>
        <v/>
      </c>
      <c r="W87" s="89" t="str">
        <f>IFERROR(ج_ح_خرداد[[#This Row],[جمع ح و م]]-ج_ح_خرداد[[#This Row],[جمع کسورات]],"")</f>
        <v/>
      </c>
      <c r="X87" s="108"/>
    </row>
    <row r="88" spans="2:24" ht="32.1" customHeight="1">
      <c r="B88" s="1">
        <f t="shared" si="1"/>
        <v>3</v>
      </c>
      <c r="C88" s="85" t="str">
        <f>IF(ج_ح_خرداد[[#This Row],[نام]]&lt;&gt;"",ROW()-81+1,"")</f>
        <v/>
      </c>
      <c r="D88" s="86"/>
      <c r="E88" s="86"/>
      <c r="F88" s="87"/>
      <c r="G88" s="88" t="str">
        <f>IFERROR(IF(COUNT(ج_ح_خرداد[[#This Row],[کارکرد]]),حداقل_حقوق_پایه_روزانه,""),"")</f>
        <v/>
      </c>
      <c r="H88" s="89" t="str">
        <f>IFERROR(IF(ج_ح_خرداد[[#This Row],[کارکرد]]*ج_ح_خرداد[[#This Row],[دستمزد روزانه ]]=0,"",ج_ح_خرداد[[#This Row],[کارکرد]]*ج_ح_خرداد[[#This Row],[دستمزد روزانه ]]),"")</f>
        <v/>
      </c>
      <c r="I88" s="91"/>
      <c r="J88" s="90" t="str">
        <f>IFERROR((ج_ح_خرداد[[#This Row],[دستمزد روزانه ]]/7.33)*1.4*ج_ح_خرداد[[#This Row],[مدت اضافه کاری ]],"")</f>
        <v/>
      </c>
      <c r="K88" s="89" t="str">
        <f>IF(ج_ح_خرداد[[#This Row],[کارکرد]]="","",ج_ح_خرداد[[#This Row],[کارکرد]]/30*حق_مسکن)</f>
        <v/>
      </c>
      <c r="L88" s="91"/>
      <c r="M88" s="89" t="str">
        <f>IF(ج_ح_خرداد[[#This Row],[تعداد فرزندان]]="","",ج_ح_خرداد[[#This Row],[کارکرد]]/31*3*ج_ح_خرداد[[#This Row],[تعداد فرزندان]]*حداقل_حقوق_پایه_روزانه)</f>
        <v/>
      </c>
      <c r="N88" s="89" t="str">
        <f>IF(ج_ح_خرداد[[#This Row],[کارکرد]]="","",ج_ح_خرداد[[#This Row],[کارکرد]]/30*حق_خواربار)</f>
        <v/>
      </c>
      <c r="O88" s="89" t="str">
        <f>IFERROR(ج_ح_خرداد[[#This Row],[حقوق پایه]]+ج_ح_خرداد[[#This Row],[اضافه کاری]]+ج_ح_خرداد[[#This Row],[حق مسکن]]+ج_ح_خرداد[[#This Row],[حق اولاد]]+ج_ح_خرداد[[#This Row],[حق و خواروبار]],"")</f>
        <v/>
      </c>
      <c r="P88"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88"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88" s="91"/>
      <c r="S88" s="91"/>
      <c r="T88" s="89" t="str">
        <f>IFERROR(ج_ح_خرداد[[#This Row],[جمع ح و م م بیمه ]]*7%,"")</f>
        <v/>
      </c>
      <c r="U88"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88" s="89" t="str">
        <f>IFERROR(ج_ح_خرداد[[#This Row],[وام]]+ج_ح_خرداد[[#This Row],[مساعده]]+ج_ح_خرداد[[#This Row],[بیمه پرداختنی]]+ج_ح_خرداد[[#This Row],[مالیات پرداختنی]],"")</f>
        <v/>
      </c>
      <c r="W88" s="89" t="str">
        <f>IFERROR(ج_ح_خرداد[[#This Row],[جمع ح و م]]-ج_ح_خرداد[[#This Row],[جمع کسورات]],"")</f>
        <v/>
      </c>
      <c r="X88" s="108"/>
    </row>
    <row r="89" spans="2:24" ht="32.1" customHeight="1">
      <c r="B89" s="1">
        <f t="shared" si="1"/>
        <v>3</v>
      </c>
      <c r="C89" s="85" t="str">
        <f>IF(ج_ح_خرداد[[#This Row],[نام]]&lt;&gt;"",ROW()-81+1,"")</f>
        <v/>
      </c>
      <c r="D89" s="86"/>
      <c r="E89" s="86"/>
      <c r="F89" s="87"/>
      <c r="G89" s="88" t="str">
        <f>IFERROR(IF(COUNT(ج_ح_خرداد[[#This Row],[کارکرد]]),حداقل_حقوق_پایه_روزانه,""),"")</f>
        <v/>
      </c>
      <c r="H89" s="89" t="str">
        <f>IFERROR(IF(ج_ح_خرداد[[#This Row],[کارکرد]]*ج_ح_خرداد[[#This Row],[دستمزد روزانه ]]=0,"",ج_ح_خرداد[[#This Row],[کارکرد]]*ج_ح_خرداد[[#This Row],[دستمزد روزانه ]]),"")</f>
        <v/>
      </c>
      <c r="I89" s="91"/>
      <c r="J89" s="90" t="str">
        <f>IFERROR((ج_ح_خرداد[[#This Row],[دستمزد روزانه ]]/7.33)*1.4*ج_ح_خرداد[[#This Row],[مدت اضافه کاری ]],"")</f>
        <v/>
      </c>
      <c r="K89" s="89" t="str">
        <f>IF(ج_ح_خرداد[[#This Row],[کارکرد]]="","",ج_ح_خرداد[[#This Row],[کارکرد]]/30*حق_مسکن)</f>
        <v/>
      </c>
      <c r="L89" s="91"/>
      <c r="M89" s="89" t="str">
        <f>IF(ج_ح_خرداد[[#This Row],[تعداد فرزندان]]="","",ج_ح_خرداد[[#This Row],[کارکرد]]/31*3*ج_ح_خرداد[[#This Row],[تعداد فرزندان]]*حداقل_حقوق_پایه_روزانه)</f>
        <v/>
      </c>
      <c r="N89" s="89" t="str">
        <f>IF(ج_ح_خرداد[[#This Row],[کارکرد]]="","",ج_ح_خرداد[[#This Row],[کارکرد]]/30*حق_خواربار)</f>
        <v/>
      </c>
      <c r="O89" s="89" t="str">
        <f>IFERROR(ج_ح_خرداد[[#This Row],[حقوق پایه]]+ج_ح_خرداد[[#This Row],[اضافه کاری]]+ج_ح_خرداد[[#This Row],[حق مسکن]]+ج_ح_خرداد[[#This Row],[حق اولاد]]+ج_ح_خرداد[[#This Row],[حق و خواروبار]],"")</f>
        <v/>
      </c>
      <c r="P89"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89"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89" s="91"/>
      <c r="S89" s="91"/>
      <c r="T89" s="89" t="str">
        <f>IFERROR(ج_ح_خرداد[[#This Row],[جمع ح و م م بیمه ]]*7%,"")</f>
        <v/>
      </c>
      <c r="U89"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89" s="89" t="str">
        <f>IFERROR(ج_ح_خرداد[[#This Row],[وام]]+ج_ح_خرداد[[#This Row],[مساعده]]+ج_ح_خرداد[[#This Row],[بیمه پرداختنی]]+ج_ح_خرداد[[#This Row],[مالیات پرداختنی]],"")</f>
        <v/>
      </c>
      <c r="W89" s="89" t="str">
        <f>IFERROR(ج_ح_خرداد[[#This Row],[جمع ح و م]]-ج_ح_خرداد[[#This Row],[جمع کسورات]],"")</f>
        <v/>
      </c>
      <c r="X89" s="108"/>
    </row>
    <row r="90" spans="2:24" ht="32.1" customHeight="1">
      <c r="B90" s="1">
        <f t="shared" si="1"/>
        <v>3</v>
      </c>
      <c r="C90" s="85" t="str">
        <f>IF(ج_ح_خرداد[[#This Row],[نام]]&lt;&gt;"",ROW()-81+1,"")</f>
        <v/>
      </c>
      <c r="D90" s="86"/>
      <c r="E90" s="86"/>
      <c r="F90" s="87"/>
      <c r="G90" s="88" t="str">
        <f>IFERROR(IF(COUNT(ج_ح_خرداد[[#This Row],[کارکرد]]),حداقل_حقوق_پایه_روزانه,""),"")</f>
        <v/>
      </c>
      <c r="H90" s="89" t="str">
        <f>IFERROR(IF(ج_ح_خرداد[[#This Row],[کارکرد]]*ج_ح_خرداد[[#This Row],[دستمزد روزانه ]]=0,"",ج_ح_خرداد[[#This Row],[کارکرد]]*ج_ح_خرداد[[#This Row],[دستمزد روزانه ]]),"")</f>
        <v/>
      </c>
      <c r="I90" s="91"/>
      <c r="J90" s="90" t="str">
        <f>IFERROR((ج_ح_خرداد[[#This Row],[دستمزد روزانه ]]/7.33)*1.4*ج_ح_خرداد[[#This Row],[مدت اضافه کاری ]],"")</f>
        <v/>
      </c>
      <c r="K90" s="89" t="str">
        <f>IF(ج_ح_خرداد[[#This Row],[کارکرد]]="","",ج_ح_خرداد[[#This Row],[کارکرد]]/30*حق_مسکن)</f>
        <v/>
      </c>
      <c r="L90" s="91"/>
      <c r="M90" s="89" t="str">
        <f>IF(ج_ح_خرداد[[#This Row],[تعداد فرزندان]]="","",ج_ح_خرداد[[#This Row],[کارکرد]]/31*3*ج_ح_خرداد[[#This Row],[تعداد فرزندان]]*حداقل_حقوق_پایه_روزانه)</f>
        <v/>
      </c>
      <c r="N90" s="89" t="str">
        <f>IF(ج_ح_خرداد[[#This Row],[کارکرد]]="","",ج_ح_خرداد[[#This Row],[کارکرد]]/30*حق_خواربار)</f>
        <v/>
      </c>
      <c r="O90" s="89" t="str">
        <f>IFERROR(ج_ح_خرداد[[#This Row],[حقوق پایه]]+ج_ح_خرداد[[#This Row],[اضافه کاری]]+ج_ح_خرداد[[#This Row],[حق مسکن]]+ج_ح_خرداد[[#This Row],[حق اولاد]]+ج_ح_خرداد[[#This Row],[حق و خواروبار]],"")</f>
        <v/>
      </c>
      <c r="P90"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90"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90" s="91"/>
      <c r="S90" s="91"/>
      <c r="T90" s="89" t="str">
        <f>IFERROR(ج_ح_خرداد[[#This Row],[جمع ح و م م بیمه ]]*7%,"")</f>
        <v/>
      </c>
      <c r="U90"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90" s="89" t="str">
        <f>IFERROR(ج_ح_خرداد[[#This Row],[وام]]+ج_ح_خرداد[[#This Row],[مساعده]]+ج_ح_خرداد[[#This Row],[بیمه پرداختنی]]+ج_ح_خرداد[[#This Row],[مالیات پرداختنی]],"")</f>
        <v/>
      </c>
      <c r="W90" s="89" t="str">
        <f>IFERROR(ج_ح_خرداد[[#This Row],[جمع ح و م]]-ج_ح_خرداد[[#This Row],[جمع کسورات]],"")</f>
        <v/>
      </c>
      <c r="X90" s="108"/>
    </row>
    <row r="91" spans="2:24" ht="32.1" customHeight="1">
      <c r="B91" s="1">
        <f t="shared" si="1"/>
        <v>3</v>
      </c>
      <c r="C91" s="85" t="str">
        <f>IF(ج_ح_خرداد[[#This Row],[نام]]&lt;&gt;"",ROW()-81+1,"")</f>
        <v/>
      </c>
      <c r="D91" s="86"/>
      <c r="E91" s="86"/>
      <c r="F91" s="87"/>
      <c r="G91" s="88" t="str">
        <f>IFERROR(IF(COUNT(ج_ح_خرداد[[#This Row],[کارکرد]]),حداقل_حقوق_پایه_روزانه,""),"")</f>
        <v/>
      </c>
      <c r="H91" s="89" t="str">
        <f>IFERROR(IF(ج_ح_خرداد[[#This Row],[کارکرد]]*ج_ح_خرداد[[#This Row],[دستمزد روزانه ]]=0,"",ج_ح_خرداد[[#This Row],[کارکرد]]*ج_ح_خرداد[[#This Row],[دستمزد روزانه ]]),"")</f>
        <v/>
      </c>
      <c r="I91" s="91"/>
      <c r="J91" s="90" t="str">
        <f>IFERROR((ج_ح_خرداد[[#This Row],[دستمزد روزانه ]]/7.33)*1.4*ج_ح_خرداد[[#This Row],[مدت اضافه کاری ]],"")</f>
        <v/>
      </c>
      <c r="K91" s="89" t="str">
        <f>IF(ج_ح_خرداد[[#This Row],[کارکرد]]="","",ج_ح_خرداد[[#This Row],[کارکرد]]/30*حق_مسکن)</f>
        <v/>
      </c>
      <c r="L91" s="91"/>
      <c r="M91" s="89" t="str">
        <f>IF(ج_ح_خرداد[[#This Row],[تعداد فرزندان]]="","",ج_ح_خرداد[[#This Row],[کارکرد]]/31*3*ج_ح_خرداد[[#This Row],[تعداد فرزندان]]*حداقل_حقوق_پایه_روزانه)</f>
        <v/>
      </c>
      <c r="N91" s="89" t="str">
        <f>IF(ج_ح_خرداد[[#This Row],[کارکرد]]="","",ج_ح_خرداد[[#This Row],[کارکرد]]/30*حق_خواربار)</f>
        <v/>
      </c>
      <c r="O91" s="89" t="str">
        <f>IFERROR(ج_ح_خرداد[[#This Row],[حقوق پایه]]+ج_ح_خرداد[[#This Row],[اضافه کاری]]+ج_ح_خرداد[[#This Row],[حق مسکن]]+ج_ح_خرداد[[#This Row],[حق اولاد]]+ج_ح_خرداد[[#This Row],[حق و خواروبار]],"")</f>
        <v/>
      </c>
      <c r="P91"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91"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91" s="91"/>
      <c r="S91" s="91"/>
      <c r="T91" s="89" t="str">
        <f>IFERROR(ج_ح_خرداد[[#This Row],[جمع ح و م م بیمه ]]*7%,"")</f>
        <v/>
      </c>
      <c r="U91"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91" s="89" t="str">
        <f>IFERROR(ج_ح_خرداد[[#This Row],[وام]]+ج_ح_خرداد[[#This Row],[مساعده]]+ج_ح_خرداد[[#This Row],[بیمه پرداختنی]]+ج_ح_خرداد[[#This Row],[مالیات پرداختنی]],"")</f>
        <v/>
      </c>
      <c r="W91" s="89" t="str">
        <f>IFERROR(ج_ح_خرداد[[#This Row],[جمع ح و م]]-ج_ح_خرداد[[#This Row],[جمع کسورات]],"")</f>
        <v/>
      </c>
      <c r="X91" s="108"/>
    </row>
    <row r="92" spans="2:24" ht="32.1" customHeight="1">
      <c r="B92" s="1">
        <f t="shared" si="1"/>
        <v>3</v>
      </c>
      <c r="C92" s="85" t="str">
        <f>IF(ج_ح_خرداد[[#This Row],[نام]]&lt;&gt;"",ROW()-81+1,"")</f>
        <v/>
      </c>
      <c r="D92" s="86"/>
      <c r="E92" s="86"/>
      <c r="F92" s="87"/>
      <c r="G92" s="88" t="str">
        <f>IFERROR(IF(COUNT(ج_ح_خرداد[[#This Row],[کارکرد]]),حداقل_حقوق_پایه_روزانه,""),"")</f>
        <v/>
      </c>
      <c r="H92" s="89" t="str">
        <f>IFERROR(IF(ج_ح_خرداد[[#This Row],[کارکرد]]*ج_ح_خرداد[[#This Row],[دستمزد روزانه ]]=0,"",ج_ح_خرداد[[#This Row],[کارکرد]]*ج_ح_خرداد[[#This Row],[دستمزد روزانه ]]),"")</f>
        <v/>
      </c>
      <c r="I92" s="91"/>
      <c r="J92" s="90" t="str">
        <f>IFERROR((ج_ح_خرداد[[#This Row],[دستمزد روزانه ]]/7.33)*1.4*ج_ح_خرداد[[#This Row],[مدت اضافه کاری ]],"")</f>
        <v/>
      </c>
      <c r="K92" s="89" t="str">
        <f>IF(ج_ح_خرداد[[#This Row],[کارکرد]]="","",ج_ح_خرداد[[#This Row],[کارکرد]]/30*حق_مسکن)</f>
        <v/>
      </c>
      <c r="L92" s="91"/>
      <c r="M92" s="89" t="str">
        <f>IF(ج_ح_خرداد[[#This Row],[تعداد فرزندان]]="","",ج_ح_خرداد[[#This Row],[کارکرد]]/31*3*ج_ح_خرداد[[#This Row],[تعداد فرزندان]]*حداقل_حقوق_پایه_روزانه)</f>
        <v/>
      </c>
      <c r="N92" s="89" t="str">
        <f>IF(ج_ح_خرداد[[#This Row],[کارکرد]]="","",ج_ح_خرداد[[#This Row],[کارکرد]]/30*حق_خواربار)</f>
        <v/>
      </c>
      <c r="O92" s="89" t="str">
        <f>IFERROR(ج_ح_خرداد[[#This Row],[حقوق پایه]]+ج_ح_خرداد[[#This Row],[اضافه کاری]]+ج_ح_خرداد[[#This Row],[حق مسکن]]+ج_ح_خرداد[[#This Row],[حق اولاد]]+ج_ح_خرداد[[#This Row],[حق و خواروبار]],"")</f>
        <v/>
      </c>
      <c r="P92"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92"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92" s="91"/>
      <c r="S92" s="91"/>
      <c r="T92" s="89" t="str">
        <f>IFERROR(ج_ح_خرداد[[#This Row],[جمع ح و م م بیمه ]]*7%,"")</f>
        <v/>
      </c>
      <c r="U92"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92" s="89" t="str">
        <f>IFERROR(ج_ح_خرداد[[#This Row],[وام]]+ج_ح_خرداد[[#This Row],[مساعده]]+ج_ح_خرداد[[#This Row],[بیمه پرداختنی]]+ج_ح_خرداد[[#This Row],[مالیات پرداختنی]],"")</f>
        <v/>
      </c>
      <c r="W92" s="89" t="str">
        <f>IFERROR(ج_ح_خرداد[[#This Row],[جمع ح و م]]-ج_ح_خرداد[[#This Row],[جمع کسورات]],"")</f>
        <v/>
      </c>
      <c r="X92" s="108"/>
    </row>
    <row r="93" spans="2:24" ht="32.1" customHeight="1">
      <c r="B93" s="1">
        <f t="shared" si="1"/>
        <v>3</v>
      </c>
      <c r="C93" s="85" t="str">
        <f>IF(ج_ح_خرداد[[#This Row],[نام]]&lt;&gt;"",ROW()-81+1,"")</f>
        <v/>
      </c>
      <c r="D93" s="86"/>
      <c r="E93" s="86"/>
      <c r="F93" s="87"/>
      <c r="G93" s="88" t="str">
        <f>IFERROR(IF(COUNT(ج_ح_خرداد[[#This Row],[کارکرد]]),حداقل_حقوق_پایه_روزانه,""),"")</f>
        <v/>
      </c>
      <c r="H93" s="89" t="str">
        <f>IFERROR(IF(ج_ح_خرداد[[#This Row],[کارکرد]]*ج_ح_خرداد[[#This Row],[دستمزد روزانه ]]=0,"",ج_ح_خرداد[[#This Row],[کارکرد]]*ج_ح_خرداد[[#This Row],[دستمزد روزانه ]]),"")</f>
        <v/>
      </c>
      <c r="I93" s="91"/>
      <c r="J93" s="90" t="str">
        <f>IFERROR((ج_ح_خرداد[[#This Row],[دستمزد روزانه ]]/7.33)*1.4*ج_ح_خرداد[[#This Row],[مدت اضافه کاری ]],"")</f>
        <v/>
      </c>
      <c r="K93" s="89" t="str">
        <f>IF(ج_ح_خرداد[[#This Row],[کارکرد]]="","",ج_ح_خرداد[[#This Row],[کارکرد]]/30*حق_مسکن)</f>
        <v/>
      </c>
      <c r="L93" s="91"/>
      <c r="M93" s="89" t="str">
        <f>IF(ج_ح_خرداد[[#This Row],[تعداد فرزندان]]="","",ج_ح_خرداد[[#This Row],[کارکرد]]/31*3*ج_ح_خرداد[[#This Row],[تعداد فرزندان]]*حداقل_حقوق_پایه_روزانه)</f>
        <v/>
      </c>
      <c r="N93" s="89" t="str">
        <f>IF(ج_ح_خرداد[[#This Row],[کارکرد]]="","",ج_ح_خرداد[[#This Row],[کارکرد]]/30*حق_خواربار)</f>
        <v/>
      </c>
      <c r="O93" s="89" t="str">
        <f>IFERROR(ج_ح_خرداد[[#This Row],[حقوق پایه]]+ج_ح_خرداد[[#This Row],[اضافه کاری]]+ج_ح_خرداد[[#This Row],[حق مسکن]]+ج_ح_خرداد[[#This Row],[حق اولاد]]+ج_ح_خرداد[[#This Row],[حق و خواروبار]],"")</f>
        <v/>
      </c>
      <c r="P93"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93"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93" s="91"/>
      <c r="S93" s="91"/>
      <c r="T93" s="89" t="str">
        <f>IFERROR(ج_ح_خرداد[[#This Row],[جمع ح و م م بیمه ]]*7%,"")</f>
        <v/>
      </c>
      <c r="U93"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93" s="89" t="str">
        <f>IFERROR(ج_ح_خرداد[[#This Row],[وام]]+ج_ح_خرداد[[#This Row],[مساعده]]+ج_ح_خرداد[[#This Row],[بیمه پرداختنی]]+ج_ح_خرداد[[#This Row],[مالیات پرداختنی]],"")</f>
        <v/>
      </c>
      <c r="W93" s="89" t="str">
        <f>IFERROR(ج_ح_خرداد[[#This Row],[جمع ح و م]]-ج_ح_خرداد[[#This Row],[جمع کسورات]],"")</f>
        <v/>
      </c>
      <c r="X93" s="108"/>
    </row>
    <row r="94" spans="2:24" ht="32.1" customHeight="1">
      <c r="B94" s="1">
        <f t="shared" si="1"/>
        <v>3</v>
      </c>
      <c r="C94" s="85" t="str">
        <f>IF(ج_ح_خرداد[[#This Row],[نام]]&lt;&gt;"",ROW()-81+1,"")</f>
        <v/>
      </c>
      <c r="D94" s="86"/>
      <c r="E94" s="86"/>
      <c r="F94" s="87"/>
      <c r="G94" s="88" t="str">
        <f>IFERROR(IF(COUNT(ج_ح_خرداد[[#This Row],[کارکرد]]),حداقل_حقوق_پایه_روزانه,""),"")</f>
        <v/>
      </c>
      <c r="H94" s="89" t="str">
        <f>IFERROR(IF(ج_ح_خرداد[[#This Row],[کارکرد]]*ج_ح_خرداد[[#This Row],[دستمزد روزانه ]]=0,"",ج_ح_خرداد[[#This Row],[کارکرد]]*ج_ح_خرداد[[#This Row],[دستمزد روزانه ]]),"")</f>
        <v/>
      </c>
      <c r="I94" s="91"/>
      <c r="J94" s="90" t="str">
        <f>IFERROR((ج_ح_خرداد[[#This Row],[دستمزد روزانه ]]/7.33)*1.4*ج_ح_خرداد[[#This Row],[مدت اضافه کاری ]],"")</f>
        <v/>
      </c>
      <c r="K94" s="89" t="str">
        <f>IF(ج_ح_خرداد[[#This Row],[کارکرد]]="","",ج_ح_خرداد[[#This Row],[کارکرد]]/30*حق_مسکن)</f>
        <v/>
      </c>
      <c r="L94" s="91"/>
      <c r="M94" s="89" t="str">
        <f>IF(ج_ح_خرداد[[#This Row],[تعداد فرزندان]]="","",ج_ح_خرداد[[#This Row],[کارکرد]]/31*3*ج_ح_خرداد[[#This Row],[تعداد فرزندان]]*حداقل_حقوق_پایه_روزانه)</f>
        <v/>
      </c>
      <c r="N94" s="89" t="str">
        <f>IF(ج_ح_خرداد[[#This Row],[کارکرد]]="","",ج_ح_خرداد[[#This Row],[کارکرد]]/30*حق_خواربار)</f>
        <v/>
      </c>
      <c r="O94" s="89" t="str">
        <f>IFERROR(ج_ح_خرداد[[#This Row],[حقوق پایه]]+ج_ح_خرداد[[#This Row],[اضافه کاری]]+ج_ح_خرداد[[#This Row],[حق مسکن]]+ج_ح_خرداد[[#This Row],[حق اولاد]]+ج_ح_خرداد[[#This Row],[حق و خواروبار]],"")</f>
        <v/>
      </c>
      <c r="P94"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94"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94" s="91"/>
      <c r="S94" s="91"/>
      <c r="T94" s="89" t="str">
        <f>IFERROR(ج_ح_خرداد[[#This Row],[جمع ح و م م بیمه ]]*7%,"")</f>
        <v/>
      </c>
      <c r="U94"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94" s="89" t="str">
        <f>IFERROR(ج_ح_خرداد[[#This Row],[وام]]+ج_ح_خرداد[[#This Row],[مساعده]]+ج_ح_خرداد[[#This Row],[بیمه پرداختنی]]+ج_ح_خرداد[[#This Row],[مالیات پرداختنی]],"")</f>
        <v/>
      </c>
      <c r="W94" s="89" t="str">
        <f>IFERROR(ج_ح_خرداد[[#This Row],[جمع ح و م]]-ج_ح_خرداد[[#This Row],[جمع کسورات]],"")</f>
        <v/>
      </c>
      <c r="X94" s="108"/>
    </row>
    <row r="95" spans="2:24" ht="32.1" customHeight="1">
      <c r="B95" s="1">
        <f t="shared" si="1"/>
        <v>3</v>
      </c>
      <c r="C95" s="85" t="str">
        <f>IF(ج_ح_خرداد[[#This Row],[نام]]&lt;&gt;"",ROW()-81+1,"")</f>
        <v/>
      </c>
      <c r="D95" s="86"/>
      <c r="E95" s="86"/>
      <c r="F95" s="87"/>
      <c r="G95" s="88" t="str">
        <f>IFERROR(IF(COUNT(ج_ح_خرداد[[#This Row],[کارکرد]]),حداقل_حقوق_پایه_روزانه,""),"")</f>
        <v/>
      </c>
      <c r="H95" s="89" t="str">
        <f>IFERROR(IF(ج_ح_خرداد[[#This Row],[کارکرد]]*ج_ح_خرداد[[#This Row],[دستمزد روزانه ]]=0,"",ج_ح_خرداد[[#This Row],[کارکرد]]*ج_ح_خرداد[[#This Row],[دستمزد روزانه ]]),"")</f>
        <v/>
      </c>
      <c r="I95" s="91"/>
      <c r="J95" s="90" t="str">
        <f>IFERROR((ج_ح_خرداد[[#This Row],[دستمزد روزانه ]]/7.33)*1.4*ج_ح_خرداد[[#This Row],[مدت اضافه کاری ]],"")</f>
        <v/>
      </c>
      <c r="K95" s="89" t="str">
        <f>IF(ج_ح_خرداد[[#This Row],[کارکرد]]="","",ج_ح_خرداد[[#This Row],[کارکرد]]/30*حق_مسکن)</f>
        <v/>
      </c>
      <c r="L95" s="91"/>
      <c r="M95" s="89" t="str">
        <f>IF(ج_ح_خرداد[[#This Row],[تعداد فرزندان]]="","",ج_ح_خرداد[[#This Row],[کارکرد]]/31*3*ج_ح_خرداد[[#This Row],[تعداد فرزندان]]*حداقل_حقوق_پایه_روزانه)</f>
        <v/>
      </c>
      <c r="N95" s="89" t="str">
        <f>IF(ج_ح_خرداد[[#This Row],[کارکرد]]="","",ج_ح_خرداد[[#This Row],[کارکرد]]/30*حق_خواربار)</f>
        <v/>
      </c>
      <c r="O95" s="89" t="str">
        <f>IFERROR(ج_ح_خرداد[[#This Row],[حقوق پایه]]+ج_ح_خرداد[[#This Row],[اضافه کاری]]+ج_ح_خرداد[[#This Row],[حق مسکن]]+ج_ح_خرداد[[#This Row],[حق اولاد]]+ج_ح_خرداد[[#This Row],[حق و خواروبار]],"")</f>
        <v/>
      </c>
      <c r="P95"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95"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95" s="91"/>
      <c r="S95" s="91"/>
      <c r="T95" s="89" t="str">
        <f>IFERROR(ج_ح_خرداد[[#This Row],[جمع ح و م م بیمه ]]*7%,"")</f>
        <v/>
      </c>
      <c r="U95"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95" s="89" t="str">
        <f>IFERROR(ج_ح_خرداد[[#This Row],[وام]]+ج_ح_خرداد[[#This Row],[مساعده]]+ج_ح_خرداد[[#This Row],[بیمه پرداختنی]]+ج_ح_خرداد[[#This Row],[مالیات پرداختنی]],"")</f>
        <v/>
      </c>
      <c r="W95" s="89" t="str">
        <f>IFERROR(ج_ح_خرداد[[#This Row],[جمع ح و م]]-ج_ح_خرداد[[#This Row],[جمع کسورات]],"")</f>
        <v/>
      </c>
      <c r="X95" s="108"/>
    </row>
    <row r="96" spans="2:24" ht="32.1" customHeight="1">
      <c r="B96" s="1">
        <f t="shared" si="1"/>
        <v>3</v>
      </c>
      <c r="C96" s="85" t="str">
        <f>IF(ج_ح_خرداد[[#This Row],[نام]]&lt;&gt;"",ROW()-81+1,"")</f>
        <v/>
      </c>
      <c r="D96" s="86"/>
      <c r="E96" s="86"/>
      <c r="F96" s="87"/>
      <c r="G96" s="88" t="str">
        <f>IFERROR(IF(COUNT(ج_ح_خرداد[[#This Row],[کارکرد]]),حداقل_حقوق_پایه_روزانه,""),"")</f>
        <v/>
      </c>
      <c r="H96" s="89" t="str">
        <f>IFERROR(IF(ج_ح_خرداد[[#This Row],[کارکرد]]*ج_ح_خرداد[[#This Row],[دستمزد روزانه ]]=0,"",ج_ح_خرداد[[#This Row],[کارکرد]]*ج_ح_خرداد[[#This Row],[دستمزد روزانه ]]),"")</f>
        <v/>
      </c>
      <c r="I96" s="91"/>
      <c r="J96" s="90" t="str">
        <f>IFERROR((ج_ح_خرداد[[#This Row],[دستمزد روزانه ]]/7.33)*1.4*ج_ح_خرداد[[#This Row],[مدت اضافه کاری ]],"")</f>
        <v/>
      </c>
      <c r="K96" s="89" t="str">
        <f>IF(ج_ح_خرداد[[#This Row],[کارکرد]]="","",ج_ح_خرداد[[#This Row],[کارکرد]]/30*حق_مسکن)</f>
        <v/>
      </c>
      <c r="L96" s="91"/>
      <c r="M96" s="89" t="str">
        <f>IF(ج_ح_خرداد[[#This Row],[تعداد فرزندان]]="","",ج_ح_خرداد[[#This Row],[کارکرد]]/31*3*ج_ح_خرداد[[#This Row],[تعداد فرزندان]]*حداقل_حقوق_پایه_روزانه)</f>
        <v/>
      </c>
      <c r="N96" s="89" t="str">
        <f>IF(ج_ح_خرداد[[#This Row],[کارکرد]]="","",ج_ح_خرداد[[#This Row],[کارکرد]]/30*حق_خواربار)</f>
        <v/>
      </c>
      <c r="O96" s="89" t="str">
        <f>IFERROR(ج_ح_خرداد[[#This Row],[حقوق پایه]]+ج_ح_خرداد[[#This Row],[اضافه کاری]]+ج_ح_خرداد[[#This Row],[حق مسکن]]+ج_ح_خرداد[[#This Row],[حق اولاد]]+ج_ح_خرداد[[#This Row],[حق و خواروبار]],"")</f>
        <v/>
      </c>
      <c r="P96"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96"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96" s="91"/>
      <c r="S96" s="91"/>
      <c r="T96" s="89" t="str">
        <f>IFERROR(ج_ح_خرداد[[#This Row],[جمع ح و م م بیمه ]]*7%,"")</f>
        <v/>
      </c>
      <c r="U96"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96" s="89" t="str">
        <f>IFERROR(ج_ح_خرداد[[#This Row],[وام]]+ج_ح_خرداد[[#This Row],[مساعده]]+ج_ح_خرداد[[#This Row],[بیمه پرداختنی]]+ج_ح_خرداد[[#This Row],[مالیات پرداختنی]],"")</f>
        <v/>
      </c>
      <c r="W96" s="89" t="str">
        <f>IFERROR(ج_ح_خرداد[[#This Row],[جمع ح و م]]-ج_ح_خرداد[[#This Row],[جمع کسورات]],"")</f>
        <v/>
      </c>
      <c r="X96" s="108"/>
    </row>
    <row r="97" spans="2:24" ht="32.1" customHeight="1">
      <c r="B97" s="1">
        <f t="shared" si="1"/>
        <v>3</v>
      </c>
      <c r="C97" s="85" t="str">
        <f>IF(ج_ح_خرداد[[#This Row],[نام]]&lt;&gt;"",ROW()-81+1,"")</f>
        <v/>
      </c>
      <c r="D97" s="86"/>
      <c r="E97" s="86"/>
      <c r="F97" s="87"/>
      <c r="G97" s="88" t="str">
        <f>IFERROR(IF(COUNT(ج_ح_خرداد[[#This Row],[کارکرد]]),حداقل_حقوق_پایه_روزانه,""),"")</f>
        <v/>
      </c>
      <c r="H97" s="89" t="str">
        <f>IFERROR(IF(ج_ح_خرداد[[#This Row],[کارکرد]]*ج_ح_خرداد[[#This Row],[دستمزد روزانه ]]=0,"",ج_ح_خرداد[[#This Row],[کارکرد]]*ج_ح_خرداد[[#This Row],[دستمزد روزانه ]]),"")</f>
        <v/>
      </c>
      <c r="I97" s="91"/>
      <c r="J97" s="90" t="str">
        <f>IFERROR((ج_ح_خرداد[[#This Row],[دستمزد روزانه ]]/7.33)*1.4*ج_ح_خرداد[[#This Row],[مدت اضافه کاری ]],"")</f>
        <v/>
      </c>
      <c r="K97" s="89" t="str">
        <f>IF(ج_ح_خرداد[[#This Row],[کارکرد]]="","",ج_ح_خرداد[[#This Row],[کارکرد]]/30*حق_مسکن)</f>
        <v/>
      </c>
      <c r="L97" s="91"/>
      <c r="M97" s="89" t="str">
        <f>IF(ج_ح_خرداد[[#This Row],[تعداد فرزندان]]="","",ج_ح_خرداد[[#This Row],[کارکرد]]/31*3*ج_ح_خرداد[[#This Row],[تعداد فرزندان]]*حداقل_حقوق_پایه_روزانه)</f>
        <v/>
      </c>
      <c r="N97" s="89" t="str">
        <f>IF(ج_ح_خرداد[[#This Row],[کارکرد]]="","",ج_ح_خرداد[[#This Row],[کارکرد]]/30*حق_خواربار)</f>
        <v/>
      </c>
      <c r="O97" s="89" t="str">
        <f>IFERROR(ج_ح_خرداد[[#This Row],[حقوق پایه]]+ج_ح_خرداد[[#This Row],[اضافه کاری]]+ج_ح_خرداد[[#This Row],[حق مسکن]]+ج_ح_خرداد[[#This Row],[حق اولاد]]+ج_ح_خرداد[[#This Row],[حق و خواروبار]],"")</f>
        <v/>
      </c>
      <c r="P97"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97"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97" s="91"/>
      <c r="S97" s="91"/>
      <c r="T97" s="89" t="str">
        <f>IFERROR(ج_ح_خرداد[[#This Row],[جمع ح و م م بیمه ]]*7%,"")</f>
        <v/>
      </c>
      <c r="U97"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97" s="89" t="str">
        <f>IFERROR(ج_ح_خرداد[[#This Row],[وام]]+ج_ح_خرداد[[#This Row],[مساعده]]+ج_ح_خرداد[[#This Row],[بیمه پرداختنی]]+ج_ح_خرداد[[#This Row],[مالیات پرداختنی]],"")</f>
        <v/>
      </c>
      <c r="W97" s="89" t="str">
        <f>IFERROR(ج_ح_خرداد[[#This Row],[جمع ح و م]]-ج_ح_خرداد[[#This Row],[جمع کسورات]],"")</f>
        <v/>
      </c>
      <c r="X97" s="108"/>
    </row>
    <row r="98" spans="2:24" ht="32.1" customHeight="1">
      <c r="B98" s="1">
        <f t="shared" si="1"/>
        <v>3</v>
      </c>
      <c r="C98" s="85" t="str">
        <f>IF(ج_ح_خرداد[[#This Row],[نام]]&lt;&gt;"",ROW()-81+1,"")</f>
        <v/>
      </c>
      <c r="D98" s="86"/>
      <c r="E98" s="86"/>
      <c r="F98" s="87"/>
      <c r="G98" s="88" t="str">
        <f>IFERROR(IF(COUNT(ج_ح_خرداد[[#This Row],[کارکرد]]),حداقل_حقوق_پایه_روزانه,""),"")</f>
        <v/>
      </c>
      <c r="H98" s="89" t="str">
        <f>IFERROR(IF(ج_ح_خرداد[[#This Row],[کارکرد]]*ج_ح_خرداد[[#This Row],[دستمزد روزانه ]]=0,"",ج_ح_خرداد[[#This Row],[کارکرد]]*ج_ح_خرداد[[#This Row],[دستمزد روزانه ]]),"")</f>
        <v/>
      </c>
      <c r="I98" s="91"/>
      <c r="J98" s="90" t="str">
        <f>IFERROR((ج_ح_خرداد[[#This Row],[دستمزد روزانه ]]/7.33)*1.4*ج_ح_خرداد[[#This Row],[مدت اضافه کاری ]],"")</f>
        <v/>
      </c>
      <c r="K98" s="89" t="str">
        <f>IF(ج_ح_خرداد[[#This Row],[کارکرد]]="","",ج_ح_خرداد[[#This Row],[کارکرد]]/30*حق_مسکن)</f>
        <v/>
      </c>
      <c r="L98" s="91"/>
      <c r="M98" s="89" t="str">
        <f>IF(ج_ح_خرداد[[#This Row],[تعداد فرزندان]]="","",ج_ح_خرداد[[#This Row],[کارکرد]]/31*3*ج_ح_خرداد[[#This Row],[تعداد فرزندان]]*حداقل_حقوق_پایه_روزانه)</f>
        <v/>
      </c>
      <c r="N98" s="89" t="str">
        <f>IF(ج_ح_خرداد[[#This Row],[کارکرد]]="","",ج_ح_خرداد[[#This Row],[کارکرد]]/30*حق_خواربار)</f>
        <v/>
      </c>
      <c r="O98" s="89" t="str">
        <f>IFERROR(ج_ح_خرداد[[#This Row],[حقوق پایه]]+ج_ح_خرداد[[#This Row],[اضافه کاری]]+ج_ح_خرداد[[#This Row],[حق مسکن]]+ج_ح_خرداد[[#This Row],[حق اولاد]]+ج_ح_خرداد[[#This Row],[حق و خواروبار]],"")</f>
        <v/>
      </c>
      <c r="P98"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98"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98" s="91"/>
      <c r="S98" s="91"/>
      <c r="T98" s="89" t="str">
        <f>IFERROR(ج_ح_خرداد[[#This Row],[جمع ح و م م بیمه ]]*7%,"")</f>
        <v/>
      </c>
      <c r="U98"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98" s="89" t="str">
        <f>IFERROR(ج_ح_خرداد[[#This Row],[وام]]+ج_ح_خرداد[[#This Row],[مساعده]]+ج_ح_خرداد[[#This Row],[بیمه پرداختنی]]+ج_ح_خرداد[[#This Row],[مالیات پرداختنی]],"")</f>
        <v/>
      </c>
      <c r="W98" s="89" t="str">
        <f>IFERROR(ج_ح_خرداد[[#This Row],[جمع ح و م]]-ج_ح_خرداد[[#This Row],[جمع کسورات]],"")</f>
        <v/>
      </c>
      <c r="X98" s="108"/>
    </row>
    <row r="99" spans="2:24" ht="32.1" customHeight="1">
      <c r="B99" s="1">
        <f t="shared" si="1"/>
        <v>3</v>
      </c>
      <c r="C99" s="85" t="str">
        <f>IF(ج_ح_خرداد[[#This Row],[نام]]&lt;&gt;"",ROW()-81+1,"")</f>
        <v/>
      </c>
      <c r="D99" s="86"/>
      <c r="E99" s="86"/>
      <c r="F99" s="87"/>
      <c r="G99" s="88" t="str">
        <f>IFERROR(IF(COUNT(ج_ح_خرداد[[#This Row],[کارکرد]]),حداقل_حقوق_پایه_روزانه,""),"")</f>
        <v/>
      </c>
      <c r="H99" s="89" t="str">
        <f>IFERROR(IF(ج_ح_خرداد[[#This Row],[کارکرد]]*ج_ح_خرداد[[#This Row],[دستمزد روزانه ]]=0,"",ج_ح_خرداد[[#This Row],[کارکرد]]*ج_ح_خرداد[[#This Row],[دستمزد روزانه ]]),"")</f>
        <v/>
      </c>
      <c r="I99" s="91"/>
      <c r="J99" s="90" t="str">
        <f>IFERROR((ج_ح_خرداد[[#This Row],[دستمزد روزانه ]]/7.33)*1.4*ج_ح_خرداد[[#This Row],[مدت اضافه کاری ]],"")</f>
        <v/>
      </c>
      <c r="K99" s="89" t="str">
        <f>IF(ج_ح_خرداد[[#This Row],[کارکرد]]="","",ج_ح_خرداد[[#This Row],[کارکرد]]/30*حق_مسکن)</f>
        <v/>
      </c>
      <c r="L99" s="91"/>
      <c r="M99" s="89" t="str">
        <f>IF(ج_ح_خرداد[[#This Row],[تعداد فرزندان]]="","",ج_ح_خرداد[[#This Row],[کارکرد]]/31*3*ج_ح_خرداد[[#This Row],[تعداد فرزندان]]*حداقل_حقوق_پایه_روزانه)</f>
        <v/>
      </c>
      <c r="N99" s="89" t="str">
        <f>IF(ج_ح_خرداد[[#This Row],[کارکرد]]="","",ج_ح_خرداد[[#This Row],[کارکرد]]/30*حق_خواربار)</f>
        <v/>
      </c>
      <c r="O99" s="89" t="str">
        <f>IFERROR(ج_ح_خرداد[[#This Row],[حقوق پایه]]+ج_ح_خرداد[[#This Row],[اضافه کاری]]+ج_ح_خرداد[[#This Row],[حق مسکن]]+ج_ح_خرداد[[#This Row],[حق اولاد]]+ج_ح_خرداد[[#This Row],[حق و خواروبار]],"")</f>
        <v/>
      </c>
      <c r="P99"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99"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99" s="91"/>
      <c r="S99" s="91"/>
      <c r="T99" s="89" t="str">
        <f>IFERROR(ج_ح_خرداد[[#This Row],[جمع ح و م م بیمه ]]*7%,"")</f>
        <v/>
      </c>
      <c r="U99"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99" s="89" t="str">
        <f>IFERROR(ج_ح_خرداد[[#This Row],[وام]]+ج_ح_خرداد[[#This Row],[مساعده]]+ج_ح_خرداد[[#This Row],[بیمه پرداختنی]]+ج_ح_خرداد[[#This Row],[مالیات پرداختنی]],"")</f>
        <v/>
      </c>
      <c r="W99" s="89" t="str">
        <f>IFERROR(ج_ح_خرداد[[#This Row],[جمع ح و م]]-ج_ح_خرداد[[#This Row],[جمع کسورات]],"")</f>
        <v/>
      </c>
      <c r="X99" s="108"/>
    </row>
    <row r="100" spans="2:24" ht="32.1" customHeight="1">
      <c r="B100" s="1">
        <f t="shared" si="1"/>
        <v>3</v>
      </c>
      <c r="C100" s="85" t="str">
        <f>IF(ج_ح_خرداد[[#This Row],[نام]]&lt;&gt;"",ROW()-81+1,"")</f>
        <v/>
      </c>
      <c r="D100" s="86"/>
      <c r="E100" s="86"/>
      <c r="F100" s="87"/>
      <c r="G100" s="88" t="str">
        <f>IFERROR(IF(COUNT(ج_ح_خرداد[[#This Row],[کارکرد]]),حداقل_حقوق_پایه_روزانه,""),"")</f>
        <v/>
      </c>
      <c r="H100" s="89" t="str">
        <f>IFERROR(IF(ج_ح_خرداد[[#This Row],[کارکرد]]*ج_ح_خرداد[[#This Row],[دستمزد روزانه ]]=0,"",ج_ح_خرداد[[#This Row],[کارکرد]]*ج_ح_خرداد[[#This Row],[دستمزد روزانه ]]),"")</f>
        <v/>
      </c>
      <c r="I100" s="91"/>
      <c r="J100" s="90" t="str">
        <f>IFERROR((ج_ح_خرداد[[#This Row],[دستمزد روزانه ]]/7.33)*1.4*ج_ح_خرداد[[#This Row],[مدت اضافه کاری ]],"")</f>
        <v/>
      </c>
      <c r="K100" s="89" t="str">
        <f>IF(ج_ح_خرداد[[#This Row],[کارکرد]]="","",ج_ح_خرداد[[#This Row],[کارکرد]]/30*حق_مسکن)</f>
        <v/>
      </c>
      <c r="L100" s="91"/>
      <c r="M100" s="89" t="str">
        <f>IF(ج_ح_خرداد[[#This Row],[تعداد فرزندان]]="","",ج_ح_خرداد[[#This Row],[کارکرد]]/31*3*ج_ح_خرداد[[#This Row],[تعداد فرزندان]]*حداقل_حقوق_پایه_روزانه)</f>
        <v/>
      </c>
      <c r="N100" s="89" t="str">
        <f>IF(ج_ح_خرداد[[#This Row],[کارکرد]]="","",ج_ح_خرداد[[#This Row],[کارکرد]]/30*حق_خواربار)</f>
        <v/>
      </c>
      <c r="O100" s="89" t="str">
        <f>IFERROR(ج_ح_خرداد[[#This Row],[حقوق پایه]]+ج_ح_خرداد[[#This Row],[اضافه کاری]]+ج_ح_خرداد[[#This Row],[حق مسکن]]+ج_ح_خرداد[[#This Row],[حق اولاد]]+ج_ح_خرداد[[#This Row],[حق و خواروبار]],"")</f>
        <v/>
      </c>
      <c r="P100"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00"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00" s="91"/>
      <c r="S100" s="91"/>
      <c r="T100" s="89" t="str">
        <f>IFERROR(ج_ح_خرداد[[#This Row],[جمع ح و م م بیمه ]]*7%,"")</f>
        <v/>
      </c>
      <c r="U100"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00" s="89" t="str">
        <f>IFERROR(ج_ح_خرداد[[#This Row],[وام]]+ج_ح_خرداد[[#This Row],[مساعده]]+ج_ح_خرداد[[#This Row],[بیمه پرداختنی]]+ج_ح_خرداد[[#This Row],[مالیات پرداختنی]],"")</f>
        <v/>
      </c>
      <c r="W100" s="89" t="str">
        <f>IFERROR(ج_ح_خرداد[[#This Row],[جمع ح و م]]-ج_ح_خرداد[[#This Row],[جمع کسورات]],"")</f>
        <v/>
      </c>
      <c r="X100" s="108"/>
    </row>
    <row r="101" spans="2:24" ht="32.1" customHeight="1">
      <c r="B101" s="1">
        <f t="shared" si="1"/>
        <v>3</v>
      </c>
      <c r="C101" s="85" t="str">
        <f>IF(ج_ح_خرداد[[#This Row],[نام]]&lt;&gt;"",ROW()-81+1,"")</f>
        <v/>
      </c>
      <c r="D101" s="86"/>
      <c r="E101" s="86"/>
      <c r="F101" s="87"/>
      <c r="G101" s="88" t="str">
        <f>IFERROR(IF(COUNT(ج_ح_خرداد[[#This Row],[کارکرد]]),حداقل_حقوق_پایه_روزانه,""),"")</f>
        <v/>
      </c>
      <c r="H101" s="89" t="str">
        <f>IFERROR(IF(ج_ح_خرداد[[#This Row],[کارکرد]]*ج_ح_خرداد[[#This Row],[دستمزد روزانه ]]=0,"",ج_ح_خرداد[[#This Row],[کارکرد]]*ج_ح_خرداد[[#This Row],[دستمزد روزانه ]]),"")</f>
        <v/>
      </c>
      <c r="I101" s="91"/>
      <c r="J101" s="90" t="str">
        <f>IFERROR((ج_ح_خرداد[[#This Row],[دستمزد روزانه ]]/7.33)*1.4*ج_ح_خرداد[[#This Row],[مدت اضافه کاری ]],"")</f>
        <v/>
      </c>
      <c r="K101" s="89" t="str">
        <f>IF(ج_ح_خرداد[[#This Row],[کارکرد]]="","",ج_ح_خرداد[[#This Row],[کارکرد]]/30*حق_مسکن)</f>
        <v/>
      </c>
      <c r="L101" s="91"/>
      <c r="M101" s="89" t="str">
        <f>IF(ج_ح_خرداد[[#This Row],[تعداد فرزندان]]="","",ج_ح_خرداد[[#This Row],[کارکرد]]/31*3*ج_ح_خرداد[[#This Row],[تعداد فرزندان]]*حداقل_حقوق_پایه_روزانه)</f>
        <v/>
      </c>
      <c r="N101" s="89" t="str">
        <f>IF(ج_ح_خرداد[[#This Row],[کارکرد]]="","",ج_ح_خرداد[[#This Row],[کارکرد]]/30*حق_خواربار)</f>
        <v/>
      </c>
      <c r="O101" s="89" t="str">
        <f>IFERROR(ج_ح_خرداد[[#This Row],[حقوق پایه]]+ج_ح_خرداد[[#This Row],[اضافه کاری]]+ج_ح_خرداد[[#This Row],[حق مسکن]]+ج_ح_خرداد[[#This Row],[حق اولاد]]+ج_ح_خرداد[[#This Row],[حق و خواروبار]],"")</f>
        <v/>
      </c>
      <c r="P101"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01"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01" s="91"/>
      <c r="S101" s="91"/>
      <c r="T101" s="89" t="str">
        <f>IFERROR(ج_ح_خرداد[[#This Row],[جمع ح و م م بیمه ]]*7%,"")</f>
        <v/>
      </c>
      <c r="U101"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01" s="89" t="str">
        <f>IFERROR(ج_ح_خرداد[[#This Row],[وام]]+ج_ح_خرداد[[#This Row],[مساعده]]+ج_ح_خرداد[[#This Row],[بیمه پرداختنی]]+ج_ح_خرداد[[#This Row],[مالیات پرداختنی]],"")</f>
        <v/>
      </c>
      <c r="W101" s="89" t="str">
        <f>IFERROR(ج_ح_خرداد[[#This Row],[جمع ح و م]]-ج_ح_خرداد[[#This Row],[جمع کسورات]],"")</f>
        <v/>
      </c>
      <c r="X101" s="108"/>
    </row>
    <row r="102" spans="2:24" ht="32.1" customHeight="1">
      <c r="B102" s="1">
        <f t="shared" si="1"/>
        <v>3</v>
      </c>
      <c r="C102" s="85" t="str">
        <f>IF(ج_ح_خرداد[[#This Row],[نام]]&lt;&gt;"",ROW()-81+1,"")</f>
        <v/>
      </c>
      <c r="D102" s="86"/>
      <c r="E102" s="86"/>
      <c r="F102" s="87"/>
      <c r="G102" s="88" t="str">
        <f>IFERROR(IF(COUNT(ج_ح_خرداد[[#This Row],[کارکرد]]),حداقل_حقوق_پایه_روزانه,""),"")</f>
        <v/>
      </c>
      <c r="H102" s="89" t="str">
        <f>IFERROR(IF(ج_ح_خرداد[[#This Row],[کارکرد]]*ج_ح_خرداد[[#This Row],[دستمزد روزانه ]]=0,"",ج_ح_خرداد[[#This Row],[کارکرد]]*ج_ح_خرداد[[#This Row],[دستمزد روزانه ]]),"")</f>
        <v/>
      </c>
      <c r="I102" s="91"/>
      <c r="J102" s="90" t="str">
        <f>IFERROR((ج_ح_خرداد[[#This Row],[دستمزد روزانه ]]/7.33)*1.4*ج_ح_خرداد[[#This Row],[مدت اضافه کاری ]],"")</f>
        <v/>
      </c>
      <c r="K102" s="89" t="str">
        <f>IF(ج_ح_خرداد[[#This Row],[کارکرد]]="","",ج_ح_خرداد[[#This Row],[کارکرد]]/30*حق_مسکن)</f>
        <v/>
      </c>
      <c r="L102" s="91"/>
      <c r="M102" s="89" t="str">
        <f>IF(ج_ح_خرداد[[#This Row],[تعداد فرزندان]]="","",ج_ح_خرداد[[#This Row],[کارکرد]]/31*3*ج_ح_خرداد[[#This Row],[تعداد فرزندان]]*حداقل_حقوق_پایه_روزانه)</f>
        <v/>
      </c>
      <c r="N102" s="89" t="str">
        <f>IF(ج_ح_خرداد[[#This Row],[کارکرد]]="","",ج_ح_خرداد[[#This Row],[کارکرد]]/30*حق_خواربار)</f>
        <v/>
      </c>
      <c r="O102" s="89" t="str">
        <f>IFERROR(ج_ح_خرداد[[#This Row],[حقوق پایه]]+ج_ح_خرداد[[#This Row],[اضافه کاری]]+ج_ح_خرداد[[#This Row],[حق مسکن]]+ج_ح_خرداد[[#This Row],[حق اولاد]]+ج_ح_خرداد[[#This Row],[حق و خواروبار]],"")</f>
        <v/>
      </c>
      <c r="P102"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02"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02" s="91"/>
      <c r="S102" s="91"/>
      <c r="T102" s="89" t="str">
        <f>IFERROR(ج_ح_خرداد[[#This Row],[جمع ح و م م بیمه ]]*7%,"")</f>
        <v/>
      </c>
      <c r="U102"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02" s="89" t="str">
        <f>IFERROR(ج_ح_خرداد[[#This Row],[وام]]+ج_ح_خرداد[[#This Row],[مساعده]]+ج_ح_خرداد[[#This Row],[بیمه پرداختنی]]+ج_ح_خرداد[[#This Row],[مالیات پرداختنی]],"")</f>
        <v/>
      </c>
      <c r="W102" s="89" t="str">
        <f>IFERROR(ج_ح_خرداد[[#This Row],[جمع ح و م]]-ج_ح_خرداد[[#This Row],[جمع کسورات]],"")</f>
        <v/>
      </c>
      <c r="X102" s="108"/>
    </row>
    <row r="103" spans="2:24" ht="32.1" customHeight="1">
      <c r="B103" s="1">
        <f t="shared" si="1"/>
        <v>3</v>
      </c>
      <c r="C103" s="85" t="str">
        <f>IF(ج_ح_خرداد[[#This Row],[نام]]&lt;&gt;"",ROW()-81+1,"")</f>
        <v/>
      </c>
      <c r="D103" s="86"/>
      <c r="E103" s="86"/>
      <c r="F103" s="87"/>
      <c r="G103" s="88" t="str">
        <f>IFERROR(IF(COUNT(ج_ح_خرداد[[#This Row],[کارکرد]]),حداقل_حقوق_پایه_روزانه,""),"")</f>
        <v/>
      </c>
      <c r="H103" s="89" t="str">
        <f>IFERROR(IF(ج_ح_خرداد[[#This Row],[کارکرد]]*ج_ح_خرداد[[#This Row],[دستمزد روزانه ]]=0,"",ج_ح_خرداد[[#This Row],[کارکرد]]*ج_ح_خرداد[[#This Row],[دستمزد روزانه ]]),"")</f>
        <v/>
      </c>
      <c r="I103" s="91"/>
      <c r="J103" s="90" t="str">
        <f>IFERROR((ج_ح_خرداد[[#This Row],[دستمزد روزانه ]]/7.33)*1.4*ج_ح_خرداد[[#This Row],[مدت اضافه کاری ]],"")</f>
        <v/>
      </c>
      <c r="K103" s="89" t="str">
        <f>IF(ج_ح_خرداد[[#This Row],[کارکرد]]="","",ج_ح_خرداد[[#This Row],[کارکرد]]/30*حق_مسکن)</f>
        <v/>
      </c>
      <c r="L103" s="91"/>
      <c r="M103" s="89" t="str">
        <f>IF(ج_ح_خرداد[[#This Row],[تعداد فرزندان]]="","",ج_ح_خرداد[[#This Row],[کارکرد]]/31*3*ج_ح_خرداد[[#This Row],[تعداد فرزندان]]*حداقل_حقوق_پایه_روزانه)</f>
        <v/>
      </c>
      <c r="N103" s="89" t="str">
        <f>IF(ج_ح_خرداد[[#This Row],[کارکرد]]="","",ج_ح_خرداد[[#This Row],[کارکرد]]/30*حق_خواربار)</f>
        <v/>
      </c>
      <c r="O103" s="89" t="str">
        <f>IFERROR(ج_ح_خرداد[[#This Row],[حقوق پایه]]+ج_ح_خرداد[[#This Row],[اضافه کاری]]+ج_ح_خرداد[[#This Row],[حق مسکن]]+ج_ح_خرداد[[#This Row],[حق اولاد]]+ج_ح_خرداد[[#This Row],[حق و خواروبار]],"")</f>
        <v/>
      </c>
      <c r="P103"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03"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03" s="91"/>
      <c r="S103" s="91"/>
      <c r="T103" s="89" t="str">
        <f>IFERROR(ج_ح_خرداد[[#This Row],[جمع ح و م م بیمه ]]*7%,"")</f>
        <v/>
      </c>
      <c r="U103"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03" s="89" t="str">
        <f>IFERROR(ج_ح_خرداد[[#This Row],[وام]]+ج_ح_خرداد[[#This Row],[مساعده]]+ج_ح_خرداد[[#This Row],[بیمه پرداختنی]]+ج_ح_خرداد[[#This Row],[مالیات پرداختنی]],"")</f>
        <v/>
      </c>
      <c r="W103" s="89" t="str">
        <f>IFERROR(ج_ح_خرداد[[#This Row],[جمع ح و م]]-ج_ح_خرداد[[#This Row],[جمع کسورات]],"")</f>
        <v/>
      </c>
      <c r="X103" s="108"/>
    </row>
    <row r="104" spans="2:24" ht="32.1" customHeight="1">
      <c r="B104" s="1">
        <f t="shared" si="1"/>
        <v>3</v>
      </c>
      <c r="C104" s="85" t="str">
        <f>IF(ج_ح_خرداد[[#This Row],[نام]]&lt;&gt;"",ROW()-81+1,"")</f>
        <v/>
      </c>
      <c r="D104" s="86"/>
      <c r="E104" s="86"/>
      <c r="F104" s="87"/>
      <c r="G104" s="88" t="str">
        <f>IFERROR(IF(COUNT(ج_ح_خرداد[[#This Row],[کارکرد]]),حداقل_حقوق_پایه_روزانه,""),"")</f>
        <v/>
      </c>
      <c r="H104" s="89" t="str">
        <f>IFERROR(IF(ج_ح_خرداد[[#This Row],[کارکرد]]*ج_ح_خرداد[[#This Row],[دستمزد روزانه ]]=0,"",ج_ح_خرداد[[#This Row],[کارکرد]]*ج_ح_خرداد[[#This Row],[دستمزد روزانه ]]),"")</f>
        <v/>
      </c>
      <c r="I104" s="91"/>
      <c r="J104" s="90" t="str">
        <f>IFERROR((ج_ح_خرداد[[#This Row],[دستمزد روزانه ]]/7.33)*1.4*ج_ح_خرداد[[#This Row],[مدت اضافه کاری ]],"")</f>
        <v/>
      </c>
      <c r="K104" s="89" t="str">
        <f>IF(ج_ح_خرداد[[#This Row],[کارکرد]]="","",ج_ح_خرداد[[#This Row],[کارکرد]]/30*حق_مسکن)</f>
        <v/>
      </c>
      <c r="L104" s="91"/>
      <c r="M104" s="89" t="str">
        <f>IF(ج_ح_خرداد[[#This Row],[تعداد فرزندان]]="","",ج_ح_خرداد[[#This Row],[کارکرد]]/31*3*ج_ح_خرداد[[#This Row],[تعداد فرزندان]]*حداقل_حقوق_پایه_روزانه)</f>
        <v/>
      </c>
      <c r="N104" s="89" t="str">
        <f>IF(ج_ح_خرداد[[#This Row],[کارکرد]]="","",ج_ح_خرداد[[#This Row],[کارکرد]]/30*حق_خواربار)</f>
        <v/>
      </c>
      <c r="O104" s="89" t="str">
        <f>IFERROR(ج_ح_خرداد[[#This Row],[حقوق پایه]]+ج_ح_خرداد[[#This Row],[اضافه کاری]]+ج_ح_خرداد[[#This Row],[حق مسکن]]+ج_ح_خرداد[[#This Row],[حق اولاد]]+ج_ح_خرداد[[#This Row],[حق و خواروبار]],"")</f>
        <v/>
      </c>
      <c r="P104"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04"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04" s="91"/>
      <c r="S104" s="91"/>
      <c r="T104" s="89" t="str">
        <f>IFERROR(ج_ح_خرداد[[#This Row],[جمع ح و م م بیمه ]]*7%,"")</f>
        <v/>
      </c>
      <c r="U104"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04" s="89" t="str">
        <f>IFERROR(ج_ح_خرداد[[#This Row],[وام]]+ج_ح_خرداد[[#This Row],[مساعده]]+ج_ح_خرداد[[#This Row],[بیمه پرداختنی]]+ج_ح_خرداد[[#This Row],[مالیات پرداختنی]],"")</f>
        <v/>
      </c>
      <c r="W104" s="89" t="str">
        <f>IFERROR(ج_ح_خرداد[[#This Row],[جمع ح و م]]-ج_ح_خرداد[[#This Row],[جمع کسورات]],"")</f>
        <v/>
      </c>
      <c r="X104" s="108"/>
    </row>
    <row r="105" spans="2:24" ht="32.1" customHeight="1">
      <c r="B105" s="1">
        <f t="shared" si="1"/>
        <v>3</v>
      </c>
      <c r="C105" s="85" t="str">
        <f>IF(ج_ح_خرداد[[#This Row],[نام]]&lt;&gt;"",ROW()-81+1,"")</f>
        <v/>
      </c>
      <c r="D105" s="86"/>
      <c r="E105" s="86"/>
      <c r="F105" s="87"/>
      <c r="G105" s="88" t="str">
        <f>IFERROR(IF(COUNT(ج_ح_خرداد[[#This Row],[کارکرد]]),حداقل_حقوق_پایه_روزانه,""),"")</f>
        <v/>
      </c>
      <c r="H105" s="89" t="str">
        <f>IFERROR(IF(ج_ح_خرداد[[#This Row],[کارکرد]]*ج_ح_خرداد[[#This Row],[دستمزد روزانه ]]=0,"",ج_ح_خرداد[[#This Row],[کارکرد]]*ج_ح_خرداد[[#This Row],[دستمزد روزانه ]]),"")</f>
        <v/>
      </c>
      <c r="I105" s="91"/>
      <c r="J105" s="90" t="str">
        <f>IFERROR((ج_ح_خرداد[[#This Row],[دستمزد روزانه ]]/7.33)*1.4*ج_ح_خرداد[[#This Row],[مدت اضافه کاری ]],"")</f>
        <v/>
      </c>
      <c r="K105" s="89" t="str">
        <f>IF(ج_ح_خرداد[[#This Row],[کارکرد]]="","",ج_ح_خرداد[[#This Row],[کارکرد]]/30*حق_مسکن)</f>
        <v/>
      </c>
      <c r="L105" s="91"/>
      <c r="M105" s="89" t="str">
        <f>IF(ج_ح_خرداد[[#This Row],[تعداد فرزندان]]="","",ج_ح_خرداد[[#This Row],[کارکرد]]/31*3*ج_ح_خرداد[[#This Row],[تعداد فرزندان]]*حداقل_حقوق_پایه_روزانه)</f>
        <v/>
      </c>
      <c r="N105" s="89" t="str">
        <f>IF(ج_ح_خرداد[[#This Row],[کارکرد]]="","",ج_ح_خرداد[[#This Row],[کارکرد]]/30*حق_خواربار)</f>
        <v/>
      </c>
      <c r="O105" s="89" t="str">
        <f>IFERROR(ج_ح_خرداد[[#This Row],[حقوق پایه]]+ج_ح_خرداد[[#This Row],[اضافه کاری]]+ج_ح_خرداد[[#This Row],[حق مسکن]]+ج_ح_خرداد[[#This Row],[حق اولاد]]+ج_ح_خرداد[[#This Row],[حق و خواروبار]],"")</f>
        <v/>
      </c>
      <c r="P105"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05"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05" s="91"/>
      <c r="S105" s="91"/>
      <c r="T105" s="89" t="str">
        <f>IFERROR(ج_ح_خرداد[[#This Row],[جمع ح و م م بیمه ]]*7%,"")</f>
        <v/>
      </c>
      <c r="U105"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05" s="89" t="str">
        <f>IFERROR(ج_ح_خرداد[[#This Row],[وام]]+ج_ح_خرداد[[#This Row],[مساعده]]+ج_ح_خرداد[[#This Row],[بیمه پرداختنی]]+ج_ح_خرداد[[#This Row],[مالیات پرداختنی]],"")</f>
        <v/>
      </c>
      <c r="W105" s="89" t="str">
        <f>IFERROR(ج_ح_خرداد[[#This Row],[جمع ح و م]]-ج_ح_خرداد[[#This Row],[جمع کسورات]],"")</f>
        <v/>
      </c>
      <c r="X105" s="108"/>
    </row>
    <row r="106" spans="2:24" ht="32.1" customHeight="1">
      <c r="B106" s="1">
        <f t="shared" si="1"/>
        <v>3</v>
      </c>
      <c r="C106" s="85" t="str">
        <f>IF(ج_ح_خرداد[[#This Row],[نام]]&lt;&gt;"",ROW()-81+1,"")</f>
        <v/>
      </c>
      <c r="D106" s="86"/>
      <c r="E106" s="86"/>
      <c r="F106" s="87"/>
      <c r="G106" s="88" t="str">
        <f>IFERROR(IF(COUNT(ج_ح_خرداد[[#This Row],[کارکرد]]),حداقل_حقوق_پایه_روزانه,""),"")</f>
        <v/>
      </c>
      <c r="H106" s="89" t="str">
        <f>IFERROR(IF(ج_ح_خرداد[[#This Row],[کارکرد]]*ج_ح_خرداد[[#This Row],[دستمزد روزانه ]]=0,"",ج_ح_خرداد[[#This Row],[کارکرد]]*ج_ح_خرداد[[#This Row],[دستمزد روزانه ]]),"")</f>
        <v/>
      </c>
      <c r="I106" s="91"/>
      <c r="J106" s="90" t="str">
        <f>IFERROR((ج_ح_خرداد[[#This Row],[دستمزد روزانه ]]/7.33)*1.4*ج_ح_خرداد[[#This Row],[مدت اضافه کاری ]],"")</f>
        <v/>
      </c>
      <c r="K106" s="89" t="str">
        <f>IF(ج_ح_خرداد[[#This Row],[کارکرد]]="","",ج_ح_خرداد[[#This Row],[کارکرد]]/30*حق_مسکن)</f>
        <v/>
      </c>
      <c r="L106" s="91"/>
      <c r="M106" s="89" t="str">
        <f>IF(ج_ح_خرداد[[#This Row],[تعداد فرزندان]]="","",ج_ح_خرداد[[#This Row],[کارکرد]]/31*3*ج_ح_خرداد[[#This Row],[تعداد فرزندان]]*حداقل_حقوق_پایه_روزانه)</f>
        <v/>
      </c>
      <c r="N106" s="89" t="str">
        <f>IF(ج_ح_خرداد[[#This Row],[کارکرد]]="","",ج_ح_خرداد[[#This Row],[کارکرد]]/30*حق_خواربار)</f>
        <v/>
      </c>
      <c r="O106" s="89" t="str">
        <f>IFERROR(ج_ح_خرداد[[#This Row],[حقوق پایه]]+ج_ح_خرداد[[#This Row],[اضافه کاری]]+ج_ح_خرداد[[#This Row],[حق مسکن]]+ج_ح_خرداد[[#This Row],[حق اولاد]]+ج_ح_خرداد[[#This Row],[حق و خواروبار]],"")</f>
        <v/>
      </c>
      <c r="P106"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06"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06" s="91"/>
      <c r="S106" s="91"/>
      <c r="T106" s="89" t="str">
        <f>IFERROR(ج_ح_خرداد[[#This Row],[جمع ح و م م بیمه ]]*7%,"")</f>
        <v/>
      </c>
      <c r="U106"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06" s="89" t="str">
        <f>IFERROR(ج_ح_خرداد[[#This Row],[وام]]+ج_ح_خرداد[[#This Row],[مساعده]]+ج_ح_خرداد[[#This Row],[بیمه پرداختنی]]+ج_ح_خرداد[[#This Row],[مالیات پرداختنی]],"")</f>
        <v/>
      </c>
      <c r="W106" s="89" t="str">
        <f>IFERROR(ج_ح_خرداد[[#This Row],[جمع ح و م]]-ج_ح_خرداد[[#This Row],[جمع کسورات]],"")</f>
        <v/>
      </c>
      <c r="X106" s="108"/>
    </row>
    <row r="107" spans="2:24" ht="32.1" customHeight="1">
      <c r="B107" s="1">
        <f t="shared" si="1"/>
        <v>3</v>
      </c>
      <c r="C107" s="85" t="str">
        <f>IF(ج_ح_خرداد[[#This Row],[نام]]&lt;&gt;"",ROW()-81+1,"")</f>
        <v/>
      </c>
      <c r="D107" s="86"/>
      <c r="E107" s="86"/>
      <c r="F107" s="87"/>
      <c r="G107" s="88" t="str">
        <f>IFERROR(IF(COUNT(ج_ح_خرداد[[#This Row],[کارکرد]]),حداقل_حقوق_پایه_روزانه,""),"")</f>
        <v/>
      </c>
      <c r="H107" s="89" t="str">
        <f>IFERROR(IF(ج_ح_خرداد[[#This Row],[کارکرد]]*ج_ح_خرداد[[#This Row],[دستمزد روزانه ]]=0,"",ج_ح_خرداد[[#This Row],[کارکرد]]*ج_ح_خرداد[[#This Row],[دستمزد روزانه ]]),"")</f>
        <v/>
      </c>
      <c r="I107" s="91"/>
      <c r="J107" s="90" t="str">
        <f>IFERROR((ج_ح_خرداد[[#This Row],[دستمزد روزانه ]]/7.33)*1.4*ج_ح_خرداد[[#This Row],[مدت اضافه کاری ]],"")</f>
        <v/>
      </c>
      <c r="K107" s="89" t="str">
        <f>IF(ج_ح_خرداد[[#This Row],[کارکرد]]="","",ج_ح_خرداد[[#This Row],[کارکرد]]/30*حق_مسکن)</f>
        <v/>
      </c>
      <c r="L107" s="91"/>
      <c r="M107" s="89" t="str">
        <f>IF(ج_ح_خرداد[[#This Row],[تعداد فرزندان]]="","",ج_ح_خرداد[[#This Row],[کارکرد]]/31*3*ج_ح_خرداد[[#This Row],[تعداد فرزندان]]*حداقل_حقوق_پایه_روزانه)</f>
        <v/>
      </c>
      <c r="N107" s="89" t="str">
        <f>IF(ج_ح_خرداد[[#This Row],[کارکرد]]="","",ج_ح_خرداد[[#This Row],[کارکرد]]/30*حق_خواربار)</f>
        <v/>
      </c>
      <c r="O107" s="89" t="str">
        <f>IFERROR(ج_ح_خرداد[[#This Row],[حقوق پایه]]+ج_ح_خرداد[[#This Row],[اضافه کاری]]+ج_ح_خرداد[[#This Row],[حق مسکن]]+ج_ح_خرداد[[#This Row],[حق اولاد]]+ج_ح_خرداد[[#This Row],[حق و خواروبار]],"")</f>
        <v/>
      </c>
      <c r="P107"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07"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07" s="91"/>
      <c r="S107" s="91"/>
      <c r="T107" s="89" t="str">
        <f>IFERROR(ج_ح_خرداد[[#This Row],[جمع ح و م م بیمه ]]*7%,"")</f>
        <v/>
      </c>
      <c r="U107"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07" s="89" t="str">
        <f>IFERROR(ج_ح_خرداد[[#This Row],[وام]]+ج_ح_خرداد[[#This Row],[مساعده]]+ج_ح_خرداد[[#This Row],[بیمه پرداختنی]]+ج_ح_خرداد[[#This Row],[مالیات پرداختنی]],"")</f>
        <v/>
      </c>
      <c r="W107" s="89" t="str">
        <f>IFERROR(ج_ح_خرداد[[#This Row],[جمع ح و م]]-ج_ح_خرداد[[#This Row],[جمع کسورات]],"")</f>
        <v/>
      </c>
      <c r="X107" s="108"/>
    </row>
    <row r="108" spans="2:24" ht="32.1" customHeight="1">
      <c r="B108" s="1">
        <f t="shared" si="1"/>
        <v>3</v>
      </c>
      <c r="C108" s="85" t="str">
        <f>IF(ج_ح_خرداد[[#This Row],[نام]]&lt;&gt;"",ROW()-81+1,"")</f>
        <v/>
      </c>
      <c r="D108" s="86"/>
      <c r="E108" s="86"/>
      <c r="F108" s="87"/>
      <c r="G108" s="88" t="str">
        <f>IFERROR(IF(COUNT(ج_ح_خرداد[[#This Row],[کارکرد]]),حداقل_حقوق_پایه_روزانه,""),"")</f>
        <v/>
      </c>
      <c r="H108" s="89" t="str">
        <f>IFERROR(IF(ج_ح_خرداد[[#This Row],[کارکرد]]*ج_ح_خرداد[[#This Row],[دستمزد روزانه ]]=0,"",ج_ح_خرداد[[#This Row],[کارکرد]]*ج_ح_خرداد[[#This Row],[دستمزد روزانه ]]),"")</f>
        <v/>
      </c>
      <c r="I108" s="91"/>
      <c r="J108" s="90" t="str">
        <f>IFERROR((ج_ح_خرداد[[#This Row],[دستمزد روزانه ]]/7.33)*1.4*ج_ح_خرداد[[#This Row],[مدت اضافه کاری ]],"")</f>
        <v/>
      </c>
      <c r="K108" s="89" t="str">
        <f>IF(ج_ح_خرداد[[#This Row],[کارکرد]]="","",ج_ح_خرداد[[#This Row],[کارکرد]]/30*حق_مسکن)</f>
        <v/>
      </c>
      <c r="L108" s="91"/>
      <c r="M108" s="89" t="str">
        <f>IF(ج_ح_خرداد[[#This Row],[تعداد فرزندان]]="","",ج_ح_خرداد[[#This Row],[کارکرد]]/31*3*ج_ح_خرداد[[#This Row],[تعداد فرزندان]]*حداقل_حقوق_پایه_روزانه)</f>
        <v/>
      </c>
      <c r="N108" s="89" t="str">
        <f>IF(ج_ح_خرداد[[#This Row],[کارکرد]]="","",ج_ح_خرداد[[#This Row],[کارکرد]]/30*حق_خواربار)</f>
        <v/>
      </c>
      <c r="O108" s="89" t="str">
        <f>IFERROR(ج_ح_خرداد[[#This Row],[حقوق پایه]]+ج_ح_خرداد[[#This Row],[اضافه کاری]]+ج_ح_خرداد[[#This Row],[حق مسکن]]+ج_ح_خرداد[[#This Row],[حق اولاد]]+ج_ح_خرداد[[#This Row],[حق و خواروبار]],"")</f>
        <v/>
      </c>
      <c r="P108"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08"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08" s="91"/>
      <c r="S108" s="91"/>
      <c r="T108" s="89" t="str">
        <f>IFERROR(ج_ح_خرداد[[#This Row],[جمع ح و م م بیمه ]]*7%,"")</f>
        <v/>
      </c>
      <c r="U108"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08" s="89" t="str">
        <f>IFERROR(ج_ح_خرداد[[#This Row],[وام]]+ج_ح_خرداد[[#This Row],[مساعده]]+ج_ح_خرداد[[#This Row],[بیمه پرداختنی]]+ج_ح_خرداد[[#This Row],[مالیات پرداختنی]],"")</f>
        <v/>
      </c>
      <c r="W108" s="89" t="str">
        <f>IFERROR(ج_ح_خرداد[[#This Row],[جمع ح و م]]-ج_ح_خرداد[[#This Row],[جمع کسورات]],"")</f>
        <v/>
      </c>
      <c r="X108" s="108"/>
    </row>
    <row r="109" spans="2:24" ht="32.1" customHeight="1">
      <c r="B109" s="1">
        <f t="shared" si="1"/>
        <v>3</v>
      </c>
      <c r="C109" s="85" t="str">
        <f>IF(ج_ح_خرداد[[#This Row],[نام]]&lt;&gt;"",ROW()-81+1,"")</f>
        <v/>
      </c>
      <c r="D109" s="86"/>
      <c r="E109" s="86"/>
      <c r="F109" s="87"/>
      <c r="G109" s="88" t="str">
        <f>IFERROR(IF(COUNT(ج_ح_خرداد[[#This Row],[کارکرد]]),حداقل_حقوق_پایه_روزانه,""),"")</f>
        <v/>
      </c>
      <c r="H109" s="89" t="str">
        <f>IFERROR(IF(ج_ح_خرداد[[#This Row],[کارکرد]]*ج_ح_خرداد[[#This Row],[دستمزد روزانه ]]=0,"",ج_ح_خرداد[[#This Row],[کارکرد]]*ج_ح_خرداد[[#This Row],[دستمزد روزانه ]]),"")</f>
        <v/>
      </c>
      <c r="I109" s="91"/>
      <c r="J109" s="90" t="str">
        <f>IFERROR((ج_ح_خرداد[[#This Row],[دستمزد روزانه ]]/7.33)*1.4*ج_ح_خرداد[[#This Row],[مدت اضافه کاری ]],"")</f>
        <v/>
      </c>
      <c r="K109" s="89" t="str">
        <f>IF(ج_ح_خرداد[[#This Row],[کارکرد]]="","",ج_ح_خرداد[[#This Row],[کارکرد]]/30*حق_مسکن)</f>
        <v/>
      </c>
      <c r="L109" s="91"/>
      <c r="M109" s="89" t="str">
        <f>IF(ج_ح_خرداد[[#This Row],[تعداد فرزندان]]="","",ج_ح_خرداد[[#This Row],[کارکرد]]/31*3*ج_ح_خرداد[[#This Row],[تعداد فرزندان]]*حداقل_حقوق_پایه_روزانه)</f>
        <v/>
      </c>
      <c r="N109" s="89" t="str">
        <f>IF(ج_ح_خرداد[[#This Row],[کارکرد]]="","",ج_ح_خرداد[[#This Row],[کارکرد]]/30*حق_خواربار)</f>
        <v/>
      </c>
      <c r="O109" s="89" t="str">
        <f>IFERROR(ج_ح_خرداد[[#This Row],[حقوق پایه]]+ج_ح_خرداد[[#This Row],[اضافه کاری]]+ج_ح_خرداد[[#This Row],[حق مسکن]]+ج_ح_خرداد[[#This Row],[حق اولاد]]+ج_ح_خرداد[[#This Row],[حق و خواروبار]],"")</f>
        <v/>
      </c>
      <c r="P109"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09"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09" s="91"/>
      <c r="S109" s="91"/>
      <c r="T109" s="89" t="str">
        <f>IFERROR(ج_ح_خرداد[[#This Row],[جمع ح و م م بیمه ]]*7%,"")</f>
        <v/>
      </c>
      <c r="U109"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09" s="89" t="str">
        <f>IFERROR(ج_ح_خرداد[[#This Row],[وام]]+ج_ح_خرداد[[#This Row],[مساعده]]+ج_ح_خرداد[[#This Row],[بیمه پرداختنی]]+ج_ح_خرداد[[#This Row],[مالیات پرداختنی]],"")</f>
        <v/>
      </c>
      <c r="W109" s="89" t="str">
        <f>IFERROR(ج_ح_خرداد[[#This Row],[جمع ح و م]]-ج_ح_خرداد[[#This Row],[جمع کسورات]],"")</f>
        <v/>
      </c>
      <c r="X109" s="108"/>
    </row>
    <row r="110" spans="2:24" ht="32.1" customHeight="1">
      <c r="B110" s="1">
        <f t="shared" si="1"/>
        <v>3</v>
      </c>
      <c r="C110" s="85" t="str">
        <f>IF(ج_ح_خرداد[[#This Row],[نام]]&lt;&gt;"",ROW()-81+1,"")</f>
        <v/>
      </c>
      <c r="D110" s="86"/>
      <c r="E110" s="86"/>
      <c r="F110" s="87"/>
      <c r="G110" s="88" t="str">
        <f>IFERROR(IF(COUNT(ج_ح_خرداد[[#This Row],[کارکرد]]),حداقل_حقوق_پایه_روزانه,""),"")</f>
        <v/>
      </c>
      <c r="H110" s="89" t="str">
        <f>IFERROR(IF(ج_ح_خرداد[[#This Row],[کارکرد]]*ج_ح_خرداد[[#This Row],[دستمزد روزانه ]]=0,"",ج_ح_خرداد[[#This Row],[کارکرد]]*ج_ح_خرداد[[#This Row],[دستمزد روزانه ]]),"")</f>
        <v/>
      </c>
      <c r="I110" s="91"/>
      <c r="J110" s="90" t="str">
        <f>IFERROR((ج_ح_خرداد[[#This Row],[دستمزد روزانه ]]/7.33)*1.4*ج_ح_خرداد[[#This Row],[مدت اضافه کاری ]],"")</f>
        <v/>
      </c>
      <c r="K110" s="89" t="str">
        <f>IF(ج_ح_خرداد[[#This Row],[کارکرد]]="","",ج_ح_خرداد[[#This Row],[کارکرد]]/30*حق_مسکن)</f>
        <v/>
      </c>
      <c r="L110" s="91"/>
      <c r="M110" s="89" t="str">
        <f>IF(ج_ح_خرداد[[#This Row],[تعداد فرزندان]]="","",ج_ح_خرداد[[#This Row],[کارکرد]]/31*3*ج_ح_خرداد[[#This Row],[تعداد فرزندان]]*حداقل_حقوق_پایه_روزانه)</f>
        <v/>
      </c>
      <c r="N110" s="89" t="str">
        <f>IF(ج_ح_خرداد[[#This Row],[کارکرد]]="","",ج_ح_خرداد[[#This Row],[کارکرد]]/30*حق_خواربار)</f>
        <v/>
      </c>
      <c r="O110" s="89" t="str">
        <f>IFERROR(ج_ح_خرداد[[#This Row],[حقوق پایه]]+ج_ح_خرداد[[#This Row],[اضافه کاری]]+ج_ح_خرداد[[#This Row],[حق مسکن]]+ج_ح_خرداد[[#This Row],[حق اولاد]]+ج_ح_خرداد[[#This Row],[حق و خواروبار]],"")</f>
        <v/>
      </c>
      <c r="P110" s="89" t="str">
        <f>IFERROR(IF(ج_ح_خرداد[[#This Row],[حقوق پایه]]+ج_ح_خرداد[[#This Row],[اضافه کاری]]+ج_ح_خرداد[[#This Row],[حق مسکن]]+ج_ح_خرداد[[#This Row],[حق و خواروبار]]&gt;حداکثر_حقوق_مشمول_بیمه_ماهانه,حداکثر_حقوق_مشمول_بیمه_ماهانه,ج_ح_خرداد[[#This Row],[حقوق پایه]]+ج_ح_خرداد[[#This Row],[اضافه کاری]]+ج_ح_خرداد[[#This Row],[حق مسکن]]+ج_ح_خرداد[[#This Row],[حق و خواروبار]]),"")</f>
        <v/>
      </c>
      <c r="Q110" s="89" t="str">
        <f>IFERROR(ج_ح_خرداد[[#This Row],[حقوق پایه]]+ج_ح_خرداد[[#This Row],[اضافه کاری]]+ج_ح_خرداد[[#This Row],[حق مسکن]]+ج_ح_خرداد[[#This Row],[حق و خواروبار]]+ج_ح_خرداد[[#This Row],[حق اولاد]]-(2/7)*ج_ح_خرداد[[#This Row],[بیمه پرداختنی]],"")</f>
        <v/>
      </c>
      <c r="R110" s="91"/>
      <c r="S110" s="91"/>
      <c r="T110" s="89" t="str">
        <f>IFERROR(ج_ح_خرداد[[#This Row],[جمع ح و م م بیمه ]]*7%,"")</f>
        <v/>
      </c>
      <c r="U110" s="92" t="str">
        <f>IFERROR(IF(ج_ح_خرداد[[#This Row],[جمع ح و م م مالیات]]&gt;=400000000,(ج_ح_خرداد[[#This Row],[جمع ح و م م مالیات]]-400000000)*30%+26000000,IF(ج_ح_خرداد[[#This Row],[جمع ح و م م مالیات]]&gt;=270000000,(ج_ح_خرداد[[#This Row],[جمع ح و م م مالیات]]-270000000)*20%+15750000,IF(ج_ح_خرداد[[#This Row],[جمع ح و م م مالیات]]&gt;=165000000,(ج_ح_خرداد[[#This Row],[جمع ح و م م مالیات]]-165000000)*15%+4500000,IF(ج_ح_خرداد[[#This Row],[جمع ح و م م مالیات]]&gt;=120000000,(ج_ح_خرداد[[#This Row],[جمع ح و م م مالیات]]-120000000)*10%,0)))),"")</f>
        <v/>
      </c>
      <c r="V110" s="89" t="str">
        <f>IFERROR(ج_ح_خرداد[[#This Row],[وام]]+ج_ح_خرداد[[#This Row],[مساعده]]+ج_ح_خرداد[[#This Row],[بیمه پرداختنی]]+ج_ح_خرداد[[#This Row],[مالیات پرداختنی]],"")</f>
        <v/>
      </c>
      <c r="W110" s="89" t="str">
        <f>IFERROR(ج_ح_خرداد[[#This Row],[جمع ح و م]]-ج_ح_خرداد[[#This Row],[جمع کسورات]],"")</f>
        <v/>
      </c>
      <c r="X110" s="108"/>
    </row>
    <row r="111" spans="2:24" ht="32.1" customHeight="1">
      <c r="B111" s="1">
        <f t="shared" si="1"/>
        <v>3</v>
      </c>
      <c r="C111" s="23"/>
      <c r="D111" s="24"/>
      <c r="E111" s="24" t="s">
        <v>35</v>
      </c>
      <c r="F111" s="33">
        <f>SUBTOTAL(109,ج_ح_خرداد[کارکرد])</f>
        <v>0</v>
      </c>
      <c r="G111" s="25">
        <f>SUBTOTAL(109,ج_ح_خرداد[[دستمزد روزانه ]])</f>
        <v>0</v>
      </c>
      <c r="H111" s="25">
        <f>SUBTOTAL(109,ج_ح_خرداد[حقوق پایه])</f>
        <v>0</v>
      </c>
      <c r="I111" s="34">
        <f>SUBTOTAL(109,ج_ح_خرداد[[مدت اضافه کاری ]])</f>
        <v>0</v>
      </c>
      <c r="J111" s="35">
        <f>SUBTOTAL(109,ج_ح_خرداد[اضافه کاری])</f>
        <v>0</v>
      </c>
      <c r="K111" s="25">
        <f>SUBTOTAL(109,ج_ح_خرداد[حق مسکن])</f>
        <v>0</v>
      </c>
      <c r="L111" s="36">
        <f>SUBTOTAL(109,ج_ح_خرداد[تعداد فرزندان])</f>
        <v>0</v>
      </c>
      <c r="M111" s="25">
        <f>SUBTOTAL(109,ج_ح_خرداد[حق اولاد])</f>
        <v>0</v>
      </c>
      <c r="N111" s="25">
        <f>SUBTOTAL(109,ج_ح_خرداد[حق و خواروبار])</f>
        <v>0</v>
      </c>
      <c r="O111" s="25">
        <f>SUBTOTAL(109,ج_ح_خرداد[جمع ح و م])</f>
        <v>0</v>
      </c>
      <c r="P111" s="25">
        <f>SUBTOTAL(109,ج_ح_خرداد[[جمع ح و م م بیمه ]])</f>
        <v>0</v>
      </c>
      <c r="Q111" s="25">
        <f>SUBTOTAL(109,ج_ح_خرداد[جمع ح و م م مالیات])</f>
        <v>0</v>
      </c>
      <c r="R111" s="25">
        <f>SUBTOTAL(109,ج_ح_خرداد[وام])</f>
        <v>0</v>
      </c>
      <c r="S111" s="25">
        <f>SUBTOTAL(109,ج_ح_خرداد[مساعده])</f>
        <v>0</v>
      </c>
      <c r="T111" s="25">
        <f>SUBTOTAL(109,ج_ح_خرداد[بیمه پرداختنی])</f>
        <v>0</v>
      </c>
      <c r="U111" s="25">
        <f>SUBTOTAL(109,ج_ح_خرداد[مالیات پرداختنی])</f>
        <v>0</v>
      </c>
      <c r="V111" s="25">
        <f>SUBTOTAL(109,ج_ح_خرداد[جمع کسورات])</f>
        <v>0</v>
      </c>
      <c r="W111" s="25">
        <f>SUBTOTAL(109,ج_ح_خرداد[خالص قابل پرداخت])</f>
        <v>0</v>
      </c>
      <c r="X111" s="109"/>
    </row>
    <row r="112" spans="2:24" ht="8.1" customHeight="1"/>
    <row r="113" spans="1:24" s="7" customFormat="1" ht="39.950000000000003" customHeight="1">
      <c r="A113" s="15"/>
      <c r="B113" s="15"/>
      <c r="C113" s="128" t="str">
        <f>CONCATENATE("شرکت"," ",'اطلاعات شرکت'!$B$1)</f>
        <v>شرکت پندار حساب شهسوار</v>
      </c>
      <c r="D113" s="128"/>
      <c r="E113" s="128"/>
      <c r="F113" s="128"/>
      <c r="G113" s="128"/>
      <c r="H113" s="128"/>
      <c r="I113" s="128"/>
      <c r="J113" s="128"/>
      <c r="K113" s="128"/>
      <c r="L113" s="128"/>
      <c r="M113" s="128"/>
      <c r="N113" s="128"/>
      <c r="O113" s="128"/>
      <c r="P113" s="128"/>
      <c r="Q113" s="128"/>
      <c r="R113" s="128"/>
      <c r="S113" s="128"/>
      <c r="T113" s="128"/>
      <c r="U113" s="128"/>
      <c r="V113" s="128"/>
      <c r="W113" s="128"/>
      <c r="X113" s="105"/>
    </row>
    <row r="114" spans="1:24" s="7" customFormat="1" ht="50.1" customHeight="1">
      <c r="C114" s="127" t="str">
        <f>CONCATENATE("جدول حقوق و دستمزد تیر ماه سال"," ",'اطلاعات شرکت'!$B$2)</f>
        <v>جدول حقوق و دستمزد تیر ماه سال 1402</v>
      </c>
      <c r="D114" s="127"/>
      <c r="E114" s="127"/>
      <c r="F114" s="127"/>
      <c r="G114" s="127"/>
      <c r="H114" s="127"/>
      <c r="I114" s="127"/>
      <c r="J114" s="127"/>
      <c r="K114" s="127"/>
      <c r="L114" s="127"/>
      <c r="M114" s="127"/>
      <c r="N114" s="127"/>
      <c r="O114" s="127"/>
      <c r="P114" s="127"/>
      <c r="Q114" s="127"/>
      <c r="R114" s="127"/>
      <c r="S114" s="127"/>
      <c r="T114" s="127"/>
      <c r="U114" s="127"/>
      <c r="V114" s="127"/>
      <c r="W114" s="127"/>
      <c r="X114" s="105"/>
    </row>
    <row r="115" spans="1:24" s="12" customFormat="1" ht="50.1" customHeight="1">
      <c r="C115" s="129" t="s">
        <v>1</v>
      </c>
      <c r="D115" s="28" t="s">
        <v>23</v>
      </c>
      <c r="E115" s="28" t="s">
        <v>56</v>
      </c>
      <c r="F115" s="28" t="s">
        <v>11</v>
      </c>
      <c r="G115" s="28" t="s">
        <v>12</v>
      </c>
      <c r="H115" s="28" t="s">
        <v>37</v>
      </c>
      <c r="I115" s="28" t="s">
        <v>51</v>
      </c>
      <c r="J115" s="28" t="s">
        <v>47</v>
      </c>
      <c r="K115" s="28" t="s">
        <v>4</v>
      </c>
      <c r="L115" s="28" t="s">
        <v>48</v>
      </c>
      <c r="M115" s="28" t="s">
        <v>14</v>
      </c>
      <c r="N115" s="28" t="s">
        <v>5</v>
      </c>
      <c r="O115" s="28" t="s">
        <v>17</v>
      </c>
      <c r="P115" s="28" t="s">
        <v>49</v>
      </c>
      <c r="Q115" s="28" t="s">
        <v>50</v>
      </c>
      <c r="R115" s="28" t="s">
        <v>15</v>
      </c>
      <c r="S115" s="28" t="s">
        <v>16</v>
      </c>
      <c r="T115" s="28" t="s">
        <v>59</v>
      </c>
      <c r="U115" s="28" t="s">
        <v>58</v>
      </c>
      <c r="V115" s="28" t="s">
        <v>21</v>
      </c>
      <c r="W115" s="28" t="s">
        <v>57</v>
      </c>
      <c r="X115" s="106"/>
    </row>
    <row r="116" spans="1:24" s="7" customFormat="1" ht="32.1" customHeight="1">
      <c r="C116" s="129"/>
      <c r="D116" s="29">
        <v>1</v>
      </c>
      <c r="E116" s="29">
        <v>2</v>
      </c>
      <c r="F116" s="29">
        <v>3</v>
      </c>
      <c r="G116" s="29">
        <v>4</v>
      </c>
      <c r="H116" s="29">
        <v>5</v>
      </c>
      <c r="I116" s="29">
        <v>6</v>
      </c>
      <c r="J116" s="29">
        <v>7</v>
      </c>
      <c r="K116" s="29">
        <v>8</v>
      </c>
      <c r="L116" s="29">
        <v>9</v>
      </c>
      <c r="M116" s="29">
        <v>10</v>
      </c>
      <c r="N116" s="29">
        <v>11</v>
      </c>
      <c r="O116" s="29">
        <v>12</v>
      </c>
      <c r="P116" s="29">
        <v>13</v>
      </c>
      <c r="Q116" s="29">
        <v>14</v>
      </c>
      <c r="R116" s="29">
        <v>15</v>
      </c>
      <c r="S116" s="29">
        <v>16</v>
      </c>
      <c r="T116" s="29">
        <v>17</v>
      </c>
      <c r="U116" s="29">
        <v>18</v>
      </c>
      <c r="V116" s="29">
        <v>19</v>
      </c>
      <c r="W116" s="30">
        <v>20</v>
      </c>
      <c r="X116" s="105"/>
    </row>
    <row r="117" spans="1:24" s="7" customFormat="1" ht="20.100000000000001" customHeight="1">
      <c r="C117" s="16" t="s">
        <v>1</v>
      </c>
      <c r="D117" s="16" t="s">
        <v>23</v>
      </c>
      <c r="E117" s="16" t="s">
        <v>56</v>
      </c>
      <c r="F117" s="16" t="s">
        <v>11</v>
      </c>
      <c r="G117" s="16" t="s">
        <v>12</v>
      </c>
      <c r="H117" s="16" t="s">
        <v>37</v>
      </c>
      <c r="I117" s="16" t="s">
        <v>46</v>
      </c>
      <c r="J117" s="16" t="s">
        <v>47</v>
      </c>
      <c r="K117" s="16" t="s">
        <v>4</v>
      </c>
      <c r="L117" s="16" t="s">
        <v>13</v>
      </c>
      <c r="M117" s="16" t="s">
        <v>14</v>
      </c>
      <c r="N117" s="16" t="s">
        <v>79</v>
      </c>
      <c r="O117" s="16" t="s">
        <v>53</v>
      </c>
      <c r="P117" s="16" t="s">
        <v>54</v>
      </c>
      <c r="Q117" s="31" t="s">
        <v>55</v>
      </c>
      <c r="R117" s="16" t="s">
        <v>15</v>
      </c>
      <c r="S117" s="16" t="s">
        <v>16</v>
      </c>
      <c r="T117" s="31" t="s">
        <v>19</v>
      </c>
      <c r="U117" s="31" t="s">
        <v>20</v>
      </c>
      <c r="V117" s="16" t="s">
        <v>21</v>
      </c>
      <c r="W117" s="16" t="s">
        <v>22</v>
      </c>
      <c r="X117" s="110" t="s">
        <v>133</v>
      </c>
    </row>
    <row r="118" spans="1:24" ht="32.1" customHeight="1">
      <c r="B118" s="1">
        <f>B111+1</f>
        <v>4</v>
      </c>
      <c r="C118" s="85" t="str">
        <f>IF(ج_ح_تیر[[#This Row],[نام]]&lt;&gt;"",ROW()-118+1,"")</f>
        <v/>
      </c>
      <c r="D118" s="86"/>
      <c r="E118" s="86"/>
      <c r="F118" s="87"/>
      <c r="G118" s="88" t="str">
        <f>IFERROR(IF(COUNT(ج_ح_تیر[[#This Row],[کارکرد]]),حداقل_حقوق_پایه_روزانه,""),"")</f>
        <v/>
      </c>
      <c r="H118" s="89" t="str">
        <f>IFERROR(IF(ج_ح_تیر[[#This Row],[کارکرد]]*ج_ح_تیر[[#This Row],[دستمزد روزانه ]]=0,"",ج_ح_تیر[[#This Row],[کارکرد]]*ج_ح_تیر[[#This Row],[دستمزد روزانه ]]),"")</f>
        <v/>
      </c>
      <c r="I118" s="91">
        <v>0</v>
      </c>
      <c r="J118" s="90" t="str">
        <f>IFERROR((ج_ح_تیر[[#This Row],[دستمزد روزانه ]]/7.33)*1.4*ج_ح_تیر[[#This Row],[مدت اضافه کاری ]],"")</f>
        <v/>
      </c>
      <c r="K118" s="89" t="str">
        <f>IF(ج_ح_تیر[[#This Row],[کارکرد]]="","",ج_ح_تیر[[#This Row],[کارکرد]]/31*حق_مسکن)</f>
        <v/>
      </c>
      <c r="L118" s="91">
        <v>0</v>
      </c>
      <c r="M118" s="89">
        <f>IF(ج_ح_تیر[[#This Row],[تعداد فرزندان]]="","",ج_ح_تیر[[#This Row],[کارکرد]]/31*3*ج_ح_تیر[[#This Row],[تعداد فرزندان]]*حداقل_حقوق_پایه_روزانه)</f>
        <v>0</v>
      </c>
      <c r="N118" s="89" t="str">
        <f>IF(ج_ح_تیر[[#This Row],[کارکرد]]="","",ج_ح_تیر[[#This Row],[کارکرد]]/31*حق_خواربار)</f>
        <v/>
      </c>
      <c r="O118" s="89" t="str">
        <f>IFERROR(ج_ح_تیر[[#This Row],[حقوق پایه]]+ج_ح_تیر[[#This Row],[اضافه کاری]]+ج_ح_تیر[[#This Row],[حق مسکن]]+ج_ح_تیر[[#This Row],[حق اولاد]]+ج_ح_تیر[[#This Row],[حق و خواروبار]],"")</f>
        <v/>
      </c>
      <c r="P118"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18" s="89" t="str">
        <f>IFERROR(ج_ح_تیر[[#This Row],[حقوق پایه]]+ج_ح_تیر[[#This Row],[اضافه کاری]]+ج_ح_تیر[[#This Row],[حق مسکن]]+ج_ح_تیر[[#This Row],[حق و خواروبار]]+ج_ح_تیر[[#This Row],[حق اولاد]]-(2/7)*ج_ح_تیر[[#This Row],[بیمه پرداختنی]],"")</f>
        <v/>
      </c>
      <c r="R118" s="91">
        <v>0</v>
      </c>
      <c r="S118" s="91">
        <v>0</v>
      </c>
      <c r="T118" s="89" t="str">
        <f>IFERROR(ج_ح_تیر[[#This Row],[جمع ح و م م بیمه ]]*7%,"")</f>
        <v/>
      </c>
      <c r="U118"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18" s="89" t="str">
        <f>IFERROR(ج_ح_تیر[[#This Row],[وام]]+ج_ح_تیر[[#This Row],[مساعده]]+ج_ح_تیر[[#This Row],[بیمه پرداختنی]]+ج_ح_تیر[[#This Row],[مالیات پرداختنی]],"")</f>
        <v/>
      </c>
      <c r="W118" s="89" t="str">
        <f>IFERROR(ج_ح_تیر[[#This Row],[جمع ح و م]]-ج_ح_تیر[[#This Row],[جمع کسورات]],"")</f>
        <v/>
      </c>
      <c r="X118" s="108" t="e">
        <f>100000000-ج_ح_تیر[[#This Row],[جمع ح و م م مالیات]]</f>
        <v>#VALUE!</v>
      </c>
    </row>
    <row r="119" spans="1:24" ht="32.1" customHeight="1">
      <c r="B119" s="1">
        <f>B118</f>
        <v>4</v>
      </c>
      <c r="C119" s="85" t="str">
        <f>IF(ج_ح_تیر[[#This Row],[نام]]&lt;&gt;"",ROW()-118+1,"")</f>
        <v/>
      </c>
      <c r="D119" s="86"/>
      <c r="E119" s="86"/>
      <c r="F119" s="87"/>
      <c r="G119" s="88" t="str">
        <f>IFERROR(IF(COUNT(ج_ح_تیر[[#This Row],[کارکرد]]),حداقل_حقوق_پایه_روزانه,""),"")</f>
        <v/>
      </c>
      <c r="H119" s="89" t="str">
        <f>IFERROR(IF(ج_ح_تیر[[#This Row],[کارکرد]]*ج_ح_تیر[[#This Row],[دستمزد روزانه ]]=0,"",ج_ح_تیر[[#This Row],[کارکرد]]*ج_ح_تیر[[#This Row],[دستمزد روزانه ]]),"")</f>
        <v/>
      </c>
      <c r="I119" s="91">
        <v>0</v>
      </c>
      <c r="J119" s="90" t="str">
        <f>IFERROR((ج_ح_تیر[[#This Row],[دستمزد روزانه ]]/7.33)*1.4*ج_ح_تیر[[#This Row],[مدت اضافه کاری ]],"")</f>
        <v/>
      </c>
      <c r="K119" s="89" t="str">
        <f>IF(ج_ح_تیر[[#This Row],[کارکرد]]="","",ج_ح_تیر[[#This Row],[کارکرد]]/31*حق_مسکن)</f>
        <v/>
      </c>
      <c r="L119" s="91">
        <v>0</v>
      </c>
      <c r="M119" s="89">
        <f>IF(ج_ح_تیر[[#This Row],[تعداد فرزندان]]="","",ج_ح_تیر[[#This Row],[کارکرد]]/31*3*ج_ح_تیر[[#This Row],[تعداد فرزندان]]*حداقل_حقوق_پایه_روزانه)</f>
        <v>0</v>
      </c>
      <c r="N119" s="89" t="str">
        <f>IF(ج_ح_تیر[[#This Row],[کارکرد]]="","",ج_ح_تیر[[#This Row],[کارکرد]]/31*حق_خواربار)</f>
        <v/>
      </c>
      <c r="O119" s="89" t="str">
        <f>IFERROR(ج_ح_تیر[[#This Row],[حقوق پایه]]+ج_ح_تیر[[#This Row],[اضافه کاری]]+ج_ح_تیر[[#This Row],[حق مسکن]]+ج_ح_تیر[[#This Row],[حق اولاد]]+ج_ح_تیر[[#This Row],[حق و خواروبار]],"")</f>
        <v/>
      </c>
      <c r="P119"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19" s="89" t="str">
        <f>IFERROR(ج_ح_تیر[[#This Row],[حقوق پایه]]+ج_ح_تیر[[#This Row],[اضافه کاری]]+ج_ح_تیر[[#This Row],[حق مسکن]]+ج_ح_تیر[[#This Row],[حق و خواروبار]]+ج_ح_تیر[[#This Row],[حق اولاد]]-(2/7)*ج_ح_تیر[[#This Row],[بیمه پرداختنی]],"")</f>
        <v/>
      </c>
      <c r="R119" s="91">
        <v>0</v>
      </c>
      <c r="S119" s="91">
        <v>0</v>
      </c>
      <c r="T119" s="89" t="str">
        <f>IFERROR(ج_ح_تیر[[#This Row],[جمع ح و م م بیمه ]]*7%,"")</f>
        <v/>
      </c>
      <c r="U119"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19" s="89" t="str">
        <f>IFERROR(ج_ح_تیر[[#This Row],[وام]]+ج_ح_تیر[[#This Row],[مساعده]]+ج_ح_تیر[[#This Row],[بیمه پرداختنی]]+ج_ح_تیر[[#This Row],[مالیات پرداختنی]],"")</f>
        <v/>
      </c>
      <c r="W119" s="89" t="str">
        <f>IFERROR(ج_ح_تیر[[#This Row],[جمع ح و م]]-ج_ح_تیر[[#This Row],[جمع کسورات]],"")</f>
        <v/>
      </c>
      <c r="X119" s="108" t="e">
        <f>100000000-ج_ح_تیر[[#This Row],[جمع ح و م م مالیات]]</f>
        <v>#VALUE!</v>
      </c>
    </row>
    <row r="120" spans="1:24" ht="32.1" customHeight="1">
      <c r="B120" s="1">
        <f t="shared" ref="B120:B148" si="2">B119</f>
        <v>4</v>
      </c>
      <c r="C120" s="85" t="str">
        <f>IF(ج_ح_تیر[[#This Row],[نام]]&lt;&gt;"",ROW()-118+1,"")</f>
        <v/>
      </c>
      <c r="D120" s="86"/>
      <c r="E120" s="86"/>
      <c r="F120" s="87"/>
      <c r="G120" s="88" t="str">
        <f>IFERROR(IF(COUNT(ج_ح_تیر[[#This Row],[کارکرد]]),حداقل_حقوق_پایه_روزانه,""),"")</f>
        <v/>
      </c>
      <c r="H120" s="89" t="str">
        <f>IFERROR(IF(ج_ح_تیر[[#This Row],[کارکرد]]*ج_ح_تیر[[#This Row],[دستمزد روزانه ]]=0,"",ج_ح_تیر[[#This Row],[کارکرد]]*ج_ح_تیر[[#This Row],[دستمزد روزانه ]]),"")</f>
        <v/>
      </c>
      <c r="I120" s="91">
        <v>0</v>
      </c>
      <c r="J120" s="90" t="str">
        <f>IFERROR((ج_ح_تیر[[#This Row],[دستمزد روزانه ]]/7.33)*1.4*ج_ح_تیر[[#This Row],[مدت اضافه کاری ]],"")</f>
        <v/>
      </c>
      <c r="K120" s="89" t="str">
        <f>IF(ج_ح_تیر[[#This Row],[کارکرد]]="","",ج_ح_تیر[[#This Row],[کارکرد]]/31*حق_مسکن)</f>
        <v/>
      </c>
      <c r="L120" s="91">
        <v>0</v>
      </c>
      <c r="M120" s="89">
        <f>IF(ج_ح_تیر[[#This Row],[تعداد فرزندان]]="","",ج_ح_تیر[[#This Row],[کارکرد]]/31*3*ج_ح_تیر[[#This Row],[تعداد فرزندان]]*حداقل_حقوق_پایه_روزانه)</f>
        <v>0</v>
      </c>
      <c r="N120" s="89" t="str">
        <f>IF(ج_ح_تیر[[#This Row],[کارکرد]]="","",ج_ح_تیر[[#This Row],[کارکرد]]/31*حق_خواربار)</f>
        <v/>
      </c>
      <c r="O120" s="89" t="str">
        <f>IFERROR(ج_ح_تیر[[#This Row],[حقوق پایه]]+ج_ح_تیر[[#This Row],[اضافه کاری]]+ج_ح_تیر[[#This Row],[حق مسکن]]+ج_ح_تیر[[#This Row],[حق اولاد]]+ج_ح_تیر[[#This Row],[حق و خواروبار]],"")</f>
        <v/>
      </c>
      <c r="P120"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20" s="89" t="str">
        <f>IFERROR(ج_ح_تیر[[#This Row],[حقوق پایه]]+ج_ح_تیر[[#This Row],[اضافه کاری]]+ج_ح_تیر[[#This Row],[حق مسکن]]+ج_ح_تیر[[#This Row],[حق و خواروبار]]+ج_ح_تیر[[#This Row],[حق اولاد]]-(2/7)*ج_ح_تیر[[#This Row],[بیمه پرداختنی]],"")</f>
        <v/>
      </c>
      <c r="R120" s="91">
        <v>0</v>
      </c>
      <c r="S120" s="91">
        <v>0</v>
      </c>
      <c r="T120" s="89" t="str">
        <f>IFERROR(ج_ح_تیر[[#This Row],[جمع ح و م م بیمه ]]*7%,"")</f>
        <v/>
      </c>
      <c r="U120"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20" s="89" t="str">
        <f>IFERROR(ج_ح_تیر[[#This Row],[وام]]+ج_ح_تیر[[#This Row],[مساعده]]+ج_ح_تیر[[#This Row],[بیمه پرداختنی]]+ج_ح_تیر[[#This Row],[مالیات پرداختنی]],"")</f>
        <v/>
      </c>
      <c r="W120" s="89" t="str">
        <f>IFERROR(ج_ح_تیر[[#This Row],[جمع ح و م]]-ج_ح_تیر[[#This Row],[جمع کسورات]],"")</f>
        <v/>
      </c>
      <c r="X120" s="108" t="e">
        <f>100000000-ج_ح_تیر[[#This Row],[جمع ح و م م مالیات]]</f>
        <v>#VALUE!</v>
      </c>
    </row>
    <row r="121" spans="1:24" ht="32.1" customHeight="1">
      <c r="B121" s="1">
        <f t="shared" si="2"/>
        <v>4</v>
      </c>
      <c r="C121" s="85" t="str">
        <f>IF(ج_ح_تیر[[#This Row],[نام]]&lt;&gt;"",ROW()-118+1,"")</f>
        <v/>
      </c>
      <c r="D121" s="86"/>
      <c r="E121" s="86"/>
      <c r="F121" s="87"/>
      <c r="G121" s="88" t="str">
        <f>IFERROR(IF(COUNT(ج_ح_تیر[[#This Row],[کارکرد]]),حداقل_حقوق_پایه_روزانه,""),"")</f>
        <v/>
      </c>
      <c r="H121" s="89" t="str">
        <f>IFERROR(IF(ج_ح_تیر[[#This Row],[کارکرد]]*ج_ح_تیر[[#This Row],[دستمزد روزانه ]]=0,"",ج_ح_تیر[[#This Row],[کارکرد]]*ج_ح_تیر[[#This Row],[دستمزد روزانه ]]),"")</f>
        <v/>
      </c>
      <c r="I121" s="91">
        <v>0</v>
      </c>
      <c r="J121" s="90" t="str">
        <f>IFERROR((ج_ح_تیر[[#This Row],[دستمزد روزانه ]]/7.33)*1.4*ج_ح_تیر[[#This Row],[مدت اضافه کاری ]],"")</f>
        <v/>
      </c>
      <c r="K121" s="89" t="str">
        <f>IF(ج_ح_تیر[[#This Row],[کارکرد]]="","",ج_ح_تیر[[#This Row],[کارکرد]]/30*حق_مسکن)</f>
        <v/>
      </c>
      <c r="L121" s="91">
        <v>0</v>
      </c>
      <c r="M121" s="89">
        <f>IF(ج_ح_تیر[[#This Row],[تعداد فرزندان]]="","",ج_ح_تیر[[#This Row],[کارکرد]]/31*3*ج_ح_تیر[[#This Row],[تعداد فرزندان]]*حداقل_حقوق_پایه_روزانه)</f>
        <v>0</v>
      </c>
      <c r="N121" s="89" t="str">
        <f>IF(ج_ح_تیر[[#This Row],[کارکرد]]="","",ج_ح_تیر[[#This Row],[کارکرد]]/30*حق_خواربار)</f>
        <v/>
      </c>
      <c r="O121" s="89" t="str">
        <f>IFERROR(ج_ح_تیر[[#This Row],[حقوق پایه]]+ج_ح_تیر[[#This Row],[اضافه کاری]]+ج_ح_تیر[[#This Row],[حق مسکن]]+ج_ح_تیر[[#This Row],[حق اولاد]]+ج_ح_تیر[[#This Row],[حق و خواروبار]],"")</f>
        <v/>
      </c>
      <c r="P121"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21" s="89" t="str">
        <f>IFERROR(ج_ح_تیر[[#This Row],[حقوق پایه]]+ج_ح_تیر[[#This Row],[اضافه کاری]]+ج_ح_تیر[[#This Row],[حق مسکن]]+ج_ح_تیر[[#This Row],[حق و خواروبار]]+ج_ح_تیر[[#This Row],[حق اولاد]]-(2/7)*ج_ح_تیر[[#This Row],[بیمه پرداختنی]],"")</f>
        <v/>
      </c>
      <c r="R121" s="91">
        <v>0</v>
      </c>
      <c r="S121" s="91">
        <v>0</v>
      </c>
      <c r="T121" s="89" t="str">
        <f>IFERROR(ج_ح_تیر[[#This Row],[جمع ح و م م بیمه ]]*7%,"")</f>
        <v/>
      </c>
      <c r="U121"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21" s="89" t="str">
        <f>IFERROR(ج_ح_تیر[[#This Row],[وام]]+ج_ح_تیر[[#This Row],[مساعده]]+ج_ح_تیر[[#This Row],[بیمه پرداختنی]]+ج_ح_تیر[[#This Row],[مالیات پرداختنی]],"")</f>
        <v/>
      </c>
      <c r="W121" s="89" t="str">
        <f>IFERROR(ج_ح_تیر[[#This Row],[جمع ح و م]]-ج_ح_تیر[[#This Row],[جمع کسورات]],"")</f>
        <v/>
      </c>
      <c r="X121" s="108" t="e">
        <f>50000000-ج_ح_تیر[[#This Row],[جمع ح و م م مالیات]]</f>
        <v>#VALUE!</v>
      </c>
    </row>
    <row r="122" spans="1:24" ht="32.1" customHeight="1">
      <c r="B122" s="1">
        <f t="shared" si="2"/>
        <v>4</v>
      </c>
      <c r="C122" s="85" t="str">
        <f>IF(ج_ح_تیر[[#This Row],[نام]]&lt;&gt;"",ROW()-118+1,"")</f>
        <v/>
      </c>
      <c r="D122" s="86"/>
      <c r="E122" s="86"/>
      <c r="F122" s="87"/>
      <c r="G122" s="88" t="str">
        <f>IFERROR(IF(COUNT(ج_ح_تیر[[#This Row],[کارکرد]]),حداقل_حقوق_پایه_روزانه,""),"")</f>
        <v/>
      </c>
      <c r="H122" s="89" t="str">
        <f>IFERROR(IF(ج_ح_تیر[[#This Row],[کارکرد]]*ج_ح_تیر[[#This Row],[دستمزد روزانه ]]=0,"",ج_ح_تیر[[#This Row],[کارکرد]]*ج_ح_تیر[[#This Row],[دستمزد روزانه ]]),"")</f>
        <v/>
      </c>
      <c r="I122" s="91"/>
      <c r="J122" s="90" t="str">
        <f>IFERROR((ج_ح_تیر[[#This Row],[دستمزد روزانه ]]/7.33)*1.4*ج_ح_تیر[[#This Row],[مدت اضافه کاری ]],"")</f>
        <v/>
      </c>
      <c r="K122" s="89" t="str">
        <f>IF(ج_ح_تیر[[#This Row],[کارکرد]]="","",ج_ح_تیر[[#This Row],[کارکرد]]/31*حق_مسکن)</f>
        <v/>
      </c>
      <c r="L122" s="91"/>
      <c r="M122" s="89" t="str">
        <f>IF(ج_ح_تیر[[#This Row],[تعداد فرزندان]]="","",ج_ح_تیر[[#This Row],[کارکرد]]/31*3*ج_ح_تیر[[#This Row],[تعداد فرزندان]]*حداقل_حقوق_پایه_روزانه)</f>
        <v/>
      </c>
      <c r="N122" s="89" t="str">
        <f>IF(ج_ح_تیر[[#This Row],[کارکرد]]="","",ج_ح_تیر[[#This Row],[کارکرد]]/31*حق_خواربار)</f>
        <v/>
      </c>
      <c r="O122" s="89" t="str">
        <f>IFERROR(ج_ح_تیر[[#This Row],[حقوق پایه]]+ج_ح_تیر[[#This Row],[اضافه کاری]]+ج_ح_تیر[[#This Row],[حق مسکن]]+ج_ح_تیر[[#This Row],[حق اولاد]]+ج_ح_تیر[[#This Row],[حق و خواروبار]],"")</f>
        <v/>
      </c>
      <c r="P122"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22" s="89" t="str">
        <f>IFERROR(ج_ح_تیر[[#This Row],[حقوق پایه]]+ج_ح_تیر[[#This Row],[اضافه کاری]]+ج_ح_تیر[[#This Row],[حق مسکن]]+ج_ح_تیر[[#This Row],[حق و خواروبار]]+ج_ح_تیر[[#This Row],[حق اولاد]]-(2/7)*ج_ح_تیر[[#This Row],[بیمه پرداختنی]],"")</f>
        <v/>
      </c>
      <c r="R122" s="91"/>
      <c r="S122" s="91"/>
      <c r="T122" s="89" t="str">
        <f>IFERROR(ج_ح_تیر[[#This Row],[جمع ح و م م بیمه ]]*7%,"")</f>
        <v/>
      </c>
      <c r="U122"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22" s="89" t="str">
        <f>IFERROR(ج_ح_تیر[[#This Row],[وام]]+ج_ح_تیر[[#This Row],[مساعده]]+ج_ح_تیر[[#This Row],[بیمه پرداختنی]]+ج_ح_تیر[[#This Row],[مالیات پرداختنی]],"")</f>
        <v/>
      </c>
      <c r="W122" s="89" t="str">
        <f>IFERROR(ج_ح_تیر[[#This Row],[جمع ح و م]]-ج_ح_تیر[[#This Row],[جمع کسورات]],"")</f>
        <v/>
      </c>
      <c r="X122" s="108"/>
    </row>
    <row r="123" spans="1:24" ht="32.1" customHeight="1">
      <c r="B123" s="1">
        <f t="shared" si="2"/>
        <v>4</v>
      </c>
      <c r="C123" s="85" t="str">
        <f>IF(ج_ح_تیر[[#This Row],[نام]]&lt;&gt;"",ROW()-118+1,"")</f>
        <v/>
      </c>
      <c r="D123" s="86"/>
      <c r="E123" s="86"/>
      <c r="F123" s="87"/>
      <c r="G123" s="88" t="str">
        <f>IFERROR(IF(COUNT(ج_ح_تیر[[#This Row],[کارکرد]]),حداقل_حقوق_پایه_روزانه,""),"")</f>
        <v/>
      </c>
      <c r="H123" s="89" t="str">
        <f>IFERROR(IF(ج_ح_تیر[[#This Row],[کارکرد]]*ج_ح_تیر[[#This Row],[دستمزد روزانه ]]=0,"",ج_ح_تیر[[#This Row],[کارکرد]]*ج_ح_تیر[[#This Row],[دستمزد روزانه ]]),"")</f>
        <v/>
      </c>
      <c r="I123" s="91"/>
      <c r="J123" s="90" t="str">
        <f>IFERROR((ج_ح_تیر[[#This Row],[دستمزد روزانه ]]/7.33)*1.4*ج_ح_تیر[[#This Row],[مدت اضافه کاری ]],"")</f>
        <v/>
      </c>
      <c r="K123" s="89" t="str">
        <f>IF(ج_ح_تیر[[#This Row],[کارکرد]]="","",ج_ح_تیر[[#This Row],[کارکرد]]/31*حق_مسکن)</f>
        <v/>
      </c>
      <c r="L123" s="91"/>
      <c r="M123" s="89" t="str">
        <f>IF(ج_ح_تیر[[#This Row],[تعداد فرزندان]]="","",ج_ح_تیر[[#This Row],[کارکرد]]/31*3*ج_ح_تیر[[#This Row],[تعداد فرزندان]]*حداقل_حقوق_پایه_روزانه)</f>
        <v/>
      </c>
      <c r="N123" s="89" t="str">
        <f>IF(ج_ح_تیر[[#This Row],[کارکرد]]="","",ج_ح_تیر[[#This Row],[کارکرد]]/31*حق_خواربار)</f>
        <v/>
      </c>
      <c r="O123" s="89" t="str">
        <f>IFERROR(ج_ح_تیر[[#This Row],[حقوق پایه]]+ج_ح_تیر[[#This Row],[اضافه کاری]]+ج_ح_تیر[[#This Row],[حق مسکن]]+ج_ح_تیر[[#This Row],[حق اولاد]]+ج_ح_تیر[[#This Row],[حق و خواروبار]],"")</f>
        <v/>
      </c>
      <c r="P123"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23" s="89" t="str">
        <f>IFERROR(ج_ح_تیر[[#This Row],[حقوق پایه]]+ج_ح_تیر[[#This Row],[اضافه کاری]]+ج_ح_تیر[[#This Row],[حق مسکن]]+ج_ح_تیر[[#This Row],[حق و خواروبار]]+ج_ح_تیر[[#This Row],[حق اولاد]]-(2/7)*ج_ح_تیر[[#This Row],[بیمه پرداختنی]],"")</f>
        <v/>
      </c>
      <c r="R123" s="91"/>
      <c r="S123" s="91"/>
      <c r="T123" s="89" t="str">
        <f>IFERROR(ج_ح_تیر[[#This Row],[جمع ح و م م بیمه ]]*7%,"")</f>
        <v/>
      </c>
      <c r="U123"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23" s="89" t="str">
        <f>IFERROR(ج_ح_تیر[[#This Row],[وام]]+ج_ح_تیر[[#This Row],[مساعده]]+ج_ح_تیر[[#This Row],[بیمه پرداختنی]]+ج_ح_تیر[[#This Row],[مالیات پرداختنی]],"")</f>
        <v/>
      </c>
      <c r="W123" s="89" t="str">
        <f>IFERROR(ج_ح_تیر[[#This Row],[جمع ح و م]]-ج_ح_تیر[[#This Row],[جمع کسورات]],"")</f>
        <v/>
      </c>
      <c r="X123" s="108"/>
    </row>
    <row r="124" spans="1:24" ht="32.1" customHeight="1">
      <c r="B124" s="1">
        <f t="shared" si="2"/>
        <v>4</v>
      </c>
      <c r="C124" s="85" t="str">
        <f>IF(ج_ح_تیر[[#This Row],[نام]]&lt;&gt;"",ROW()-118+1,"")</f>
        <v/>
      </c>
      <c r="D124" s="86"/>
      <c r="E124" s="86"/>
      <c r="F124" s="87"/>
      <c r="G124" s="88" t="str">
        <f>IFERROR(IF(COUNT(ج_ح_تیر[[#This Row],[کارکرد]]),حداقل_حقوق_پایه_روزانه,""),"")</f>
        <v/>
      </c>
      <c r="H124" s="89" t="str">
        <f>IFERROR(IF(ج_ح_تیر[[#This Row],[کارکرد]]*ج_ح_تیر[[#This Row],[دستمزد روزانه ]]=0,"",ج_ح_تیر[[#This Row],[کارکرد]]*ج_ح_تیر[[#This Row],[دستمزد روزانه ]]),"")</f>
        <v/>
      </c>
      <c r="I124" s="91"/>
      <c r="J124" s="90" t="str">
        <f>IFERROR((ج_ح_تیر[[#This Row],[دستمزد روزانه ]]/7.33)*1.4*ج_ح_تیر[[#This Row],[مدت اضافه کاری ]],"")</f>
        <v/>
      </c>
      <c r="K124" s="89" t="str">
        <f>IF(ج_ح_تیر[[#This Row],[کارکرد]]="","",ج_ح_تیر[[#This Row],[کارکرد]]/31*حق_مسکن)</f>
        <v/>
      </c>
      <c r="L124" s="91"/>
      <c r="M124" s="89" t="str">
        <f>IF(ج_ح_تیر[[#This Row],[تعداد فرزندان]]="","",ج_ح_تیر[[#This Row],[کارکرد]]/31*3*ج_ح_تیر[[#This Row],[تعداد فرزندان]]*حداقل_حقوق_پایه_روزانه)</f>
        <v/>
      </c>
      <c r="N124" s="89" t="str">
        <f>IF(ج_ح_تیر[[#This Row],[کارکرد]]="","",ج_ح_تیر[[#This Row],[کارکرد]]/31*حق_خواربار)</f>
        <v/>
      </c>
      <c r="O124" s="89" t="str">
        <f>IFERROR(ج_ح_تیر[[#This Row],[حقوق پایه]]+ج_ح_تیر[[#This Row],[اضافه کاری]]+ج_ح_تیر[[#This Row],[حق مسکن]]+ج_ح_تیر[[#This Row],[حق اولاد]]+ج_ح_تیر[[#This Row],[حق و خواروبار]],"")</f>
        <v/>
      </c>
      <c r="P124"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24" s="89" t="str">
        <f>IFERROR(ج_ح_تیر[[#This Row],[حقوق پایه]]+ج_ح_تیر[[#This Row],[اضافه کاری]]+ج_ح_تیر[[#This Row],[حق مسکن]]+ج_ح_تیر[[#This Row],[حق و خواروبار]]+ج_ح_تیر[[#This Row],[حق اولاد]]-(2/7)*ج_ح_تیر[[#This Row],[بیمه پرداختنی]],"")</f>
        <v/>
      </c>
      <c r="R124" s="91"/>
      <c r="S124" s="91"/>
      <c r="T124" s="89" t="str">
        <f>IFERROR(ج_ح_تیر[[#This Row],[جمع ح و م م بیمه ]]*7%,"")</f>
        <v/>
      </c>
      <c r="U124"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24" s="89" t="str">
        <f>IFERROR(ج_ح_تیر[[#This Row],[وام]]+ج_ح_تیر[[#This Row],[مساعده]]+ج_ح_تیر[[#This Row],[بیمه پرداختنی]]+ج_ح_تیر[[#This Row],[مالیات پرداختنی]],"")</f>
        <v/>
      </c>
      <c r="W124" s="89" t="str">
        <f>IFERROR(ج_ح_تیر[[#This Row],[جمع ح و م]]-ج_ح_تیر[[#This Row],[جمع کسورات]],"")</f>
        <v/>
      </c>
      <c r="X124" s="108"/>
    </row>
    <row r="125" spans="1:24" ht="32.1" customHeight="1">
      <c r="B125" s="1">
        <f t="shared" si="2"/>
        <v>4</v>
      </c>
      <c r="C125" s="85" t="str">
        <f>IF(ج_ح_تیر[[#This Row],[نام]]&lt;&gt;"",ROW()-118+1,"")</f>
        <v/>
      </c>
      <c r="D125" s="86"/>
      <c r="E125" s="86"/>
      <c r="F125" s="87"/>
      <c r="G125" s="88" t="str">
        <f>IFERROR(IF(COUNT(ج_ح_تیر[[#This Row],[کارکرد]]),حداقل_حقوق_پایه_روزانه,""),"")</f>
        <v/>
      </c>
      <c r="H125" s="89" t="str">
        <f>IFERROR(IF(ج_ح_تیر[[#This Row],[کارکرد]]*ج_ح_تیر[[#This Row],[دستمزد روزانه ]]=0,"",ج_ح_تیر[[#This Row],[کارکرد]]*ج_ح_تیر[[#This Row],[دستمزد روزانه ]]),"")</f>
        <v/>
      </c>
      <c r="I125" s="91"/>
      <c r="J125" s="90" t="str">
        <f>IFERROR((ج_ح_تیر[[#This Row],[دستمزد روزانه ]]/7.33)*1.4*ج_ح_تیر[[#This Row],[مدت اضافه کاری ]],"")</f>
        <v/>
      </c>
      <c r="K125" s="89" t="str">
        <f>IF(ج_ح_تیر[[#This Row],[کارکرد]]="","",ج_ح_تیر[[#This Row],[کارکرد]]/31*حق_مسکن)</f>
        <v/>
      </c>
      <c r="L125" s="91"/>
      <c r="M125" s="89" t="str">
        <f>IF(ج_ح_تیر[[#This Row],[تعداد فرزندان]]="","",ج_ح_تیر[[#This Row],[کارکرد]]/31*3*ج_ح_تیر[[#This Row],[تعداد فرزندان]]*حداقل_حقوق_پایه_روزانه)</f>
        <v/>
      </c>
      <c r="N125" s="89" t="str">
        <f>IF(ج_ح_تیر[[#This Row],[کارکرد]]="","",ج_ح_تیر[[#This Row],[کارکرد]]/31*حق_خواربار)</f>
        <v/>
      </c>
      <c r="O125" s="89" t="str">
        <f>IFERROR(ج_ح_تیر[[#This Row],[حقوق پایه]]+ج_ح_تیر[[#This Row],[اضافه کاری]]+ج_ح_تیر[[#This Row],[حق مسکن]]+ج_ح_تیر[[#This Row],[حق اولاد]]+ج_ح_تیر[[#This Row],[حق و خواروبار]],"")</f>
        <v/>
      </c>
      <c r="P125"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25" s="89" t="str">
        <f>IFERROR(ج_ح_تیر[[#This Row],[حقوق پایه]]+ج_ح_تیر[[#This Row],[اضافه کاری]]+ج_ح_تیر[[#This Row],[حق مسکن]]+ج_ح_تیر[[#This Row],[حق و خواروبار]]+ج_ح_تیر[[#This Row],[حق اولاد]]-(2/7)*ج_ح_تیر[[#This Row],[بیمه پرداختنی]],"")</f>
        <v/>
      </c>
      <c r="R125" s="91"/>
      <c r="S125" s="91"/>
      <c r="T125" s="89" t="str">
        <f>IFERROR(ج_ح_تیر[[#This Row],[جمع ح و م م بیمه ]]*7%,"")</f>
        <v/>
      </c>
      <c r="U125"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25" s="89" t="str">
        <f>IFERROR(ج_ح_تیر[[#This Row],[وام]]+ج_ح_تیر[[#This Row],[مساعده]]+ج_ح_تیر[[#This Row],[بیمه پرداختنی]]+ج_ح_تیر[[#This Row],[مالیات پرداختنی]],"")</f>
        <v/>
      </c>
      <c r="W125" s="89" t="str">
        <f>IFERROR(ج_ح_تیر[[#This Row],[جمع ح و م]]-ج_ح_تیر[[#This Row],[جمع کسورات]],"")</f>
        <v/>
      </c>
      <c r="X125" s="108"/>
    </row>
    <row r="126" spans="1:24" ht="32.1" customHeight="1">
      <c r="B126" s="1">
        <f t="shared" si="2"/>
        <v>4</v>
      </c>
      <c r="C126" s="85" t="str">
        <f>IF(ج_ح_تیر[[#This Row],[نام]]&lt;&gt;"",ROW()-118+1,"")</f>
        <v/>
      </c>
      <c r="D126" s="86"/>
      <c r="E126" s="86"/>
      <c r="F126" s="87"/>
      <c r="G126" s="88" t="str">
        <f>IFERROR(IF(COUNT(ج_ح_تیر[[#This Row],[کارکرد]]),حداقل_حقوق_پایه_روزانه,""),"")</f>
        <v/>
      </c>
      <c r="H126" s="89" t="str">
        <f>IFERROR(IF(ج_ح_تیر[[#This Row],[کارکرد]]*ج_ح_تیر[[#This Row],[دستمزد روزانه ]]=0,"",ج_ح_تیر[[#This Row],[کارکرد]]*ج_ح_تیر[[#This Row],[دستمزد روزانه ]]),"")</f>
        <v/>
      </c>
      <c r="I126" s="91"/>
      <c r="J126" s="90" t="str">
        <f>IFERROR((ج_ح_تیر[[#This Row],[دستمزد روزانه ]]/7.33)*1.4*ج_ح_تیر[[#This Row],[مدت اضافه کاری ]],"")</f>
        <v/>
      </c>
      <c r="K126" s="89" t="str">
        <f>IF(ج_ح_تیر[[#This Row],[کارکرد]]="","",ج_ح_تیر[[#This Row],[کارکرد]]/31*حق_مسکن)</f>
        <v/>
      </c>
      <c r="L126" s="91"/>
      <c r="M126" s="89" t="str">
        <f>IF(ج_ح_تیر[[#This Row],[تعداد فرزندان]]="","",ج_ح_تیر[[#This Row],[کارکرد]]/31*3*ج_ح_تیر[[#This Row],[تعداد فرزندان]]*حداقل_حقوق_پایه_روزانه)</f>
        <v/>
      </c>
      <c r="N126" s="89" t="str">
        <f>IF(ج_ح_تیر[[#This Row],[کارکرد]]="","",ج_ح_تیر[[#This Row],[کارکرد]]/31*حق_خواربار)</f>
        <v/>
      </c>
      <c r="O126" s="89" t="str">
        <f>IFERROR(ج_ح_تیر[[#This Row],[حقوق پایه]]+ج_ح_تیر[[#This Row],[اضافه کاری]]+ج_ح_تیر[[#This Row],[حق مسکن]]+ج_ح_تیر[[#This Row],[حق اولاد]]+ج_ح_تیر[[#This Row],[حق و خواروبار]],"")</f>
        <v/>
      </c>
      <c r="P126"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26" s="89" t="str">
        <f>IFERROR(ج_ح_تیر[[#This Row],[حقوق پایه]]+ج_ح_تیر[[#This Row],[اضافه کاری]]+ج_ح_تیر[[#This Row],[حق مسکن]]+ج_ح_تیر[[#This Row],[حق و خواروبار]]+ج_ح_تیر[[#This Row],[حق اولاد]]-(2/7)*ج_ح_تیر[[#This Row],[بیمه پرداختنی]],"")</f>
        <v/>
      </c>
      <c r="R126" s="91"/>
      <c r="S126" s="91"/>
      <c r="T126" s="89" t="str">
        <f>IFERROR(ج_ح_تیر[[#This Row],[جمع ح و م م بیمه ]]*7%,"")</f>
        <v/>
      </c>
      <c r="U126"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26" s="89" t="str">
        <f>IFERROR(ج_ح_تیر[[#This Row],[وام]]+ج_ح_تیر[[#This Row],[مساعده]]+ج_ح_تیر[[#This Row],[بیمه پرداختنی]]+ج_ح_تیر[[#This Row],[مالیات پرداختنی]],"")</f>
        <v/>
      </c>
      <c r="W126" s="89" t="str">
        <f>IFERROR(ج_ح_تیر[[#This Row],[جمع ح و م]]-ج_ح_تیر[[#This Row],[جمع کسورات]],"")</f>
        <v/>
      </c>
      <c r="X126" s="108"/>
    </row>
    <row r="127" spans="1:24" ht="32.1" customHeight="1">
      <c r="B127" s="1">
        <f t="shared" si="2"/>
        <v>4</v>
      </c>
      <c r="C127" s="85" t="str">
        <f>IF(ج_ح_تیر[[#This Row],[نام]]&lt;&gt;"",ROW()-118+1,"")</f>
        <v/>
      </c>
      <c r="D127" s="86"/>
      <c r="E127" s="86"/>
      <c r="F127" s="87"/>
      <c r="G127" s="88" t="str">
        <f>IFERROR(IF(COUNT(ج_ح_تیر[[#This Row],[کارکرد]]),حداقل_حقوق_پایه_روزانه,""),"")</f>
        <v/>
      </c>
      <c r="H127" s="89" t="str">
        <f>IFERROR(IF(ج_ح_تیر[[#This Row],[کارکرد]]*ج_ح_تیر[[#This Row],[دستمزد روزانه ]]=0,"",ج_ح_تیر[[#This Row],[کارکرد]]*ج_ح_تیر[[#This Row],[دستمزد روزانه ]]),"")</f>
        <v/>
      </c>
      <c r="I127" s="91"/>
      <c r="J127" s="90" t="str">
        <f>IFERROR((ج_ح_تیر[[#This Row],[دستمزد روزانه ]]/7.33)*1.4*ج_ح_تیر[[#This Row],[مدت اضافه کاری ]],"")</f>
        <v/>
      </c>
      <c r="K127" s="89" t="str">
        <f>IF(ج_ح_تیر[[#This Row],[کارکرد]]="","",ج_ح_تیر[[#This Row],[کارکرد]]/31*حق_مسکن)</f>
        <v/>
      </c>
      <c r="L127" s="91"/>
      <c r="M127" s="89" t="str">
        <f>IF(ج_ح_تیر[[#This Row],[تعداد فرزندان]]="","",ج_ح_تیر[[#This Row],[کارکرد]]/31*3*ج_ح_تیر[[#This Row],[تعداد فرزندان]]*حداقل_حقوق_پایه_روزانه)</f>
        <v/>
      </c>
      <c r="N127" s="89" t="str">
        <f>IF(ج_ح_تیر[[#This Row],[کارکرد]]="","",ج_ح_تیر[[#This Row],[کارکرد]]/31*حق_خواربار)</f>
        <v/>
      </c>
      <c r="O127" s="89" t="str">
        <f>IFERROR(ج_ح_تیر[[#This Row],[حقوق پایه]]+ج_ح_تیر[[#This Row],[اضافه کاری]]+ج_ح_تیر[[#This Row],[حق مسکن]]+ج_ح_تیر[[#This Row],[حق اولاد]]+ج_ح_تیر[[#This Row],[حق و خواروبار]],"")</f>
        <v/>
      </c>
      <c r="P127"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27" s="89" t="str">
        <f>IFERROR(ج_ح_تیر[[#This Row],[حقوق پایه]]+ج_ح_تیر[[#This Row],[اضافه کاری]]+ج_ح_تیر[[#This Row],[حق مسکن]]+ج_ح_تیر[[#This Row],[حق و خواروبار]]+ج_ح_تیر[[#This Row],[حق اولاد]]-(2/7)*ج_ح_تیر[[#This Row],[بیمه پرداختنی]],"")</f>
        <v/>
      </c>
      <c r="R127" s="91"/>
      <c r="S127" s="91"/>
      <c r="T127" s="89" t="str">
        <f>IFERROR(ج_ح_تیر[[#This Row],[جمع ح و م م بیمه ]]*7%,"")</f>
        <v/>
      </c>
      <c r="U127"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27" s="89" t="str">
        <f>IFERROR(ج_ح_تیر[[#This Row],[وام]]+ج_ح_تیر[[#This Row],[مساعده]]+ج_ح_تیر[[#This Row],[بیمه پرداختنی]]+ج_ح_تیر[[#This Row],[مالیات پرداختنی]],"")</f>
        <v/>
      </c>
      <c r="W127" s="89" t="str">
        <f>IFERROR(ج_ح_تیر[[#This Row],[جمع ح و م]]-ج_ح_تیر[[#This Row],[جمع کسورات]],"")</f>
        <v/>
      </c>
      <c r="X127" s="108"/>
    </row>
    <row r="128" spans="1:24" ht="32.1" customHeight="1">
      <c r="B128" s="1">
        <f t="shared" si="2"/>
        <v>4</v>
      </c>
      <c r="C128" s="85" t="str">
        <f>IF(ج_ح_تیر[[#This Row],[نام]]&lt;&gt;"",ROW()-118+1,"")</f>
        <v/>
      </c>
      <c r="D128" s="86"/>
      <c r="E128" s="86"/>
      <c r="F128" s="87"/>
      <c r="G128" s="88" t="str">
        <f>IFERROR(IF(COUNT(ج_ح_تیر[[#This Row],[کارکرد]]),حداقل_حقوق_پایه_روزانه,""),"")</f>
        <v/>
      </c>
      <c r="H128" s="89" t="str">
        <f>IFERROR(IF(ج_ح_تیر[[#This Row],[کارکرد]]*ج_ح_تیر[[#This Row],[دستمزد روزانه ]]=0,"",ج_ح_تیر[[#This Row],[کارکرد]]*ج_ح_تیر[[#This Row],[دستمزد روزانه ]]),"")</f>
        <v/>
      </c>
      <c r="I128" s="91"/>
      <c r="J128" s="90" t="str">
        <f>IFERROR((ج_ح_تیر[[#This Row],[دستمزد روزانه ]]/7.33)*1.4*ج_ح_تیر[[#This Row],[مدت اضافه کاری ]],"")</f>
        <v/>
      </c>
      <c r="K128" s="89" t="str">
        <f>IF(ج_ح_تیر[[#This Row],[کارکرد]]="","",ج_ح_تیر[[#This Row],[کارکرد]]/31*حق_مسکن)</f>
        <v/>
      </c>
      <c r="L128" s="91"/>
      <c r="M128" s="89" t="str">
        <f>IF(ج_ح_تیر[[#This Row],[تعداد فرزندان]]="","",ج_ح_تیر[[#This Row],[کارکرد]]/31*3*ج_ح_تیر[[#This Row],[تعداد فرزندان]]*حداقل_حقوق_پایه_روزانه)</f>
        <v/>
      </c>
      <c r="N128" s="89" t="str">
        <f>IF(ج_ح_تیر[[#This Row],[کارکرد]]="","",ج_ح_تیر[[#This Row],[کارکرد]]/31*حق_خواربار)</f>
        <v/>
      </c>
      <c r="O128" s="89" t="str">
        <f>IFERROR(ج_ح_تیر[[#This Row],[حقوق پایه]]+ج_ح_تیر[[#This Row],[اضافه کاری]]+ج_ح_تیر[[#This Row],[حق مسکن]]+ج_ح_تیر[[#This Row],[حق اولاد]]+ج_ح_تیر[[#This Row],[حق و خواروبار]],"")</f>
        <v/>
      </c>
      <c r="P128"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28" s="89" t="str">
        <f>IFERROR(ج_ح_تیر[[#This Row],[حقوق پایه]]+ج_ح_تیر[[#This Row],[اضافه کاری]]+ج_ح_تیر[[#This Row],[حق مسکن]]+ج_ح_تیر[[#This Row],[حق و خواروبار]]+ج_ح_تیر[[#This Row],[حق اولاد]]-(2/7)*ج_ح_تیر[[#This Row],[بیمه پرداختنی]],"")</f>
        <v/>
      </c>
      <c r="R128" s="91"/>
      <c r="S128" s="91"/>
      <c r="T128" s="89" t="str">
        <f>IFERROR(ج_ح_تیر[[#This Row],[جمع ح و م م بیمه ]]*7%,"")</f>
        <v/>
      </c>
      <c r="U128"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28" s="89" t="str">
        <f>IFERROR(ج_ح_تیر[[#This Row],[وام]]+ج_ح_تیر[[#This Row],[مساعده]]+ج_ح_تیر[[#This Row],[بیمه پرداختنی]]+ج_ح_تیر[[#This Row],[مالیات پرداختنی]],"")</f>
        <v/>
      </c>
      <c r="W128" s="89" t="str">
        <f>IFERROR(ج_ح_تیر[[#This Row],[جمع ح و م]]-ج_ح_تیر[[#This Row],[جمع کسورات]],"")</f>
        <v/>
      </c>
      <c r="X128" s="108"/>
    </row>
    <row r="129" spans="2:24" ht="32.1" customHeight="1">
      <c r="B129" s="1">
        <f t="shared" si="2"/>
        <v>4</v>
      </c>
      <c r="C129" s="85" t="str">
        <f>IF(ج_ح_تیر[[#This Row],[نام]]&lt;&gt;"",ROW()-118+1,"")</f>
        <v/>
      </c>
      <c r="D129" s="86"/>
      <c r="E129" s="86"/>
      <c r="F129" s="87"/>
      <c r="G129" s="88" t="str">
        <f>IFERROR(IF(COUNT(ج_ح_تیر[[#This Row],[کارکرد]]),حداقل_حقوق_پایه_روزانه,""),"")</f>
        <v/>
      </c>
      <c r="H129" s="89" t="str">
        <f>IFERROR(IF(ج_ح_تیر[[#This Row],[کارکرد]]*ج_ح_تیر[[#This Row],[دستمزد روزانه ]]=0,"",ج_ح_تیر[[#This Row],[کارکرد]]*ج_ح_تیر[[#This Row],[دستمزد روزانه ]]),"")</f>
        <v/>
      </c>
      <c r="I129" s="91"/>
      <c r="J129" s="90" t="str">
        <f>IFERROR((ج_ح_تیر[[#This Row],[دستمزد روزانه ]]/7.33)*1.4*ج_ح_تیر[[#This Row],[مدت اضافه کاری ]],"")</f>
        <v/>
      </c>
      <c r="K129" s="89" t="str">
        <f>IF(ج_ح_تیر[[#This Row],[کارکرد]]="","",ج_ح_تیر[[#This Row],[کارکرد]]/31*حق_مسکن)</f>
        <v/>
      </c>
      <c r="L129" s="91"/>
      <c r="M129" s="89" t="str">
        <f>IF(ج_ح_تیر[[#This Row],[تعداد فرزندان]]="","",ج_ح_تیر[[#This Row],[کارکرد]]/31*3*ج_ح_تیر[[#This Row],[تعداد فرزندان]]*حداقل_حقوق_پایه_روزانه)</f>
        <v/>
      </c>
      <c r="N129" s="89" t="str">
        <f>IF(ج_ح_تیر[[#This Row],[کارکرد]]="","",ج_ح_تیر[[#This Row],[کارکرد]]/31*حق_خواربار)</f>
        <v/>
      </c>
      <c r="O129" s="89" t="str">
        <f>IFERROR(ج_ح_تیر[[#This Row],[حقوق پایه]]+ج_ح_تیر[[#This Row],[اضافه کاری]]+ج_ح_تیر[[#This Row],[حق مسکن]]+ج_ح_تیر[[#This Row],[حق اولاد]]+ج_ح_تیر[[#This Row],[حق و خواروبار]],"")</f>
        <v/>
      </c>
      <c r="P129"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29" s="89" t="str">
        <f>IFERROR(ج_ح_تیر[[#This Row],[حقوق پایه]]+ج_ح_تیر[[#This Row],[اضافه کاری]]+ج_ح_تیر[[#This Row],[حق مسکن]]+ج_ح_تیر[[#This Row],[حق و خواروبار]]+ج_ح_تیر[[#This Row],[حق اولاد]]-(2/7)*ج_ح_تیر[[#This Row],[بیمه پرداختنی]],"")</f>
        <v/>
      </c>
      <c r="R129" s="91"/>
      <c r="S129" s="91"/>
      <c r="T129" s="89" t="str">
        <f>IFERROR(ج_ح_تیر[[#This Row],[جمع ح و م م بیمه ]]*7%,"")</f>
        <v/>
      </c>
      <c r="U129"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29" s="89" t="str">
        <f>IFERROR(ج_ح_تیر[[#This Row],[وام]]+ج_ح_تیر[[#This Row],[مساعده]]+ج_ح_تیر[[#This Row],[بیمه پرداختنی]]+ج_ح_تیر[[#This Row],[مالیات پرداختنی]],"")</f>
        <v/>
      </c>
      <c r="W129" s="89" t="str">
        <f>IFERROR(ج_ح_تیر[[#This Row],[جمع ح و م]]-ج_ح_تیر[[#This Row],[جمع کسورات]],"")</f>
        <v/>
      </c>
      <c r="X129" s="108"/>
    </row>
    <row r="130" spans="2:24" ht="32.1" customHeight="1">
      <c r="B130" s="1">
        <f t="shared" si="2"/>
        <v>4</v>
      </c>
      <c r="C130" s="85" t="str">
        <f>IF(ج_ح_تیر[[#This Row],[نام]]&lt;&gt;"",ROW()-118+1,"")</f>
        <v/>
      </c>
      <c r="D130" s="86"/>
      <c r="E130" s="86"/>
      <c r="F130" s="87"/>
      <c r="G130" s="88" t="str">
        <f>IFERROR(IF(COUNT(ج_ح_تیر[[#This Row],[کارکرد]]),حداقل_حقوق_پایه_روزانه,""),"")</f>
        <v/>
      </c>
      <c r="H130" s="89" t="str">
        <f>IFERROR(IF(ج_ح_تیر[[#This Row],[کارکرد]]*ج_ح_تیر[[#This Row],[دستمزد روزانه ]]=0,"",ج_ح_تیر[[#This Row],[کارکرد]]*ج_ح_تیر[[#This Row],[دستمزد روزانه ]]),"")</f>
        <v/>
      </c>
      <c r="I130" s="91"/>
      <c r="J130" s="90" t="str">
        <f>IFERROR((ج_ح_تیر[[#This Row],[دستمزد روزانه ]]/7.33)*1.4*ج_ح_تیر[[#This Row],[مدت اضافه کاری ]],"")</f>
        <v/>
      </c>
      <c r="K130" s="89" t="str">
        <f>IF(ج_ح_تیر[[#This Row],[کارکرد]]="","",ج_ح_تیر[[#This Row],[کارکرد]]/31*حق_مسکن)</f>
        <v/>
      </c>
      <c r="L130" s="91"/>
      <c r="M130" s="89" t="str">
        <f>IF(ج_ح_تیر[[#This Row],[تعداد فرزندان]]="","",ج_ح_تیر[[#This Row],[کارکرد]]/31*3*ج_ح_تیر[[#This Row],[تعداد فرزندان]]*حداقل_حقوق_پایه_روزانه)</f>
        <v/>
      </c>
      <c r="N130" s="89" t="str">
        <f>IF(ج_ح_تیر[[#This Row],[کارکرد]]="","",ج_ح_تیر[[#This Row],[کارکرد]]/31*حق_خواربار)</f>
        <v/>
      </c>
      <c r="O130" s="89" t="str">
        <f>IFERROR(ج_ح_تیر[[#This Row],[حقوق پایه]]+ج_ح_تیر[[#This Row],[اضافه کاری]]+ج_ح_تیر[[#This Row],[حق مسکن]]+ج_ح_تیر[[#This Row],[حق اولاد]]+ج_ح_تیر[[#This Row],[حق و خواروبار]],"")</f>
        <v/>
      </c>
      <c r="P130"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30" s="89" t="str">
        <f>IFERROR(ج_ح_تیر[[#This Row],[حقوق پایه]]+ج_ح_تیر[[#This Row],[اضافه کاری]]+ج_ح_تیر[[#This Row],[حق مسکن]]+ج_ح_تیر[[#This Row],[حق و خواروبار]]+ج_ح_تیر[[#This Row],[حق اولاد]]-(2/7)*ج_ح_تیر[[#This Row],[بیمه پرداختنی]],"")</f>
        <v/>
      </c>
      <c r="R130" s="91"/>
      <c r="S130" s="91"/>
      <c r="T130" s="89" t="str">
        <f>IFERROR(ج_ح_تیر[[#This Row],[جمع ح و م م بیمه ]]*7%,"")</f>
        <v/>
      </c>
      <c r="U130"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30" s="89" t="str">
        <f>IFERROR(ج_ح_تیر[[#This Row],[وام]]+ج_ح_تیر[[#This Row],[مساعده]]+ج_ح_تیر[[#This Row],[بیمه پرداختنی]]+ج_ح_تیر[[#This Row],[مالیات پرداختنی]],"")</f>
        <v/>
      </c>
      <c r="W130" s="89" t="str">
        <f>IFERROR(ج_ح_تیر[[#This Row],[جمع ح و م]]-ج_ح_تیر[[#This Row],[جمع کسورات]],"")</f>
        <v/>
      </c>
      <c r="X130" s="108"/>
    </row>
    <row r="131" spans="2:24" ht="32.1" customHeight="1">
      <c r="B131" s="1">
        <f t="shared" si="2"/>
        <v>4</v>
      </c>
      <c r="C131" s="85" t="str">
        <f>IF(ج_ح_تیر[[#This Row],[نام]]&lt;&gt;"",ROW()-118+1,"")</f>
        <v/>
      </c>
      <c r="D131" s="86"/>
      <c r="E131" s="86"/>
      <c r="F131" s="87"/>
      <c r="G131" s="88" t="str">
        <f>IFERROR(IF(COUNT(ج_ح_تیر[[#This Row],[کارکرد]]),حداقل_حقوق_پایه_روزانه,""),"")</f>
        <v/>
      </c>
      <c r="H131" s="89" t="str">
        <f>IFERROR(IF(ج_ح_تیر[[#This Row],[کارکرد]]*ج_ح_تیر[[#This Row],[دستمزد روزانه ]]=0,"",ج_ح_تیر[[#This Row],[کارکرد]]*ج_ح_تیر[[#This Row],[دستمزد روزانه ]]),"")</f>
        <v/>
      </c>
      <c r="I131" s="91"/>
      <c r="J131" s="90" t="str">
        <f>IFERROR((ج_ح_تیر[[#This Row],[دستمزد روزانه ]]/7.33)*1.4*ج_ح_تیر[[#This Row],[مدت اضافه کاری ]],"")</f>
        <v/>
      </c>
      <c r="K131" s="89" t="str">
        <f>IF(ج_ح_تیر[[#This Row],[کارکرد]]="","",ج_ح_تیر[[#This Row],[کارکرد]]/31*حق_مسکن)</f>
        <v/>
      </c>
      <c r="L131" s="91"/>
      <c r="M131" s="89" t="str">
        <f>IF(ج_ح_تیر[[#This Row],[تعداد فرزندان]]="","",ج_ح_تیر[[#This Row],[کارکرد]]/31*3*ج_ح_تیر[[#This Row],[تعداد فرزندان]]*حداقل_حقوق_پایه_روزانه)</f>
        <v/>
      </c>
      <c r="N131" s="89" t="str">
        <f>IF(ج_ح_تیر[[#This Row],[کارکرد]]="","",ج_ح_تیر[[#This Row],[کارکرد]]/31*حق_خواربار)</f>
        <v/>
      </c>
      <c r="O131" s="89" t="str">
        <f>IFERROR(ج_ح_تیر[[#This Row],[حقوق پایه]]+ج_ح_تیر[[#This Row],[اضافه کاری]]+ج_ح_تیر[[#This Row],[حق مسکن]]+ج_ح_تیر[[#This Row],[حق اولاد]]+ج_ح_تیر[[#This Row],[حق و خواروبار]],"")</f>
        <v/>
      </c>
      <c r="P131"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31" s="89" t="str">
        <f>IFERROR(ج_ح_تیر[[#This Row],[حقوق پایه]]+ج_ح_تیر[[#This Row],[اضافه کاری]]+ج_ح_تیر[[#This Row],[حق مسکن]]+ج_ح_تیر[[#This Row],[حق و خواروبار]]+ج_ح_تیر[[#This Row],[حق اولاد]]-(2/7)*ج_ح_تیر[[#This Row],[بیمه پرداختنی]],"")</f>
        <v/>
      </c>
      <c r="R131" s="91"/>
      <c r="S131" s="91"/>
      <c r="T131" s="89" t="str">
        <f>IFERROR(ج_ح_تیر[[#This Row],[جمع ح و م م بیمه ]]*7%,"")</f>
        <v/>
      </c>
      <c r="U131"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31" s="89" t="str">
        <f>IFERROR(ج_ح_تیر[[#This Row],[وام]]+ج_ح_تیر[[#This Row],[مساعده]]+ج_ح_تیر[[#This Row],[بیمه پرداختنی]]+ج_ح_تیر[[#This Row],[مالیات پرداختنی]],"")</f>
        <v/>
      </c>
      <c r="W131" s="89" t="str">
        <f>IFERROR(ج_ح_تیر[[#This Row],[جمع ح و م]]-ج_ح_تیر[[#This Row],[جمع کسورات]],"")</f>
        <v/>
      </c>
      <c r="X131" s="108"/>
    </row>
    <row r="132" spans="2:24" ht="32.1" customHeight="1">
      <c r="B132" s="1">
        <f t="shared" si="2"/>
        <v>4</v>
      </c>
      <c r="C132" s="85" t="str">
        <f>IF(ج_ح_تیر[[#This Row],[نام]]&lt;&gt;"",ROW()-118+1,"")</f>
        <v/>
      </c>
      <c r="D132" s="86"/>
      <c r="E132" s="86"/>
      <c r="F132" s="87"/>
      <c r="G132" s="88" t="str">
        <f>IFERROR(IF(COUNT(ج_ح_تیر[[#This Row],[کارکرد]]),حداقل_حقوق_پایه_روزانه,""),"")</f>
        <v/>
      </c>
      <c r="H132" s="89" t="str">
        <f>IFERROR(IF(ج_ح_تیر[[#This Row],[کارکرد]]*ج_ح_تیر[[#This Row],[دستمزد روزانه ]]=0,"",ج_ح_تیر[[#This Row],[کارکرد]]*ج_ح_تیر[[#This Row],[دستمزد روزانه ]]),"")</f>
        <v/>
      </c>
      <c r="I132" s="91"/>
      <c r="J132" s="90" t="str">
        <f>IFERROR((ج_ح_تیر[[#This Row],[دستمزد روزانه ]]/7.33)*1.4*ج_ح_تیر[[#This Row],[مدت اضافه کاری ]],"")</f>
        <v/>
      </c>
      <c r="K132" s="89" t="str">
        <f>IF(ج_ح_تیر[[#This Row],[کارکرد]]="","",ج_ح_تیر[[#This Row],[کارکرد]]/31*حق_مسکن)</f>
        <v/>
      </c>
      <c r="L132" s="91"/>
      <c r="M132" s="89" t="str">
        <f>IF(ج_ح_تیر[[#This Row],[تعداد فرزندان]]="","",ج_ح_تیر[[#This Row],[کارکرد]]/31*3*ج_ح_تیر[[#This Row],[تعداد فرزندان]]*حداقل_حقوق_پایه_روزانه)</f>
        <v/>
      </c>
      <c r="N132" s="89" t="str">
        <f>IF(ج_ح_تیر[[#This Row],[کارکرد]]="","",ج_ح_تیر[[#This Row],[کارکرد]]/31*حق_خواربار)</f>
        <v/>
      </c>
      <c r="O132" s="89" t="str">
        <f>IFERROR(ج_ح_تیر[[#This Row],[حقوق پایه]]+ج_ح_تیر[[#This Row],[اضافه کاری]]+ج_ح_تیر[[#This Row],[حق مسکن]]+ج_ح_تیر[[#This Row],[حق اولاد]]+ج_ح_تیر[[#This Row],[حق و خواروبار]],"")</f>
        <v/>
      </c>
      <c r="P132"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32" s="89" t="str">
        <f>IFERROR(ج_ح_تیر[[#This Row],[حقوق پایه]]+ج_ح_تیر[[#This Row],[اضافه کاری]]+ج_ح_تیر[[#This Row],[حق مسکن]]+ج_ح_تیر[[#This Row],[حق و خواروبار]]+ج_ح_تیر[[#This Row],[حق اولاد]]-(2/7)*ج_ح_تیر[[#This Row],[بیمه پرداختنی]],"")</f>
        <v/>
      </c>
      <c r="R132" s="91"/>
      <c r="S132" s="91"/>
      <c r="T132" s="89" t="str">
        <f>IFERROR(ج_ح_تیر[[#This Row],[جمع ح و م م بیمه ]]*7%,"")</f>
        <v/>
      </c>
      <c r="U132"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32" s="89" t="str">
        <f>IFERROR(ج_ح_تیر[[#This Row],[وام]]+ج_ح_تیر[[#This Row],[مساعده]]+ج_ح_تیر[[#This Row],[بیمه پرداختنی]]+ج_ح_تیر[[#This Row],[مالیات پرداختنی]],"")</f>
        <v/>
      </c>
      <c r="W132" s="89" t="str">
        <f>IFERROR(ج_ح_تیر[[#This Row],[جمع ح و م]]-ج_ح_تیر[[#This Row],[جمع کسورات]],"")</f>
        <v/>
      </c>
      <c r="X132" s="108"/>
    </row>
    <row r="133" spans="2:24" ht="32.1" customHeight="1">
      <c r="B133" s="1">
        <f t="shared" si="2"/>
        <v>4</v>
      </c>
      <c r="C133" s="85" t="str">
        <f>IF(ج_ح_تیر[[#This Row],[نام]]&lt;&gt;"",ROW()-118+1,"")</f>
        <v/>
      </c>
      <c r="D133" s="86"/>
      <c r="E133" s="86"/>
      <c r="F133" s="87"/>
      <c r="G133" s="88" t="str">
        <f>IFERROR(IF(COUNT(ج_ح_تیر[[#This Row],[کارکرد]]),حداقل_حقوق_پایه_روزانه,""),"")</f>
        <v/>
      </c>
      <c r="H133" s="89" t="str">
        <f>IFERROR(IF(ج_ح_تیر[[#This Row],[کارکرد]]*ج_ح_تیر[[#This Row],[دستمزد روزانه ]]=0,"",ج_ح_تیر[[#This Row],[کارکرد]]*ج_ح_تیر[[#This Row],[دستمزد روزانه ]]),"")</f>
        <v/>
      </c>
      <c r="I133" s="91"/>
      <c r="J133" s="90" t="str">
        <f>IFERROR((ج_ح_تیر[[#This Row],[دستمزد روزانه ]]/7.33)*1.4*ج_ح_تیر[[#This Row],[مدت اضافه کاری ]],"")</f>
        <v/>
      </c>
      <c r="K133" s="89" t="str">
        <f>IF(ج_ح_تیر[[#This Row],[کارکرد]]="","",ج_ح_تیر[[#This Row],[کارکرد]]/31*حق_مسکن)</f>
        <v/>
      </c>
      <c r="L133" s="91"/>
      <c r="M133" s="89" t="str">
        <f>IF(ج_ح_تیر[[#This Row],[تعداد فرزندان]]="","",ج_ح_تیر[[#This Row],[کارکرد]]/31*3*ج_ح_تیر[[#This Row],[تعداد فرزندان]]*حداقل_حقوق_پایه_روزانه)</f>
        <v/>
      </c>
      <c r="N133" s="89" t="str">
        <f>IF(ج_ح_تیر[[#This Row],[کارکرد]]="","",ج_ح_تیر[[#This Row],[کارکرد]]/31*حق_خواربار)</f>
        <v/>
      </c>
      <c r="O133" s="89" t="str">
        <f>IFERROR(ج_ح_تیر[[#This Row],[حقوق پایه]]+ج_ح_تیر[[#This Row],[اضافه کاری]]+ج_ح_تیر[[#This Row],[حق مسکن]]+ج_ح_تیر[[#This Row],[حق اولاد]]+ج_ح_تیر[[#This Row],[حق و خواروبار]],"")</f>
        <v/>
      </c>
      <c r="P133"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33" s="89" t="str">
        <f>IFERROR(ج_ح_تیر[[#This Row],[حقوق پایه]]+ج_ح_تیر[[#This Row],[اضافه کاری]]+ج_ح_تیر[[#This Row],[حق مسکن]]+ج_ح_تیر[[#This Row],[حق و خواروبار]]+ج_ح_تیر[[#This Row],[حق اولاد]]-(2/7)*ج_ح_تیر[[#This Row],[بیمه پرداختنی]],"")</f>
        <v/>
      </c>
      <c r="R133" s="91"/>
      <c r="S133" s="91"/>
      <c r="T133" s="89" t="str">
        <f>IFERROR(ج_ح_تیر[[#This Row],[جمع ح و م م بیمه ]]*7%,"")</f>
        <v/>
      </c>
      <c r="U133"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33" s="89" t="str">
        <f>IFERROR(ج_ح_تیر[[#This Row],[وام]]+ج_ح_تیر[[#This Row],[مساعده]]+ج_ح_تیر[[#This Row],[بیمه پرداختنی]]+ج_ح_تیر[[#This Row],[مالیات پرداختنی]],"")</f>
        <v/>
      </c>
      <c r="W133" s="89" t="str">
        <f>IFERROR(ج_ح_تیر[[#This Row],[جمع ح و م]]-ج_ح_تیر[[#This Row],[جمع کسورات]],"")</f>
        <v/>
      </c>
      <c r="X133" s="108"/>
    </row>
    <row r="134" spans="2:24" ht="32.1" customHeight="1">
      <c r="B134" s="1">
        <f t="shared" si="2"/>
        <v>4</v>
      </c>
      <c r="C134" s="85" t="str">
        <f>IF(ج_ح_تیر[[#This Row],[نام]]&lt;&gt;"",ROW()-118+1,"")</f>
        <v/>
      </c>
      <c r="D134" s="86"/>
      <c r="E134" s="86"/>
      <c r="F134" s="87"/>
      <c r="G134" s="88" t="str">
        <f>IFERROR(IF(COUNT(ج_ح_تیر[[#This Row],[کارکرد]]),حداقل_حقوق_پایه_روزانه,""),"")</f>
        <v/>
      </c>
      <c r="H134" s="89" t="str">
        <f>IFERROR(IF(ج_ح_تیر[[#This Row],[کارکرد]]*ج_ح_تیر[[#This Row],[دستمزد روزانه ]]=0,"",ج_ح_تیر[[#This Row],[کارکرد]]*ج_ح_تیر[[#This Row],[دستمزد روزانه ]]),"")</f>
        <v/>
      </c>
      <c r="I134" s="91"/>
      <c r="J134" s="90" t="str">
        <f>IFERROR((ج_ح_تیر[[#This Row],[دستمزد روزانه ]]/7.33)*1.4*ج_ح_تیر[[#This Row],[مدت اضافه کاری ]],"")</f>
        <v/>
      </c>
      <c r="K134" s="89" t="str">
        <f>IF(ج_ح_تیر[[#This Row],[کارکرد]]="","",ج_ح_تیر[[#This Row],[کارکرد]]/31*حق_مسکن)</f>
        <v/>
      </c>
      <c r="L134" s="91"/>
      <c r="M134" s="89" t="str">
        <f>IF(ج_ح_تیر[[#This Row],[تعداد فرزندان]]="","",ج_ح_تیر[[#This Row],[کارکرد]]/31*3*ج_ح_تیر[[#This Row],[تعداد فرزندان]]*حداقل_حقوق_پایه_روزانه)</f>
        <v/>
      </c>
      <c r="N134" s="89" t="str">
        <f>IF(ج_ح_تیر[[#This Row],[کارکرد]]="","",ج_ح_تیر[[#This Row],[کارکرد]]/31*حق_خواربار)</f>
        <v/>
      </c>
      <c r="O134" s="89" t="str">
        <f>IFERROR(ج_ح_تیر[[#This Row],[حقوق پایه]]+ج_ح_تیر[[#This Row],[اضافه کاری]]+ج_ح_تیر[[#This Row],[حق مسکن]]+ج_ح_تیر[[#This Row],[حق اولاد]]+ج_ح_تیر[[#This Row],[حق و خواروبار]],"")</f>
        <v/>
      </c>
      <c r="P134"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34" s="89" t="str">
        <f>IFERROR(ج_ح_تیر[[#This Row],[حقوق پایه]]+ج_ح_تیر[[#This Row],[اضافه کاری]]+ج_ح_تیر[[#This Row],[حق مسکن]]+ج_ح_تیر[[#This Row],[حق و خواروبار]]+ج_ح_تیر[[#This Row],[حق اولاد]]-(2/7)*ج_ح_تیر[[#This Row],[بیمه پرداختنی]],"")</f>
        <v/>
      </c>
      <c r="R134" s="91"/>
      <c r="S134" s="91"/>
      <c r="T134" s="89" t="str">
        <f>IFERROR(ج_ح_تیر[[#This Row],[جمع ح و م م بیمه ]]*7%,"")</f>
        <v/>
      </c>
      <c r="U134"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34" s="89" t="str">
        <f>IFERROR(ج_ح_تیر[[#This Row],[وام]]+ج_ح_تیر[[#This Row],[مساعده]]+ج_ح_تیر[[#This Row],[بیمه پرداختنی]]+ج_ح_تیر[[#This Row],[مالیات پرداختنی]],"")</f>
        <v/>
      </c>
      <c r="W134" s="89" t="str">
        <f>IFERROR(ج_ح_تیر[[#This Row],[جمع ح و م]]-ج_ح_تیر[[#This Row],[جمع کسورات]],"")</f>
        <v/>
      </c>
      <c r="X134" s="108"/>
    </row>
    <row r="135" spans="2:24" ht="32.1" customHeight="1">
      <c r="B135" s="1">
        <f t="shared" si="2"/>
        <v>4</v>
      </c>
      <c r="C135" s="85" t="str">
        <f>IF(ج_ح_تیر[[#This Row],[نام]]&lt;&gt;"",ROW()-118+1,"")</f>
        <v/>
      </c>
      <c r="D135" s="86"/>
      <c r="E135" s="86"/>
      <c r="F135" s="87"/>
      <c r="G135" s="88" t="str">
        <f>IFERROR(IF(COUNT(ج_ح_تیر[[#This Row],[کارکرد]]),حداقل_حقوق_پایه_روزانه,""),"")</f>
        <v/>
      </c>
      <c r="H135" s="89" t="str">
        <f>IFERROR(IF(ج_ح_تیر[[#This Row],[کارکرد]]*ج_ح_تیر[[#This Row],[دستمزد روزانه ]]=0,"",ج_ح_تیر[[#This Row],[کارکرد]]*ج_ح_تیر[[#This Row],[دستمزد روزانه ]]),"")</f>
        <v/>
      </c>
      <c r="I135" s="91"/>
      <c r="J135" s="90" t="str">
        <f>IFERROR((ج_ح_تیر[[#This Row],[دستمزد روزانه ]]/7.33)*1.4*ج_ح_تیر[[#This Row],[مدت اضافه کاری ]],"")</f>
        <v/>
      </c>
      <c r="K135" s="89" t="str">
        <f>IF(ج_ح_تیر[[#This Row],[کارکرد]]="","",ج_ح_تیر[[#This Row],[کارکرد]]/31*حق_مسکن)</f>
        <v/>
      </c>
      <c r="L135" s="91"/>
      <c r="M135" s="89" t="str">
        <f>IF(ج_ح_تیر[[#This Row],[تعداد فرزندان]]="","",ج_ح_تیر[[#This Row],[کارکرد]]/31*3*ج_ح_تیر[[#This Row],[تعداد فرزندان]]*حداقل_حقوق_پایه_روزانه)</f>
        <v/>
      </c>
      <c r="N135" s="89" t="str">
        <f>IF(ج_ح_تیر[[#This Row],[کارکرد]]="","",ج_ح_تیر[[#This Row],[کارکرد]]/31*حق_خواربار)</f>
        <v/>
      </c>
      <c r="O135" s="89" t="str">
        <f>IFERROR(ج_ح_تیر[[#This Row],[حقوق پایه]]+ج_ح_تیر[[#This Row],[اضافه کاری]]+ج_ح_تیر[[#This Row],[حق مسکن]]+ج_ح_تیر[[#This Row],[حق اولاد]]+ج_ح_تیر[[#This Row],[حق و خواروبار]],"")</f>
        <v/>
      </c>
      <c r="P135"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35" s="89" t="str">
        <f>IFERROR(ج_ح_تیر[[#This Row],[حقوق پایه]]+ج_ح_تیر[[#This Row],[اضافه کاری]]+ج_ح_تیر[[#This Row],[حق مسکن]]+ج_ح_تیر[[#This Row],[حق و خواروبار]]+ج_ح_تیر[[#This Row],[حق اولاد]]-(2/7)*ج_ح_تیر[[#This Row],[بیمه پرداختنی]],"")</f>
        <v/>
      </c>
      <c r="R135" s="91"/>
      <c r="S135" s="91"/>
      <c r="T135" s="89" t="str">
        <f>IFERROR(ج_ح_تیر[[#This Row],[جمع ح و م م بیمه ]]*7%,"")</f>
        <v/>
      </c>
      <c r="U135"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35" s="89" t="str">
        <f>IFERROR(ج_ح_تیر[[#This Row],[وام]]+ج_ح_تیر[[#This Row],[مساعده]]+ج_ح_تیر[[#This Row],[بیمه پرداختنی]]+ج_ح_تیر[[#This Row],[مالیات پرداختنی]],"")</f>
        <v/>
      </c>
      <c r="W135" s="89" t="str">
        <f>IFERROR(ج_ح_تیر[[#This Row],[جمع ح و م]]-ج_ح_تیر[[#This Row],[جمع کسورات]],"")</f>
        <v/>
      </c>
      <c r="X135" s="108"/>
    </row>
    <row r="136" spans="2:24" ht="32.1" customHeight="1">
      <c r="B136" s="1">
        <f t="shared" si="2"/>
        <v>4</v>
      </c>
      <c r="C136" s="85" t="str">
        <f>IF(ج_ح_تیر[[#This Row],[نام]]&lt;&gt;"",ROW()-118+1,"")</f>
        <v/>
      </c>
      <c r="D136" s="86"/>
      <c r="E136" s="86"/>
      <c r="F136" s="87"/>
      <c r="G136" s="88" t="str">
        <f>IFERROR(IF(COUNT(ج_ح_تیر[[#This Row],[کارکرد]]),حداقل_حقوق_پایه_روزانه,""),"")</f>
        <v/>
      </c>
      <c r="H136" s="89" t="str">
        <f>IFERROR(IF(ج_ح_تیر[[#This Row],[کارکرد]]*ج_ح_تیر[[#This Row],[دستمزد روزانه ]]=0,"",ج_ح_تیر[[#This Row],[کارکرد]]*ج_ح_تیر[[#This Row],[دستمزد روزانه ]]),"")</f>
        <v/>
      </c>
      <c r="I136" s="91"/>
      <c r="J136" s="90" t="str">
        <f>IFERROR((ج_ح_تیر[[#This Row],[دستمزد روزانه ]]/7.33)*1.4*ج_ح_تیر[[#This Row],[مدت اضافه کاری ]],"")</f>
        <v/>
      </c>
      <c r="K136" s="89" t="str">
        <f>IF(ج_ح_تیر[[#This Row],[کارکرد]]="","",ج_ح_تیر[[#This Row],[کارکرد]]/31*حق_مسکن)</f>
        <v/>
      </c>
      <c r="L136" s="91"/>
      <c r="M136" s="89" t="str">
        <f>IF(ج_ح_تیر[[#This Row],[تعداد فرزندان]]="","",ج_ح_تیر[[#This Row],[کارکرد]]/31*3*ج_ح_تیر[[#This Row],[تعداد فرزندان]]*حداقل_حقوق_پایه_روزانه)</f>
        <v/>
      </c>
      <c r="N136" s="89" t="str">
        <f>IF(ج_ح_تیر[[#This Row],[کارکرد]]="","",ج_ح_تیر[[#This Row],[کارکرد]]/31*حق_خواربار)</f>
        <v/>
      </c>
      <c r="O136" s="89" t="str">
        <f>IFERROR(ج_ح_تیر[[#This Row],[حقوق پایه]]+ج_ح_تیر[[#This Row],[اضافه کاری]]+ج_ح_تیر[[#This Row],[حق مسکن]]+ج_ح_تیر[[#This Row],[حق اولاد]]+ج_ح_تیر[[#This Row],[حق و خواروبار]],"")</f>
        <v/>
      </c>
      <c r="P136"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36" s="89" t="str">
        <f>IFERROR(ج_ح_تیر[[#This Row],[حقوق پایه]]+ج_ح_تیر[[#This Row],[اضافه کاری]]+ج_ح_تیر[[#This Row],[حق مسکن]]+ج_ح_تیر[[#This Row],[حق و خواروبار]]+ج_ح_تیر[[#This Row],[حق اولاد]]-(2/7)*ج_ح_تیر[[#This Row],[بیمه پرداختنی]],"")</f>
        <v/>
      </c>
      <c r="R136" s="91"/>
      <c r="S136" s="91"/>
      <c r="T136" s="89" t="str">
        <f>IFERROR(ج_ح_تیر[[#This Row],[جمع ح و م م بیمه ]]*7%,"")</f>
        <v/>
      </c>
      <c r="U136"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36" s="89" t="str">
        <f>IFERROR(ج_ح_تیر[[#This Row],[وام]]+ج_ح_تیر[[#This Row],[مساعده]]+ج_ح_تیر[[#This Row],[بیمه پرداختنی]]+ج_ح_تیر[[#This Row],[مالیات پرداختنی]],"")</f>
        <v/>
      </c>
      <c r="W136" s="89" t="str">
        <f>IFERROR(ج_ح_تیر[[#This Row],[جمع ح و م]]-ج_ح_تیر[[#This Row],[جمع کسورات]],"")</f>
        <v/>
      </c>
      <c r="X136" s="108"/>
    </row>
    <row r="137" spans="2:24" ht="32.1" customHeight="1">
      <c r="B137" s="1">
        <f t="shared" si="2"/>
        <v>4</v>
      </c>
      <c r="C137" s="85" t="str">
        <f>IF(ج_ح_تیر[[#This Row],[نام]]&lt;&gt;"",ROW()-118+1,"")</f>
        <v/>
      </c>
      <c r="D137" s="86"/>
      <c r="E137" s="86"/>
      <c r="F137" s="87"/>
      <c r="G137" s="88" t="str">
        <f>IFERROR(IF(COUNT(ج_ح_تیر[[#This Row],[کارکرد]]),حداقل_حقوق_پایه_روزانه,""),"")</f>
        <v/>
      </c>
      <c r="H137" s="89" t="str">
        <f>IFERROR(IF(ج_ح_تیر[[#This Row],[کارکرد]]*ج_ح_تیر[[#This Row],[دستمزد روزانه ]]=0,"",ج_ح_تیر[[#This Row],[کارکرد]]*ج_ح_تیر[[#This Row],[دستمزد روزانه ]]),"")</f>
        <v/>
      </c>
      <c r="I137" s="91"/>
      <c r="J137" s="90" t="str">
        <f>IFERROR((ج_ح_تیر[[#This Row],[دستمزد روزانه ]]/7.33)*1.4*ج_ح_تیر[[#This Row],[مدت اضافه کاری ]],"")</f>
        <v/>
      </c>
      <c r="K137" s="89" t="str">
        <f>IF(ج_ح_تیر[[#This Row],[کارکرد]]="","",ج_ح_تیر[[#This Row],[کارکرد]]/31*حق_مسکن)</f>
        <v/>
      </c>
      <c r="L137" s="91"/>
      <c r="M137" s="89" t="str">
        <f>IF(ج_ح_تیر[[#This Row],[تعداد فرزندان]]="","",ج_ح_تیر[[#This Row],[کارکرد]]/31*3*ج_ح_تیر[[#This Row],[تعداد فرزندان]]*حداقل_حقوق_پایه_روزانه)</f>
        <v/>
      </c>
      <c r="N137" s="89" t="str">
        <f>IF(ج_ح_تیر[[#This Row],[کارکرد]]="","",ج_ح_تیر[[#This Row],[کارکرد]]/31*حق_خواربار)</f>
        <v/>
      </c>
      <c r="O137" s="89" t="str">
        <f>IFERROR(ج_ح_تیر[[#This Row],[حقوق پایه]]+ج_ح_تیر[[#This Row],[اضافه کاری]]+ج_ح_تیر[[#This Row],[حق مسکن]]+ج_ح_تیر[[#This Row],[حق اولاد]]+ج_ح_تیر[[#This Row],[حق و خواروبار]],"")</f>
        <v/>
      </c>
      <c r="P137"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37" s="89" t="str">
        <f>IFERROR(ج_ح_تیر[[#This Row],[حقوق پایه]]+ج_ح_تیر[[#This Row],[اضافه کاری]]+ج_ح_تیر[[#This Row],[حق مسکن]]+ج_ح_تیر[[#This Row],[حق و خواروبار]]+ج_ح_تیر[[#This Row],[حق اولاد]]-(2/7)*ج_ح_تیر[[#This Row],[بیمه پرداختنی]],"")</f>
        <v/>
      </c>
      <c r="R137" s="91"/>
      <c r="S137" s="91"/>
      <c r="T137" s="89" t="str">
        <f>IFERROR(ج_ح_تیر[[#This Row],[جمع ح و م م بیمه ]]*7%,"")</f>
        <v/>
      </c>
      <c r="U137"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37" s="89" t="str">
        <f>IFERROR(ج_ح_تیر[[#This Row],[وام]]+ج_ح_تیر[[#This Row],[مساعده]]+ج_ح_تیر[[#This Row],[بیمه پرداختنی]]+ج_ح_تیر[[#This Row],[مالیات پرداختنی]],"")</f>
        <v/>
      </c>
      <c r="W137" s="89" t="str">
        <f>IFERROR(ج_ح_تیر[[#This Row],[جمع ح و م]]-ج_ح_تیر[[#This Row],[جمع کسورات]],"")</f>
        <v/>
      </c>
      <c r="X137" s="108"/>
    </row>
    <row r="138" spans="2:24" ht="32.1" customHeight="1">
      <c r="B138" s="1">
        <f t="shared" si="2"/>
        <v>4</v>
      </c>
      <c r="C138" s="85" t="str">
        <f>IF(ج_ح_تیر[[#This Row],[نام]]&lt;&gt;"",ROW()-118+1,"")</f>
        <v/>
      </c>
      <c r="D138" s="86"/>
      <c r="E138" s="86"/>
      <c r="F138" s="87"/>
      <c r="G138" s="88" t="str">
        <f>IFERROR(IF(COUNT(ج_ح_تیر[[#This Row],[کارکرد]]),حداقل_حقوق_پایه_روزانه,""),"")</f>
        <v/>
      </c>
      <c r="H138" s="89" t="str">
        <f>IFERROR(IF(ج_ح_تیر[[#This Row],[کارکرد]]*ج_ح_تیر[[#This Row],[دستمزد روزانه ]]=0,"",ج_ح_تیر[[#This Row],[کارکرد]]*ج_ح_تیر[[#This Row],[دستمزد روزانه ]]),"")</f>
        <v/>
      </c>
      <c r="I138" s="91"/>
      <c r="J138" s="90" t="str">
        <f>IFERROR((ج_ح_تیر[[#This Row],[دستمزد روزانه ]]/7.33)*1.4*ج_ح_تیر[[#This Row],[مدت اضافه کاری ]],"")</f>
        <v/>
      </c>
      <c r="K138" s="89" t="str">
        <f>IF(ج_ح_تیر[[#This Row],[کارکرد]]="","",ج_ح_تیر[[#This Row],[کارکرد]]/31*حق_مسکن)</f>
        <v/>
      </c>
      <c r="L138" s="91"/>
      <c r="M138" s="89" t="str">
        <f>IF(ج_ح_تیر[[#This Row],[تعداد فرزندان]]="","",ج_ح_تیر[[#This Row],[کارکرد]]/31*3*ج_ح_تیر[[#This Row],[تعداد فرزندان]]*حداقل_حقوق_پایه_روزانه)</f>
        <v/>
      </c>
      <c r="N138" s="89" t="str">
        <f>IF(ج_ح_تیر[[#This Row],[کارکرد]]="","",ج_ح_تیر[[#This Row],[کارکرد]]/31*حق_خواربار)</f>
        <v/>
      </c>
      <c r="O138" s="89" t="str">
        <f>IFERROR(ج_ح_تیر[[#This Row],[حقوق پایه]]+ج_ح_تیر[[#This Row],[اضافه کاری]]+ج_ح_تیر[[#This Row],[حق مسکن]]+ج_ح_تیر[[#This Row],[حق اولاد]]+ج_ح_تیر[[#This Row],[حق و خواروبار]],"")</f>
        <v/>
      </c>
      <c r="P138"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38" s="89" t="str">
        <f>IFERROR(ج_ح_تیر[[#This Row],[حقوق پایه]]+ج_ح_تیر[[#This Row],[اضافه کاری]]+ج_ح_تیر[[#This Row],[حق مسکن]]+ج_ح_تیر[[#This Row],[حق و خواروبار]]+ج_ح_تیر[[#This Row],[حق اولاد]]-(2/7)*ج_ح_تیر[[#This Row],[بیمه پرداختنی]],"")</f>
        <v/>
      </c>
      <c r="R138" s="91"/>
      <c r="S138" s="91"/>
      <c r="T138" s="89" t="str">
        <f>IFERROR(ج_ح_تیر[[#This Row],[جمع ح و م م بیمه ]]*7%,"")</f>
        <v/>
      </c>
      <c r="U138"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38" s="89" t="str">
        <f>IFERROR(ج_ح_تیر[[#This Row],[وام]]+ج_ح_تیر[[#This Row],[مساعده]]+ج_ح_تیر[[#This Row],[بیمه پرداختنی]]+ج_ح_تیر[[#This Row],[مالیات پرداختنی]],"")</f>
        <v/>
      </c>
      <c r="W138" s="89" t="str">
        <f>IFERROR(ج_ح_تیر[[#This Row],[جمع ح و م]]-ج_ح_تیر[[#This Row],[جمع کسورات]],"")</f>
        <v/>
      </c>
      <c r="X138" s="108"/>
    </row>
    <row r="139" spans="2:24" ht="32.1" customHeight="1">
      <c r="B139" s="1">
        <f t="shared" si="2"/>
        <v>4</v>
      </c>
      <c r="C139" s="85" t="str">
        <f>IF(ج_ح_تیر[[#This Row],[نام]]&lt;&gt;"",ROW()-118+1,"")</f>
        <v/>
      </c>
      <c r="D139" s="86"/>
      <c r="E139" s="86"/>
      <c r="F139" s="87"/>
      <c r="G139" s="88" t="str">
        <f>IFERROR(IF(COUNT(ج_ح_تیر[[#This Row],[کارکرد]]),حداقل_حقوق_پایه_روزانه,""),"")</f>
        <v/>
      </c>
      <c r="H139" s="89" t="str">
        <f>IFERROR(IF(ج_ح_تیر[[#This Row],[کارکرد]]*ج_ح_تیر[[#This Row],[دستمزد روزانه ]]=0,"",ج_ح_تیر[[#This Row],[کارکرد]]*ج_ح_تیر[[#This Row],[دستمزد روزانه ]]),"")</f>
        <v/>
      </c>
      <c r="I139" s="91"/>
      <c r="J139" s="90" t="str">
        <f>IFERROR((ج_ح_تیر[[#This Row],[دستمزد روزانه ]]/7.33)*1.4*ج_ح_تیر[[#This Row],[مدت اضافه کاری ]],"")</f>
        <v/>
      </c>
      <c r="K139" s="89" t="str">
        <f>IF(ج_ح_تیر[[#This Row],[کارکرد]]="","",ج_ح_تیر[[#This Row],[کارکرد]]/31*حق_مسکن)</f>
        <v/>
      </c>
      <c r="L139" s="91"/>
      <c r="M139" s="89" t="str">
        <f>IF(ج_ح_تیر[[#This Row],[تعداد فرزندان]]="","",ج_ح_تیر[[#This Row],[کارکرد]]/31*3*ج_ح_تیر[[#This Row],[تعداد فرزندان]]*حداقل_حقوق_پایه_روزانه)</f>
        <v/>
      </c>
      <c r="N139" s="89" t="str">
        <f>IF(ج_ح_تیر[[#This Row],[کارکرد]]="","",ج_ح_تیر[[#This Row],[کارکرد]]/31*حق_خواربار)</f>
        <v/>
      </c>
      <c r="O139" s="89" t="str">
        <f>IFERROR(ج_ح_تیر[[#This Row],[حقوق پایه]]+ج_ح_تیر[[#This Row],[اضافه کاری]]+ج_ح_تیر[[#This Row],[حق مسکن]]+ج_ح_تیر[[#This Row],[حق اولاد]]+ج_ح_تیر[[#This Row],[حق و خواروبار]],"")</f>
        <v/>
      </c>
      <c r="P139"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39" s="89" t="str">
        <f>IFERROR(ج_ح_تیر[[#This Row],[حقوق پایه]]+ج_ح_تیر[[#This Row],[اضافه کاری]]+ج_ح_تیر[[#This Row],[حق مسکن]]+ج_ح_تیر[[#This Row],[حق و خواروبار]]+ج_ح_تیر[[#This Row],[حق اولاد]]-(2/7)*ج_ح_تیر[[#This Row],[بیمه پرداختنی]],"")</f>
        <v/>
      </c>
      <c r="R139" s="91"/>
      <c r="S139" s="91"/>
      <c r="T139" s="89" t="str">
        <f>IFERROR(ج_ح_تیر[[#This Row],[جمع ح و م م بیمه ]]*7%,"")</f>
        <v/>
      </c>
      <c r="U139"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39" s="89" t="str">
        <f>IFERROR(ج_ح_تیر[[#This Row],[وام]]+ج_ح_تیر[[#This Row],[مساعده]]+ج_ح_تیر[[#This Row],[بیمه پرداختنی]]+ج_ح_تیر[[#This Row],[مالیات پرداختنی]],"")</f>
        <v/>
      </c>
      <c r="W139" s="89" t="str">
        <f>IFERROR(ج_ح_تیر[[#This Row],[جمع ح و م]]-ج_ح_تیر[[#This Row],[جمع کسورات]],"")</f>
        <v/>
      </c>
      <c r="X139" s="108"/>
    </row>
    <row r="140" spans="2:24" ht="32.1" customHeight="1">
      <c r="B140" s="1">
        <f t="shared" si="2"/>
        <v>4</v>
      </c>
      <c r="C140" s="85" t="str">
        <f>IF(ج_ح_تیر[[#This Row],[نام]]&lt;&gt;"",ROW()-118+1,"")</f>
        <v/>
      </c>
      <c r="D140" s="86"/>
      <c r="E140" s="86"/>
      <c r="F140" s="87"/>
      <c r="G140" s="88" t="str">
        <f>IFERROR(IF(COUNT(ج_ح_تیر[[#This Row],[کارکرد]]),حداقل_حقوق_پایه_روزانه,""),"")</f>
        <v/>
      </c>
      <c r="H140" s="89" t="str">
        <f>IFERROR(IF(ج_ح_تیر[[#This Row],[کارکرد]]*ج_ح_تیر[[#This Row],[دستمزد روزانه ]]=0,"",ج_ح_تیر[[#This Row],[کارکرد]]*ج_ح_تیر[[#This Row],[دستمزد روزانه ]]),"")</f>
        <v/>
      </c>
      <c r="I140" s="91"/>
      <c r="J140" s="90" t="str">
        <f>IFERROR((ج_ح_تیر[[#This Row],[دستمزد روزانه ]]/7.33)*1.4*ج_ح_تیر[[#This Row],[مدت اضافه کاری ]],"")</f>
        <v/>
      </c>
      <c r="K140" s="89" t="str">
        <f>IF(ج_ح_تیر[[#This Row],[کارکرد]]="","",ج_ح_تیر[[#This Row],[کارکرد]]/31*حق_مسکن)</f>
        <v/>
      </c>
      <c r="L140" s="91"/>
      <c r="M140" s="89" t="str">
        <f>IF(ج_ح_تیر[[#This Row],[تعداد فرزندان]]="","",ج_ح_تیر[[#This Row],[کارکرد]]/31*3*ج_ح_تیر[[#This Row],[تعداد فرزندان]]*حداقل_حقوق_پایه_روزانه)</f>
        <v/>
      </c>
      <c r="N140" s="89" t="str">
        <f>IF(ج_ح_تیر[[#This Row],[کارکرد]]="","",ج_ح_تیر[[#This Row],[کارکرد]]/31*حق_خواربار)</f>
        <v/>
      </c>
      <c r="O140" s="89" t="str">
        <f>IFERROR(ج_ح_تیر[[#This Row],[حقوق پایه]]+ج_ح_تیر[[#This Row],[اضافه کاری]]+ج_ح_تیر[[#This Row],[حق مسکن]]+ج_ح_تیر[[#This Row],[حق اولاد]]+ج_ح_تیر[[#This Row],[حق و خواروبار]],"")</f>
        <v/>
      </c>
      <c r="P140"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40" s="89" t="str">
        <f>IFERROR(ج_ح_تیر[[#This Row],[حقوق پایه]]+ج_ح_تیر[[#This Row],[اضافه کاری]]+ج_ح_تیر[[#This Row],[حق مسکن]]+ج_ح_تیر[[#This Row],[حق و خواروبار]]+ج_ح_تیر[[#This Row],[حق اولاد]]-(2/7)*ج_ح_تیر[[#This Row],[بیمه پرداختنی]],"")</f>
        <v/>
      </c>
      <c r="R140" s="91"/>
      <c r="S140" s="91"/>
      <c r="T140" s="89" t="str">
        <f>IFERROR(ج_ح_تیر[[#This Row],[جمع ح و م م بیمه ]]*7%,"")</f>
        <v/>
      </c>
      <c r="U140"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40" s="89" t="str">
        <f>IFERROR(ج_ح_تیر[[#This Row],[وام]]+ج_ح_تیر[[#This Row],[مساعده]]+ج_ح_تیر[[#This Row],[بیمه پرداختنی]]+ج_ح_تیر[[#This Row],[مالیات پرداختنی]],"")</f>
        <v/>
      </c>
      <c r="W140" s="89" t="str">
        <f>IFERROR(ج_ح_تیر[[#This Row],[جمع ح و م]]-ج_ح_تیر[[#This Row],[جمع کسورات]],"")</f>
        <v/>
      </c>
      <c r="X140" s="108"/>
    </row>
    <row r="141" spans="2:24" ht="32.1" customHeight="1">
      <c r="B141" s="1">
        <f t="shared" si="2"/>
        <v>4</v>
      </c>
      <c r="C141" s="85" t="str">
        <f>IF(ج_ح_تیر[[#This Row],[نام]]&lt;&gt;"",ROW()-118+1,"")</f>
        <v/>
      </c>
      <c r="D141" s="86"/>
      <c r="E141" s="86"/>
      <c r="F141" s="87"/>
      <c r="G141" s="88" t="str">
        <f>IFERROR(IF(COUNT(ج_ح_تیر[[#This Row],[کارکرد]]),حداقل_حقوق_پایه_روزانه,""),"")</f>
        <v/>
      </c>
      <c r="H141" s="89" t="str">
        <f>IFERROR(IF(ج_ح_تیر[[#This Row],[کارکرد]]*ج_ح_تیر[[#This Row],[دستمزد روزانه ]]=0,"",ج_ح_تیر[[#This Row],[کارکرد]]*ج_ح_تیر[[#This Row],[دستمزد روزانه ]]),"")</f>
        <v/>
      </c>
      <c r="I141" s="91"/>
      <c r="J141" s="90" t="str">
        <f>IFERROR((ج_ح_تیر[[#This Row],[دستمزد روزانه ]]/7.33)*1.4*ج_ح_تیر[[#This Row],[مدت اضافه کاری ]],"")</f>
        <v/>
      </c>
      <c r="K141" s="89" t="str">
        <f>IF(ج_ح_تیر[[#This Row],[کارکرد]]="","",ج_ح_تیر[[#This Row],[کارکرد]]/31*حق_مسکن)</f>
        <v/>
      </c>
      <c r="L141" s="91"/>
      <c r="M141" s="89" t="str">
        <f>IF(ج_ح_تیر[[#This Row],[تعداد فرزندان]]="","",ج_ح_تیر[[#This Row],[کارکرد]]/31*3*ج_ح_تیر[[#This Row],[تعداد فرزندان]]*حداقل_حقوق_پایه_روزانه)</f>
        <v/>
      </c>
      <c r="N141" s="89" t="str">
        <f>IF(ج_ح_تیر[[#This Row],[کارکرد]]="","",ج_ح_تیر[[#This Row],[کارکرد]]/31*حق_خواربار)</f>
        <v/>
      </c>
      <c r="O141" s="89" t="str">
        <f>IFERROR(ج_ح_تیر[[#This Row],[حقوق پایه]]+ج_ح_تیر[[#This Row],[اضافه کاری]]+ج_ح_تیر[[#This Row],[حق مسکن]]+ج_ح_تیر[[#This Row],[حق اولاد]]+ج_ح_تیر[[#This Row],[حق و خواروبار]],"")</f>
        <v/>
      </c>
      <c r="P141"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41" s="89" t="str">
        <f>IFERROR(ج_ح_تیر[[#This Row],[حقوق پایه]]+ج_ح_تیر[[#This Row],[اضافه کاری]]+ج_ح_تیر[[#This Row],[حق مسکن]]+ج_ح_تیر[[#This Row],[حق و خواروبار]]+ج_ح_تیر[[#This Row],[حق اولاد]]-(2/7)*ج_ح_تیر[[#This Row],[بیمه پرداختنی]],"")</f>
        <v/>
      </c>
      <c r="R141" s="91"/>
      <c r="S141" s="91"/>
      <c r="T141" s="89" t="str">
        <f>IFERROR(ج_ح_تیر[[#This Row],[جمع ح و م م بیمه ]]*7%,"")</f>
        <v/>
      </c>
      <c r="U141"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41" s="89" t="str">
        <f>IFERROR(ج_ح_تیر[[#This Row],[وام]]+ج_ح_تیر[[#This Row],[مساعده]]+ج_ح_تیر[[#This Row],[بیمه پرداختنی]]+ج_ح_تیر[[#This Row],[مالیات پرداختنی]],"")</f>
        <v/>
      </c>
      <c r="W141" s="89" t="str">
        <f>IFERROR(ج_ح_تیر[[#This Row],[جمع ح و م]]-ج_ح_تیر[[#This Row],[جمع کسورات]],"")</f>
        <v/>
      </c>
      <c r="X141" s="108"/>
    </row>
    <row r="142" spans="2:24" ht="32.1" customHeight="1">
      <c r="B142" s="1">
        <f t="shared" si="2"/>
        <v>4</v>
      </c>
      <c r="C142" s="85" t="str">
        <f>IF(ج_ح_تیر[[#This Row],[نام]]&lt;&gt;"",ROW()-118+1,"")</f>
        <v/>
      </c>
      <c r="D142" s="86"/>
      <c r="E142" s="86"/>
      <c r="F142" s="87"/>
      <c r="G142" s="88" t="str">
        <f>IFERROR(IF(COUNT(ج_ح_تیر[[#This Row],[کارکرد]]),حداقل_حقوق_پایه_روزانه,""),"")</f>
        <v/>
      </c>
      <c r="H142" s="89" t="str">
        <f>IFERROR(IF(ج_ح_تیر[[#This Row],[کارکرد]]*ج_ح_تیر[[#This Row],[دستمزد روزانه ]]=0,"",ج_ح_تیر[[#This Row],[کارکرد]]*ج_ح_تیر[[#This Row],[دستمزد روزانه ]]),"")</f>
        <v/>
      </c>
      <c r="I142" s="91"/>
      <c r="J142" s="90" t="str">
        <f>IFERROR((ج_ح_تیر[[#This Row],[دستمزد روزانه ]]/7.33)*1.4*ج_ح_تیر[[#This Row],[مدت اضافه کاری ]],"")</f>
        <v/>
      </c>
      <c r="K142" s="89" t="str">
        <f>IF(ج_ح_تیر[[#This Row],[کارکرد]]="","",ج_ح_تیر[[#This Row],[کارکرد]]/31*حق_مسکن)</f>
        <v/>
      </c>
      <c r="L142" s="91"/>
      <c r="M142" s="89" t="str">
        <f>IF(ج_ح_تیر[[#This Row],[تعداد فرزندان]]="","",ج_ح_تیر[[#This Row],[کارکرد]]/31*3*ج_ح_تیر[[#This Row],[تعداد فرزندان]]*حداقل_حقوق_پایه_روزانه)</f>
        <v/>
      </c>
      <c r="N142" s="89" t="str">
        <f>IF(ج_ح_تیر[[#This Row],[کارکرد]]="","",ج_ح_تیر[[#This Row],[کارکرد]]/31*حق_خواربار)</f>
        <v/>
      </c>
      <c r="O142" s="89" t="str">
        <f>IFERROR(ج_ح_تیر[[#This Row],[حقوق پایه]]+ج_ح_تیر[[#This Row],[اضافه کاری]]+ج_ح_تیر[[#This Row],[حق مسکن]]+ج_ح_تیر[[#This Row],[حق اولاد]]+ج_ح_تیر[[#This Row],[حق و خواروبار]],"")</f>
        <v/>
      </c>
      <c r="P142"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42" s="89" t="str">
        <f>IFERROR(ج_ح_تیر[[#This Row],[حقوق پایه]]+ج_ح_تیر[[#This Row],[اضافه کاری]]+ج_ح_تیر[[#This Row],[حق مسکن]]+ج_ح_تیر[[#This Row],[حق و خواروبار]]+ج_ح_تیر[[#This Row],[حق اولاد]]-(2/7)*ج_ح_تیر[[#This Row],[بیمه پرداختنی]],"")</f>
        <v/>
      </c>
      <c r="R142" s="91"/>
      <c r="S142" s="91"/>
      <c r="T142" s="89" t="str">
        <f>IFERROR(ج_ح_تیر[[#This Row],[جمع ح و م م بیمه ]]*7%,"")</f>
        <v/>
      </c>
      <c r="U142"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42" s="89" t="str">
        <f>IFERROR(ج_ح_تیر[[#This Row],[وام]]+ج_ح_تیر[[#This Row],[مساعده]]+ج_ح_تیر[[#This Row],[بیمه پرداختنی]]+ج_ح_تیر[[#This Row],[مالیات پرداختنی]],"")</f>
        <v/>
      </c>
      <c r="W142" s="89" t="str">
        <f>IFERROR(ج_ح_تیر[[#This Row],[جمع ح و م]]-ج_ح_تیر[[#This Row],[جمع کسورات]],"")</f>
        <v/>
      </c>
      <c r="X142" s="108"/>
    </row>
    <row r="143" spans="2:24" ht="32.1" customHeight="1">
      <c r="B143" s="1">
        <f t="shared" si="2"/>
        <v>4</v>
      </c>
      <c r="C143" s="85" t="str">
        <f>IF(ج_ح_تیر[[#This Row],[نام]]&lt;&gt;"",ROW()-118+1,"")</f>
        <v/>
      </c>
      <c r="D143" s="86"/>
      <c r="E143" s="86"/>
      <c r="F143" s="87"/>
      <c r="G143" s="88" t="str">
        <f>IFERROR(IF(COUNT(ج_ح_تیر[[#This Row],[کارکرد]]),حداقل_حقوق_پایه_روزانه,""),"")</f>
        <v/>
      </c>
      <c r="H143" s="89" t="str">
        <f>IFERROR(IF(ج_ح_تیر[[#This Row],[کارکرد]]*ج_ح_تیر[[#This Row],[دستمزد روزانه ]]=0,"",ج_ح_تیر[[#This Row],[کارکرد]]*ج_ح_تیر[[#This Row],[دستمزد روزانه ]]),"")</f>
        <v/>
      </c>
      <c r="I143" s="91"/>
      <c r="J143" s="90" t="str">
        <f>IFERROR((ج_ح_تیر[[#This Row],[دستمزد روزانه ]]/7.33)*1.4*ج_ح_تیر[[#This Row],[مدت اضافه کاری ]],"")</f>
        <v/>
      </c>
      <c r="K143" s="89" t="str">
        <f>IF(ج_ح_تیر[[#This Row],[کارکرد]]="","",ج_ح_تیر[[#This Row],[کارکرد]]/31*حق_مسکن)</f>
        <v/>
      </c>
      <c r="L143" s="91"/>
      <c r="M143" s="89" t="str">
        <f>IF(ج_ح_تیر[[#This Row],[تعداد فرزندان]]="","",ج_ح_تیر[[#This Row],[کارکرد]]/31*3*ج_ح_تیر[[#This Row],[تعداد فرزندان]]*حداقل_حقوق_پایه_روزانه)</f>
        <v/>
      </c>
      <c r="N143" s="89" t="str">
        <f>IF(ج_ح_تیر[[#This Row],[کارکرد]]="","",ج_ح_تیر[[#This Row],[کارکرد]]/31*حق_خواربار)</f>
        <v/>
      </c>
      <c r="O143" s="89" t="str">
        <f>IFERROR(ج_ح_تیر[[#This Row],[حقوق پایه]]+ج_ح_تیر[[#This Row],[اضافه کاری]]+ج_ح_تیر[[#This Row],[حق مسکن]]+ج_ح_تیر[[#This Row],[حق اولاد]]+ج_ح_تیر[[#This Row],[حق و خواروبار]],"")</f>
        <v/>
      </c>
      <c r="P143"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43" s="89" t="str">
        <f>IFERROR(ج_ح_تیر[[#This Row],[حقوق پایه]]+ج_ح_تیر[[#This Row],[اضافه کاری]]+ج_ح_تیر[[#This Row],[حق مسکن]]+ج_ح_تیر[[#This Row],[حق و خواروبار]]+ج_ح_تیر[[#This Row],[حق اولاد]]-(2/7)*ج_ح_تیر[[#This Row],[بیمه پرداختنی]],"")</f>
        <v/>
      </c>
      <c r="R143" s="91"/>
      <c r="S143" s="91"/>
      <c r="T143" s="89" t="str">
        <f>IFERROR(ج_ح_تیر[[#This Row],[جمع ح و م م بیمه ]]*7%,"")</f>
        <v/>
      </c>
      <c r="U143"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43" s="89" t="str">
        <f>IFERROR(ج_ح_تیر[[#This Row],[وام]]+ج_ح_تیر[[#This Row],[مساعده]]+ج_ح_تیر[[#This Row],[بیمه پرداختنی]]+ج_ح_تیر[[#This Row],[مالیات پرداختنی]],"")</f>
        <v/>
      </c>
      <c r="W143" s="89" t="str">
        <f>IFERROR(ج_ح_تیر[[#This Row],[جمع ح و م]]-ج_ح_تیر[[#This Row],[جمع کسورات]],"")</f>
        <v/>
      </c>
      <c r="X143" s="108"/>
    </row>
    <row r="144" spans="2:24" ht="32.1" customHeight="1">
      <c r="B144" s="1">
        <f t="shared" si="2"/>
        <v>4</v>
      </c>
      <c r="C144" s="85" t="str">
        <f>IF(ج_ح_تیر[[#This Row],[نام]]&lt;&gt;"",ROW()-118+1,"")</f>
        <v/>
      </c>
      <c r="D144" s="86"/>
      <c r="E144" s="86"/>
      <c r="F144" s="87"/>
      <c r="G144" s="88" t="str">
        <f>IFERROR(IF(COUNT(ج_ح_تیر[[#This Row],[کارکرد]]),حداقل_حقوق_پایه_روزانه,""),"")</f>
        <v/>
      </c>
      <c r="H144" s="89" t="str">
        <f>IFERROR(IF(ج_ح_تیر[[#This Row],[کارکرد]]*ج_ح_تیر[[#This Row],[دستمزد روزانه ]]=0,"",ج_ح_تیر[[#This Row],[کارکرد]]*ج_ح_تیر[[#This Row],[دستمزد روزانه ]]),"")</f>
        <v/>
      </c>
      <c r="I144" s="91"/>
      <c r="J144" s="90" t="str">
        <f>IFERROR((ج_ح_تیر[[#This Row],[دستمزد روزانه ]]/7.33)*1.4*ج_ح_تیر[[#This Row],[مدت اضافه کاری ]],"")</f>
        <v/>
      </c>
      <c r="K144" s="89" t="str">
        <f>IF(ج_ح_تیر[[#This Row],[کارکرد]]="","",ج_ح_تیر[[#This Row],[کارکرد]]/31*حق_مسکن)</f>
        <v/>
      </c>
      <c r="L144" s="91"/>
      <c r="M144" s="89" t="str">
        <f>IF(ج_ح_تیر[[#This Row],[تعداد فرزندان]]="","",ج_ح_تیر[[#This Row],[کارکرد]]/31*3*ج_ح_تیر[[#This Row],[تعداد فرزندان]]*حداقل_حقوق_پایه_روزانه)</f>
        <v/>
      </c>
      <c r="N144" s="89" t="str">
        <f>IF(ج_ح_تیر[[#This Row],[کارکرد]]="","",ج_ح_تیر[[#This Row],[کارکرد]]/31*حق_خواربار)</f>
        <v/>
      </c>
      <c r="O144" s="89" t="str">
        <f>IFERROR(ج_ح_تیر[[#This Row],[حقوق پایه]]+ج_ح_تیر[[#This Row],[اضافه کاری]]+ج_ح_تیر[[#This Row],[حق مسکن]]+ج_ح_تیر[[#This Row],[حق اولاد]]+ج_ح_تیر[[#This Row],[حق و خواروبار]],"")</f>
        <v/>
      </c>
      <c r="P144"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44" s="89" t="str">
        <f>IFERROR(ج_ح_تیر[[#This Row],[حقوق پایه]]+ج_ح_تیر[[#This Row],[اضافه کاری]]+ج_ح_تیر[[#This Row],[حق مسکن]]+ج_ح_تیر[[#This Row],[حق و خواروبار]]+ج_ح_تیر[[#This Row],[حق اولاد]]-(2/7)*ج_ح_تیر[[#This Row],[بیمه پرداختنی]],"")</f>
        <v/>
      </c>
      <c r="R144" s="91"/>
      <c r="S144" s="91"/>
      <c r="T144" s="89" t="str">
        <f>IFERROR(ج_ح_تیر[[#This Row],[جمع ح و م م بیمه ]]*7%,"")</f>
        <v/>
      </c>
      <c r="U144"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44" s="89" t="str">
        <f>IFERROR(ج_ح_تیر[[#This Row],[وام]]+ج_ح_تیر[[#This Row],[مساعده]]+ج_ح_تیر[[#This Row],[بیمه پرداختنی]]+ج_ح_تیر[[#This Row],[مالیات پرداختنی]],"")</f>
        <v/>
      </c>
      <c r="W144" s="89" t="str">
        <f>IFERROR(ج_ح_تیر[[#This Row],[جمع ح و م]]-ج_ح_تیر[[#This Row],[جمع کسورات]],"")</f>
        <v/>
      </c>
      <c r="X144" s="108"/>
    </row>
    <row r="145" spans="1:24" ht="32.1" customHeight="1">
      <c r="B145" s="1">
        <f t="shared" si="2"/>
        <v>4</v>
      </c>
      <c r="C145" s="85" t="str">
        <f>IF(ج_ح_تیر[[#This Row],[نام]]&lt;&gt;"",ROW()-118+1,"")</f>
        <v/>
      </c>
      <c r="D145" s="86"/>
      <c r="E145" s="86"/>
      <c r="F145" s="87"/>
      <c r="G145" s="88" t="str">
        <f>IFERROR(IF(COUNT(ج_ح_تیر[[#This Row],[کارکرد]]),حداقل_حقوق_پایه_روزانه,""),"")</f>
        <v/>
      </c>
      <c r="H145" s="89" t="str">
        <f>IFERROR(IF(ج_ح_تیر[[#This Row],[کارکرد]]*ج_ح_تیر[[#This Row],[دستمزد روزانه ]]=0,"",ج_ح_تیر[[#This Row],[کارکرد]]*ج_ح_تیر[[#This Row],[دستمزد روزانه ]]),"")</f>
        <v/>
      </c>
      <c r="I145" s="91"/>
      <c r="J145" s="90" t="str">
        <f>IFERROR((ج_ح_تیر[[#This Row],[دستمزد روزانه ]]/7.33)*1.4*ج_ح_تیر[[#This Row],[مدت اضافه کاری ]],"")</f>
        <v/>
      </c>
      <c r="K145" s="89" t="str">
        <f>IF(ج_ح_تیر[[#This Row],[کارکرد]]="","",ج_ح_تیر[[#This Row],[کارکرد]]/31*حق_مسکن)</f>
        <v/>
      </c>
      <c r="L145" s="91"/>
      <c r="M145" s="89" t="str">
        <f>IF(ج_ح_تیر[[#This Row],[تعداد فرزندان]]="","",ج_ح_تیر[[#This Row],[کارکرد]]/31*3*ج_ح_تیر[[#This Row],[تعداد فرزندان]]*حداقل_حقوق_پایه_روزانه)</f>
        <v/>
      </c>
      <c r="N145" s="89" t="str">
        <f>IF(ج_ح_تیر[[#This Row],[کارکرد]]="","",ج_ح_تیر[[#This Row],[کارکرد]]/31*حق_خواربار)</f>
        <v/>
      </c>
      <c r="O145" s="89" t="str">
        <f>IFERROR(ج_ح_تیر[[#This Row],[حقوق پایه]]+ج_ح_تیر[[#This Row],[اضافه کاری]]+ج_ح_تیر[[#This Row],[حق مسکن]]+ج_ح_تیر[[#This Row],[حق اولاد]]+ج_ح_تیر[[#This Row],[حق و خواروبار]],"")</f>
        <v/>
      </c>
      <c r="P145"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45" s="89" t="str">
        <f>IFERROR(ج_ح_تیر[[#This Row],[حقوق پایه]]+ج_ح_تیر[[#This Row],[اضافه کاری]]+ج_ح_تیر[[#This Row],[حق مسکن]]+ج_ح_تیر[[#This Row],[حق و خواروبار]]+ج_ح_تیر[[#This Row],[حق اولاد]]-(2/7)*ج_ح_تیر[[#This Row],[بیمه پرداختنی]],"")</f>
        <v/>
      </c>
      <c r="R145" s="91"/>
      <c r="S145" s="91"/>
      <c r="T145" s="89" t="str">
        <f>IFERROR(ج_ح_تیر[[#This Row],[جمع ح و م م بیمه ]]*7%,"")</f>
        <v/>
      </c>
      <c r="U145"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45" s="89" t="str">
        <f>IFERROR(ج_ح_تیر[[#This Row],[وام]]+ج_ح_تیر[[#This Row],[مساعده]]+ج_ح_تیر[[#This Row],[بیمه پرداختنی]]+ج_ح_تیر[[#This Row],[مالیات پرداختنی]],"")</f>
        <v/>
      </c>
      <c r="W145" s="89" t="str">
        <f>IFERROR(ج_ح_تیر[[#This Row],[جمع ح و م]]-ج_ح_تیر[[#This Row],[جمع کسورات]],"")</f>
        <v/>
      </c>
      <c r="X145" s="108"/>
    </row>
    <row r="146" spans="1:24" ht="32.1" customHeight="1">
      <c r="B146" s="1">
        <f t="shared" si="2"/>
        <v>4</v>
      </c>
      <c r="C146" s="85" t="str">
        <f>IF(ج_ح_تیر[[#This Row],[نام]]&lt;&gt;"",ROW()-118+1,"")</f>
        <v/>
      </c>
      <c r="D146" s="86"/>
      <c r="E146" s="86"/>
      <c r="F146" s="87"/>
      <c r="G146" s="88" t="str">
        <f>IFERROR(IF(COUNT(ج_ح_تیر[[#This Row],[کارکرد]]),حداقل_حقوق_پایه_روزانه,""),"")</f>
        <v/>
      </c>
      <c r="H146" s="89" t="str">
        <f>IFERROR(IF(ج_ح_تیر[[#This Row],[کارکرد]]*ج_ح_تیر[[#This Row],[دستمزد روزانه ]]=0,"",ج_ح_تیر[[#This Row],[کارکرد]]*ج_ح_تیر[[#This Row],[دستمزد روزانه ]]),"")</f>
        <v/>
      </c>
      <c r="I146" s="91"/>
      <c r="J146" s="90" t="str">
        <f>IFERROR((ج_ح_تیر[[#This Row],[دستمزد روزانه ]]/7.33)*1.4*ج_ح_تیر[[#This Row],[مدت اضافه کاری ]],"")</f>
        <v/>
      </c>
      <c r="K146" s="89" t="str">
        <f>IF(ج_ح_تیر[[#This Row],[کارکرد]]="","",ج_ح_تیر[[#This Row],[کارکرد]]/31*حق_مسکن)</f>
        <v/>
      </c>
      <c r="L146" s="91"/>
      <c r="M146" s="89" t="str">
        <f>IF(ج_ح_تیر[[#This Row],[تعداد فرزندان]]="","",ج_ح_تیر[[#This Row],[کارکرد]]/31*3*ج_ح_تیر[[#This Row],[تعداد فرزندان]]*حداقل_حقوق_پایه_روزانه)</f>
        <v/>
      </c>
      <c r="N146" s="89" t="str">
        <f>IF(ج_ح_تیر[[#This Row],[کارکرد]]="","",ج_ح_تیر[[#This Row],[کارکرد]]/31*حق_خواربار)</f>
        <v/>
      </c>
      <c r="O146" s="89" t="str">
        <f>IFERROR(ج_ح_تیر[[#This Row],[حقوق پایه]]+ج_ح_تیر[[#This Row],[اضافه کاری]]+ج_ح_تیر[[#This Row],[حق مسکن]]+ج_ح_تیر[[#This Row],[حق اولاد]]+ج_ح_تیر[[#This Row],[حق و خواروبار]],"")</f>
        <v/>
      </c>
      <c r="P146"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46" s="89" t="str">
        <f>IFERROR(ج_ح_تیر[[#This Row],[حقوق پایه]]+ج_ح_تیر[[#This Row],[اضافه کاری]]+ج_ح_تیر[[#This Row],[حق مسکن]]+ج_ح_تیر[[#This Row],[حق و خواروبار]]+ج_ح_تیر[[#This Row],[حق اولاد]]-(2/7)*ج_ح_تیر[[#This Row],[بیمه پرداختنی]],"")</f>
        <v/>
      </c>
      <c r="R146" s="91"/>
      <c r="S146" s="91"/>
      <c r="T146" s="89" t="str">
        <f>IFERROR(ج_ح_تیر[[#This Row],[جمع ح و م م بیمه ]]*7%,"")</f>
        <v/>
      </c>
      <c r="U146"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46" s="89" t="str">
        <f>IFERROR(ج_ح_تیر[[#This Row],[وام]]+ج_ح_تیر[[#This Row],[مساعده]]+ج_ح_تیر[[#This Row],[بیمه پرداختنی]]+ج_ح_تیر[[#This Row],[مالیات پرداختنی]],"")</f>
        <v/>
      </c>
      <c r="W146" s="89" t="str">
        <f>IFERROR(ج_ح_تیر[[#This Row],[جمع ح و م]]-ج_ح_تیر[[#This Row],[جمع کسورات]],"")</f>
        <v/>
      </c>
      <c r="X146" s="108"/>
    </row>
    <row r="147" spans="1:24" ht="32.1" customHeight="1">
      <c r="B147" s="1">
        <f t="shared" si="2"/>
        <v>4</v>
      </c>
      <c r="C147" s="85" t="str">
        <f>IF(ج_ح_تیر[[#This Row],[نام]]&lt;&gt;"",ROW()-118+1,"")</f>
        <v/>
      </c>
      <c r="D147" s="86"/>
      <c r="E147" s="86"/>
      <c r="F147" s="87"/>
      <c r="G147" s="88" t="str">
        <f>IFERROR(IF(COUNT(ج_ح_تیر[[#This Row],[کارکرد]]),حداقل_حقوق_پایه_روزانه,""),"")</f>
        <v/>
      </c>
      <c r="H147" s="89" t="str">
        <f>IFERROR(IF(ج_ح_تیر[[#This Row],[کارکرد]]*ج_ح_تیر[[#This Row],[دستمزد روزانه ]]=0,"",ج_ح_تیر[[#This Row],[کارکرد]]*ج_ح_تیر[[#This Row],[دستمزد روزانه ]]),"")</f>
        <v/>
      </c>
      <c r="I147" s="91"/>
      <c r="J147" s="90" t="str">
        <f>IFERROR((ج_ح_تیر[[#This Row],[دستمزد روزانه ]]/7.33)*1.4*ج_ح_تیر[[#This Row],[مدت اضافه کاری ]],"")</f>
        <v/>
      </c>
      <c r="K147" s="89" t="str">
        <f>IF(ج_ح_تیر[[#This Row],[کارکرد]]="","",ج_ح_تیر[[#This Row],[کارکرد]]/31*حق_مسکن)</f>
        <v/>
      </c>
      <c r="L147" s="91"/>
      <c r="M147" s="89" t="str">
        <f>IF(ج_ح_تیر[[#This Row],[تعداد فرزندان]]="","",ج_ح_تیر[[#This Row],[کارکرد]]/31*3*ج_ح_تیر[[#This Row],[تعداد فرزندان]]*حداقل_حقوق_پایه_روزانه)</f>
        <v/>
      </c>
      <c r="N147" s="89" t="str">
        <f>IF(ج_ح_تیر[[#This Row],[کارکرد]]="","",ج_ح_تیر[[#This Row],[کارکرد]]/31*حق_خواربار)</f>
        <v/>
      </c>
      <c r="O147" s="89" t="str">
        <f>IFERROR(ج_ح_تیر[[#This Row],[حقوق پایه]]+ج_ح_تیر[[#This Row],[اضافه کاری]]+ج_ح_تیر[[#This Row],[حق مسکن]]+ج_ح_تیر[[#This Row],[حق اولاد]]+ج_ح_تیر[[#This Row],[حق و خواروبار]],"")</f>
        <v/>
      </c>
      <c r="P147" s="89" t="str">
        <f>IFERROR(IF(ج_ح_تیر[[#This Row],[حقوق پایه]]+ج_ح_تیر[[#This Row],[اضافه کاری]]+ج_ح_تیر[[#This Row],[حق مسکن]]+ج_ح_تیر[[#This Row],[حق و خواروبار]]&gt;حداکثر_حقوق_مشمول_بیمه_ماهانه,حداکثر_حقوق_مشمول_بیمه_ماهانه,ج_ح_تیر[[#This Row],[حقوق پایه]]+ج_ح_تیر[[#This Row],[اضافه کاری]]+ج_ح_تیر[[#This Row],[حق مسکن]]+ج_ح_تیر[[#This Row],[حق و خواروبار]]),"")</f>
        <v/>
      </c>
      <c r="Q147" s="89" t="str">
        <f>IFERROR(ج_ح_تیر[[#This Row],[حقوق پایه]]+ج_ح_تیر[[#This Row],[اضافه کاری]]+ج_ح_تیر[[#This Row],[حق مسکن]]+ج_ح_تیر[[#This Row],[حق و خواروبار]]+ج_ح_تیر[[#This Row],[حق اولاد]]-(2/7)*ج_ح_تیر[[#This Row],[بیمه پرداختنی]],"")</f>
        <v/>
      </c>
      <c r="R147" s="91"/>
      <c r="S147" s="91"/>
      <c r="T147" s="89" t="str">
        <f>IFERROR(ج_ح_تیر[[#This Row],[جمع ح و م م بیمه ]]*7%,"")</f>
        <v/>
      </c>
      <c r="U147" s="92" t="str">
        <f>IFERROR(IF(ج_ح_تیر[[#This Row],[جمع ح و م م مالیات]]&gt;=400000000,(ج_ح_تیر[[#This Row],[جمع ح و م م مالیات]]-400000000)*30%+26000000,IF(ج_ح_تیر[[#This Row],[جمع ح و م م مالیات]]&gt;=270000000,(ج_ح_تیر[[#This Row],[جمع ح و م م مالیات]]-270000000)*20%+15750000,IF(ج_ح_تیر[[#This Row],[جمع ح و م م مالیات]]&gt;=165000000,(ج_ح_تیر[[#This Row],[جمع ح و م م مالیات]]-165000000)*15%+4500000,IF(ج_ح_تیر[[#This Row],[جمع ح و م م مالیات]]&gt;=120000000,(ج_ح_تیر[[#This Row],[جمع ح و م م مالیات]]-120000000)*10%,0)))),"")</f>
        <v/>
      </c>
      <c r="V147" s="89" t="str">
        <f>IFERROR(ج_ح_تیر[[#This Row],[وام]]+ج_ح_تیر[[#This Row],[مساعده]]+ج_ح_تیر[[#This Row],[بیمه پرداختنی]]+ج_ح_تیر[[#This Row],[مالیات پرداختنی]],"")</f>
        <v/>
      </c>
      <c r="W147" s="89" t="str">
        <f>IFERROR(ج_ح_تیر[[#This Row],[جمع ح و م]]-ج_ح_تیر[[#This Row],[جمع کسورات]],"")</f>
        <v/>
      </c>
      <c r="X147" s="108"/>
    </row>
    <row r="148" spans="1:24" ht="32.1" customHeight="1">
      <c r="B148" s="1">
        <f t="shared" si="2"/>
        <v>4</v>
      </c>
      <c r="C148" s="23"/>
      <c r="D148" s="24"/>
      <c r="E148" s="24" t="s">
        <v>35</v>
      </c>
      <c r="F148" s="33">
        <f>SUBTOTAL(109,ج_ح_تیر[کارکرد])</f>
        <v>0</v>
      </c>
      <c r="G148" s="25">
        <f>SUBTOTAL(109,ج_ح_تیر[[دستمزد روزانه ]])</f>
        <v>0</v>
      </c>
      <c r="H148" s="25">
        <f>SUBTOTAL(109,ج_ح_تیر[حقوق پایه])</f>
        <v>0</v>
      </c>
      <c r="I148" s="34">
        <f>SUBTOTAL(109,ج_ح_تیر[[مدت اضافه کاری ]])</f>
        <v>0</v>
      </c>
      <c r="J148" s="35">
        <f>SUBTOTAL(109,ج_ح_تیر[اضافه کاری])</f>
        <v>0</v>
      </c>
      <c r="K148" s="25">
        <f>SUBTOTAL(109,ج_ح_تیر[حق مسکن])</f>
        <v>0</v>
      </c>
      <c r="L148" s="36">
        <f>SUBTOTAL(109,ج_ح_تیر[تعداد فرزندان])</f>
        <v>0</v>
      </c>
      <c r="M148" s="25">
        <f>SUBTOTAL(109,ج_ح_تیر[حق اولاد])</f>
        <v>0</v>
      </c>
      <c r="N148" s="25">
        <f>SUBTOTAL(109,ج_ح_تیر[حق و خواروبار])</f>
        <v>0</v>
      </c>
      <c r="O148" s="25">
        <f>SUBTOTAL(109,ج_ح_تیر[جمع ح و م])</f>
        <v>0</v>
      </c>
      <c r="P148" s="25">
        <f>SUBTOTAL(109,ج_ح_تیر[[جمع ح و م م بیمه ]])</f>
        <v>0</v>
      </c>
      <c r="Q148" s="25">
        <f>SUBTOTAL(109,ج_ح_تیر[جمع ح و م م مالیات])</f>
        <v>0</v>
      </c>
      <c r="R148" s="25">
        <f>SUBTOTAL(109,ج_ح_تیر[وام])</f>
        <v>0</v>
      </c>
      <c r="S148" s="25">
        <f>SUBTOTAL(109,ج_ح_تیر[مساعده])</f>
        <v>0</v>
      </c>
      <c r="T148" s="25">
        <f>SUBTOTAL(109,ج_ح_تیر[بیمه پرداختنی])</f>
        <v>0</v>
      </c>
      <c r="U148" s="25">
        <f>SUBTOTAL(109,ج_ح_تیر[مالیات پرداختنی])</f>
        <v>0</v>
      </c>
      <c r="V148" s="25">
        <f>SUBTOTAL(109,ج_ح_تیر[جمع کسورات])</f>
        <v>0</v>
      </c>
      <c r="W148" s="25">
        <f>SUBTOTAL(109,ج_ح_تیر[خالص قابل پرداخت])</f>
        <v>0</v>
      </c>
      <c r="X148" s="109"/>
    </row>
    <row r="149" spans="1:24" ht="8.1" customHeight="1"/>
    <row r="150" spans="1:24" s="7" customFormat="1" ht="39.950000000000003" customHeight="1">
      <c r="A150" s="15"/>
      <c r="B150" s="15"/>
      <c r="C150" s="128" t="str">
        <f>CONCATENATE("شرکت"," ",'اطلاعات شرکت'!$B$1)</f>
        <v>شرکت پندار حساب شهسوار</v>
      </c>
      <c r="D150" s="128"/>
      <c r="E150" s="128"/>
      <c r="F150" s="128"/>
      <c r="G150" s="128"/>
      <c r="H150" s="128"/>
      <c r="I150" s="128"/>
      <c r="J150" s="128"/>
      <c r="K150" s="128"/>
      <c r="L150" s="128"/>
      <c r="M150" s="128"/>
      <c r="N150" s="128"/>
      <c r="O150" s="128"/>
      <c r="P150" s="128"/>
      <c r="Q150" s="128"/>
      <c r="R150" s="128"/>
      <c r="S150" s="128"/>
      <c r="T150" s="128"/>
      <c r="U150" s="128"/>
      <c r="V150" s="128"/>
      <c r="W150" s="128"/>
      <c r="X150" s="105"/>
    </row>
    <row r="151" spans="1:24" s="7" customFormat="1" ht="50.1" customHeight="1">
      <c r="C151" s="127" t="str">
        <f>CONCATENATE("جدول حقوق و دستمزد مرداد ماه سال"," ",'اطلاعات شرکت'!$B$2)</f>
        <v>جدول حقوق و دستمزد مرداد ماه سال 1402</v>
      </c>
      <c r="D151" s="127"/>
      <c r="E151" s="127"/>
      <c r="F151" s="127"/>
      <c r="G151" s="127"/>
      <c r="H151" s="127"/>
      <c r="I151" s="127"/>
      <c r="J151" s="127"/>
      <c r="K151" s="127"/>
      <c r="L151" s="127"/>
      <c r="M151" s="127"/>
      <c r="N151" s="127"/>
      <c r="O151" s="127"/>
      <c r="P151" s="127"/>
      <c r="Q151" s="127"/>
      <c r="R151" s="127"/>
      <c r="S151" s="127"/>
      <c r="T151" s="127"/>
      <c r="U151" s="127"/>
      <c r="V151" s="127"/>
      <c r="W151" s="127"/>
      <c r="X151" s="105"/>
    </row>
    <row r="152" spans="1:24" s="12" customFormat="1" ht="50.1" customHeight="1">
      <c r="C152" s="129" t="s">
        <v>1</v>
      </c>
      <c r="D152" s="28" t="s">
        <v>23</v>
      </c>
      <c r="E152" s="28" t="s">
        <v>56</v>
      </c>
      <c r="F152" s="28" t="s">
        <v>11</v>
      </c>
      <c r="G152" s="28" t="s">
        <v>12</v>
      </c>
      <c r="H152" s="28" t="s">
        <v>37</v>
      </c>
      <c r="I152" s="28" t="s">
        <v>51</v>
      </c>
      <c r="J152" s="28" t="s">
        <v>47</v>
      </c>
      <c r="K152" s="28" t="s">
        <v>4</v>
      </c>
      <c r="L152" s="28" t="s">
        <v>48</v>
      </c>
      <c r="M152" s="28" t="s">
        <v>14</v>
      </c>
      <c r="N152" s="28" t="s">
        <v>5</v>
      </c>
      <c r="O152" s="28" t="s">
        <v>17</v>
      </c>
      <c r="P152" s="28" t="s">
        <v>49</v>
      </c>
      <c r="Q152" s="28" t="s">
        <v>50</v>
      </c>
      <c r="R152" s="28" t="s">
        <v>15</v>
      </c>
      <c r="S152" s="28" t="s">
        <v>16</v>
      </c>
      <c r="T152" s="28" t="s">
        <v>59</v>
      </c>
      <c r="U152" s="28" t="s">
        <v>58</v>
      </c>
      <c r="V152" s="28" t="s">
        <v>21</v>
      </c>
      <c r="W152" s="28" t="s">
        <v>57</v>
      </c>
      <c r="X152" s="106"/>
    </row>
    <row r="153" spans="1:24" s="7" customFormat="1" ht="32.1" customHeight="1">
      <c r="C153" s="129"/>
      <c r="D153" s="29">
        <v>1</v>
      </c>
      <c r="E153" s="29">
        <v>2</v>
      </c>
      <c r="F153" s="29">
        <v>3</v>
      </c>
      <c r="G153" s="29">
        <v>4</v>
      </c>
      <c r="H153" s="29">
        <v>5</v>
      </c>
      <c r="I153" s="29">
        <v>6</v>
      </c>
      <c r="J153" s="29">
        <v>7</v>
      </c>
      <c r="K153" s="29">
        <v>8</v>
      </c>
      <c r="L153" s="29">
        <v>9</v>
      </c>
      <c r="M153" s="29">
        <v>10</v>
      </c>
      <c r="N153" s="29">
        <v>11</v>
      </c>
      <c r="O153" s="29">
        <v>12</v>
      </c>
      <c r="P153" s="29">
        <v>13</v>
      </c>
      <c r="Q153" s="29">
        <v>14</v>
      </c>
      <c r="R153" s="29">
        <v>15</v>
      </c>
      <c r="S153" s="29">
        <v>16</v>
      </c>
      <c r="T153" s="29">
        <v>17</v>
      </c>
      <c r="U153" s="29">
        <v>18</v>
      </c>
      <c r="V153" s="29">
        <v>19</v>
      </c>
      <c r="W153" s="30">
        <v>20</v>
      </c>
      <c r="X153" s="105"/>
    </row>
    <row r="154" spans="1:24" s="7" customFormat="1" ht="20.100000000000001" customHeight="1">
      <c r="C154" s="16" t="s">
        <v>1</v>
      </c>
      <c r="D154" s="16" t="s">
        <v>23</v>
      </c>
      <c r="E154" s="16" t="s">
        <v>56</v>
      </c>
      <c r="F154" s="16" t="s">
        <v>11</v>
      </c>
      <c r="G154" s="16" t="s">
        <v>12</v>
      </c>
      <c r="H154" s="16" t="s">
        <v>37</v>
      </c>
      <c r="I154" s="16" t="s">
        <v>46</v>
      </c>
      <c r="J154" s="16" t="s">
        <v>47</v>
      </c>
      <c r="K154" s="16" t="s">
        <v>4</v>
      </c>
      <c r="L154" s="16" t="s">
        <v>13</v>
      </c>
      <c r="M154" s="16" t="s">
        <v>14</v>
      </c>
      <c r="N154" s="16" t="s">
        <v>79</v>
      </c>
      <c r="O154" s="16" t="s">
        <v>53</v>
      </c>
      <c r="P154" s="16" t="s">
        <v>54</v>
      </c>
      <c r="Q154" s="31" t="s">
        <v>55</v>
      </c>
      <c r="R154" s="16" t="s">
        <v>15</v>
      </c>
      <c r="S154" s="16" t="s">
        <v>16</v>
      </c>
      <c r="T154" s="31" t="s">
        <v>19</v>
      </c>
      <c r="U154" s="31" t="s">
        <v>20</v>
      </c>
      <c r="V154" s="16" t="s">
        <v>21</v>
      </c>
      <c r="W154" s="16" t="s">
        <v>22</v>
      </c>
      <c r="X154" s="110" t="s">
        <v>133</v>
      </c>
    </row>
    <row r="155" spans="1:24" ht="32.1" customHeight="1">
      <c r="B155" s="1">
        <f>B148+1</f>
        <v>5</v>
      </c>
      <c r="C155" s="85" t="str">
        <f>IF(ج_ح_مرداد[[#This Row],[نام]]&lt;&gt;"",ROW()-155+1,"")</f>
        <v/>
      </c>
      <c r="D155" s="86"/>
      <c r="E155" s="86"/>
      <c r="F155" s="87"/>
      <c r="G155" s="88" t="str">
        <f>IFERROR(IF(COUNT(ج_ح_مرداد[[#This Row],[کارکرد]]),حداقل_حقوق_پایه_روزانه,""),"")</f>
        <v/>
      </c>
      <c r="H155" s="89" t="str">
        <f>IFERROR(IF(ج_ح_مرداد[[#This Row],[کارکرد]]*ج_ح_مرداد[[#This Row],[دستمزد روزانه ]]=0,"",ج_ح_مرداد[[#This Row],[کارکرد]]*ج_ح_مرداد[[#This Row],[دستمزد روزانه ]]),"")</f>
        <v/>
      </c>
      <c r="I155" s="91">
        <v>0</v>
      </c>
      <c r="J155" s="90" t="str">
        <f>IFERROR((ج_ح_مرداد[[#This Row],[دستمزد روزانه ]]/7.33)*1.4*ج_ح_مرداد[[#This Row],[مدت اضافه کاری ]],"")</f>
        <v/>
      </c>
      <c r="K155" s="89" t="str">
        <f>IF(ج_ح_مرداد[[#This Row],[کارکرد]]="","",ج_ح_مرداد[[#This Row],[کارکرد]]/31*حق_مسکن)</f>
        <v/>
      </c>
      <c r="L155" s="91">
        <v>0</v>
      </c>
      <c r="M155" s="89">
        <f>IF(ج_ح_مرداد[[#This Row],[تعداد فرزندان]]="","",ج_ح_مرداد[[#This Row],[کارکرد]]/31*3*ج_ح_مرداد[[#This Row],[تعداد فرزندان]]*حداقل_حقوق_پایه_روزانه)</f>
        <v>0</v>
      </c>
      <c r="N155" s="89" t="str">
        <f>IF(ج_ح_مرداد[[#This Row],[کارکرد]]="","",ج_ح_مرداد[[#This Row],[کارکرد]]/31*حق_خواربار)</f>
        <v/>
      </c>
      <c r="O155" s="89" t="str">
        <f>IFERROR(ج_ح_مرداد[[#This Row],[حقوق پایه]]+ج_ح_مرداد[[#This Row],[اضافه کاری]]+ج_ح_مرداد[[#This Row],[حق مسکن]]+ج_ح_مرداد[[#This Row],[حق اولاد]]+ج_ح_مرداد[[#This Row],[حق و خواروبار]],"")</f>
        <v/>
      </c>
      <c r="P155"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55"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55" s="91">
        <v>0</v>
      </c>
      <c r="S155" s="91">
        <v>0</v>
      </c>
      <c r="T155" s="89" t="str">
        <f>IFERROR(ج_ح_مرداد[[#This Row],[جمع ح و م م بیمه ]]*7%,"")</f>
        <v/>
      </c>
      <c r="U155"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55" s="89" t="str">
        <f>IFERROR(ج_ح_مرداد[[#This Row],[وام]]+ج_ح_مرداد[[#This Row],[مساعده]]+ج_ح_مرداد[[#This Row],[بیمه پرداختنی]]+ج_ح_مرداد[[#This Row],[مالیات پرداختنی]],"")</f>
        <v/>
      </c>
      <c r="W155" s="89" t="str">
        <f>IFERROR(ج_ح_مرداد[[#This Row],[جمع ح و م]]-ج_ح_مرداد[[#This Row],[جمع کسورات]],"")</f>
        <v/>
      </c>
      <c r="X155" s="108" t="e">
        <f>100000000-ج_ح_مرداد[[#This Row],[جمع ح و م م مالیات]]</f>
        <v>#VALUE!</v>
      </c>
    </row>
    <row r="156" spans="1:24" ht="32.1" customHeight="1">
      <c r="B156" s="1">
        <f>B155</f>
        <v>5</v>
      </c>
      <c r="C156" s="85" t="str">
        <f>IF(ج_ح_مرداد[[#This Row],[نام]]&lt;&gt;"",ROW()-155+1,"")</f>
        <v/>
      </c>
      <c r="D156" s="86"/>
      <c r="E156" s="86"/>
      <c r="F156" s="87"/>
      <c r="G156" s="88" t="str">
        <f>IFERROR(IF(COUNT(ج_ح_مرداد[[#This Row],[کارکرد]]),حداقل_حقوق_پایه_روزانه,""),"")</f>
        <v/>
      </c>
      <c r="H156" s="89" t="str">
        <f>IFERROR(IF(ج_ح_مرداد[[#This Row],[کارکرد]]*ج_ح_مرداد[[#This Row],[دستمزد روزانه ]]=0,"",ج_ح_مرداد[[#This Row],[کارکرد]]*ج_ح_مرداد[[#This Row],[دستمزد روزانه ]]),"")</f>
        <v/>
      </c>
      <c r="I156" s="91">
        <v>0</v>
      </c>
      <c r="J156" s="90" t="str">
        <f>IFERROR((ج_ح_مرداد[[#This Row],[دستمزد روزانه ]]/7.33)*1.4*ج_ح_مرداد[[#This Row],[مدت اضافه کاری ]],"")</f>
        <v/>
      </c>
      <c r="K156" s="89" t="str">
        <f>IF(ج_ح_مرداد[[#This Row],[کارکرد]]="","",ج_ح_مرداد[[#This Row],[کارکرد]]/31*حق_مسکن)</f>
        <v/>
      </c>
      <c r="L156" s="91">
        <v>0</v>
      </c>
      <c r="M156" s="89">
        <f>IF(ج_ح_مرداد[[#This Row],[تعداد فرزندان]]="","",ج_ح_مرداد[[#This Row],[کارکرد]]/31*3*ج_ح_مرداد[[#This Row],[تعداد فرزندان]]*حداقل_حقوق_پایه_روزانه)</f>
        <v>0</v>
      </c>
      <c r="N156" s="89" t="str">
        <f>IF(ج_ح_مرداد[[#This Row],[کارکرد]]="","",ج_ح_مرداد[[#This Row],[کارکرد]]/31*حق_خواربار)</f>
        <v/>
      </c>
      <c r="O156" s="89" t="str">
        <f>IFERROR(ج_ح_مرداد[[#This Row],[حقوق پایه]]+ج_ح_مرداد[[#This Row],[اضافه کاری]]+ج_ح_مرداد[[#This Row],[حق مسکن]]+ج_ح_مرداد[[#This Row],[حق اولاد]]+ج_ح_مرداد[[#This Row],[حق و خواروبار]],"")</f>
        <v/>
      </c>
      <c r="P156"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56"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56" s="91">
        <v>0</v>
      </c>
      <c r="S156" s="91">
        <v>0</v>
      </c>
      <c r="T156" s="89" t="str">
        <f>IFERROR(ج_ح_مرداد[[#This Row],[جمع ح و م م بیمه ]]*7%,"")</f>
        <v/>
      </c>
      <c r="U156"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56" s="89" t="str">
        <f>IFERROR(ج_ح_مرداد[[#This Row],[وام]]+ج_ح_مرداد[[#This Row],[مساعده]]+ج_ح_مرداد[[#This Row],[بیمه پرداختنی]]+ج_ح_مرداد[[#This Row],[مالیات پرداختنی]],"")</f>
        <v/>
      </c>
      <c r="W156" s="89" t="str">
        <f>IFERROR(ج_ح_مرداد[[#This Row],[جمع ح و م]]-ج_ح_مرداد[[#This Row],[جمع کسورات]],"")</f>
        <v/>
      </c>
      <c r="X156" s="108" t="e">
        <f>100000000-ج_ح_مرداد[[#This Row],[جمع ح و م م مالیات]]</f>
        <v>#VALUE!</v>
      </c>
    </row>
    <row r="157" spans="1:24" ht="32.1" customHeight="1">
      <c r="B157" s="1">
        <f t="shared" ref="B157:B185" si="3">B156</f>
        <v>5</v>
      </c>
      <c r="C157" s="85" t="str">
        <f>IF(ج_ح_مرداد[[#This Row],[نام]]&lt;&gt;"",ROW()-155+1,"")</f>
        <v/>
      </c>
      <c r="D157" s="86"/>
      <c r="E157" s="86"/>
      <c r="F157" s="87"/>
      <c r="G157" s="88" t="str">
        <f>IFERROR(IF(COUNT(ج_ح_مرداد[[#This Row],[کارکرد]]),حداقل_حقوق_پایه_روزانه,""),"")</f>
        <v/>
      </c>
      <c r="H157" s="89" t="str">
        <f>IFERROR(IF(ج_ح_مرداد[[#This Row],[کارکرد]]*ج_ح_مرداد[[#This Row],[دستمزد روزانه ]]=0,"",ج_ح_مرداد[[#This Row],[کارکرد]]*ج_ح_مرداد[[#This Row],[دستمزد روزانه ]]),"")</f>
        <v/>
      </c>
      <c r="I157" s="91">
        <v>0</v>
      </c>
      <c r="J157" s="90" t="str">
        <f>IFERROR((ج_ح_مرداد[[#This Row],[دستمزد روزانه ]]/7.33)*1.4*ج_ح_مرداد[[#This Row],[مدت اضافه کاری ]],"")</f>
        <v/>
      </c>
      <c r="K157" s="89" t="str">
        <f>IF(ج_ح_مرداد[[#This Row],[کارکرد]]="","",ج_ح_مرداد[[#This Row],[کارکرد]]/31*حق_مسکن)</f>
        <v/>
      </c>
      <c r="L157" s="91">
        <v>0</v>
      </c>
      <c r="M157" s="89">
        <f>IF(ج_ح_مرداد[[#This Row],[تعداد فرزندان]]="","",ج_ح_مرداد[[#This Row],[کارکرد]]/31*3*ج_ح_مرداد[[#This Row],[تعداد فرزندان]]*حداقل_حقوق_پایه_روزانه)</f>
        <v>0</v>
      </c>
      <c r="N157" s="89" t="str">
        <f>IF(ج_ح_مرداد[[#This Row],[کارکرد]]="","",ج_ح_مرداد[[#This Row],[کارکرد]]/31*حق_خواربار)</f>
        <v/>
      </c>
      <c r="O157" s="89" t="str">
        <f>IFERROR(ج_ح_مرداد[[#This Row],[حقوق پایه]]+ج_ح_مرداد[[#This Row],[اضافه کاری]]+ج_ح_مرداد[[#This Row],[حق مسکن]]+ج_ح_مرداد[[#This Row],[حق اولاد]]+ج_ح_مرداد[[#This Row],[حق و خواروبار]],"")</f>
        <v/>
      </c>
      <c r="P157"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57"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57" s="91">
        <v>0</v>
      </c>
      <c r="S157" s="91">
        <v>0</v>
      </c>
      <c r="T157" s="89" t="str">
        <f>IFERROR(ج_ح_مرداد[[#This Row],[جمع ح و م م بیمه ]]*7%,"")</f>
        <v/>
      </c>
      <c r="U157"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57" s="89" t="str">
        <f>IFERROR(ج_ح_مرداد[[#This Row],[وام]]+ج_ح_مرداد[[#This Row],[مساعده]]+ج_ح_مرداد[[#This Row],[بیمه پرداختنی]]+ج_ح_مرداد[[#This Row],[مالیات پرداختنی]],"")</f>
        <v/>
      </c>
      <c r="W157" s="89" t="str">
        <f>IFERROR(ج_ح_مرداد[[#This Row],[جمع ح و م]]-ج_ح_مرداد[[#This Row],[جمع کسورات]],"")</f>
        <v/>
      </c>
      <c r="X157" s="108" t="e">
        <f>100000000-ج_ح_مرداد[[#This Row],[جمع ح و م م مالیات]]</f>
        <v>#VALUE!</v>
      </c>
    </row>
    <row r="158" spans="1:24" ht="32.1" customHeight="1">
      <c r="B158" s="1">
        <f t="shared" si="3"/>
        <v>5</v>
      </c>
      <c r="C158" s="85" t="str">
        <f>IF(ج_ح_مرداد[[#This Row],[نام]]&lt;&gt;"",ROW()-155+1,"")</f>
        <v/>
      </c>
      <c r="D158" s="86"/>
      <c r="E158" s="86"/>
      <c r="F158" s="87"/>
      <c r="G158" s="88" t="str">
        <f>IFERROR(IF(COUNT(ج_ح_مرداد[[#This Row],[کارکرد]]),حداقل_حقوق_پایه_روزانه,""),"")</f>
        <v/>
      </c>
      <c r="H158" s="89" t="str">
        <f>IFERROR(IF(ج_ح_مرداد[[#This Row],[کارکرد]]*ج_ح_مرداد[[#This Row],[دستمزد روزانه ]]=0,"",ج_ح_مرداد[[#This Row],[کارکرد]]*ج_ح_مرداد[[#This Row],[دستمزد روزانه ]]),"")</f>
        <v/>
      </c>
      <c r="I158" s="91">
        <v>0</v>
      </c>
      <c r="J158" s="90" t="str">
        <f>IFERROR((ج_ح_مرداد[[#This Row],[دستمزد روزانه ]]/7.33)*1.4*ج_ح_مرداد[[#This Row],[مدت اضافه کاری ]],"")</f>
        <v/>
      </c>
      <c r="K158" s="89" t="str">
        <f>IF(ج_ح_مرداد[[#This Row],[کارکرد]]="","",ج_ح_مرداد[[#This Row],[کارکرد]]/30*حق_مسکن)</f>
        <v/>
      </c>
      <c r="L158" s="91">
        <v>0</v>
      </c>
      <c r="M158" s="89">
        <f>IF(ج_ح_مرداد[[#This Row],[تعداد فرزندان]]="","",ج_ح_مرداد[[#This Row],[کارکرد]]/31*3*ج_ح_مرداد[[#This Row],[تعداد فرزندان]]*حداقل_حقوق_پایه_روزانه)</f>
        <v>0</v>
      </c>
      <c r="N158" s="89" t="str">
        <f>IF(ج_ح_مرداد[[#This Row],[کارکرد]]="","",ج_ح_مرداد[[#This Row],[کارکرد]]/30*حق_خواربار)</f>
        <v/>
      </c>
      <c r="O158" s="89" t="str">
        <f>IFERROR(ج_ح_مرداد[[#This Row],[حقوق پایه]]+ج_ح_مرداد[[#This Row],[اضافه کاری]]+ج_ح_مرداد[[#This Row],[حق مسکن]]+ج_ح_مرداد[[#This Row],[حق اولاد]]+ج_ح_مرداد[[#This Row],[حق و خواروبار]],"")</f>
        <v/>
      </c>
      <c r="P158"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58"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58" s="91">
        <v>0</v>
      </c>
      <c r="S158" s="91">
        <v>0</v>
      </c>
      <c r="T158" s="89" t="str">
        <f>IFERROR(ج_ح_مرداد[[#This Row],[جمع ح و م م بیمه ]]*7%,"")</f>
        <v/>
      </c>
      <c r="U158"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58" s="89" t="str">
        <f>IFERROR(ج_ح_مرداد[[#This Row],[وام]]+ج_ح_مرداد[[#This Row],[مساعده]]+ج_ح_مرداد[[#This Row],[بیمه پرداختنی]]+ج_ح_مرداد[[#This Row],[مالیات پرداختنی]],"")</f>
        <v/>
      </c>
      <c r="W158" s="89" t="str">
        <f>IFERROR(ج_ح_مرداد[[#This Row],[جمع ح و م]]-ج_ح_مرداد[[#This Row],[جمع کسورات]],"")</f>
        <v/>
      </c>
      <c r="X158" s="108" t="e">
        <f>50000000-ج_ح_مرداد[[#This Row],[جمع ح و م م مالیات]]</f>
        <v>#VALUE!</v>
      </c>
    </row>
    <row r="159" spans="1:24" ht="32.1" customHeight="1">
      <c r="B159" s="1">
        <f t="shared" si="3"/>
        <v>5</v>
      </c>
      <c r="C159" s="85" t="str">
        <f>IF(ج_ح_مرداد[[#This Row],[نام]]&lt;&gt;"",ROW()-155+1,"")</f>
        <v/>
      </c>
      <c r="D159" s="86"/>
      <c r="E159" s="86"/>
      <c r="F159" s="87"/>
      <c r="G159" s="88" t="str">
        <f>IFERROR(IF(COUNT(ج_ح_مرداد[[#This Row],[کارکرد]]),حداقل_حقوق_پایه_روزانه,""),"")</f>
        <v/>
      </c>
      <c r="H159" s="89" t="str">
        <f>IFERROR(IF(ج_ح_مرداد[[#This Row],[کارکرد]]*ج_ح_مرداد[[#This Row],[دستمزد روزانه ]]=0,"",ج_ح_مرداد[[#This Row],[کارکرد]]*ج_ح_مرداد[[#This Row],[دستمزد روزانه ]]),"")</f>
        <v/>
      </c>
      <c r="I159" s="91"/>
      <c r="J159" s="90" t="str">
        <f>IFERROR((ج_ح_مرداد[[#This Row],[دستمزد روزانه ]]/7.33)*1.4*ج_ح_مرداد[[#This Row],[مدت اضافه کاری ]],"")</f>
        <v/>
      </c>
      <c r="K159" s="89" t="str">
        <f>IF(ج_ح_مرداد[[#This Row],[کارکرد]]="","",ج_ح_مرداد[[#This Row],[کارکرد]]/31*حق_مسکن)</f>
        <v/>
      </c>
      <c r="L159" s="91"/>
      <c r="M159" s="89" t="str">
        <f>IF(ج_ح_مرداد[[#This Row],[تعداد فرزندان]]="","",ج_ح_مرداد[[#This Row],[کارکرد]]/31*3*ج_ح_مرداد[[#This Row],[تعداد فرزندان]]*حداقل_حقوق_پایه_روزانه)</f>
        <v/>
      </c>
      <c r="N159" s="89" t="str">
        <f>IF(ج_ح_مرداد[[#This Row],[کارکرد]]="","",ج_ح_مرداد[[#This Row],[کارکرد]]/31*حق_خواربار)</f>
        <v/>
      </c>
      <c r="O159" s="89" t="str">
        <f>IFERROR(ج_ح_مرداد[[#This Row],[حقوق پایه]]+ج_ح_مرداد[[#This Row],[اضافه کاری]]+ج_ح_مرداد[[#This Row],[حق مسکن]]+ج_ح_مرداد[[#This Row],[حق اولاد]]+ج_ح_مرداد[[#This Row],[حق و خواروبار]],"")</f>
        <v/>
      </c>
      <c r="P159"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59"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59" s="91"/>
      <c r="S159" s="91"/>
      <c r="T159" s="89" t="str">
        <f>IFERROR(ج_ح_مرداد[[#This Row],[جمع ح و م م بیمه ]]*7%,"")</f>
        <v/>
      </c>
      <c r="U159"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59" s="89" t="str">
        <f>IFERROR(ج_ح_مرداد[[#This Row],[وام]]+ج_ح_مرداد[[#This Row],[مساعده]]+ج_ح_مرداد[[#This Row],[بیمه پرداختنی]]+ج_ح_مرداد[[#This Row],[مالیات پرداختنی]],"")</f>
        <v/>
      </c>
      <c r="W159" s="89" t="str">
        <f>IFERROR(ج_ح_مرداد[[#This Row],[جمع ح و م]]-ج_ح_مرداد[[#This Row],[جمع کسورات]],"")</f>
        <v/>
      </c>
      <c r="X159" s="108"/>
    </row>
    <row r="160" spans="1:24" ht="32.1" customHeight="1">
      <c r="B160" s="1">
        <f t="shared" si="3"/>
        <v>5</v>
      </c>
      <c r="C160" s="85" t="str">
        <f>IF(ج_ح_مرداد[[#This Row],[نام]]&lt;&gt;"",ROW()-155+1,"")</f>
        <v/>
      </c>
      <c r="D160" s="86"/>
      <c r="E160" s="86"/>
      <c r="F160" s="87"/>
      <c r="G160" s="88" t="str">
        <f>IFERROR(IF(COUNT(ج_ح_مرداد[[#This Row],[کارکرد]]),حداقل_حقوق_پایه_روزانه,""),"")</f>
        <v/>
      </c>
      <c r="H160" s="89" t="str">
        <f>IFERROR(IF(ج_ح_مرداد[[#This Row],[کارکرد]]*ج_ح_مرداد[[#This Row],[دستمزد روزانه ]]=0,"",ج_ح_مرداد[[#This Row],[کارکرد]]*ج_ح_مرداد[[#This Row],[دستمزد روزانه ]]),"")</f>
        <v/>
      </c>
      <c r="I160" s="91"/>
      <c r="J160" s="90" t="str">
        <f>IFERROR((ج_ح_مرداد[[#This Row],[دستمزد روزانه ]]/7.33)*1.4*ج_ح_مرداد[[#This Row],[مدت اضافه کاری ]],"")</f>
        <v/>
      </c>
      <c r="K160" s="89" t="str">
        <f>IF(ج_ح_مرداد[[#This Row],[کارکرد]]="","",ج_ح_مرداد[[#This Row],[کارکرد]]/31*حق_مسکن)</f>
        <v/>
      </c>
      <c r="L160" s="91"/>
      <c r="M160" s="89" t="str">
        <f>IF(ج_ح_مرداد[[#This Row],[تعداد فرزندان]]="","",ج_ح_مرداد[[#This Row],[کارکرد]]/31*3*ج_ح_مرداد[[#This Row],[تعداد فرزندان]]*حداقل_حقوق_پایه_روزانه)</f>
        <v/>
      </c>
      <c r="N160" s="89" t="str">
        <f>IF(ج_ح_مرداد[[#This Row],[کارکرد]]="","",ج_ح_مرداد[[#This Row],[کارکرد]]/31*حق_خواربار)</f>
        <v/>
      </c>
      <c r="O160" s="89" t="str">
        <f>IFERROR(ج_ح_مرداد[[#This Row],[حقوق پایه]]+ج_ح_مرداد[[#This Row],[اضافه کاری]]+ج_ح_مرداد[[#This Row],[حق مسکن]]+ج_ح_مرداد[[#This Row],[حق اولاد]]+ج_ح_مرداد[[#This Row],[حق و خواروبار]],"")</f>
        <v/>
      </c>
      <c r="P160"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60"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60" s="91"/>
      <c r="S160" s="91"/>
      <c r="T160" s="89" t="str">
        <f>IFERROR(ج_ح_مرداد[[#This Row],[جمع ح و م م بیمه ]]*7%,"")</f>
        <v/>
      </c>
      <c r="U160"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60" s="89" t="str">
        <f>IFERROR(ج_ح_مرداد[[#This Row],[وام]]+ج_ح_مرداد[[#This Row],[مساعده]]+ج_ح_مرداد[[#This Row],[بیمه پرداختنی]]+ج_ح_مرداد[[#This Row],[مالیات پرداختنی]],"")</f>
        <v/>
      </c>
      <c r="W160" s="89" t="str">
        <f>IFERROR(ج_ح_مرداد[[#This Row],[جمع ح و م]]-ج_ح_مرداد[[#This Row],[جمع کسورات]],"")</f>
        <v/>
      </c>
      <c r="X160" s="108"/>
    </row>
    <row r="161" spans="2:24" ht="32.1" customHeight="1">
      <c r="B161" s="1">
        <f t="shared" si="3"/>
        <v>5</v>
      </c>
      <c r="C161" s="85" t="str">
        <f>IF(ج_ح_مرداد[[#This Row],[نام]]&lt;&gt;"",ROW()-155+1,"")</f>
        <v/>
      </c>
      <c r="D161" s="86"/>
      <c r="E161" s="86"/>
      <c r="F161" s="87"/>
      <c r="G161" s="88" t="str">
        <f>IFERROR(IF(COUNT(ج_ح_مرداد[[#This Row],[کارکرد]]),حداقل_حقوق_پایه_روزانه,""),"")</f>
        <v/>
      </c>
      <c r="H161" s="89" t="str">
        <f>IFERROR(IF(ج_ح_مرداد[[#This Row],[کارکرد]]*ج_ح_مرداد[[#This Row],[دستمزد روزانه ]]=0,"",ج_ح_مرداد[[#This Row],[کارکرد]]*ج_ح_مرداد[[#This Row],[دستمزد روزانه ]]),"")</f>
        <v/>
      </c>
      <c r="I161" s="91"/>
      <c r="J161" s="90" t="str">
        <f>IFERROR((ج_ح_مرداد[[#This Row],[دستمزد روزانه ]]/7.33)*1.4*ج_ح_مرداد[[#This Row],[مدت اضافه کاری ]],"")</f>
        <v/>
      </c>
      <c r="K161" s="89" t="str">
        <f>IF(ج_ح_مرداد[[#This Row],[کارکرد]]="","",ج_ح_مرداد[[#This Row],[کارکرد]]/31*حق_مسکن)</f>
        <v/>
      </c>
      <c r="L161" s="91"/>
      <c r="M161" s="89" t="str">
        <f>IF(ج_ح_مرداد[[#This Row],[تعداد فرزندان]]="","",ج_ح_مرداد[[#This Row],[کارکرد]]/31*3*ج_ح_مرداد[[#This Row],[تعداد فرزندان]]*حداقل_حقوق_پایه_روزانه)</f>
        <v/>
      </c>
      <c r="N161" s="89" t="str">
        <f>IF(ج_ح_مرداد[[#This Row],[کارکرد]]="","",ج_ح_مرداد[[#This Row],[کارکرد]]/31*حق_خواربار)</f>
        <v/>
      </c>
      <c r="O161" s="89" t="str">
        <f>IFERROR(ج_ح_مرداد[[#This Row],[حقوق پایه]]+ج_ح_مرداد[[#This Row],[اضافه کاری]]+ج_ح_مرداد[[#This Row],[حق مسکن]]+ج_ح_مرداد[[#This Row],[حق اولاد]]+ج_ح_مرداد[[#This Row],[حق و خواروبار]],"")</f>
        <v/>
      </c>
      <c r="P161"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61"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61" s="91"/>
      <c r="S161" s="91"/>
      <c r="T161" s="89" t="str">
        <f>IFERROR(ج_ح_مرداد[[#This Row],[جمع ح و م م بیمه ]]*7%,"")</f>
        <v/>
      </c>
      <c r="U161"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61" s="89" t="str">
        <f>IFERROR(ج_ح_مرداد[[#This Row],[وام]]+ج_ح_مرداد[[#This Row],[مساعده]]+ج_ح_مرداد[[#This Row],[بیمه پرداختنی]]+ج_ح_مرداد[[#This Row],[مالیات پرداختنی]],"")</f>
        <v/>
      </c>
      <c r="W161" s="89" t="str">
        <f>IFERROR(ج_ح_مرداد[[#This Row],[جمع ح و م]]-ج_ح_مرداد[[#This Row],[جمع کسورات]],"")</f>
        <v/>
      </c>
      <c r="X161" s="108"/>
    </row>
    <row r="162" spans="2:24" ht="32.1" customHeight="1">
      <c r="B162" s="1">
        <f t="shared" si="3"/>
        <v>5</v>
      </c>
      <c r="C162" s="85" t="str">
        <f>IF(ج_ح_مرداد[[#This Row],[نام]]&lt;&gt;"",ROW()-155+1,"")</f>
        <v/>
      </c>
      <c r="D162" s="86"/>
      <c r="E162" s="86"/>
      <c r="F162" s="87"/>
      <c r="G162" s="88" t="str">
        <f>IFERROR(IF(COUNT(ج_ح_مرداد[[#This Row],[کارکرد]]),حداقل_حقوق_پایه_روزانه,""),"")</f>
        <v/>
      </c>
      <c r="H162" s="89" t="str">
        <f>IFERROR(IF(ج_ح_مرداد[[#This Row],[کارکرد]]*ج_ح_مرداد[[#This Row],[دستمزد روزانه ]]=0,"",ج_ح_مرداد[[#This Row],[کارکرد]]*ج_ح_مرداد[[#This Row],[دستمزد روزانه ]]),"")</f>
        <v/>
      </c>
      <c r="I162" s="91"/>
      <c r="J162" s="90" t="str">
        <f>IFERROR((ج_ح_مرداد[[#This Row],[دستمزد روزانه ]]/7.33)*1.4*ج_ح_مرداد[[#This Row],[مدت اضافه کاری ]],"")</f>
        <v/>
      </c>
      <c r="K162" s="89" t="str">
        <f>IF(ج_ح_مرداد[[#This Row],[کارکرد]]="","",ج_ح_مرداد[[#This Row],[کارکرد]]/31*حق_مسکن)</f>
        <v/>
      </c>
      <c r="L162" s="91"/>
      <c r="M162" s="89" t="str">
        <f>IF(ج_ح_مرداد[[#This Row],[تعداد فرزندان]]="","",ج_ح_مرداد[[#This Row],[کارکرد]]/31*3*ج_ح_مرداد[[#This Row],[تعداد فرزندان]]*حداقل_حقوق_پایه_روزانه)</f>
        <v/>
      </c>
      <c r="N162" s="89" t="str">
        <f>IF(ج_ح_مرداد[[#This Row],[کارکرد]]="","",ج_ح_مرداد[[#This Row],[کارکرد]]/31*حق_خواربار)</f>
        <v/>
      </c>
      <c r="O162" s="89" t="str">
        <f>IFERROR(ج_ح_مرداد[[#This Row],[حقوق پایه]]+ج_ح_مرداد[[#This Row],[اضافه کاری]]+ج_ح_مرداد[[#This Row],[حق مسکن]]+ج_ح_مرداد[[#This Row],[حق اولاد]]+ج_ح_مرداد[[#This Row],[حق و خواروبار]],"")</f>
        <v/>
      </c>
      <c r="P162"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62"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62" s="91"/>
      <c r="S162" s="91"/>
      <c r="T162" s="89" t="str">
        <f>IFERROR(ج_ح_مرداد[[#This Row],[جمع ح و م م بیمه ]]*7%,"")</f>
        <v/>
      </c>
      <c r="U162"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62" s="89" t="str">
        <f>IFERROR(ج_ح_مرداد[[#This Row],[وام]]+ج_ح_مرداد[[#This Row],[مساعده]]+ج_ح_مرداد[[#This Row],[بیمه پرداختنی]]+ج_ح_مرداد[[#This Row],[مالیات پرداختنی]],"")</f>
        <v/>
      </c>
      <c r="W162" s="89" t="str">
        <f>IFERROR(ج_ح_مرداد[[#This Row],[جمع ح و م]]-ج_ح_مرداد[[#This Row],[جمع کسورات]],"")</f>
        <v/>
      </c>
      <c r="X162" s="108"/>
    </row>
    <row r="163" spans="2:24" ht="32.1" customHeight="1">
      <c r="B163" s="1">
        <f t="shared" si="3"/>
        <v>5</v>
      </c>
      <c r="C163" s="85" t="str">
        <f>IF(ج_ح_مرداد[[#This Row],[نام]]&lt;&gt;"",ROW()-155+1,"")</f>
        <v/>
      </c>
      <c r="D163" s="86"/>
      <c r="E163" s="86"/>
      <c r="F163" s="87"/>
      <c r="G163" s="88" t="str">
        <f>IFERROR(IF(COUNT(ج_ح_مرداد[[#This Row],[کارکرد]]),حداقل_حقوق_پایه_روزانه,""),"")</f>
        <v/>
      </c>
      <c r="H163" s="89" t="str">
        <f>IFERROR(IF(ج_ح_مرداد[[#This Row],[کارکرد]]*ج_ح_مرداد[[#This Row],[دستمزد روزانه ]]=0,"",ج_ح_مرداد[[#This Row],[کارکرد]]*ج_ح_مرداد[[#This Row],[دستمزد روزانه ]]),"")</f>
        <v/>
      </c>
      <c r="I163" s="91"/>
      <c r="J163" s="90" t="str">
        <f>IFERROR((ج_ح_مرداد[[#This Row],[دستمزد روزانه ]]/7.33)*1.4*ج_ح_مرداد[[#This Row],[مدت اضافه کاری ]],"")</f>
        <v/>
      </c>
      <c r="K163" s="89" t="str">
        <f>IF(ج_ح_مرداد[[#This Row],[کارکرد]]="","",ج_ح_مرداد[[#This Row],[کارکرد]]/31*حق_مسکن)</f>
        <v/>
      </c>
      <c r="L163" s="91"/>
      <c r="M163" s="89" t="str">
        <f>IF(ج_ح_مرداد[[#This Row],[تعداد فرزندان]]="","",ج_ح_مرداد[[#This Row],[کارکرد]]/31*3*ج_ح_مرداد[[#This Row],[تعداد فرزندان]]*حداقل_حقوق_پایه_روزانه)</f>
        <v/>
      </c>
      <c r="N163" s="89" t="str">
        <f>IF(ج_ح_مرداد[[#This Row],[کارکرد]]="","",ج_ح_مرداد[[#This Row],[کارکرد]]/31*حق_خواربار)</f>
        <v/>
      </c>
      <c r="O163" s="89" t="str">
        <f>IFERROR(ج_ح_مرداد[[#This Row],[حقوق پایه]]+ج_ح_مرداد[[#This Row],[اضافه کاری]]+ج_ح_مرداد[[#This Row],[حق مسکن]]+ج_ح_مرداد[[#This Row],[حق اولاد]]+ج_ح_مرداد[[#This Row],[حق و خواروبار]],"")</f>
        <v/>
      </c>
      <c r="P163"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63"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63" s="91"/>
      <c r="S163" s="91"/>
      <c r="T163" s="89" t="str">
        <f>IFERROR(ج_ح_مرداد[[#This Row],[جمع ح و م م بیمه ]]*7%,"")</f>
        <v/>
      </c>
      <c r="U163"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63" s="89" t="str">
        <f>IFERROR(ج_ح_مرداد[[#This Row],[وام]]+ج_ح_مرداد[[#This Row],[مساعده]]+ج_ح_مرداد[[#This Row],[بیمه پرداختنی]]+ج_ح_مرداد[[#This Row],[مالیات پرداختنی]],"")</f>
        <v/>
      </c>
      <c r="W163" s="89" t="str">
        <f>IFERROR(ج_ح_مرداد[[#This Row],[جمع ح و م]]-ج_ح_مرداد[[#This Row],[جمع کسورات]],"")</f>
        <v/>
      </c>
      <c r="X163" s="108"/>
    </row>
    <row r="164" spans="2:24" ht="32.1" customHeight="1">
      <c r="B164" s="1">
        <f t="shared" si="3"/>
        <v>5</v>
      </c>
      <c r="C164" s="85" t="str">
        <f>IF(ج_ح_مرداد[[#This Row],[نام]]&lt;&gt;"",ROW()-155+1,"")</f>
        <v/>
      </c>
      <c r="D164" s="86"/>
      <c r="E164" s="86"/>
      <c r="F164" s="87"/>
      <c r="G164" s="88" t="str">
        <f>IFERROR(IF(COUNT(ج_ح_مرداد[[#This Row],[کارکرد]]),حداقل_حقوق_پایه_روزانه,""),"")</f>
        <v/>
      </c>
      <c r="H164" s="89" t="str">
        <f>IFERROR(IF(ج_ح_مرداد[[#This Row],[کارکرد]]*ج_ح_مرداد[[#This Row],[دستمزد روزانه ]]=0,"",ج_ح_مرداد[[#This Row],[کارکرد]]*ج_ح_مرداد[[#This Row],[دستمزد روزانه ]]),"")</f>
        <v/>
      </c>
      <c r="I164" s="91"/>
      <c r="J164" s="90" t="str">
        <f>IFERROR((ج_ح_مرداد[[#This Row],[دستمزد روزانه ]]/7.33)*1.4*ج_ح_مرداد[[#This Row],[مدت اضافه کاری ]],"")</f>
        <v/>
      </c>
      <c r="K164" s="89" t="str">
        <f>IF(ج_ح_مرداد[[#This Row],[کارکرد]]="","",ج_ح_مرداد[[#This Row],[کارکرد]]/31*حق_مسکن)</f>
        <v/>
      </c>
      <c r="L164" s="91"/>
      <c r="M164" s="89" t="str">
        <f>IF(ج_ح_مرداد[[#This Row],[تعداد فرزندان]]="","",ج_ح_مرداد[[#This Row],[کارکرد]]/31*3*ج_ح_مرداد[[#This Row],[تعداد فرزندان]]*حداقل_حقوق_پایه_روزانه)</f>
        <v/>
      </c>
      <c r="N164" s="89" t="str">
        <f>IF(ج_ح_مرداد[[#This Row],[کارکرد]]="","",ج_ح_مرداد[[#This Row],[کارکرد]]/31*حق_خواربار)</f>
        <v/>
      </c>
      <c r="O164" s="89" t="str">
        <f>IFERROR(ج_ح_مرداد[[#This Row],[حقوق پایه]]+ج_ح_مرداد[[#This Row],[اضافه کاری]]+ج_ح_مرداد[[#This Row],[حق مسکن]]+ج_ح_مرداد[[#This Row],[حق اولاد]]+ج_ح_مرداد[[#This Row],[حق و خواروبار]],"")</f>
        <v/>
      </c>
      <c r="P164"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64"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64" s="91"/>
      <c r="S164" s="91"/>
      <c r="T164" s="89" t="str">
        <f>IFERROR(ج_ح_مرداد[[#This Row],[جمع ح و م م بیمه ]]*7%,"")</f>
        <v/>
      </c>
      <c r="U164"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64" s="89" t="str">
        <f>IFERROR(ج_ح_مرداد[[#This Row],[وام]]+ج_ح_مرداد[[#This Row],[مساعده]]+ج_ح_مرداد[[#This Row],[بیمه پرداختنی]]+ج_ح_مرداد[[#This Row],[مالیات پرداختنی]],"")</f>
        <v/>
      </c>
      <c r="W164" s="89" t="str">
        <f>IFERROR(ج_ح_مرداد[[#This Row],[جمع ح و م]]-ج_ح_مرداد[[#This Row],[جمع کسورات]],"")</f>
        <v/>
      </c>
      <c r="X164" s="108"/>
    </row>
    <row r="165" spans="2:24" ht="32.1" customHeight="1">
      <c r="B165" s="1">
        <f t="shared" si="3"/>
        <v>5</v>
      </c>
      <c r="C165" s="85" t="str">
        <f>IF(ج_ح_مرداد[[#This Row],[نام]]&lt;&gt;"",ROW()-155+1,"")</f>
        <v/>
      </c>
      <c r="D165" s="86"/>
      <c r="E165" s="86"/>
      <c r="F165" s="87"/>
      <c r="G165" s="88" t="str">
        <f>IFERROR(IF(COUNT(ج_ح_مرداد[[#This Row],[کارکرد]]),حداقل_حقوق_پایه_روزانه,""),"")</f>
        <v/>
      </c>
      <c r="H165" s="89" t="str">
        <f>IFERROR(IF(ج_ح_مرداد[[#This Row],[کارکرد]]*ج_ح_مرداد[[#This Row],[دستمزد روزانه ]]=0,"",ج_ح_مرداد[[#This Row],[کارکرد]]*ج_ح_مرداد[[#This Row],[دستمزد روزانه ]]),"")</f>
        <v/>
      </c>
      <c r="I165" s="91"/>
      <c r="J165" s="90" t="str">
        <f>IFERROR((ج_ح_مرداد[[#This Row],[دستمزد روزانه ]]/7.33)*1.4*ج_ح_مرداد[[#This Row],[مدت اضافه کاری ]],"")</f>
        <v/>
      </c>
      <c r="K165" s="89" t="str">
        <f>IF(ج_ح_مرداد[[#This Row],[کارکرد]]="","",ج_ح_مرداد[[#This Row],[کارکرد]]/31*حق_مسکن)</f>
        <v/>
      </c>
      <c r="L165" s="91"/>
      <c r="M165" s="89" t="str">
        <f>IF(ج_ح_مرداد[[#This Row],[تعداد فرزندان]]="","",ج_ح_مرداد[[#This Row],[کارکرد]]/31*3*ج_ح_مرداد[[#This Row],[تعداد فرزندان]]*حداقل_حقوق_پایه_روزانه)</f>
        <v/>
      </c>
      <c r="N165" s="89" t="str">
        <f>IF(ج_ح_مرداد[[#This Row],[کارکرد]]="","",ج_ح_مرداد[[#This Row],[کارکرد]]/31*حق_خواربار)</f>
        <v/>
      </c>
      <c r="O165" s="89" t="str">
        <f>IFERROR(ج_ح_مرداد[[#This Row],[حقوق پایه]]+ج_ح_مرداد[[#This Row],[اضافه کاری]]+ج_ح_مرداد[[#This Row],[حق مسکن]]+ج_ح_مرداد[[#This Row],[حق اولاد]]+ج_ح_مرداد[[#This Row],[حق و خواروبار]],"")</f>
        <v/>
      </c>
      <c r="P165"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65"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65" s="91"/>
      <c r="S165" s="91"/>
      <c r="T165" s="89" t="str">
        <f>IFERROR(ج_ح_مرداد[[#This Row],[جمع ح و م م بیمه ]]*7%,"")</f>
        <v/>
      </c>
      <c r="U165"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65" s="89" t="str">
        <f>IFERROR(ج_ح_مرداد[[#This Row],[وام]]+ج_ح_مرداد[[#This Row],[مساعده]]+ج_ح_مرداد[[#This Row],[بیمه پرداختنی]]+ج_ح_مرداد[[#This Row],[مالیات پرداختنی]],"")</f>
        <v/>
      </c>
      <c r="W165" s="89" t="str">
        <f>IFERROR(ج_ح_مرداد[[#This Row],[جمع ح و م]]-ج_ح_مرداد[[#This Row],[جمع کسورات]],"")</f>
        <v/>
      </c>
      <c r="X165" s="108"/>
    </row>
    <row r="166" spans="2:24" ht="32.1" customHeight="1">
      <c r="B166" s="1">
        <f t="shared" si="3"/>
        <v>5</v>
      </c>
      <c r="C166" s="85" t="str">
        <f>IF(ج_ح_مرداد[[#This Row],[نام]]&lt;&gt;"",ROW()-155+1,"")</f>
        <v/>
      </c>
      <c r="D166" s="86"/>
      <c r="E166" s="86"/>
      <c r="F166" s="87"/>
      <c r="G166" s="88" t="str">
        <f>IFERROR(IF(COUNT(ج_ح_مرداد[[#This Row],[کارکرد]]),حداقل_حقوق_پایه_روزانه,""),"")</f>
        <v/>
      </c>
      <c r="H166" s="89" t="str">
        <f>IFERROR(IF(ج_ح_مرداد[[#This Row],[کارکرد]]*ج_ح_مرداد[[#This Row],[دستمزد روزانه ]]=0,"",ج_ح_مرداد[[#This Row],[کارکرد]]*ج_ح_مرداد[[#This Row],[دستمزد روزانه ]]),"")</f>
        <v/>
      </c>
      <c r="I166" s="91"/>
      <c r="J166" s="90" t="str">
        <f>IFERROR((ج_ح_مرداد[[#This Row],[دستمزد روزانه ]]/7.33)*1.4*ج_ح_مرداد[[#This Row],[مدت اضافه کاری ]],"")</f>
        <v/>
      </c>
      <c r="K166" s="89" t="str">
        <f>IF(ج_ح_مرداد[[#This Row],[کارکرد]]="","",ج_ح_مرداد[[#This Row],[کارکرد]]/31*حق_مسکن)</f>
        <v/>
      </c>
      <c r="L166" s="91"/>
      <c r="M166" s="89" t="str">
        <f>IF(ج_ح_مرداد[[#This Row],[تعداد فرزندان]]="","",ج_ح_مرداد[[#This Row],[کارکرد]]/31*3*ج_ح_مرداد[[#This Row],[تعداد فرزندان]]*حداقل_حقوق_پایه_روزانه)</f>
        <v/>
      </c>
      <c r="N166" s="89" t="str">
        <f>IF(ج_ح_مرداد[[#This Row],[کارکرد]]="","",ج_ح_مرداد[[#This Row],[کارکرد]]/31*حق_خواربار)</f>
        <v/>
      </c>
      <c r="O166" s="89" t="str">
        <f>IFERROR(ج_ح_مرداد[[#This Row],[حقوق پایه]]+ج_ح_مرداد[[#This Row],[اضافه کاری]]+ج_ح_مرداد[[#This Row],[حق مسکن]]+ج_ح_مرداد[[#This Row],[حق اولاد]]+ج_ح_مرداد[[#This Row],[حق و خواروبار]],"")</f>
        <v/>
      </c>
      <c r="P166"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66"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66" s="91"/>
      <c r="S166" s="91"/>
      <c r="T166" s="89" t="str">
        <f>IFERROR(ج_ح_مرداد[[#This Row],[جمع ح و م م بیمه ]]*7%,"")</f>
        <v/>
      </c>
      <c r="U166"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66" s="89" t="str">
        <f>IFERROR(ج_ح_مرداد[[#This Row],[وام]]+ج_ح_مرداد[[#This Row],[مساعده]]+ج_ح_مرداد[[#This Row],[بیمه پرداختنی]]+ج_ح_مرداد[[#This Row],[مالیات پرداختنی]],"")</f>
        <v/>
      </c>
      <c r="W166" s="89" t="str">
        <f>IFERROR(ج_ح_مرداد[[#This Row],[جمع ح و م]]-ج_ح_مرداد[[#This Row],[جمع کسورات]],"")</f>
        <v/>
      </c>
      <c r="X166" s="108"/>
    </row>
    <row r="167" spans="2:24" ht="32.1" customHeight="1">
      <c r="B167" s="1">
        <f t="shared" si="3"/>
        <v>5</v>
      </c>
      <c r="C167" s="85" t="str">
        <f>IF(ج_ح_مرداد[[#This Row],[نام]]&lt;&gt;"",ROW()-155+1,"")</f>
        <v/>
      </c>
      <c r="D167" s="86"/>
      <c r="E167" s="86"/>
      <c r="F167" s="87"/>
      <c r="G167" s="88" t="str">
        <f>IFERROR(IF(COUNT(ج_ح_مرداد[[#This Row],[کارکرد]]),حداقل_حقوق_پایه_روزانه,""),"")</f>
        <v/>
      </c>
      <c r="H167" s="89" t="str">
        <f>IFERROR(IF(ج_ح_مرداد[[#This Row],[کارکرد]]*ج_ح_مرداد[[#This Row],[دستمزد روزانه ]]=0,"",ج_ح_مرداد[[#This Row],[کارکرد]]*ج_ح_مرداد[[#This Row],[دستمزد روزانه ]]),"")</f>
        <v/>
      </c>
      <c r="I167" s="91"/>
      <c r="J167" s="90" t="str">
        <f>IFERROR((ج_ح_مرداد[[#This Row],[دستمزد روزانه ]]/7.33)*1.4*ج_ح_مرداد[[#This Row],[مدت اضافه کاری ]],"")</f>
        <v/>
      </c>
      <c r="K167" s="89" t="str">
        <f>IF(ج_ح_مرداد[[#This Row],[کارکرد]]="","",ج_ح_مرداد[[#This Row],[کارکرد]]/31*حق_مسکن)</f>
        <v/>
      </c>
      <c r="L167" s="91"/>
      <c r="M167" s="89" t="str">
        <f>IF(ج_ح_مرداد[[#This Row],[تعداد فرزندان]]="","",ج_ح_مرداد[[#This Row],[کارکرد]]/31*3*ج_ح_مرداد[[#This Row],[تعداد فرزندان]]*حداقل_حقوق_پایه_روزانه)</f>
        <v/>
      </c>
      <c r="N167" s="89" t="str">
        <f>IF(ج_ح_مرداد[[#This Row],[کارکرد]]="","",ج_ح_مرداد[[#This Row],[کارکرد]]/31*حق_خواربار)</f>
        <v/>
      </c>
      <c r="O167" s="89" t="str">
        <f>IFERROR(ج_ح_مرداد[[#This Row],[حقوق پایه]]+ج_ح_مرداد[[#This Row],[اضافه کاری]]+ج_ح_مرداد[[#This Row],[حق مسکن]]+ج_ح_مرداد[[#This Row],[حق اولاد]]+ج_ح_مرداد[[#This Row],[حق و خواروبار]],"")</f>
        <v/>
      </c>
      <c r="P167"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67"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67" s="91"/>
      <c r="S167" s="91"/>
      <c r="T167" s="89" t="str">
        <f>IFERROR(ج_ح_مرداد[[#This Row],[جمع ح و م م بیمه ]]*7%,"")</f>
        <v/>
      </c>
      <c r="U167"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67" s="89" t="str">
        <f>IFERROR(ج_ح_مرداد[[#This Row],[وام]]+ج_ح_مرداد[[#This Row],[مساعده]]+ج_ح_مرداد[[#This Row],[بیمه پرداختنی]]+ج_ح_مرداد[[#This Row],[مالیات پرداختنی]],"")</f>
        <v/>
      </c>
      <c r="W167" s="89" t="str">
        <f>IFERROR(ج_ح_مرداد[[#This Row],[جمع ح و م]]-ج_ح_مرداد[[#This Row],[جمع کسورات]],"")</f>
        <v/>
      </c>
      <c r="X167" s="108"/>
    </row>
    <row r="168" spans="2:24" ht="32.1" customHeight="1">
      <c r="B168" s="1">
        <f t="shared" si="3"/>
        <v>5</v>
      </c>
      <c r="C168" s="85" t="str">
        <f>IF(ج_ح_مرداد[[#This Row],[نام]]&lt;&gt;"",ROW()-155+1,"")</f>
        <v/>
      </c>
      <c r="D168" s="86"/>
      <c r="E168" s="86"/>
      <c r="F168" s="87"/>
      <c r="G168" s="88" t="str">
        <f>IFERROR(IF(COUNT(ج_ح_مرداد[[#This Row],[کارکرد]]),حداقل_حقوق_پایه_روزانه,""),"")</f>
        <v/>
      </c>
      <c r="H168" s="89" t="str">
        <f>IFERROR(IF(ج_ح_مرداد[[#This Row],[کارکرد]]*ج_ح_مرداد[[#This Row],[دستمزد روزانه ]]=0,"",ج_ح_مرداد[[#This Row],[کارکرد]]*ج_ح_مرداد[[#This Row],[دستمزد روزانه ]]),"")</f>
        <v/>
      </c>
      <c r="I168" s="91"/>
      <c r="J168" s="90" t="str">
        <f>IFERROR((ج_ح_مرداد[[#This Row],[دستمزد روزانه ]]/7.33)*1.4*ج_ح_مرداد[[#This Row],[مدت اضافه کاری ]],"")</f>
        <v/>
      </c>
      <c r="K168" s="89" t="str">
        <f>IF(ج_ح_مرداد[[#This Row],[کارکرد]]="","",ج_ح_مرداد[[#This Row],[کارکرد]]/31*حق_مسکن)</f>
        <v/>
      </c>
      <c r="L168" s="91"/>
      <c r="M168" s="89" t="str">
        <f>IF(ج_ح_مرداد[[#This Row],[تعداد فرزندان]]="","",ج_ح_مرداد[[#This Row],[کارکرد]]/31*3*ج_ح_مرداد[[#This Row],[تعداد فرزندان]]*حداقل_حقوق_پایه_روزانه)</f>
        <v/>
      </c>
      <c r="N168" s="89" t="str">
        <f>IF(ج_ح_مرداد[[#This Row],[کارکرد]]="","",ج_ح_مرداد[[#This Row],[کارکرد]]/31*حق_خواربار)</f>
        <v/>
      </c>
      <c r="O168" s="89" t="str">
        <f>IFERROR(ج_ح_مرداد[[#This Row],[حقوق پایه]]+ج_ح_مرداد[[#This Row],[اضافه کاری]]+ج_ح_مرداد[[#This Row],[حق مسکن]]+ج_ح_مرداد[[#This Row],[حق اولاد]]+ج_ح_مرداد[[#This Row],[حق و خواروبار]],"")</f>
        <v/>
      </c>
      <c r="P168"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68"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68" s="91"/>
      <c r="S168" s="91"/>
      <c r="T168" s="89" t="str">
        <f>IFERROR(ج_ح_مرداد[[#This Row],[جمع ح و م م بیمه ]]*7%,"")</f>
        <v/>
      </c>
      <c r="U168"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68" s="89" t="str">
        <f>IFERROR(ج_ح_مرداد[[#This Row],[وام]]+ج_ح_مرداد[[#This Row],[مساعده]]+ج_ح_مرداد[[#This Row],[بیمه پرداختنی]]+ج_ح_مرداد[[#This Row],[مالیات پرداختنی]],"")</f>
        <v/>
      </c>
      <c r="W168" s="89" t="str">
        <f>IFERROR(ج_ح_مرداد[[#This Row],[جمع ح و م]]-ج_ح_مرداد[[#This Row],[جمع کسورات]],"")</f>
        <v/>
      </c>
      <c r="X168" s="108"/>
    </row>
    <row r="169" spans="2:24" ht="32.1" customHeight="1">
      <c r="B169" s="1">
        <f t="shared" si="3"/>
        <v>5</v>
      </c>
      <c r="C169" s="85" t="str">
        <f>IF(ج_ح_مرداد[[#This Row],[نام]]&lt;&gt;"",ROW()-155+1,"")</f>
        <v/>
      </c>
      <c r="D169" s="86"/>
      <c r="E169" s="86"/>
      <c r="F169" s="87"/>
      <c r="G169" s="88" t="str">
        <f>IFERROR(IF(COUNT(ج_ح_مرداد[[#This Row],[کارکرد]]),حداقل_حقوق_پایه_روزانه,""),"")</f>
        <v/>
      </c>
      <c r="H169" s="89" t="str">
        <f>IFERROR(IF(ج_ح_مرداد[[#This Row],[کارکرد]]*ج_ح_مرداد[[#This Row],[دستمزد روزانه ]]=0,"",ج_ح_مرداد[[#This Row],[کارکرد]]*ج_ح_مرداد[[#This Row],[دستمزد روزانه ]]),"")</f>
        <v/>
      </c>
      <c r="I169" s="91"/>
      <c r="J169" s="90" t="str">
        <f>IFERROR((ج_ح_مرداد[[#This Row],[دستمزد روزانه ]]/7.33)*1.4*ج_ح_مرداد[[#This Row],[مدت اضافه کاری ]],"")</f>
        <v/>
      </c>
      <c r="K169" s="89" t="str">
        <f>IF(ج_ح_مرداد[[#This Row],[کارکرد]]="","",ج_ح_مرداد[[#This Row],[کارکرد]]/31*حق_مسکن)</f>
        <v/>
      </c>
      <c r="L169" s="91"/>
      <c r="M169" s="89" t="str">
        <f>IF(ج_ح_مرداد[[#This Row],[تعداد فرزندان]]="","",ج_ح_مرداد[[#This Row],[کارکرد]]/31*3*ج_ح_مرداد[[#This Row],[تعداد فرزندان]]*حداقل_حقوق_پایه_روزانه)</f>
        <v/>
      </c>
      <c r="N169" s="89" t="str">
        <f>IF(ج_ح_مرداد[[#This Row],[کارکرد]]="","",ج_ح_مرداد[[#This Row],[کارکرد]]/31*حق_خواربار)</f>
        <v/>
      </c>
      <c r="O169" s="89" t="str">
        <f>IFERROR(ج_ح_مرداد[[#This Row],[حقوق پایه]]+ج_ح_مرداد[[#This Row],[اضافه کاری]]+ج_ح_مرداد[[#This Row],[حق مسکن]]+ج_ح_مرداد[[#This Row],[حق اولاد]]+ج_ح_مرداد[[#This Row],[حق و خواروبار]],"")</f>
        <v/>
      </c>
      <c r="P169"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69"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69" s="91"/>
      <c r="S169" s="91"/>
      <c r="T169" s="89" t="str">
        <f>IFERROR(ج_ح_مرداد[[#This Row],[جمع ح و م م بیمه ]]*7%,"")</f>
        <v/>
      </c>
      <c r="U169"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69" s="89" t="str">
        <f>IFERROR(ج_ح_مرداد[[#This Row],[وام]]+ج_ح_مرداد[[#This Row],[مساعده]]+ج_ح_مرداد[[#This Row],[بیمه پرداختنی]]+ج_ح_مرداد[[#This Row],[مالیات پرداختنی]],"")</f>
        <v/>
      </c>
      <c r="W169" s="89" t="str">
        <f>IFERROR(ج_ح_مرداد[[#This Row],[جمع ح و م]]-ج_ح_مرداد[[#This Row],[جمع کسورات]],"")</f>
        <v/>
      </c>
      <c r="X169" s="108"/>
    </row>
    <row r="170" spans="2:24" ht="32.1" customHeight="1">
      <c r="B170" s="1">
        <f t="shared" si="3"/>
        <v>5</v>
      </c>
      <c r="C170" s="85" t="str">
        <f>IF(ج_ح_مرداد[[#This Row],[نام]]&lt;&gt;"",ROW()-155+1,"")</f>
        <v/>
      </c>
      <c r="D170" s="86"/>
      <c r="E170" s="86"/>
      <c r="F170" s="87"/>
      <c r="G170" s="88" t="str">
        <f>IFERROR(IF(COUNT(ج_ح_مرداد[[#This Row],[کارکرد]]),حداقل_حقوق_پایه_روزانه,""),"")</f>
        <v/>
      </c>
      <c r="H170" s="89" t="str">
        <f>IFERROR(IF(ج_ح_مرداد[[#This Row],[کارکرد]]*ج_ح_مرداد[[#This Row],[دستمزد روزانه ]]=0,"",ج_ح_مرداد[[#This Row],[کارکرد]]*ج_ح_مرداد[[#This Row],[دستمزد روزانه ]]),"")</f>
        <v/>
      </c>
      <c r="I170" s="91"/>
      <c r="J170" s="90" t="str">
        <f>IFERROR((ج_ح_مرداد[[#This Row],[دستمزد روزانه ]]/7.33)*1.4*ج_ح_مرداد[[#This Row],[مدت اضافه کاری ]],"")</f>
        <v/>
      </c>
      <c r="K170" s="89" t="str">
        <f>IF(ج_ح_مرداد[[#This Row],[کارکرد]]="","",ج_ح_مرداد[[#This Row],[کارکرد]]/31*حق_مسکن)</f>
        <v/>
      </c>
      <c r="L170" s="91"/>
      <c r="M170" s="89" t="str">
        <f>IF(ج_ح_مرداد[[#This Row],[تعداد فرزندان]]="","",ج_ح_مرداد[[#This Row],[کارکرد]]/31*3*ج_ح_مرداد[[#This Row],[تعداد فرزندان]]*حداقل_حقوق_پایه_روزانه)</f>
        <v/>
      </c>
      <c r="N170" s="89" t="str">
        <f>IF(ج_ح_مرداد[[#This Row],[کارکرد]]="","",ج_ح_مرداد[[#This Row],[کارکرد]]/31*حق_خواربار)</f>
        <v/>
      </c>
      <c r="O170" s="89" t="str">
        <f>IFERROR(ج_ح_مرداد[[#This Row],[حقوق پایه]]+ج_ح_مرداد[[#This Row],[اضافه کاری]]+ج_ح_مرداد[[#This Row],[حق مسکن]]+ج_ح_مرداد[[#This Row],[حق اولاد]]+ج_ح_مرداد[[#This Row],[حق و خواروبار]],"")</f>
        <v/>
      </c>
      <c r="P170"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70"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70" s="91"/>
      <c r="S170" s="91"/>
      <c r="T170" s="89" t="str">
        <f>IFERROR(ج_ح_مرداد[[#This Row],[جمع ح و م م بیمه ]]*7%,"")</f>
        <v/>
      </c>
      <c r="U170"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70" s="89" t="str">
        <f>IFERROR(ج_ح_مرداد[[#This Row],[وام]]+ج_ح_مرداد[[#This Row],[مساعده]]+ج_ح_مرداد[[#This Row],[بیمه پرداختنی]]+ج_ح_مرداد[[#This Row],[مالیات پرداختنی]],"")</f>
        <v/>
      </c>
      <c r="W170" s="89" t="str">
        <f>IFERROR(ج_ح_مرداد[[#This Row],[جمع ح و م]]-ج_ح_مرداد[[#This Row],[جمع کسورات]],"")</f>
        <v/>
      </c>
      <c r="X170" s="108"/>
    </row>
    <row r="171" spans="2:24" ht="32.1" customHeight="1">
      <c r="B171" s="1">
        <f t="shared" si="3"/>
        <v>5</v>
      </c>
      <c r="C171" s="85" t="str">
        <f>IF(ج_ح_مرداد[[#This Row],[نام]]&lt;&gt;"",ROW()-155+1,"")</f>
        <v/>
      </c>
      <c r="D171" s="86"/>
      <c r="E171" s="86"/>
      <c r="F171" s="87"/>
      <c r="G171" s="88" t="str">
        <f>IFERROR(IF(COUNT(ج_ح_مرداد[[#This Row],[کارکرد]]),حداقل_حقوق_پایه_روزانه,""),"")</f>
        <v/>
      </c>
      <c r="H171" s="89" t="str">
        <f>IFERROR(IF(ج_ح_مرداد[[#This Row],[کارکرد]]*ج_ح_مرداد[[#This Row],[دستمزد روزانه ]]=0,"",ج_ح_مرداد[[#This Row],[کارکرد]]*ج_ح_مرداد[[#This Row],[دستمزد روزانه ]]),"")</f>
        <v/>
      </c>
      <c r="I171" s="91"/>
      <c r="J171" s="90" t="str">
        <f>IFERROR((ج_ح_مرداد[[#This Row],[دستمزد روزانه ]]/7.33)*1.4*ج_ح_مرداد[[#This Row],[مدت اضافه کاری ]],"")</f>
        <v/>
      </c>
      <c r="K171" s="89" t="str">
        <f>IF(ج_ح_مرداد[[#This Row],[کارکرد]]="","",ج_ح_مرداد[[#This Row],[کارکرد]]/31*حق_مسکن)</f>
        <v/>
      </c>
      <c r="L171" s="91"/>
      <c r="M171" s="89" t="str">
        <f>IF(ج_ح_مرداد[[#This Row],[تعداد فرزندان]]="","",ج_ح_مرداد[[#This Row],[کارکرد]]/31*3*ج_ح_مرداد[[#This Row],[تعداد فرزندان]]*حداقل_حقوق_پایه_روزانه)</f>
        <v/>
      </c>
      <c r="N171" s="89" t="str">
        <f>IF(ج_ح_مرداد[[#This Row],[کارکرد]]="","",ج_ح_مرداد[[#This Row],[کارکرد]]/31*حق_خواربار)</f>
        <v/>
      </c>
      <c r="O171" s="89" t="str">
        <f>IFERROR(ج_ح_مرداد[[#This Row],[حقوق پایه]]+ج_ح_مرداد[[#This Row],[اضافه کاری]]+ج_ح_مرداد[[#This Row],[حق مسکن]]+ج_ح_مرداد[[#This Row],[حق اولاد]]+ج_ح_مرداد[[#This Row],[حق و خواروبار]],"")</f>
        <v/>
      </c>
      <c r="P171"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71"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71" s="91"/>
      <c r="S171" s="91"/>
      <c r="T171" s="89" t="str">
        <f>IFERROR(ج_ح_مرداد[[#This Row],[جمع ح و م م بیمه ]]*7%,"")</f>
        <v/>
      </c>
      <c r="U171"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71" s="89" t="str">
        <f>IFERROR(ج_ح_مرداد[[#This Row],[وام]]+ج_ح_مرداد[[#This Row],[مساعده]]+ج_ح_مرداد[[#This Row],[بیمه پرداختنی]]+ج_ح_مرداد[[#This Row],[مالیات پرداختنی]],"")</f>
        <v/>
      </c>
      <c r="W171" s="89" t="str">
        <f>IFERROR(ج_ح_مرداد[[#This Row],[جمع ح و م]]-ج_ح_مرداد[[#This Row],[جمع کسورات]],"")</f>
        <v/>
      </c>
      <c r="X171" s="108"/>
    </row>
    <row r="172" spans="2:24" ht="32.1" customHeight="1">
      <c r="B172" s="1">
        <f t="shared" si="3"/>
        <v>5</v>
      </c>
      <c r="C172" s="85" t="str">
        <f>IF(ج_ح_مرداد[[#This Row],[نام]]&lt;&gt;"",ROW()-155+1,"")</f>
        <v/>
      </c>
      <c r="D172" s="86"/>
      <c r="E172" s="86"/>
      <c r="F172" s="87"/>
      <c r="G172" s="88" t="str">
        <f>IFERROR(IF(COUNT(ج_ح_مرداد[[#This Row],[کارکرد]]),حداقل_حقوق_پایه_روزانه,""),"")</f>
        <v/>
      </c>
      <c r="H172" s="89" t="str">
        <f>IFERROR(IF(ج_ح_مرداد[[#This Row],[کارکرد]]*ج_ح_مرداد[[#This Row],[دستمزد روزانه ]]=0,"",ج_ح_مرداد[[#This Row],[کارکرد]]*ج_ح_مرداد[[#This Row],[دستمزد روزانه ]]),"")</f>
        <v/>
      </c>
      <c r="I172" s="91"/>
      <c r="J172" s="90" t="str">
        <f>IFERROR((ج_ح_مرداد[[#This Row],[دستمزد روزانه ]]/7.33)*1.4*ج_ح_مرداد[[#This Row],[مدت اضافه کاری ]],"")</f>
        <v/>
      </c>
      <c r="K172" s="89" t="str">
        <f>IF(ج_ح_مرداد[[#This Row],[کارکرد]]="","",ج_ح_مرداد[[#This Row],[کارکرد]]/31*حق_مسکن)</f>
        <v/>
      </c>
      <c r="L172" s="91"/>
      <c r="M172" s="89" t="str">
        <f>IF(ج_ح_مرداد[[#This Row],[تعداد فرزندان]]="","",ج_ح_مرداد[[#This Row],[کارکرد]]/31*3*ج_ح_مرداد[[#This Row],[تعداد فرزندان]]*حداقل_حقوق_پایه_روزانه)</f>
        <v/>
      </c>
      <c r="N172" s="89" t="str">
        <f>IF(ج_ح_مرداد[[#This Row],[کارکرد]]="","",ج_ح_مرداد[[#This Row],[کارکرد]]/31*حق_خواربار)</f>
        <v/>
      </c>
      <c r="O172" s="89" t="str">
        <f>IFERROR(ج_ح_مرداد[[#This Row],[حقوق پایه]]+ج_ح_مرداد[[#This Row],[اضافه کاری]]+ج_ح_مرداد[[#This Row],[حق مسکن]]+ج_ح_مرداد[[#This Row],[حق اولاد]]+ج_ح_مرداد[[#This Row],[حق و خواروبار]],"")</f>
        <v/>
      </c>
      <c r="P172"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72"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72" s="91"/>
      <c r="S172" s="91"/>
      <c r="T172" s="89" t="str">
        <f>IFERROR(ج_ح_مرداد[[#This Row],[جمع ح و م م بیمه ]]*7%,"")</f>
        <v/>
      </c>
      <c r="U172"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72" s="89" t="str">
        <f>IFERROR(ج_ح_مرداد[[#This Row],[وام]]+ج_ح_مرداد[[#This Row],[مساعده]]+ج_ح_مرداد[[#This Row],[بیمه پرداختنی]]+ج_ح_مرداد[[#This Row],[مالیات پرداختنی]],"")</f>
        <v/>
      </c>
      <c r="W172" s="89" t="str">
        <f>IFERROR(ج_ح_مرداد[[#This Row],[جمع ح و م]]-ج_ح_مرداد[[#This Row],[جمع کسورات]],"")</f>
        <v/>
      </c>
      <c r="X172" s="108"/>
    </row>
    <row r="173" spans="2:24" ht="32.1" customHeight="1">
      <c r="B173" s="1">
        <f t="shared" si="3"/>
        <v>5</v>
      </c>
      <c r="C173" s="85" t="str">
        <f>IF(ج_ح_مرداد[[#This Row],[نام]]&lt;&gt;"",ROW()-155+1,"")</f>
        <v/>
      </c>
      <c r="D173" s="86"/>
      <c r="E173" s="86"/>
      <c r="F173" s="87"/>
      <c r="G173" s="88" t="str">
        <f>IFERROR(IF(COUNT(ج_ح_مرداد[[#This Row],[کارکرد]]),حداقل_حقوق_پایه_روزانه,""),"")</f>
        <v/>
      </c>
      <c r="H173" s="89" t="str">
        <f>IFERROR(IF(ج_ح_مرداد[[#This Row],[کارکرد]]*ج_ح_مرداد[[#This Row],[دستمزد روزانه ]]=0,"",ج_ح_مرداد[[#This Row],[کارکرد]]*ج_ح_مرداد[[#This Row],[دستمزد روزانه ]]),"")</f>
        <v/>
      </c>
      <c r="I173" s="91"/>
      <c r="J173" s="90" t="str">
        <f>IFERROR((ج_ح_مرداد[[#This Row],[دستمزد روزانه ]]/7.33)*1.4*ج_ح_مرداد[[#This Row],[مدت اضافه کاری ]],"")</f>
        <v/>
      </c>
      <c r="K173" s="89" t="str">
        <f>IF(ج_ح_مرداد[[#This Row],[کارکرد]]="","",ج_ح_مرداد[[#This Row],[کارکرد]]/31*حق_مسکن)</f>
        <v/>
      </c>
      <c r="L173" s="91"/>
      <c r="M173" s="89" t="str">
        <f>IF(ج_ح_مرداد[[#This Row],[تعداد فرزندان]]="","",ج_ح_مرداد[[#This Row],[کارکرد]]/31*3*ج_ح_مرداد[[#This Row],[تعداد فرزندان]]*حداقل_حقوق_پایه_روزانه)</f>
        <v/>
      </c>
      <c r="N173" s="89" t="str">
        <f>IF(ج_ح_مرداد[[#This Row],[کارکرد]]="","",ج_ح_مرداد[[#This Row],[کارکرد]]/31*حق_خواربار)</f>
        <v/>
      </c>
      <c r="O173" s="89" t="str">
        <f>IFERROR(ج_ح_مرداد[[#This Row],[حقوق پایه]]+ج_ح_مرداد[[#This Row],[اضافه کاری]]+ج_ح_مرداد[[#This Row],[حق مسکن]]+ج_ح_مرداد[[#This Row],[حق اولاد]]+ج_ح_مرداد[[#This Row],[حق و خواروبار]],"")</f>
        <v/>
      </c>
      <c r="P173"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73"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73" s="91"/>
      <c r="S173" s="91"/>
      <c r="T173" s="89" t="str">
        <f>IFERROR(ج_ح_مرداد[[#This Row],[جمع ح و م م بیمه ]]*7%,"")</f>
        <v/>
      </c>
      <c r="U173"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73" s="89" t="str">
        <f>IFERROR(ج_ح_مرداد[[#This Row],[وام]]+ج_ح_مرداد[[#This Row],[مساعده]]+ج_ح_مرداد[[#This Row],[بیمه پرداختنی]]+ج_ح_مرداد[[#This Row],[مالیات پرداختنی]],"")</f>
        <v/>
      </c>
      <c r="W173" s="89" t="str">
        <f>IFERROR(ج_ح_مرداد[[#This Row],[جمع ح و م]]-ج_ح_مرداد[[#This Row],[جمع کسورات]],"")</f>
        <v/>
      </c>
      <c r="X173" s="108"/>
    </row>
    <row r="174" spans="2:24" ht="32.1" customHeight="1">
      <c r="B174" s="1">
        <f t="shared" si="3"/>
        <v>5</v>
      </c>
      <c r="C174" s="85" t="str">
        <f>IF(ج_ح_مرداد[[#This Row],[نام]]&lt;&gt;"",ROW()-155+1,"")</f>
        <v/>
      </c>
      <c r="D174" s="86"/>
      <c r="E174" s="86"/>
      <c r="F174" s="87"/>
      <c r="G174" s="88" t="str">
        <f>IFERROR(IF(COUNT(ج_ح_مرداد[[#This Row],[کارکرد]]),حداقل_حقوق_پایه_روزانه,""),"")</f>
        <v/>
      </c>
      <c r="H174" s="89" t="str">
        <f>IFERROR(IF(ج_ح_مرداد[[#This Row],[کارکرد]]*ج_ح_مرداد[[#This Row],[دستمزد روزانه ]]=0,"",ج_ح_مرداد[[#This Row],[کارکرد]]*ج_ح_مرداد[[#This Row],[دستمزد روزانه ]]),"")</f>
        <v/>
      </c>
      <c r="I174" s="91"/>
      <c r="J174" s="90" t="str">
        <f>IFERROR((ج_ح_مرداد[[#This Row],[دستمزد روزانه ]]/7.33)*1.4*ج_ح_مرداد[[#This Row],[مدت اضافه کاری ]],"")</f>
        <v/>
      </c>
      <c r="K174" s="89" t="str">
        <f>IF(ج_ح_مرداد[[#This Row],[کارکرد]]="","",ج_ح_مرداد[[#This Row],[کارکرد]]/31*حق_مسکن)</f>
        <v/>
      </c>
      <c r="L174" s="91"/>
      <c r="M174" s="89" t="str">
        <f>IF(ج_ح_مرداد[[#This Row],[تعداد فرزندان]]="","",ج_ح_مرداد[[#This Row],[کارکرد]]/31*3*ج_ح_مرداد[[#This Row],[تعداد فرزندان]]*حداقل_حقوق_پایه_روزانه)</f>
        <v/>
      </c>
      <c r="N174" s="89" t="str">
        <f>IF(ج_ح_مرداد[[#This Row],[کارکرد]]="","",ج_ح_مرداد[[#This Row],[کارکرد]]/31*حق_خواربار)</f>
        <v/>
      </c>
      <c r="O174" s="89" t="str">
        <f>IFERROR(ج_ح_مرداد[[#This Row],[حقوق پایه]]+ج_ح_مرداد[[#This Row],[اضافه کاری]]+ج_ح_مرداد[[#This Row],[حق مسکن]]+ج_ح_مرداد[[#This Row],[حق اولاد]]+ج_ح_مرداد[[#This Row],[حق و خواروبار]],"")</f>
        <v/>
      </c>
      <c r="P174"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74"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74" s="91"/>
      <c r="S174" s="91"/>
      <c r="T174" s="89" t="str">
        <f>IFERROR(ج_ح_مرداد[[#This Row],[جمع ح و م م بیمه ]]*7%,"")</f>
        <v/>
      </c>
      <c r="U174"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74" s="89" t="str">
        <f>IFERROR(ج_ح_مرداد[[#This Row],[وام]]+ج_ح_مرداد[[#This Row],[مساعده]]+ج_ح_مرداد[[#This Row],[بیمه پرداختنی]]+ج_ح_مرداد[[#This Row],[مالیات پرداختنی]],"")</f>
        <v/>
      </c>
      <c r="W174" s="89" t="str">
        <f>IFERROR(ج_ح_مرداد[[#This Row],[جمع ح و م]]-ج_ح_مرداد[[#This Row],[جمع کسورات]],"")</f>
        <v/>
      </c>
      <c r="X174" s="108"/>
    </row>
    <row r="175" spans="2:24" ht="32.1" customHeight="1">
      <c r="B175" s="1">
        <f t="shared" si="3"/>
        <v>5</v>
      </c>
      <c r="C175" s="85" t="str">
        <f>IF(ج_ح_مرداد[[#This Row],[نام]]&lt;&gt;"",ROW()-155+1,"")</f>
        <v/>
      </c>
      <c r="D175" s="86"/>
      <c r="E175" s="86"/>
      <c r="F175" s="87"/>
      <c r="G175" s="88" t="str">
        <f>IFERROR(IF(COUNT(ج_ح_مرداد[[#This Row],[کارکرد]]),حداقل_حقوق_پایه_روزانه,""),"")</f>
        <v/>
      </c>
      <c r="H175" s="89" t="str">
        <f>IFERROR(IF(ج_ح_مرداد[[#This Row],[کارکرد]]*ج_ح_مرداد[[#This Row],[دستمزد روزانه ]]=0,"",ج_ح_مرداد[[#This Row],[کارکرد]]*ج_ح_مرداد[[#This Row],[دستمزد روزانه ]]),"")</f>
        <v/>
      </c>
      <c r="I175" s="91"/>
      <c r="J175" s="90" t="str">
        <f>IFERROR((ج_ح_مرداد[[#This Row],[دستمزد روزانه ]]/7.33)*1.4*ج_ح_مرداد[[#This Row],[مدت اضافه کاری ]],"")</f>
        <v/>
      </c>
      <c r="K175" s="89" t="str">
        <f>IF(ج_ح_مرداد[[#This Row],[کارکرد]]="","",ج_ح_مرداد[[#This Row],[کارکرد]]/31*حق_مسکن)</f>
        <v/>
      </c>
      <c r="L175" s="91"/>
      <c r="M175" s="89" t="str">
        <f>IF(ج_ح_مرداد[[#This Row],[تعداد فرزندان]]="","",ج_ح_مرداد[[#This Row],[کارکرد]]/31*3*ج_ح_مرداد[[#This Row],[تعداد فرزندان]]*حداقل_حقوق_پایه_روزانه)</f>
        <v/>
      </c>
      <c r="N175" s="89" t="str">
        <f>IF(ج_ح_مرداد[[#This Row],[کارکرد]]="","",ج_ح_مرداد[[#This Row],[کارکرد]]/31*حق_خواربار)</f>
        <v/>
      </c>
      <c r="O175" s="89" t="str">
        <f>IFERROR(ج_ح_مرداد[[#This Row],[حقوق پایه]]+ج_ح_مرداد[[#This Row],[اضافه کاری]]+ج_ح_مرداد[[#This Row],[حق مسکن]]+ج_ح_مرداد[[#This Row],[حق اولاد]]+ج_ح_مرداد[[#This Row],[حق و خواروبار]],"")</f>
        <v/>
      </c>
      <c r="P175"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75"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75" s="91"/>
      <c r="S175" s="91"/>
      <c r="T175" s="89" t="str">
        <f>IFERROR(ج_ح_مرداد[[#This Row],[جمع ح و م م بیمه ]]*7%,"")</f>
        <v/>
      </c>
      <c r="U175"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75" s="89" t="str">
        <f>IFERROR(ج_ح_مرداد[[#This Row],[وام]]+ج_ح_مرداد[[#This Row],[مساعده]]+ج_ح_مرداد[[#This Row],[بیمه پرداختنی]]+ج_ح_مرداد[[#This Row],[مالیات پرداختنی]],"")</f>
        <v/>
      </c>
      <c r="W175" s="89" t="str">
        <f>IFERROR(ج_ح_مرداد[[#This Row],[جمع ح و م]]-ج_ح_مرداد[[#This Row],[جمع کسورات]],"")</f>
        <v/>
      </c>
      <c r="X175" s="108"/>
    </row>
    <row r="176" spans="2:24" ht="32.1" customHeight="1">
      <c r="B176" s="1">
        <f t="shared" si="3"/>
        <v>5</v>
      </c>
      <c r="C176" s="85" t="str">
        <f>IF(ج_ح_مرداد[[#This Row],[نام]]&lt;&gt;"",ROW()-155+1,"")</f>
        <v/>
      </c>
      <c r="D176" s="86"/>
      <c r="E176" s="86"/>
      <c r="F176" s="87"/>
      <c r="G176" s="88" t="str">
        <f>IFERROR(IF(COUNT(ج_ح_مرداد[[#This Row],[کارکرد]]),حداقل_حقوق_پایه_روزانه,""),"")</f>
        <v/>
      </c>
      <c r="H176" s="89" t="str">
        <f>IFERROR(IF(ج_ح_مرداد[[#This Row],[کارکرد]]*ج_ح_مرداد[[#This Row],[دستمزد روزانه ]]=0,"",ج_ح_مرداد[[#This Row],[کارکرد]]*ج_ح_مرداد[[#This Row],[دستمزد روزانه ]]),"")</f>
        <v/>
      </c>
      <c r="I176" s="91"/>
      <c r="J176" s="90" t="str">
        <f>IFERROR((ج_ح_مرداد[[#This Row],[دستمزد روزانه ]]/7.33)*1.4*ج_ح_مرداد[[#This Row],[مدت اضافه کاری ]],"")</f>
        <v/>
      </c>
      <c r="K176" s="89" t="str">
        <f>IF(ج_ح_مرداد[[#This Row],[کارکرد]]="","",ج_ح_مرداد[[#This Row],[کارکرد]]/31*حق_مسکن)</f>
        <v/>
      </c>
      <c r="L176" s="91"/>
      <c r="M176" s="89" t="str">
        <f>IF(ج_ح_مرداد[[#This Row],[تعداد فرزندان]]="","",ج_ح_مرداد[[#This Row],[کارکرد]]/31*3*ج_ح_مرداد[[#This Row],[تعداد فرزندان]]*حداقل_حقوق_پایه_روزانه)</f>
        <v/>
      </c>
      <c r="N176" s="89" t="str">
        <f>IF(ج_ح_مرداد[[#This Row],[کارکرد]]="","",ج_ح_مرداد[[#This Row],[کارکرد]]/31*حق_خواربار)</f>
        <v/>
      </c>
      <c r="O176" s="89" t="str">
        <f>IFERROR(ج_ح_مرداد[[#This Row],[حقوق پایه]]+ج_ح_مرداد[[#This Row],[اضافه کاری]]+ج_ح_مرداد[[#This Row],[حق مسکن]]+ج_ح_مرداد[[#This Row],[حق اولاد]]+ج_ح_مرداد[[#This Row],[حق و خواروبار]],"")</f>
        <v/>
      </c>
      <c r="P176"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76"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76" s="91"/>
      <c r="S176" s="91"/>
      <c r="T176" s="89" t="str">
        <f>IFERROR(ج_ح_مرداد[[#This Row],[جمع ح و م م بیمه ]]*7%,"")</f>
        <v/>
      </c>
      <c r="U176"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76" s="89" t="str">
        <f>IFERROR(ج_ح_مرداد[[#This Row],[وام]]+ج_ح_مرداد[[#This Row],[مساعده]]+ج_ح_مرداد[[#This Row],[بیمه پرداختنی]]+ج_ح_مرداد[[#This Row],[مالیات پرداختنی]],"")</f>
        <v/>
      </c>
      <c r="W176" s="89" t="str">
        <f>IFERROR(ج_ح_مرداد[[#This Row],[جمع ح و م]]-ج_ح_مرداد[[#This Row],[جمع کسورات]],"")</f>
        <v/>
      </c>
      <c r="X176" s="108"/>
    </row>
    <row r="177" spans="1:24" ht="32.1" customHeight="1">
      <c r="B177" s="1">
        <f t="shared" si="3"/>
        <v>5</v>
      </c>
      <c r="C177" s="85" t="str">
        <f>IF(ج_ح_مرداد[[#This Row],[نام]]&lt;&gt;"",ROW()-155+1,"")</f>
        <v/>
      </c>
      <c r="D177" s="86"/>
      <c r="E177" s="86"/>
      <c r="F177" s="87"/>
      <c r="G177" s="88" t="str">
        <f>IFERROR(IF(COUNT(ج_ح_مرداد[[#This Row],[کارکرد]]),حداقل_حقوق_پایه_روزانه,""),"")</f>
        <v/>
      </c>
      <c r="H177" s="89" t="str">
        <f>IFERROR(IF(ج_ح_مرداد[[#This Row],[کارکرد]]*ج_ح_مرداد[[#This Row],[دستمزد روزانه ]]=0,"",ج_ح_مرداد[[#This Row],[کارکرد]]*ج_ح_مرداد[[#This Row],[دستمزد روزانه ]]),"")</f>
        <v/>
      </c>
      <c r="I177" s="91"/>
      <c r="J177" s="90" t="str">
        <f>IFERROR((ج_ح_مرداد[[#This Row],[دستمزد روزانه ]]/7.33)*1.4*ج_ح_مرداد[[#This Row],[مدت اضافه کاری ]],"")</f>
        <v/>
      </c>
      <c r="K177" s="89" t="str">
        <f>IF(ج_ح_مرداد[[#This Row],[کارکرد]]="","",ج_ح_مرداد[[#This Row],[کارکرد]]/31*حق_مسکن)</f>
        <v/>
      </c>
      <c r="L177" s="91"/>
      <c r="M177" s="89" t="str">
        <f>IF(ج_ح_مرداد[[#This Row],[تعداد فرزندان]]="","",ج_ح_مرداد[[#This Row],[کارکرد]]/31*3*ج_ح_مرداد[[#This Row],[تعداد فرزندان]]*حداقل_حقوق_پایه_روزانه)</f>
        <v/>
      </c>
      <c r="N177" s="89" t="str">
        <f>IF(ج_ح_مرداد[[#This Row],[کارکرد]]="","",ج_ح_مرداد[[#This Row],[کارکرد]]/31*حق_خواربار)</f>
        <v/>
      </c>
      <c r="O177" s="89" t="str">
        <f>IFERROR(ج_ح_مرداد[[#This Row],[حقوق پایه]]+ج_ح_مرداد[[#This Row],[اضافه کاری]]+ج_ح_مرداد[[#This Row],[حق مسکن]]+ج_ح_مرداد[[#This Row],[حق اولاد]]+ج_ح_مرداد[[#This Row],[حق و خواروبار]],"")</f>
        <v/>
      </c>
      <c r="P177"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77"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77" s="91"/>
      <c r="S177" s="91"/>
      <c r="T177" s="89" t="str">
        <f>IFERROR(ج_ح_مرداد[[#This Row],[جمع ح و م م بیمه ]]*7%,"")</f>
        <v/>
      </c>
      <c r="U177"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77" s="89" t="str">
        <f>IFERROR(ج_ح_مرداد[[#This Row],[وام]]+ج_ح_مرداد[[#This Row],[مساعده]]+ج_ح_مرداد[[#This Row],[بیمه پرداختنی]]+ج_ح_مرداد[[#This Row],[مالیات پرداختنی]],"")</f>
        <v/>
      </c>
      <c r="W177" s="89" t="str">
        <f>IFERROR(ج_ح_مرداد[[#This Row],[جمع ح و م]]-ج_ح_مرداد[[#This Row],[جمع کسورات]],"")</f>
        <v/>
      </c>
      <c r="X177" s="108"/>
    </row>
    <row r="178" spans="1:24" ht="32.1" customHeight="1">
      <c r="B178" s="1">
        <f t="shared" si="3"/>
        <v>5</v>
      </c>
      <c r="C178" s="85" t="str">
        <f>IF(ج_ح_مرداد[[#This Row],[نام]]&lt;&gt;"",ROW()-155+1,"")</f>
        <v/>
      </c>
      <c r="D178" s="86"/>
      <c r="E178" s="86"/>
      <c r="F178" s="87"/>
      <c r="G178" s="88" t="str">
        <f>IFERROR(IF(COUNT(ج_ح_مرداد[[#This Row],[کارکرد]]),حداقل_حقوق_پایه_روزانه,""),"")</f>
        <v/>
      </c>
      <c r="H178" s="89" t="str">
        <f>IFERROR(IF(ج_ح_مرداد[[#This Row],[کارکرد]]*ج_ح_مرداد[[#This Row],[دستمزد روزانه ]]=0,"",ج_ح_مرداد[[#This Row],[کارکرد]]*ج_ح_مرداد[[#This Row],[دستمزد روزانه ]]),"")</f>
        <v/>
      </c>
      <c r="I178" s="91"/>
      <c r="J178" s="90" t="str">
        <f>IFERROR((ج_ح_مرداد[[#This Row],[دستمزد روزانه ]]/7.33)*1.4*ج_ح_مرداد[[#This Row],[مدت اضافه کاری ]],"")</f>
        <v/>
      </c>
      <c r="K178" s="89" t="str">
        <f>IF(ج_ح_مرداد[[#This Row],[کارکرد]]="","",ج_ح_مرداد[[#This Row],[کارکرد]]/31*حق_مسکن)</f>
        <v/>
      </c>
      <c r="L178" s="91"/>
      <c r="M178" s="89" t="str">
        <f>IF(ج_ح_مرداد[[#This Row],[تعداد فرزندان]]="","",ج_ح_مرداد[[#This Row],[کارکرد]]/31*3*ج_ح_مرداد[[#This Row],[تعداد فرزندان]]*حداقل_حقوق_پایه_روزانه)</f>
        <v/>
      </c>
      <c r="N178" s="89" t="str">
        <f>IF(ج_ح_مرداد[[#This Row],[کارکرد]]="","",ج_ح_مرداد[[#This Row],[کارکرد]]/31*حق_خواربار)</f>
        <v/>
      </c>
      <c r="O178" s="89" t="str">
        <f>IFERROR(ج_ح_مرداد[[#This Row],[حقوق پایه]]+ج_ح_مرداد[[#This Row],[اضافه کاری]]+ج_ح_مرداد[[#This Row],[حق مسکن]]+ج_ح_مرداد[[#This Row],[حق اولاد]]+ج_ح_مرداد[[#This Row],[حق و خواروبار]],"")</f>
        <v/>
      </c>
      <c r="P178"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78"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78" s="91"/>
      <c r="S178" s="91"/>
      <c r="T178" s="89" t="str">
        <f>IFERROR(ج_ح_مرداد[[#This Row],[جمع ح و م م بیمه ]]*7%,"")</f>
        <v/>
      </c>
      <c r="U178"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78" s="89" t="str">
        <f>IFERROR(ج_ح_مرداد[[#This Row],[وام]]+ج_ح_مرداد[[#This Row],[مساعده]]+ج_ح_مرداد[[#This Row],[بیمه پرداختنی]]+ج_ح_مرداد[[#This Row],[مالیات پرداختنی]],"")</f>
        <v/>
      </c>
      <c r="W178" s="89" t="str">
        <f>IFERROR(ج_ح_مرداد[[#This Row],[جمع ح و م]]-ج_ح_مرداد[[#This Row],[جمع کسورات]],"")</f>
        <v/>
      </c>
      <c r="X178" s="108"/>
    </row>
    <row r="179" spans="1:24" ht="32.1" customHeight="1">
      <c r="B179" s="1">
        <f t="shared" si="3"/>
        <v>5</v>
      </c>
      <c r="C179" s="85" t="str">
        <f>IF(ج_ح_مرداد[[#This Row],[نام]]&lt;&gt;"",ROW()-155+1,"")</f>
        <v/>
      </c>
      <c r="D179" s="86"/>
      <c r="E179" s="86"/>
      <c r="F179" s="87"/>
      <c r="G179" s="88" t="str">
        <f>IFERROR(IF(COUNT(ج_ح_مرداد[[#This Row],[کارکرد]]),حداقل_حقوق_پایه_روزانه,""),"")</f>
        <v/>
      </c>
      <c r="H179" s="89" t="str">
        <f>IFERROR(IF(ج_ح_مرداد[[#This Row],[کارکرد]]*ج_ح_مرداد[[#This Row],[دستمزد روزانه ]]=0,"",ج_ح_مرداد[[#This Row],[کارکرد]]*ج_ح_مرداد[[#This Row],[دستمزد روزانه ]]),"")</f>
        <v/>
      </c>
      <c r="I179" s="91"/>
      <c r="J179" s="90" t="str">
        <f>IFERROR((ج_ح_مرداد[[#This Row],[دستمزد روزانه ]]/7.33)*1.4*ج_ح_مرداد[[#This Row],[مدت اضافه کاری ]],"")</f>
        <v/>
      </c>
      <c r="K179" s="89" t="str">
        <f>IF(ج_ح_مرداد[[#This Row],[کارکرد]]="","",ج_ح_مرداد[[#This Row],[کارکرد]]/31*حق_مسکن)</f>
        <v/>
      </c>
      <c r="L179" s="91"/>
      <c r="M179" s="89" t="str">
        <f>IF(ج_ح_مرداد[[#This Row],[تعداد فرزندان]]="","",ج_ح_مرداد[[#This Row],[کارکرد]]/31*3*ج_ح_مرداد[[#This Row],[تعداد فرزندان]]*حداقل_حقوق_پایه_روزانه)</f>
        <v/>
      </c>
      <c r="N179" s="89" t="str">
        <f>IF(ج_ح_مرداد[[#This Row],[کارکرد]]="","",ج_ح_مرداد[[#This Row],[کارکرد]]/31*حق_خواربار)</f>
        <v/>
      </c>
      <c r="O179" s="89" t="str">
        <f>IFERROR(ج_ح_مرداد[[#This Row],[حقوق پایه]]+ج_ح_مرداد[[#This Row],[اضافه کاری]]+ج_ح_مرداد[[#This Row],[حق مسکن]]+ج_ح_مرداد[[#This Row],[حق اولاد]]+ج_ح_مرداد[[#This Row],[حق و خواروبار]],"")</f>
        <v/>
      </c>
      <c r="P179"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79"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79" s="91"/>
      <c r="S179" s="91"/>
      <c r="T179" s="89" t="str">
        <f>IFERROR(ج_ح_مرداد[[#This Row],[جمع ح و م م بیمه ]]*7%,"")</f>
        <v/>
      </c>
      <c r="U179"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79" s="89" t="str">
        <f>IFERROR(ج_ح_مرداد[[#This Row],[وام]]+ج_ح_مرداد[[#This Row],[مساعده]]+ج_ح_مرداد[[#This Row],[بیمه پرداختنی]]+ج_ح_مرداد[[#This Row],[مالیات پرداختنی]],"")</f>
        <v/>
      </c>
      <c r="W179" s="89" t="str">
        <f>IFERROR(ج_ح_مرداد[[#This Row],[جمع ح و م]]-ج_ح_مرداد[[#This Row],[جمع کسورات]],"")</f>
        <v/>
      </c>
      <c r="X179" s="108"/>
    </row>
    <row r="180" spans="1:24" ht="32.1" customHeight="1">
      <c r="B180" s="1">
        <f t="shared" si="3"/>
        <v>5</v>
      </c>
      <c r="C180" s="85" t="str">
        <f>IF(ج_ح_مرداد[[#This Row],[نام]]&lt;&gt;"",ROW()-155+1,"")</f>
        <v/>
      </c>
      <c r="D180" s="86"/>
      <c r="E180" s="86"/>
      <c r="F180" s="87"/>
      <c r="G180" s="88" t="str">
        <f>IFERROR(IF(COUNT(ج_ح_مرداد[[#This Row],[کارکرد]]),حداقل_حقوق_پایه_روزانه,""),"")</f>
        <v/>
      </c>
      <c r="H180" s="89" t="str">
        <f>IFERROR(IF(ج_ح_مرداد[[#This Row],[کارکرد]]*ج_ح_مرداد[[#This Row],[دستمزد روزانه ]]=0,"",ج_ح_مرداد[[#This Row],[کارکرد]]*ج_ح_مرداد[[#This Row],[دستمزد روزانه ]]),"")</f>
        <v/>
      </c>
      <c r="I180" s="91"/>
      <c r="J180" s="90" t="str">
        <f>IFERROR((ج_ح_مرداد[[#This Row],[دستمزد روزانه ]]/7.33)*1.4*ج_ح_مرداد[[#This Row],[مدت اضافه کاری ]],"")</f>
        <v/>
      </c>
      <c r="K180" s="89" t="str">
        <f>IF(ج_ح_مرداد[[#This Row],[کارکرد]]="","",ج_ح_مرداد[[#This Row],[کارکرد]]/31*حق_مسکن)</f>
        <v/>
      </c>
      <c r="L180" s="91"/>
      <c r="M180" s="89" t="str">
        <f>IF(ج_ح_مرداد[[#This Row],[تعداد فرزندان]]="","",ج_ح_مرداد[[#This Row],[کارکرد]]/31*3*ج_ح_مرداد[[#This Row],[تعداد فرزندان]]*حداقل_حقوق_پایه_روزانه)</f>
        <v/>
      </c>
      <c r="N180" s="89" t="str">
        <f>IF(ج_ح_مرداد[[#This Row],[کارکرد]]="","",ج_ح_مرداد[[#This Row],[کارکرد]]/31*حق_خواربار)</f>
        <v/>
      </c>
      <c r="O180" s="89" t="str">
        <f>IFERROR(ج_ح_مرداد[[#This Row],[حقوق پایه]]+ج_ح_مرداد[[#This Row],[اضافه کاری]]+ج_ح_مرداد[[#This Row],[حق مسکن]]+ج_ح_مرداد[[#This Row],[حق اولاد]]+ج_ح_مرداد[[#This Row],[حق و خواروبار]],"")</f>
        <v/>
      </c>
      <c r="P180"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80"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80" s="91"/>
      <c r="S180" s="91"/>
      <c r="T180" s="89" t="str">
        <f>IFERROR(ج_ح_مرداد[[#This Row],[جمع ح و م م بیمه ]]*7%,"")</f>
        <v/>
      </c>
      <c r="U180"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80" s="89" t="str">
        <f>IFERROR(ج_ح_مرداد[[#This Row],[وام]]+ج_ح_مرداد[[#This Row],[مساعده]]+ج_ح_مرداد[[#This Row],[بیمه پرداختنی]]+ج_ح_مرداد[[#This Row],[مالیات پرداختنی]],"")</f>
        <v/>
      </c>
      <c r="W180" s="89" t="str">
        <f>IFERROR(ج_ح_مرداد[[#This Row],[جمع ح و م]]-ج_ح_مرداد[[#This Row],[جمع کسورات]],"")</f>
        <v/>
      </c>
      <c r="X180" s="108"/>
    </row>
    <row r="181" spans="1:24" ht="32.1" customHeight="1">
      <c r="B181" s="1">
        <f t="shared" si="3"/>
        <v>5</v>
      </c>
      <c r="C181" s="85" t="str">
        <f>IF(ج_ح_مرداد[[#This Row],[نام]]&lt;&gt;"",ROW()-155+1,"")</f>
        <v/>
      </c>
      <c r="D181" s="86"/>
      <c r="E181" s="86"/>
      <c r="F181" s="87"/>
      <c r="G181" s="88" t="str">
        <f>IFERROR(IF(COUNT(ج_ح_مرداد[[#This Row],[کارکرد]]),حداقل_حقوق_پایه_روزانه,""),"")</f>
        <v/>
      </c>
      <c r="H181" s="89" t="str">
        <f>IFERROR(IF(ج_ح_مرداد[[#This Row],[کارکرد]]*ج_ح_مرداد[[#This Row],[دستمزد روزانه ]]=0,"",ج_ح_مرداد[[#This Row],[کارکرد]]*ج_ح_مرداد[[#This Row],[دستمزد روزانه ]]),"")</f>
        <v/>
      </c>
      <c r="I181" s="91"/>
      <c r="J181" s="90" t="str">
        <f>IFERROR((ج_ح_مرداد[[#This Row],[دستمزد روزانه ]]/7.33)*1.4*ج_ح_مرداد[[#This Row],[مدت اضافه کاری ]],"")</f>
        <v/>
      </c>
      <c r="K181" s="89" t="str">
        <f>IF(ج_ح_مرداد[[#This Row],[کارکرد]]="","",ج_ح_مرداد[[#This Row],[کارکرد]]/31*حق_مسکن)</f>
        <v/>
      </c>
      <c r="L181" s="91"/>
      <c r="M181" s="89" t="str">
        <f>IF(ج_ح_مرداد[[#This Row],[تعداد فرزندان]]="","",ج_ح_مرداد[[#This Row],[کارکرد]]/31*3*ج_ح_مرداد[[#This Row],[تعداد فرزندان]]*حداقل_حقوق_پایه_روزانه)</f>
        <v/>
      </c>
      <c r="N181" s="89" t="str">
        <f>IF(ج_ح_مرداد[[#This Row],[کارکرد]]="","",ج_ح_مرداد[[#This Row],[کارکرد]]/31*حق_خواربار)</f>
        <v/>
      </c>
      <c r="O181" s="89" t="str">
        <f>IFERROR(ج_ح_مرداد[[#This Row],[حقوق پایه]]+ج_ح_مرداد[[#This Row],[اضافه کاری]]+ج_ح_مرداد[[#This Row],[حق مسکن]]+ج_ح_مرداد[[#This Row],[حق اولاد]]+ج_ح_مرداد[[#This Row],[حق و خواروبار]],"")</f>
        <v/>
      </c>
      <c r="P181"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81"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81" s="91"/>
      <c r="S181" s="91"/>
      <c r="T181" s="89" t="str">
        <f>IFERROR(ج_ح_مرداد[[#This Row],[جمع ح و م م بیمه ]]*7%,"")</f>
        <v/>
      </c>
      <c r="U181"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81" s="89" t="str">
        <f>IFERROR(ج_ح_مرداد[[#This Row],[وام]]+ج_ح_مرداد[[#This Row],[مساعده]]+ج_ح_مرداد[[#This Row],[بیمه پرداختنی]]+ج_ح_مرداد[[#This Row],[مالیات پرداختنی]],"")</f>
        <v/>
      </c>
      <c r="W181" s="89" t="str">
        <f>IFERROR(ج_ح_مرداد[[#This Row],[جمع ح و م]]-ج_ح_مرداد[[#This Row],[جمع کسورات]],"")</f>
        <v/>
      </c>
      <c r="X181" s="108"/>
    </row>
    <row r="182" spans="1:24" ht="32.1" customHeight="1">
      <c r="B182" s="1">
        <f t="shared" si="3"/>
        <v>5</v>
      </c>
      <c r="C182" s="85" t="str">
        <f>IF(ج_ح_مرداد[[#This Row],[نام]]&lt;&gt;"",ROW()-155+1,"")</f>
        <v/>
      </c>
      <c r="D182" s="86"/>
      <c r="E182" s="86"/>
      <c r="F182" s="87"/>
      <c r="G182" s="88" t="str">
        <f>IFERROR(IF(COUNT(ج_ح_مرداد[[#This Row],[کارکرد]]),حداقل_حقوق_پایه_روزانه,""),"")</f>
        <v/>
      </c>
      <c r="H182" s="89" t="str">
        <f>IFERROR(IF(ج_ح_مرداد[[#This Row],[کارکرد]]*ج_ح_مرداد[[#This Row],[دستمزد روزانه ]]=0,"",ج_ح_مرداد[[#This Row],[کارکرد]]*ج_ح_مرداد[[#This Row],[دستمزد روزانه ]]),"")</f>
        <v/>
      </c>
      <c r="I182" s="91"/>
      <c r="J182" s="90" t="str">
        <f>IFERROR((ج_ح_مرداد[[#This Row],[دستمزد روزانه ]]/7.33)*1.4*ج_ح_مرداد[[#This Row],[مدت اضافه کاری ]],"")</f>
        <v/>
      </c>
      <c r="K182" s="89" t="str">
        <f>IF(ج_ح_مرداد[[#This Row],[کارکرد]]="","",ج_ح_مرداد[[#This Row],[کارکرد]]/31*حق_مسکن)</f>
        <v/>
      </c>
      <c r="L182" s="91"/>
      <c r="M182" s="89" t="str">
        <f>IF(ج_ح_مرداد[[#This Row],[تعداد فرزندان]]="","",ج_ح_مرداد[[#This Row],[کارکرد]]/31*3*ج_ح_مرداد[[#This Row],[تعداد فرزندان]]*حداقل_حقوق_پایه_روزانه)</f>
        <v/>
      </c>
      <c r="N182" s="89" t="str">
        <f>IF(ج_ح_مرداد[[#This Row],[کارکرد]]="","",ج_ح_مرداد[[#This Row],[کارکرد]]/31*حق_خواربار)</f>
        <v/>
      </c>
      <c r="O182" s="89" t="str">
        <f>IFERROR(ج_ح_مرداد[[#This Row],[حقوق پایه]]+ج_ح_مرداد[[#This Row],[اضافه کاری]]+ج_ح_مرداد[[#This Row],[حق مسکن]]+ج_ح_مرداد[[#This Row],[حق اولاد]]+ج_ح_مرداد[[#This Row],[حق و خواروبار]],"")</f>
        <v/>
      </c>
      <c r="P182"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82"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82" s="91"/>
      <c r="S182" s="91"/>
      <c r="T182" s="89" t="str">
        <f>IFERROR(ج_ح_مرداد[[#This Row],[جمع ح و م م بیمه ]]*7%,"")</f>
        <v/>
      </c>
      <c r="U182"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82" s="89" t="str">
        <f>IFERROR(ج_ح_مرداد[[#This Row],[وام]]+ج_ح_مرداد[[#This Row],[مساعده]]+ج_ح_مرداد[[#This Row],[بیمه پرداختنی]]+ج_ح_مرداد[[#This Row],[مالیات پرداختنی]],"")</f>
        <v/>
      </c>
      <c r="W182" s="89" t="str">
        <f>IFERROR(ج_ح_مرداد[[#This Row],[جمع ح و م]]-ج_ح_مرداد[[#This Row],[جمع کسورات]],"")</f>
        <v/>
      </c>
      <c r="X182" s="108"/>
    </row>
    <row r="183" spans="1:24" ht="32.1" customHeight="1">
      <c r="B183" s="1">
        <f t="shared" si="3"/>
        <v>5</v>
      </c>
      <c r="C183" s="85" t="str">
        <f>IF(ج_ح_مرداد[[#This Row],[نام]]&lt;&gt;"",ROW()-155+1,"")</f>
        <v/>
      </c>
      <c r="D183" s="86"/>
      <c r="E183" s="86"/>
      <c r="F183" s="87"/>
      <c r="G183" s="88" t="str">
        <f>IFERROR(IF(COUNT(ج_ح_مرداد[[#This Row],[کارکرد]]),حداقل_حقوق_پایه_روزانه,""),"")</f>
        <v/>
      </c>
      <c r="H183" s="89" t="str">
        <f>IFERROR(IF(ج_ح_مرداد[[#This Row],[کارکرد]]*ج_ح_مرداد[[#This Row],[دستمزد روزانه ]]=0,"",ج_ح_مرداد[[#This Row],[کارکرد]]*ج_ح_مرداد[[#This Row],[دستمزد روزانه ]]),"")</f>
        <v/>
      </c>
      <c r="I183" s="91"/>
      <c r="J183" s="90" t="str">
        <f>IFERROR((ج_ح_مرداد[[#This Row],[دستمزد روزانه ]]/7.33)*1.4*ج_ح_مرداد[[#This Row],[مدت اضافه کاری ]],"")</f>
        <v/>
      </c>
      <c r="K183" s="89" t="str">
        <f>IF(ج_ح_مرداد[[#This Row],[کارکرد]]="","",ج_ح_مرداد[[#This Row],[کارکرد]]/31*حق_مسکن)</f>
        <v/>
      </c>
      <c r="L183" s="91"/>
      <c r="M183" s="89" t="str">
        <f>IF(ج_ح_مرداد[[#This Row],[تعداد فرزندان]]="","",ج_ح_مرداد[[#This Row],[کارکرد]]/31*3*ج_ح_مرداد[[#This Row],[تعداد فرزندان]]*حداقل_حقوق_پایه_روزانه)</f>
        <v/>
      </c>
      <c r="N183" s="89" t="str">
        <f>IF(ج_ح_مرداد[[#This Row],[کارکرد]]="","",ج_ح_مرداد[[#This Row],[کارکرد]]/31*حق_خواربار)</f>
        <v/>
      </c>
      <c r="O183" s="89" t="str">
        <f>IFERROR(ج_ح_مرداد[[#This Row],[حقوق پایه]]+ج_ح_مرداد[[#This Row],[اضافه کاری]]+ج_ح_مرداد[[#This Row],[حق مسکن]]+ج_ح_مرداد[[#This Row],[حق اولاد]]+ج_ح_مرداد[[#This Row],[حق و خواروبار]],"")</f>
        <v/>
      </c>
      <c r="P183"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83"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83" s="91"/>
      <c r="S183" s="91"/>
      <c r="T183" s="89" t="str">
        <f>IFERROR(ج_ح_مرداد[[#This Row],[جمع ح و م م بیمه ]]*7%,"")</f>
        <v/>
      </c>
      <c r="U183"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83" s="89" t="str">
        <f>IFERROR(ج_ح_مرداد[[#This Row],[وام]]+ج_ح_مرداد[[#This Row],[مساعده]]+ج_ح_مرداد[[#This Row],[بیمه پرداختنی]]+ج_ح_مرداد[[#This Row],[مالیات پرداختنی]],"")</f>
        <v/>
      </c>
      <c r="W183" s="89" t="str">
        <f>IFERROR(ج_ح_مرداد[[#This Row],[جمع ح و م]]-ج_ح_مرداد[[#This Row],[جمع کسورات]],"")</f>
        <v/>
      </c>
      <c r="X183" s="108"/>
    </row>
    <row r="184" spans="1:24" ht="32.1" customHeight="1">
      <c r="B184" s="1">
        <f t="shared" si="3"/>
        <v>5</v>
      </c>
      <c r="C184" s="85" t="str">
        <f>IF(ج_ح_مرداد[[#This Row],[نام]]&lt;&gt;"",ROW()-155+1,"")</f>
        <v/>
      </c>
      <c r="D184" s="86"/>
      <c r="E184" s="86"/>
      <c r="F184" s="87"/>
      <c r="G184" s="88" t="str">
        <f>IFERROR(IF(COUNT(ج_ح_مرداد[[#This Row],[کارکرد]]),حداقل_حقوق_پایه_روزانه,""),"")</f>
        <v/>
      </c>
      <c r="H184" s="89" t="str">
        <f>IFERROR(IF(ج_ح_مرداد[[#This Row],[کارکرد]]*ج_ح_مرداد[[#This Row],[دستمزد روزانه ]]=0,"",ج_ح_مرداد[[#This Row],[کارکرد]]*ج_ح_مرداد[[#This Row],[دستمزد روزانه ]]),"")</f>
        <v/>
      </c>
      <c r="I184" s="91"/>
      <c r="J184" s="90" t="str">
        <f>IFERROR((ج_ح_مرداد[[#This Row],[دستمزد روزانه ]]/7.33)*1.4*ج_ح_مرداد[[#This Row],[مدت اضافه کاری ]],"")</f>
        <v/>
      </c>
      <c r="K184" s="89" t="str">
        <f>IF(ج_ح_مرداد[[#This Row],[کارکرد]]="","",ج_ح_مرداد[[#This Row],[کارکرد]]/31*حق_مسکن)</f>
        <v/>
      </c>
      <c r="L184" s="91"/>
      <c r="M184" s="89" t="str">
        <f>IF(ج_ح_مرداد[[#This Row],[تعداد فرزندان]]="","",ج_ح_مرداد[[#This Row],[کارکرد]]/31*3*ج_ح_مرداد[[#This Row],[تعداد فرزندان]]*حداقل_حقوق_پایه_روزانه)</f>
        <v/>
      </c>
      <c r="N184" s="89" t="str">
        <f>IF(ج_ح_مرداد[[#This Row],[کارکرد]]="","",ج_ح_مرداد[[#This Row],[کارکرد]]/31*حق_خواربار)</f>
        <v/>
      </c>
      <c r="O184" s="89" t="str">
        <f>IFERROR(ج_ح_مرداد[[#This Row],[حقوق پایه]]+ج_ح_مرداد[[#This Row],[اضافه کاری]]+ج_ح_مرداد[[#This Row],[حق مسکن]]+ج_ح_مرداد[[#This Row],[حق اولاد]]+ج_ح_مرداد[[#This Row],[حق و خواروبار]],"")</f>
        <v/>
      </c>
      <c r="P184" s="89" t="str">
        <f>IFERROR(IF(ج_ح_مرداد[[#This Row],[حقوق پایه]]+ج_ح_مرداد[[#This Row],[اضافه کاری]]+ج_ح_مرداد[[#This Row],[حق مسکن]]+ج_ح_مرداد[[#This Row],[حق و خواروبار]]&gt;حداکثر_حقوق_مشمول_بیمه_ماهانه,حداکثر_حقوق_مشمول_بیمه_ماهانه,ج_ح_مرداد[[#This Row],[حقوق پایه]]+ج_ح_مرداد[[#This Row],[اضافه کاری]]+ج_ح_مرداد[[#This Row],[حق مسکن]]+ج_ح_مرداد[[#This Row],[حق و خواروبار]]),"")</f>
        <v/>
      </c>
      <c r="Q184" s="89" t="str">
        <f>IFERROR(ج_ح_مرداد[[#This Row],[حقوق پایه]]+ج_ح_مرداد[[#This Row],[اضافه کاری]]+ج_ح_مرداد[[#This Row],[حق مسکن]]+ج_ح_مرداد[[#This Row],[حق و خواروبار]]+ج_ح_مرداد[[#This Row],[حق اولاد]]-(2/7)*ج_ح_مرداد[[#This Row],[بیمه پرداختنی]],"")</f>
        <v/>
      </c>
      <c r="R184" s="91"/>
      <c r="S184" s="91"/>
      <c r="T184" s="89" t="str">
        <f>IFERROR(ج_ح_مرداد[[#This Row],[جمع ح و م م بیمه ]]*7%,"")</f>
        <v/>
      </c>
      <c r="U184" s="92" t="str">
        <f>IFERROR(IF(ج_ح_مرداد[[#This Row],[جمع ح و م م مالیات]]&gt;=400000000,(ج_ح_مرداد[[#This Row],[جمع ح و م م مالیات]]-400000000)*30%+26000000,IF(ج_ح_مرداد[[#This Row],[جمع ح و م م مالیات]]&gt;=270000000,(ج_ح_مرداد[[#This Row],[جمع ح و م م مالیات]]-270000000)*20%+15750000,IF(ج_ح_مرداد[[#This Row],[جمع ح و م م مالیات]]&gt;=165000000,(ج_ح_مرداد[[#This Row],[جمع ح و م م مالیات]]-165000000)*15%+4500000,IF(ج_ح_مرداد[[#This Row],[جمع ح و م م مالیات]]&gt;=120000000,(ج_ح_مرداد[[#This Row],[جمع ح و م م مالیات]]-120000000)*10%,0)))),"")</f>
        <v/>
      </c>
      <c r="V184" s="89" t="str">
        <f>IFERROR(ج_ح_مرداد[[#This Row],[وام]]+ج_ح_مرداد[[#This Row],[مساعده]]+ج_ح_مرداد[[#This Row],[بیمه پرداختنی]]+ج_ح_مرداد[[#This Row],[مالیات پرداختنی]],"")</f>
        <v/>
      </c>
      <c r="W184" s="89" t="str">
        <f>IFERROR(ج_ح_مرداد[[#This Row],[جمع ح و م]]-ج_ح_مرداد[[#This Row],[جمع کسورات]],"")</f>
        <v/>
      </c>
      <c r="X184" s="108"/>
    </row>
    <row r="185" spans="1:24" ht="32.1" customHeight="1">
      <c r="B185" s="1">
        <f t="shared" si="3"/>
        <v>5</v>
      </c>
      <c r="C185" s="23"/>
      <c r="D185" s="24"/>
      <c r="E185" s="24" t="s">
        <v>35</v>
      </c>
      <c r="F185" s="33">
        <f>SUBTOTAL(109,ج_ح_مرداد[کارکرد])</f>
        <v>0</v>
      </c>
      <c r="G185" s="25">
        <f>SUBTOTAL(109,ج_ح_مرداد[[دستمزد روزانه ]])</f>
        <v>0</v>
      </c>
      <c r="H185" s="25">
        <f>SUBTOTAL(109,ج_ح_مرداد[حقوق پایه])</f>
        <v>0</v>
      </c>
      <c r="I185" s="34">
        <f>SUBTOTAL(109,ج_ح_مرداد[[مدت اضافه کاری ]])</f>
        <v>0</v>
      </c>
      <c r="J185" s="35">
        <f>SUBTOTAL(109,ج_ح_مرداد[اضافه کاری])</f>
        <v>0</v>
      </c>
      <c r="K185" s="25">
        <f>SUBTOTAL(109,ج_ح_مرداد[حق مسکن])</f>
        <v>0</v>
      </c>
      <c r="L185" s="36">
        <f>SUBTOTAL(109,ج_ح_مرداد[تعداد فرزندان])</f>
        <v>0</v>
      </c>
      <c r="M185" s="25">
        <f>SUBTOTAL(109,ج_ح_مرداد[حق اولاد])</f>
        <v>0</v>
      </c>
      <c r="N185" s="25">
        <f>SUBTOTAL(109,ج_ح_مرداد[حق و خواروبار])</f>
        <v>0</v>
      </c>
      <c r="O185" s="25">
        <f>SUBTOTAL(109,ج_ح_مرداد[جمع ح و م])</f>
        <v>0</v>
      </c>
      <c r="P185" s="25">
        <f>SUBTOTAL(109,ج_ح_مرداد[[جمع ح و م م بیمه ]])</f>
        <v>0</v>
      </c>
      <c r="Q185" s="25">
        <f>SUBTOTAL(109,ج_ح_مرداد[جمع ح و م م مالیات])</f>
        <v>0</v>
      </c>
      <c r="R185" s="25">
        <f>SUBTOTAL(109,ج_ح_مرداد[وام])</f>
        <v>0</v>
      </c>
      <c r="S185" s="25">
        <f>SUBTOTAL(109,ج_ح_مرداد[مساعده])</f>
        <v>0</v>
      </c>
      <c r="T185" s="25">
        <f>SUBTOTAL(109,ج_ح_مرداد[بیمه پرداختنی])</f>
        <v>0</v>
      </c>
      <c r="U185" s="25">
        <f>SUBTOTAL(109,ج_ح_مرداد[مالیات پرداختنی])</f>
        <v>0</v>
      </c>
      <c r="V185" s="25">
        <f>SUBTOTAL(109,ج_ح_مرداد[جمع کسورات])</f>
        <v>0</v>
      </c>
      <c r="W185" s="25">
        <f>SUBTOTAL(109,ج_ح_مرداد[خالص قابل پرداخت])</f>
        <v>0</v>
      </c>
      <c r="X185" s="109"/>
    </row>
    <row r="186" spans="1:24" ht="8.1" customHeight="1"/>
    <row r="187" spans="1:24" s="7" customFormat="1" ht="39.950000000000003" customHeight="1">
      <c r="A187" s="15"/>
      <c r="B187" s="15"/>
      <c r="C187" s="128" t="str">
        <f>CONCATENATE("شرکت"," ",'اطلاعات شرکت'!$B$1)</f>
        <v>شرکت پندار حساب شهسوار</v>
      </c>
      <c r="D187" s="128"/>
      <c r="E187" s="128"/>
      <c r="F187" s="128"/>
      <c r="G187" s="128"/>
      <c r="H187" s="128"/>
      <c r="I187" s="128"/>
      <c r="J187" s="128"/>
      <c r="K187" s="128"/>
      <c r="L187" s="128"/>
      <c r="M187" s="128"/>
      <c r="N187" s="128"/>
      <c r="O187" s="128"/>
      <c r="P187" s="128"/>
      <c r="Q187" s="128"/>
      <c r="R187" s="128"/>
      <c r="S187" s="128"/>
      <c r="T187" s="128"/>
      <c r="U187" s="128"/>
      <c r="V187" s="128"/>
      <c r="W187" s="128"/>
      <c r="X187" s="105"/>
    </row>
    <row r="188" spans="1:24" s="7" customFormat="1" ht="50.1" customHeight="1">
      <c r="C188" s="127" t="str">
        <f>CONCATENATE("جدول حقوق و دستمزد شهریور ماه سال"," ",'اطلاعات شرکت'!$B$2)</f>
        <v>جدول حقوق و دستمزد شهریور ماه سال 1402</v>
      </c>
      <c r="D188" s="127"/>
      <c r="E188" s="127"/>
      <c r="F188" s="127"/>
      <c r="G188" s="127"/>
      <c r="H188" s="127"/>
      <c r="I188" s="127"/>
      <c r="J188" s="127"/>
      <c r="K188" s="127"/>
      <c r="L188" s="127"/>
      <c r="M188" s="127"/>
      <c r="N188" s="127"/>
      <c r="O188" s="127"/>
      <c r="P188" s="127"/>
      <c r="Q188" s="127"/>
      <c r="R188" s="127"/>
      <c r="S188" s="127"/>
      <c r="T188" s="127"/>
      <c r="U188" s="127"/>
      <c r="V188" s="127"/>
      <c r="W188" s="127"/>
      <c r="X188" s="105"/>
    </row>
    <row r="189" spans="1:24" s="12" customFormat="1" ht="50.1" customHeight="1">
      <c r="C189" s="129" t="s">
        <v>1</v>
      </c>
      <c r="D189" s="28" t="s">
        <v>23</v>
      </c>
      <c r="E189" s="28" t="s">
        <v>56</v>
      </c>
      <c r="F189" s="28" t="s">
        <v>11</v>
      </c>
      <c r="G189" s="28" t="s">
        <v>12</v>
      </c>
      <c r="H189" s="28" t="s">
        <v>37</v>
      </c>
      <c r="I189" s="28" t="s">
        <v>51</v>
      </c>
      <c r="J189" s="28" t="s">
        <v>47</v>
      </c>
      <c r="K189" s="28" t="s">
        <v>4</v>
      </c>
      <c r="L189" s="28" t="s">
        <v>48</v>
      </c>
      <c r="M189" s="28" t="s">
        <v>14</v>
      </c>
      <c r="N189" s="28" t="s">
        <v>5</v>
      </c>
      <c r="O189" s="28" t="s">
        <v>17</v>
      </c>
      <c r="P189" s="28" t="s">
        <v>49</v>
      </c>
      <c r="Q189" s="28" t="s">
        <v>50</v>
      </c>
      <c r="R189" s="28" t="s">
        <v>15</v>
      </c>
      <c r="S189" s="28" t="s">
        <v>16</v>
      </c>
      <c r="T189" s="28" t="s">
        <v>59</v>
      </c>
      <c r="U189" s="28" t="s">
        <v>58</v>
      </c>
      <c r="V189" s="28" t="s">
        <v>21</v>
      </c>
      <c r="W189" s="28" t="s">
        <v>57</v>
      </c>
      <c r="X189" s="106"/>
    </row>
    <row r="190" spans="1:24" s="7" customFormat="1" ht="32.1" customHeight="1">
      <c r="C190" s="129"/>
      <c r="D190" s="29">
        <v>1</v>
      </c>
      <c r="E190" s="29">
        <v>2</v>
      </c>
      <c r="F190" s="29">
        <v>3</v>
      </c>
      <c r="G190" s="29">
        <v>4</v>
      </c>
      <c r="H190" s="29">
        <v>5</v>
      </c>
      <c r="I190" s="29">
        <v>6</v>
      </c>
      <c r="J190" s="29">
        <v>7</v>
      </c>
      <c r="K190" s="29">
        <v>8</v>
      </c>
      <c r="L190" s="29">
        <v>9</v>
      </c>
      <c r="M190" s="29">
        <v>10</v>
      </c>
      <c r="N190" s="29">
        <v>11</v>
      </c>
      <c r="O190" s="29">
        <v>12</v>
      </c>
      <c r="P190" s="29">
        <v>13</v>
      </c>
      <c r="Q190" s="29">
        <v>14</v>
      </c>
      <c r="R190" s="29">
        <v>15</v>
      </c>
      <c r="S190" s="29">
        <v>16</v>
      </c>
      <c r="T190" s="29">
        <v>17</v>
      </c>
      <c r="U190" s="29">
        <v>18</v>
      </c>
      <c r="V190" s="29">
        <v>19</v>
      </c>
      <c r="W190" s="30">
        <v>20</v>
      </c>
      <c r="X190" s="105"/>
    </row>
    <row r="191" spans="1:24" s="7" customFormat="1" ht="20.100000000000001" customHeight="1">
      <c r="C191" s="16" t="s">
        <v>1</v>
      </c>
      <c r="D191" s="16" t="s">
        <v>23</v>
      </c>
      <c r="E191" s="16" t="s">
        <v>56</v>
      </c>
      <c r="F191" s="16" t="s">
        <v>11</v>
      </c>
      <c r="G191" s="16" t="s">
        <v>12</v>
      </c>
      <c r="H191" s="16" t="s">
        <v>37</v>
      </c>
      <c r="I191" s="16" t="s">
        <v>46</v>
      </c>
      <c r="J191" s="16" t="s">
        <v>47</v>
      </c>
      <c r="K191" s="16" t="s">
        <v>4</v>
      </c>
      <c r="L191" s="16" t="s">
        <v>13</v>
      </c>
      <c r="M191" s="16" t="s">
        <v>14</v>
      </c>
      <c r="N191" s="16" t="s">
        <v>79</v>
      </c>
      <c r="O191" s="16" t="s">
        <v>53</v>
      </c>
      <c r="P191" s="16" t="s">
        <v>54</v>
      </c>
      <c r="Q191" s="31" t="s">
        <v>55</v>
      </c>
      <c r="R191" s="16" t="s">
        <v>15</v>
      </c>
      <c r="S191" s="16" t="s">
        <v>16</v>
      </c>
      <c r="T191" s="31" t="s">
        <v>19</v>
      </c>
      <c r="U191" s="31" t="s">
        <v>20</v>
      </c>
      <c r="V191" s="16" t="s">
        <v>21</v>
      </c>
      <c r="W191" s="16" t="s">
        <v>22</v>
      </c>
      <c r="X191" s="110" t="s">
        <v>133</v>
      </c>
    </row>
    <row r="192" spans="1:24" ht="32.1" customHeight="1">
      <c r="B192" s="1">
        <f>B185+1</f>
        <v>6</v>
      </c>
      <c r="C192" s="85" t="str">
        <f>IF(ج_ح_شهریور[[#This Row],[نام]]&lt;&gt;"",ROW()-192+1,"")</f>
        <v/>
      </c>
      <c r="D192" s="86"/>
      <c r="E192" s="86"/>
      <c r="F192" s="87"/>
      <c r="G192" s="88" t="str">
        <f>IFERROR(IF(COUNT(ج_ح_شهریور[[#This Row],[کارکرد]]),حداقل_حقوق_پایه_روزانه,""),"")</f>
        <v/>
      </c>
      <c r="H192" s="89" t="str">
        <f>IFERROR(IF(ج_ح_شهریور[[#This Row],[کارکرد]]*ج_ح_شهریور[[#This Row],[دستمزد روزانه ]]=0,"",ج_ح_شهریور[[#This Row],[کارکرد]]*ج_ح_شهریور[[#This Row],[دستمزد روزانه ]]),"")</f>
        <v/>
      </c>
      <c r="I192" s="91">
        <v>0</v>
      </c>
      <c r="J192" s="90" t="str">
        <f>IFERROR((ج_ح_شهریور[[#This Row],[دستمزد روزانه ]]/7.33)*1.4*ج_ح_شهریور[[#This Row],[مدت اضافه کاری ]],"")</f>
        <v/>
      </c>
      <c r="K192" s="89" t="str">
        <f>IF(ج_ح_شهریور[[#This Row],[کارکرد]]="","",ج_ح_شهریور[[#This Row],[کارکرد]]/31*حق_مسکن)</f>
        <v/>
      </c>
      <c r="L192" s="91">
        <v>0</v>
      </c>
      <c r="M192" s="89">
        <f>IF(ج_ح_شهریور[[#This Row],[تعداد فرزندان]]="","",ج_ح_شهریور[[#This Row],[کارکرد]]/31*3*ج_ح_شهریور[[#This Row],[تعداد فرزندان]]*حداقل_حقوق_پایه_روزانه)</f>
        <v>0</v>
      </c>
      <c r="N192" s="89" t="str">
        <f>IF(ج_ح_شهریور[[#This Row],[کارکرد]]="","",ج_ح_شهریور[[#This Row],[کارکرد]]/31*حق_خواربار)</f>
        <v/>
      </c>
      <c r="O192" s="89" t="str">
        <f>IFERROR(ج_ح_شهریور[[#This Row],[حقوق پایه]]+ج_ح_شهریور[[#This Row],[اضافه کاری]]+ج_ح_شهریور[[#This Row],[حق مسکن]]+ج_ح_شهریور[[#This Row],[حق اولاد]]+ج_ح_شهریور[[#This Row],[حق و خواروبار]],"")</f>
        <v/>
      </c>
      <c r="P192"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192"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192" s="91">
        <v>0</v>
      </c>
      <c r="S192" s="91">
        <v>0</v>
      </c>
      <c r="T192" s="89" t="str">
        <f>IFERROR(ج_ح_شهریور[[#This Row],[جمع ح و م م بیمه ]]*7%,"")</f>
        <v/>
      </c>
      <c r="U192"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192" s="89" t="str">
        <f>IFERROR(ج_ح_شهریور[[#This Row],[وام]]+ج_ح_شهریور[[#This Row],[مساعده]]+ج_ح_شهریور[[#This Row],[بیمه پرداختنی]]+ج_ح_شهریور[[#This Row],[مالیات پرداختنی]],"")</f>
        <v/>
      </c>
      <c r="W192" s="89" t="str">
        <f>IFERROR(ج_ح_شهریور[[#This Row],[جمع ح و م]]-ج_ح_شهریور[[#This Row],[جمع کسورات]],"")</f>
        <v/>
      </c>
      <c r="X192" s="108" t="e">
        <f>100000000-ج_ح_شهریور[[#This Row],[جمع ح و م م مالیات]]</f>
        <v>#VALUE!</v>
      </c>
    </row>
    <row r="193" spans="2:24" ht="32.1" customHeight="1">
      <c r="B193" s="1">
        <f>B192</f>
        <v>6</v>
      </c>
      <c r="C193" s="85" t="str">
        <f>IF(ج_ح_شهریور[[#This Row],[نام]]&lt;&gt;"",ROW()-192+1,"")</f>
        <v/>
      </c>
      <c r="D193" s="86"/>
      <c r="E193" s="86"/>
      <c r="F193" s="87"/>
      <c r="G193" s="88" t="str">
        <f>IFERROR(IF(COUNT(ج_ح_شهریور[[#This Row],[کارکرد]]),حداقل_حقوق_پایه_روزانه,""),"")</f>
        <v/>
      </c>
      <c r="H193" s="89" t="str">
        <f>IFERROR(IF(ج_ح_شهریور[[#This Row],[کارکرد]]*ج_ح_شهریور[[#This Row],[دستمزد روزانه ]]=0,"",ج_ح_شهریور[[#This Row],[کارکرد]]*ج_ح_شهریور[[#This Row],[دستمزد روزانه ]]),"")</f>
        <v/>
      </c>
      <c r="I193" s="91">
        <v>0</v>
      </c>
      <c r="J193" s="90" t="str">
        <f>IFERROR((ج_ح_شهریور[[#This Row],[دستمزد روزانه ]]/7.33)*1.4*ج_ح_شهریور[[#This Row],[مدت اضافه کاری ]],"")</f>
        <v/>
      </c>
      <c r="K193" s="89" t="str">
        <f>IF(ج_ح_شهریور[[#This Row],[کارکرد]]="","",ج_ح_شهریور[[#This Row],[کارکرد]]/31*حق_مسکن)</f>
        <v/>
      </c>
      <c r="L193" s="91">
        <v>0</v>
      </c>
      <c r="M193" s="89">
        <f>IF(ج_ح_شهریور[[#This Row],[تعداد فرزندان]]="","",ج_ح_شهریور[[#This Row],[کارکرد]]/31*3*ج_ح_شهریور[[#This Row],[تعداد فرزندان]]*حداقل_حقوق_پایه_روزانه)</f>
        <v>0</v>
      </c>
      <c r="N193" s="89" t="str">
        <f>IF(ج_ح_شهریور[[#This Row],[کارکرد]]="","",ج_ح_شهریور[[#This Row],[کارکرد]]/31*حق_خواربار)</f>
        <v/>
      </c>
      <c r="O193" s="89" t="str">
        <f>IFERROR(ج_ح_شهریور[[#This Row],[حقوق پایه]]+ج_ح_شهریور[[#This Row],[اضافه کاری]]+ج_ح_شهریور[[#This Row],[حق مسکن]]+ج_ح_شهریور[[#This Row],[حق اولاد]]+ج_ح_شهریور[[#This Row],[حق و خواروبار]],"")</f>
        <v/>
      </c>
      <c r="P193"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193"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193" s="91">
        <v>0</v>
      </c>
      <c r="S193" s="91">
        <v>0</v>
      </c>
      <c r="T193" s="89" t="str">
        <f>IFERROR(ج_ح_شهریور[[#This Row],[جمع ح و م م بیمه ]]*7%,"")</f>
        <v/>
      </c>
      <c r="U193"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193" s="89" t="str">
        <f>IFERROR(ج_ح_شهریور[[#This Row],[وام]]+ج_ح_شهریور[[#This Row],[مساعده]]+ج_ح_شهریور[[#This Row],[بیمه پرداختنی]]+ج_ح_شهریور[[#This Row],[مالیات پرداختنی]],"")</f>
        <v/>
      </c>
      <c r="W193" s="89" t="str">
        <f>IFERROR(ج_ح_شهریور[[#This Row],[جمع ح و م]]-ج_ح_شهریور[[#This Row],[جمع کسورات]],"")</f>
        <v/>
      </c>
      <c r="X193" s="108" t="e">
        <f>100000000-ج_ح_شهریور[[#This Row],[جمع ح و م م مالیات]]</f>
        <v>#VALUE!</v>
      </c>
    </row>
    <row r="194" spans="2:24" ht="32.1" customHeight="1">
      <c r="B194" s="1">
        <f t="shared" ref="B194:B222" si="4">B193</f>
        <v>6</v>
      </c>
      <c r="C194" s="85" t="str">
        <f>IF(ج_ح_شهریور[[#This Row],[نام]]&lt;&gt;"",ROW()-192+1,"")</f>
        <v/>
      </c>
      <c r="D194" s="86"/>
      <c r="E194" s="86"/>
      <c r="F194" s="87"/>
      <c r="G194" s="88" t="str">
        <f>IFERROR(IF(COUNT(ج_ح_شهریور[[#This Row],[کارکرد]]),حداقل_حقوق_پایه_روزانه,""),"")</f>
        <v/>
      </c>
      <c r="H194" s="89" t="str">
        <f>IFERROR(IF(ج_ح_شهریور[[#This Row],[کارکرد]]*ج_ح_شهریور[[#This Row],[دستمزد روزانه ]]=0,"",ج_ح_شهریور[[#This Row],[کارکرد]]*ج_ح_شهریور[[#This Row],[دستمزد روزانه ]]),"")</f>
        <v/>
      </c>
      <c r="I194" s="91">
        <v>0</v>
      </c>
      <c r="J194" s="90" t="str">
        <f>IFERROR((ج_ح_شهریور[[#This Row],[دستمزد روزانه ]]/7.33)*1.4*ج_ح_شهریور[[#This Row],[مدت اضافه کاری ]],"")</f>
        <v/>
      </c>
      <c r="K194" s="89" t="str">
        <f>IF(ج_ح_شهریور[[#This Row],[کارکرد]]="","",ج_ح_شهریور[[#This Row],[کارکرد]]/31*حق_مسکن)</f>
        <v/>
      </c>
      <c r="L194" s="91">
        <v>0</v>
      </c>
      <c r="M194" s="89">
        <f>IF(ج_ح_شهریور[[#This Row],[تعداد فرزندان]]="","",ج_ح_شهریور[[#This Row],[کارکرد]]/31*3*ج_ح_شهریور[[#This Row],[تعداد فرزندان]]*حداقل_حقوق_پایه_روزانه)</f>
        <v>0</v>
      </c>
      <c r="N194" s="89" t="str">
        <f>IF(ج_ح_شهریور[[#This Row],[کارکرد]]="","",ج_ح_شهریور[[#This Row],[کارکرد]]/31*حق_خواربار)</f>
        <v/>
      </c>
      <c r="O194" s="89" t="str">
        <f>IFERROR(ج_ح_شهریور[[#This Row],[حقوق پایه]]+ج_ح_شهریور[[#This Row],[اضافه کاری]]+ج_ح_شهریور[[#This Row],[حق مسکن]]+ج_ح_شهریور[[#This Row],[حق اولاد]]+ج_ح_شهریور[[#This Row],[حق و خواروبار]],"")</f>
        <v/>
      </c>
      <c r="P194"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194"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194" s="91">
        <v>0</v>
      </c>
      <c r="S194" s="91">
        <v>0</v>
      </c>
      <c r="T194" s="89" t="str">
        <f>IFERROR(ج_ح_شهریور[[#This Row],[جمع ح و م م بیمه ]]*7%,"")</f>
        <v/>
      </c>
      <c r="U194"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194" s="89" t="str">
        <f>IFERROR(ج_ح_شهریور[[#This Row],[وام]]+ج_ح_شهریور[[#This Row],[مساعده]]+ج_ح_شهریور[[#This Row],[بیمه پرداختنی]]+ج_ح_شهریور[[#This Row],[مالیات پرداختنی]],"")</f>
        <v/>
      </c>
      <c r="W194" s="89" t="str">
        <f>IFERROR(ج_ح_شهریور[[#This Row],[جمع ح و م]]-ج_ح_شهریور[[#This Row],[جمع کسورات]],"")</f>
        <v/>
      </c>
      <c r="X194" s="108" t="e">
        <f>100000000-ج_ح_شهریور[[#This Row],[جمع ح و م م مالیات]]</f>
        <v>#VALUE!</v>
      </c>
    </row>
    <row r="195" spans="2:24" ht="32.1" customHeight="1">
      <c r="B195" s="1">
        <f t="shared" si="4"/>
        <v>6</v>
      </c>
      <c r="C195" s="85" t="str">
        <f>IF(ج_ح_شهریور[[#This Row],[نام]]&lt;&gt;"",ROW()-192+1,"")</f>
        <v/>
      </c>
      <c r="D195" s="86"/>
      <c r="E195" s="86"/>
      <c r="F195" s="87"/>
      <c r="G195" s="88" t="str">
        <f>IFERROR(IF(COUNT(ج_ح_شهریور[[#This Row],[کارکرد]]),حداقل_حقوق_پایه_روزانه,""),"")</f>
        <v/>
      </c>
      <c r="H195" s="89" t="str">
        <f>IFERROR(IF(ج_ح_شهریور[[#This Row],[کارکرد]]*ج_ح_شهریور[[#This Row],[دستمزد روزانه ]]=0,"",ج_ح_شهریور[[#This Row],[کارکرد]]*ج_ح_شهریور[[#This Row],[دستمزد روزانه ]]),"")</f>
        <v/>
      </c>
      <c r="I195" s="91">
        <v>0</v>
      </c>
      <c r="J195" s="90" t="str">
        <f>IFERROR((ج_ح_شهریور[[#This Row],[دستمزد روزانه ]]/7.33)*1.4*ج_ح_شهریور[[#This Row],[مدت اضافه کاری ]],"")</f>
        <v/>
      </c>
      <c r="K195" s="89" t="str">
        <f>IF(ج_ح_شهریور[[#This Row],[کارکرد]]="","",ج_ح_شهریور[[#This Row],[کارکرد]]/30*حق_مسکن)</f>
        <v/>
      </c>
      <c r="L195" s="91">
        <v>0</v>
      </c>
      <c r="M195" s="89">
        <f>IF(ج_ح_شهریور[[#This Row],[تعداد فرزندان]]="","",ج_ح_شهریور[[#This Row],[کارکرد]]/31*3*ج_ح_شهریور[[#This Row],[تعداد فرزندان]]*حداقل_حقوق_پایه_روزانه)</f>
        <v>0</v>
      </c>
      <c r="N195" s="89" t="str">
        <f>IF(ج_ح_شهریور[[#This Row],[کارکرد]]="","",ج_ح_شهریور[[#This Row],[کارکرد]]/30*حق_خواربار)</f>
        <v/>
      </c>
      <c r="O195" s="89" t="str">
        <f>IFERROR(ج_ح_شهریور[[#This Row],[حقوق پایه]]+ج_ح_شهریور[[#This Row],[اضافه کاری]]+ج_ح_شهریور[[#This Row],[حق مسکن]]+ج_ح_شهریور[[#This Row],[حق اولاد]]+ج_ح_شهریور[[#This Row],[حق و خواروبار]],"")</f>
        <v/>
      </c>
      <c r="P195"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195"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195" s="91">
        <v>0</v>
      </c>
      <c r="S195" s="91">
        <v>0</v>
      </c>
      <c r="T195" s="89" t="str">
        <f>IFERROR(ج_ح_شهریور[[#This Row],[جمع ح و م م بیمه ]]*7%,"")</f>
        <v/>
      </c>
      <c r="U195"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195" s="89" t="str">
        <f>IFERROR(ج_ح_شهریور[[#This Row],[وام]]+ج_ح_شهریور[[#This Row],[مساعده]]+ج_ح_شهریور[[#This Row],[بیمه پرداختنی]]+ج_ح_شهریور[[#This Row],[مالیات پرداختنی]],"")</f>
        <v/>
      </c>
      <c r="W195" s="89" t="str">
        <f>IFERROR(ج_ح_شهریور[[#This Row],[جمع ح و م]]-ج_ح_شهریور[[#This Row],[جمع کسورات]],"")</f>
        <v/>
      </c>
      <c r="X195" s="108" t="e">
        <f>50000000-ج_ح_شهریور[[#This Row],[جمع ح و م م مالیات]]</f>
        <v>#VALUE!</v>
      </c>
    </row>
    <row r="196" spans="2:24" ht="32.1" customHeight="1">
      <c r="B196" s="1">
        <f t="shared" si="4"/>
        <v>6</v>
      </c>
      <c r="C196" s="85" t="str">
        <f>IF(ج_ح_شهریور[[#This Row],[نام]]&lt;&gt;"",ROW()-192+1,"")</f>
        <v/>
      </c>
      <c r="D196" s="86"/>
      <c r="E196" s="86"/>
      <c r="F196" s="87"/>
      <c r="G196" s="88" t="str">
        <f>IFERROR(IF(COUNT(ج_ح_شهریور[[#This Row],[کارکرد]]),حداقل_حقوق_پایه_روزانه,""),"")</f>
        <v/>
      </c>
      <c r="H196" s="89" t="str">
        <f>IFERROR(IF(ج_ح_شهریور[[#This Row],[کارکرد]]*ج_ح_شهریور[[#This Row],[دستمزد روزانه ]]=0,"",ج_ح_شهریور[[#This Row],[کارکرد]]*ج_ح_شهریور[[#This Row],[دستمزد روزانه ]]),"")</f>
        <v/>
      </c>
      <c r="I196" s="91"/>
      <c r="J196" s="90" t="str">
        <f>IFERROR((ج_ح_شهریور[[#This Row],[دستمزد روزانه ]]/7.33)*1.4*ج_ح_شهریور[[#This Row],[مدت اضافه کاری ]],"")</f>
        <v/>
      </c>
      <c r="K196" s="89" t="str">
        <f>IF(ج_ح_شهریور[[#This Row],[کارکرد]]="","",ج_ح_شهریور[[#This Row],[کارکرد]]/31*حق_مسکن)</f>
        <v/>
      </c>
      <c r="L196" s="91"/>
      <c r="M196" s="89" t="str">
        <f>IF(ج_ح_شهریور[[#This Row],[تعداد فرزندان]]="","",ج_ح_شهریور[[#This Row],[کارکرد]]/31*3*ج_ح_شهریور[[#This Row],[تعداد فرزندان]]*حداقل_حقوق_پایه_روزانه)</f>
        <v/>
      </c>
      <c r="N196" s="89" t="str">
        <f>IF(ج_ح_شهریور[[#This Row],[کارکرد]]="","",ج_ح_شهریور[[#This Row],[کارکرد]]/31*حق_خواربار)</f>
        <v/>
      </c>
      <c r="O196" s="89" t="str">
        <f>IFERROR(ج_ح_شهریور[[#This Row],[حقوق پایه]]+ج_ح_شهریور[[#This Row],[اضافه کاری]]+ج_ح_شهریور[[#This Row],[حق مسکن]]+ج_ح_شهریور[[#This Row],[حق اولاد]]+ج_ح_شهریور[[#This Row],[حق و خواروبار]],"")</f>
        <v/>
      </c>
      <c r="P196"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196"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196" s="91"/>
      <c r="S196" s="91"/>
      <c r="T196" s="89" t="str">
        <f>IFERROR(ج_ح_شهریور[[#This Row],[جمع ح و م م بیمه ]]*7%,"")</f>
        <v/>
      </c>
      <c r="U196"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196" s="89" t="str">
        <f>IFERROR(ج_ح_شهریور[[#This Row],[وام]]+ج_ح_شهریور[[#This Row],[مساعده]]+ج_ح_شهریور[[#This Row],[بیمه پرداختنی]]+ج_ح_شهریور[[#This Row],[مالیات پرداختنی]],"")</f>
        <v/>
      </c>
      <c r="W196" s="89" t="str">
        <f>IFERROR(ج_ح_شهریور[[#This Row],[جمع ح و م]]-ج_ح_شهریور[[#This Row],[جمع کسورات]],"")</f>
        <v/>
      </c>
      <c r="X196" s="108"/>
    </row>
    <row r="197" spans="2:24" ht="32.1" customHeight="1">
      <c r="B197" s="1">
        <f t="shared" si="4"/>
        <v>6</v>
      </c>
      <c r="C197" s="85" t="str">
        <f>IF(ج_ح_شهریور[[#This Row],[نام]]&lt;&gt;"",ROW()-192+1,"")</f>
        <v/>
      </c>
      <c r="D197" s="86"/>
      <c r="E197" s="86"/>
      <c r="F197" s="87"/>
      <c r="G197" s="88" t="str">
        <f>IFERROR(IF(COUNT(ج_ح_شهریور[[#This Row],[کارکرد]]),حداقل_حقوق_پایه_روزانه,""),"")</f>
        <v/>
      </c>
      <c r="H197" s="89" t="str">
        <f>IFERROR(IF(ج_ح_شهریور[[#This Row],[کارکرد]]*ج_ح_شهریور[[#This Row],[دستمزد روزانه ]]=0,"",ج_ح_شهریور[[#This Row],[کارکرد]]*ج_ح_شهریور[[#This Row],[دستمزد روزانه ]]),"")</f>
        <v/>
      </c>
      <c r="I197" s="91"/>
      <c r="J197" s="90" t="str">
        <f>IFERROR((ج_ح_شهریور[[#This Row],[دستمزد روزانه ]]/7.33)*1.4*ج_ح_شهریور[[#This Row],[مدت اضافه کاری ]],"")</f>
        <v/>
      </c>
      <c r="K197" s="89" t="str">
        <f>IF(ج_ح_شهریور[[#This Row],[کارکرد]]="","",ج_ح_شهریور[[#This Row],[کارکرد]]/31*حق_مسکن)</f>
        <v/>
      </c>
      <c r="L197" s="91"/>
      <c r="M197" s="89" t="str">
        <f>IF(ج_ح_شهریور[[#This Row],[تعداد فرزندان]]="","",ج_ح_شهریور[[#This Row],[کارکرد]]/31*3*ج_ح_شهریور[[#This Row],[تعداد فرزندان]]*حداقل_حقوق_پایه_روزانه)</f>
        <v/>
      </c>
      <c r="N197" s="89" t="str">
        <f>IF(ج_ح_شهریور[[#This Row],[کارکرد]]="","",ج_ح_شهریور[[#This Row],[کارکرد]]/31*حق_خواربار)</f>
        <v/>
      </c>
      <c r="O197" s="89" t="str">
        <f>IFERROR(ج_ح_شهریور[[#This Row],[حقوق پایه]]+ج_ح_شهریور[[#This Row],[اضافه کاری]]+ج_ح_شهریور[[#This Row],[حق مسکن]]+ج_ح_شهریور[[#This Row],[حق اولاد]]+ج_ح_شهریور[[#This Row],[حق و خواروبار]],"")</f>
        <v/>
      </c>
      <c r="P197"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197"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197" s="91"/>
      <c r="S197" s="91"/>
      <c r="T197" s="89" t="str">
        <f>IFERROR(ج_ح_شهریور[[#This Row],[جمع ح و م م بیمه ]]*7%,"")</f>
        <v/>
      </c>
      <c r="U197"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197" s="89" t="str">
        <f>IFERROR(ج_ح_شهریور[[#This Row],[وام]]+ج_ح_شهریور[[#This Row],[مساعده]]+ج_ح_شهریور[[#This Row],[بیمه پرداختنی]]+ج_ح_شهریور[[#This Row],[مالیات پرداختنی]],"")</f>
        <v/>
      </c>
      <c r="W197" s="89" t="str">
        <f>IFERROR(ج_ح_شهریور[[#This Row],[جمع ح و م]]-ج_ح_شهریور[[#This Row],[جمع کسورات]],"")</f>
        <v/>
      </c>
      <c r="X197" s="108"/>
    </row>
    <row r="198" spans="2:24" ht="32.1" customHeight="1">
      <c r="B198" s="1">
        <f t="shared" si="4"/>
        <v>6</v>
      </c>
      <c r="C198" s="85" t="str">
        <f>IF(ج_ح_شهریور[[#This Row],[نام]]&lt;&gt;"",ROW()-192+1,"")</f>
        <v/>
      </c>
      <c r="D198" s="86"/>
      <c r="E198" s="86"/>
      <c r="F198" s="87"/>
      <c r="G198" s="88" t="str">
        <f>IFERROR(IF(COUNT(ج_ح_شهریور[[#This Row],[کارکرد]]),حداقل_حقوق_پایه_روزانه,""),"")</f>
        <v/>
      </c>
      <c r="H198" s="89" t="str">
        <f>IFERROR(IF(ج_ح_شهریور[[#This Row],[کارکرد]]*ج_ح_شهریور[[#This Row],[دستمزد روزانه ]]=0,"",ج_ح_شهریور[[#This Row],[کارکرد]]*ج_ح_شهریور[[#This Row],[دستمزد روزانه ]]),"")</f>
        <v/>
      </c>
      <c r="I198" s="91"/>
      <c r="J198" s="90" t="str">
        <f>IFERROR((ج_ح_شهریور[[#This Row],[دستمزد روزانه ]]/7.33)*1.4*ج_ح_شهریور[[#This Row],[مدت اضافه کاری ]],"")</f>
        <v/>
      </c>
      <c r="K198" s="89" t="str">
        <f>IF(ج_ح_شهریور[[#This Row],[کارکرد]]="","",ج_ح_شهریور[[#This Row],[کارکرد]]/31*حق_مسکن)</f>
        <v/>
      </c>
      <c r="L198" s="91"/>
      <c r="M198" s="89" t="str">
        <f>IF(ج_ح_شهریور[[#This Row],[تعداد فرزندان]]="","",ج_ح_شهریور[[#This Row],[کارکرد]]/31*3*ج_ح_شهریور[[#This Row],[تعداد فرزندان]]*حداقل_حقوق_پایه_روزانه)</f>
        <v/>
      </c>
      <c r="N198" s="89" t="str">
        <f>IF(ج_ح_شهریور[[#This Row],[کارکرد]]="","",ج_ح_شهریور[[#This Row],[کارکرد]]/31*حق_خواربار)</f>
        <v/>
      </c>
      <c r="O198" s="89" t="str">
        <f>IFERROR(ج_ح_شهریور[[#This Row],[حقوق پایه]]+ج_ح_شهریور[[#This Row],[اضافه کاری]]+ج_ح_شهریور[[#This Row],[حق مسکن]]+ج_ح_شهریور[[#This Row],[حق اولاد]]+ج_ح_شهریور[[#This Row],[حق و خواروبار]],"")</f>
        <v/>
      </c>
      <c r="P198"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198"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198" s="91"/>
      <c r="S198" s="91"/>
      <c r="T198" s="89" t="str">
        <f>IFERROR(ج_ح_شهریور[[#This Row],[جمع ح و م م بیمه ]]*7%,"")</f>
        <v/>
      </c>
      <c r="U198"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198" s="89" t="str">
        <f>IFERROR(ج_ح_شهریور[[#This Row],[وام]]+ج_ح_شهریور[[#This Row],[مساعده]]+ج_ح_شهریور[[#This Row],[بیمه پرداختنی]]+ج_ح_شهریور[[#This Row],[مالیات پرداختنی]],"")</f>
        <v/>
      </c>
      <c r="W198" s="89" t="str">
        <f>IFERROR(ج_ح_شهریور[[#This Row],[جمع ح و م]]-ج_ح_شهریور[[#This Row],[جمع کسورات]],"")</f>
        <v/>
      </c>
      <c r="X198" s="108"/>
    </row>
    <row r="199" spans="2:24" ht="32.1" customHeight="1">
      <c r="B199" s="1">
        <f t="shared" si="4"/>
        <v>6</v>
      </c>
      <c r="C199" s="85" t="str">
        <f>IF(ج_ح_شهریور[[#This Row],[نام]]&lt;&gt;"",ROW()-192+1,"")</f>
        <v/>
      </c>
      <c r="D199" s="86"/>
      <c r="E199" s="86"/>
      <c r="F199" s="87"/>
      <c r="G199" s="88" t="str">
        <f>IFERROR(IF(COUNT(ج_ح_شهریور[[#This Row],[کارکرد]]),حداقل_حقوق_پایه_روزانه,""),"")</f>
        <v/>
      </c>
      <c r="H199" s="89" t="str">
        <f>IFERROR(IF(ج_ح_شهریور[[#This Row],[کارکرد]]*ج_ح_شهریور[[#This Row],[دستمزد روزانه ]]=0,"",ج_ح_شهریور[[#This Row],[کارکرد]]*ج_ح_شهریور[[#This Row],[دستمزد روزانه ]]),"")</f>
        <v/>
      </c>
      <c r="I199" s="91"/>
      <c r="J199" s="90" t="str">
        <f>IFERROR((ج_ح_شهریور[[#This Row],[دستمزد روزانه ]]/7.33)*1.4*ج_ح_شهریور[[#This Row],[مدت اضافه کاری ]],"")</f>
        <v/>
      </c>
      <c r="K199" s="89" t="str">
        <f>IF(ج_ح_شهریور[[#This Row],[کارکرد]]="","",ج_ح_شهریور[[#This Row],[کارکرد]]/31*حق_مسکن)</f>
        <v/>
      </c>
      <c r="L199" s="91"/>
      <c r="M199" s="89" t="str">
        <f>IF(ج_ح_شهریور[[#This Row],[تعداد فرزندان]]="","",ج_ح_شهریور[[#This Row],[کارکرد]]/31*3*ج_ح_شهریور[[#This Row],[تعداد فرزندان]]*حداقل_حقوق_پایه_روزانه)</f>
        <v/>
      </c>
      <c r="N199" s="89" t="str">
        <f>IF(ج_ح_شهریور[[#This Row],[کارکرد]]="","",ج_ح_شهریور[[#This Row],[کارکرد]]/31*حق_خواربار)</f>
        <v/>
      </c>
      <c r="O199" s="89" t="str">
        <f>IFERROR(ج_ح_شهریور[[#This Row],[حقوق پایه]]+ج_ح_شهریور[[#This Row],[اضافه کاری]]+ج_ح_شهریور[[#This Row],[حق مسکن]]+ج_ح_شهریور[[#This Row],[حق اولاد]]+ج_ح_شهریور[[#This Row],[حق و خواروبار]],"")</f>
        <v/>
      </c>
      <c r="P199"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199"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199" s="91"/>
      <c r="S199" s="91"/>
      <c r="T199" s="89" t="str">
        <f>IFERROR(ج_ح_شهریور[[#This Row],[جمع ح و م م بیمه ]]*7%,"")</f>
        <v/>
      </c>
      <c r="U199"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199" s="89" t="str">
        <f>IFERROR(ج_ح_شهریور[[#This Row],[وام]]+ج_ح_شهریور[[#This Row],[مساعده]]+ج_ح_شهریور[[#This Row],[بیمه پرداختنی]]+ج_ح_شهریور[[#This Row],[مالیات پرداختنی]],"")</f>
        <v/>
      </c>
      <c r="W199" s="89" t="str">
        <f>IFERROR(ج_ح_شهریور[[#This Row],[جمع ح و م]]-ج_ح_شهریور[[#This Row],[جمع کسورات]],"")</f>
        <v/>
      </c>
      <c r="X199" s="108"/>
    </row>
    <row r="200" spans="2:24" ht="32.1" customHeight="1">
      <c r="B200" s="1">
        <f t="shared" si="4"/>
        <v>6</v>
      </c>
      <c r="C200" s="85" t="str">
        <f>IF(ج_ح_شهریور[[#This Row],[نام]]&lt;&gt;"",ROW()-192+1,"")</f>
        <v/>
      </c>
      <c r="D200" s="86"/>
      <c r="E200" s="86"/>
      <c r="F200" s="87"/>
      <c r="G200" s="88" t="str">
        <f>IFERROR(IF(COUNT(ج_ح_شهریور[[#This Row],[کارکرد]]),حداقل_حقوق_پایه_روزانه,""),"")</f>
        <v/>
      </c>
      <c r="H200" s="89" t="str">
        <f>IFERROR(IF(ج_ح_شهریور[[#This Row],[کارکرد]]*ج_ح_شهریور[[#This Row],[دستمزد روزانه ]]=0,"",ج_ح_شهریور[[#This Row],[کارکرد]]*ج_ح_شهریور[[#This Row],[دستمزد روزانه ]]),"")</f>
        <v/>
      </c>
      <c r="I200" s="91"/>
      <c r="J200" s="90" t="str">
        <f>IFERROR((ج_ح_شهریور[[#This Row],[دستمزد روزانه ]]/7.33)*1.4*ج_ح_شهریور[[#This Row],[مدت اضافه کاری ]],"")</f>
        <v/>
      </c>
      <c r="K200" s="89" t="str">
        <f>IF(ج_ح_شهریور[[#This Row],[کارکرد]]="","",ج_ح_شهریور[[#This Row],[کارکرد]]/31*حق_مسکن)</f>
        <v/>
      </c>
      <c r="L200" s="91"/>
      <c r="M200" s="89" t="str">
        <f>IF(ج_ح_شهریور[[#This Row],[تعداد فرزندان]]="","",ج_ح_شهریور[[#This Row],[کارکرد]]/31*3*ج_ح_شهریور[[#This Row],[تعداد فرزندان]]*حداقل_حقوق_پایه_روزانه)</f>
        <v/>
      </c>
      <c r="N200" s="89" t="str">
        <f>IF(ج_ح_شهریور[[#This Row],[کارکرد]]="","",ج_ح_شهریور[[#This Row],[کارکرد]]/31*حق_خواربار)</f>
        <v/>
      </c>
      <c r="O200" s="89" t="str">
        <f>IFERROR(ج_ح_شهریور[[#This Row],[حقوق پایه]]+ج_ح_شهریور[[#This Row],[اضافه کاری]]+ج_ح_شهریور[[#This Row],[حق مسکن]]+ج_ح_شهریور[[#This Row],[حق اولاد]]+ج_ح_شهریور[[#This Row],[حق و خواروبار]],"")</f>
        <v/>
      </c>
      <c r="P200"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00"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00" s="91"/>
      <c r="S200" s="91"/>
      <c r="T200" s="89" t="str">
        <f>IFERROR(ج_ح_شهریور[[#This Row],[جمع ح و م م بیمه ]]*7%,"")</f>
        <v/>
      </c>
      <c r="U200"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00" s="89" t="str">
        <f>IFERROR(ج_ح_شهریور[[#This Row],[وام]]+ج_ح_شهریور[[#This Row],[مساعده]]+ج_ح_شهریور[[#This Row],[بیمه پرداختنی]]+ج_ح_شهریور[[#This Row],[مالیات پرداختنی]],"")</f>
        <v/>
      </c>
      <c r="W200" s="89" t="str">
        <f>IFERROR(ج_ح_شهریور[[#This Row],[جمع ح و م]]-ج_ح_شهریور[[#This Row],[جمع کسورات]],"")</f>
        <v/>
      </c>
      <c r="X200" s="108"/>
    </row>
    <row r="201" spans="2:24" ht="32.1" customHeight="1">
      <c r="B201" s="1">
        <f t="shared" si="4"/>
        <v>6</v>
      </c>
      <c r="C201" s="85" t="str">
        <f>IF(ج_ح_شهریور[[#This Row],[نام]]&lt;&gt;"",ROW()-192+1,"")</f>
        <v/>
      </c>
      <c r="D201" s="86"/>
      <c r="E201" s="86"/>
      <c r="F201" s="87"/>
      <c r="G201" s="88" t="str">
        <f>IFERROR(IF(COUNT(ج_ح_شهریور[[#This Row],[کارکرد]]),حداقل_حقوق_پایه_روزانه,""),"")</f>
        <v/>
      </c>
      <c r="H201" s="89" t="str">
        <f>IFERROR(IF(ج_ح_شهریور[[#This Row],[کارکرد]]*ج_ح_شهریور[[#This Row],[دستمزد روزانه ]]=0,"",ج_ح_شهریور[[#This Row],[کارکرد]]*ج_ح_شهریور[[#This Row],[دستمزد روزانه ]]),"")</f>
        <v/>
      </c>
      <c r="I201" s="91"/>
      <c r="J201" s="90" t="str">
        <f>IFERROR((ج_ح_شهریور[[#This Row],[دستمزد روزانه ]]/7.33)*1.4*ج_ح_شهریور[[#This Row],[مدت اضافه کاری ]],"")</f>
        <v/>
      </c>
      <c r="K201" s="89" t="str">
        <f>IF(ج_ح_شهریور[[#This Row],[کارکرد]]="","",ج_ح_شهریور[[#This Row],[کارکرد]]/31*حق_مسکن)</f>
        <v/>
      </c>
      <c r="L201" s="91"/>
      <c r="M201" s="89" t="str">
        <f>IF(ج_ح_شهریور[[#This Row],[تعداد فرزندان]]="","",ج_ح_شهریور[[#This Row],[کارکرد]]/31*3*ج_ح_شهریور[[#This Row],[تعداد فرزندان]]*حداقل_حقوق_پایه_روزانه)</f>
        <v/>
      </c>
      <c r="N201" s="89" t="str">
        <f>IF(ج_ح_شهریور[[#This Row],[کارکرد]]="","",ج_ح_شهریور[[#This Row],[کارکرد]]/31*حق_خواربار)</f>
        <v/>
      </c>
      <c r="O201" s="89" t="str">
        <f>IFERROR(ج_ح_شهریور[[#This Row],[حقوق پایه]]+ج_ح_شهریور[[#This Row],[اضافه کاری]]+ج_ح_شهریور[[#This Row],[حق مسکن]]+ج_ح_شهریور[[#This Row],[حق اولاد]]+ج_ح_شهریور[[#This Row],[حق و خواروبار]],"")</f>
        <v/>
      </c>
      <c r="P201"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01"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01" s="91"/>
      <c r="S201" s="91"/>
      <c r="T201" s="89" t="str">
        <f>IFERROR(ج_ح_شهریور[[#This Row],[جمع ح و م م بیمه ]]*7%,"")</f>
        <v/>
      </c>
      <c r="U201"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01" s="89" t="str">
        <f>IFERROR(ج_ح_شهریور[[#This Row],[وام]]+ج_ح_شهریور[[#This Row],[مساعده]]+ج_ح_شهریور[[#This Row],[بیمه پرداختنی]]+ج_ح_شهریور[[#This Row],[مالیات پرداختنی]],"")</f>
        <v/>
      </c>
      <c r="W201" s="89" t="str">
        <f>IFERROR(ج_ح_شهریور[[#This Row],[جمع ح و م]]-ج_ح_شهریور[[#This Row],[جمع کسورات]],"")</f>
        <v/>
      </c>
      <c r="X201" s="108"/>
    </row>
    <row r="202" spans="2:24" ht="32.1" customHeight="1">
      <c r="B202" s="1">
        <f t="shared" si="4"/>
        <v>6</v>
      </c>
      <c r="C202" s="85" t="str">
        <f>IF(ج_ح_شهریور[[#This Row],[نام]]&lt;&gt;"",ROW()-192+1,"")</f>
        <v/>
      </c>
      <c r="D202" s="86"/>
      <c r="E202" s="86"/>
      <c r="F202" s="87"/>
      <c r="G202" s="88" t="str">
        <f>IFERROR(IF(COUNT(ج_ح_شهریور[[#This Row],[کارکرد]]),حداقل_حقوق_پایه_روزانه,""),"")</f>
        <v/>
      </c>
      <c r="H202" s="89" t="str">
        <f>IFERROR(IF(ج_ح_شهریور[[#This Row],[کارکرد]]*ج_ح_شهریور[[#This Row],[دستمزد روزانه ]]=0,"",ج_ح_شهریور[[#This Row],[کارکرد]]*ج_ح_شهریور[[#This Row],[دستمزد روزانه ]]),"")</f>
        <v/>
      </c>
      <c r="I202" s="91"/>
      <c r="J202" s="90" t="str">
        <f>IFERROR((ج_ح_شهریور[[#This Row],[دستمزد روزانه ]]/7.33)*1.4*ج_ح_شهریور[[#This Row],[مدت اضافه کاری ]],"")</f>
        <v/>
      </c>
      <c r="K202" s="89" t="str">
        <f>IF(ج_ح_شهریور[[#This Row],[کارکرد]]="","",ج_ح_شهریور[[#This Row],[کارکرد]]/31*حق_مسکن)</f>
        <v/>
      </c>
      <c r="L202" s="91"/>
      <c r="M202" s="89" t="str">
        <f>IF(ج_ح_شهریور[[#This Row],[تعداد فرزندان]]="","",ج_ح_شهریور[[#This Row],[کارکرد]]/31*3*ج_ح_شهریور[[#This Row],[تعداد فرزندان]]*حداقل_حقوق_پایه_روزانه)</f>
        <v/>
      </c>
      <c r="N202" s="89" t="str">
        <f>IF(ج_ح_شهریور[[#This Row],[کارکرد]]="","",ج_ح_شهریور[[#This Row],[کارکرد]]/31*حق_خواربار)</f>
        <v/>
      </c>
      <c r="O202" s="89" t="str">
        <f>IFERROR(ج_ح_شهریور[[#This Row],[حقوق پایه]]+ج_ح_شهریور[[#This Row],[اضافه کاری]]+ج_ح_شهریور[[#This Row],[حق مسکن]]+ج_ح_شهریور[[#This Row],[حق اولاد]]+ج_ح_شهریور[[#This Row],[حق و خواروبار]],"")</f>
        <v/>
      </c>
      <c r="P202"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02"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02" s="91"/>
      <c r="S202" s="91"/>
      <c r="T202" s="89" t="str">
        <f>IFERROR(ج_ح_شهریور[[#This Row],[جمع ح و م م بیمه ]]*7%,"")</f>
        <v/>
      </c>
      <c r="U202"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02" s="89" t="str">
        <f>IFERROR(ج_ح_شهریور[[#This Row],[وام]]+ج_ح_شهریور[[#This Row],[مساعده]]+ج_ح_شهریور[[#This Row],[بیمه پرداختنی]]+ج_ح_شهریور[[#This Row],[مالیات پرداختنی]],"")</f>
        <v/>
      </c>
      <c r="W202" s="89" t="str">
        <f>IFERROR(ج_ح_شهریور[[#This Row],[جمع ح و م]]-ج_ح_شهریور[[#This Row],[جمع کسورات]],"")</f>
        <v/>
      </c>
      <c r="X202" s="108"/>
    </row>
    <row r="203" spans="2:24" ht="32.1" customHeight="1">
      <c r="B203" s="1">
        <f t="shared" si="4"/>
        <v>6</v>
      </c>
      <c r="C203" s="85" t="str">
        <f>IF(ج_ح_شهریور[[#This Row],[نام]]&lt;&gt;"",ROW()-192+1,"")</f>
        <v/>
      </c>
      <c r="D203" s="86"/>
      <c r="E203" s="86"/>
      <c r="F203" s="87"/>
      <c r="G203" s="88" t="str">
        <f>IFERROR(IF(COUNT(ج_ح_شهریور[[#This Row],[کارکرد]]),حداقل_حقوق_پایه_روزانه,""),"")</f>
        <v/>
      </c>
      <c r="H203" s="89" t="str">
        <f>IFERROR(IF(ج_ح_شهریور[[#This Row],[کارکرد]]*ج_ح_شهریور[[#This Row],[دستمزد روزانه ]]=0,"",ج_ح_شهریور[[#This Row],[کارکرد]]*ج_ح_شهریور[[#This Row],[دستمزد روزانه ]]),"")</f>
        <v/>
      </c>
      <c r="I203" s="91"/>
      <c r="J203" s="90" t="str">
        <f>IFERROR((ج_ح_شهریور[[#This Row],[دستمزد روزانه ]]/7.33)*1.4*ج_ح_شهریور[[#This Row],[مدت اضافه کاری ]],"")</f>
        <v/>
      </c>
      <c r="K203" s="89" t="str">
        <f>IF(ج_ح_شهریور[[#This Row],[کارکرد]]="","",ج_ح_شهریور[[#This Row],[کارکرد]]/31*حق_مسکن)</f>
        <v/>
      </c>
      <c r="L203" s="91"/>
      <c r="M203" s="89" t="str">
        <f>IF(ج_ح_شهریور[[#This Row],[تعداد فرزندان]]="","",ج_ح_شهریور[[#This Row],[کارکرد]]/31*3*ج_ح_شهریور[[#This Row],[تعداد فرزندان]]*حداقل_حقوق_پایه_روزانه)</f>
        <v/>
      </c>
      <c r="N203" s="89" t="str">
        <f>IF(ج_ح_شهریور[[#This Row],[کارکرد]]="","",ج_ح_شهریور[[#This Row],[کارکرد]]/31*حق_خواربار)</f>
        <v/>
      </c>
      <c r="O203" s="89" t="str">
        <f>IFERROR(ج_ح_شهریور[[#This Row],[حقوق پایه]]+ج_ح_شهریور[[#This Row],[اضافه کاری]]+ج_ح_شهریور[[#This Row],[حق مسکن]]+ج_ح_شهریور[[#This Row],[حق اولاد]]+ج_ح_شهریور[[#This Row],[حق و خواروبار]],"")</f>
        <v/>
      </c>
      <c r="P203"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03"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03" s="91"/>
      <c r="S203" s="91"/>
      <c r="T203" s="89" t="str">
        <f>IFERROR(ج_ح_شهریور[[#This Row],[جمع ح و م م بیمه ]]*7%,"")</f>
        <v/>
      </c>
      <c r="U203"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03" s="89" t="str">
        <f>IFERROR(ج_ح_شهریور[[#This Row],[وام]]+ج_ح_شهریور[[#This Row],[مساعده]]+ج_ح_شهریور[[#This Row],[بیمه پرداختنی]]+ج_ح_شهریور[[#This Row],[مالیات پرداختنی]],"")</f>
        <v/>
      </c>
      <c r="W203" s="89" t="str">
        <f>IFERROR(ج_ح_شهریور[[#This Row],[جمع ح و م]]-ج_ح_شهریور[[#This Row],[جمع کسورات]],"")</f>
        <v/>
      </c>
      <c r="X203" s="108"/>
    </row>
    <row r="204" spans="2:24" ht="32.1" customHeight="1">
      <c r="B204" s="1">
        <f t="shared" si="4"/>
        <v>6</v>
      </c>
      <c r="C204" s="85" t="str">
        <f>IF(ج_ح_شهریور[[#This Row],[نام]]&lt;&gt;"",ROW()-192+1,"")</f>
        <v/>
      </c>
      <c r="D204" s="86"/>
      <c r="E204" s="86"/>
      <c r="F204" s="87"/>
      <c r="G204" s="88" t="str">
        <f>IFERROR(IF(COUNT(ج_ح_شهریور[[#This Row],[کارکرد]]),حداقل_حقوق_پایه_روزانه,""),"")</f>
        <v/>
      </c>
      <c r="H204" s="89" t="str">
        <f>IFERROR(IF(ج_ح_شهریور[[#This Row],[کارکرد]]*ج_ح_شهریور[[#This Row],[دستمزد روزانه ]]=0,"",ج_ح_شهریور[[#This Row],[کارکرد]]*ج_ح_شهریور[[#This Row],[دستمزد روزانه ]]),"")</f>
        <v/>
      </c>
      <c r="I204" s="91"/>
      <c r="J204" s="90" t="str">
        <f>IFERROR((ج_ح_شهریور[[#This Row],[دستمزد روزانه ]]/7.33)*1.4*ج_ح_شهریور[[#This Row],[مدت اضافه کاری ]],"")</f>
        <v/>
      </c>
      <c r="K204" s="89" t="str">
        <f>IF(ج_ح_شهریور[[#This Row],[کارکرد]]="","",ج_ح_شهریور[[#This Row],[کارکرد]]/31*حق_مسکن)</f>
        <v/>
      </c>
      <c r="L204" s="91"/>
      <c r="M204" s="89" t="str">
        <f>IF(ج_ح_شهریور[[#This Row],[تعداد فرزندان]]="","",ج_ح_شهریور[[#This Row],[کارکرد]]/31*3*ج_ح_شهریور[[#This Row],[تعداد فرزندان]]*حداقل_حقوق_پایه_روزانه)</f>
        <v/>
      </c>
      <c r="N204" s="89" t="str">
        <f>IF(ج_ح_شهریور[[#This Row],[کارکرد]]="","",ج_ح_شهریور[[#This Row],[کارکرد]]/31*حق_خواربار)</f>
        <v/>
      </c>
      <c r="O204" s="89" t="str">
        <f>IFERROR(ج_ح_شهریور[[#This Row],[حقوق پایه]]+ج_ح_شهریور[[#This Row],[اضافه کاری]]+ج_ح_شهریور[[#This Row],[حق مسکن]]+ج_ح_شهریور[[#This Row],[حق اولاد]]+ج_ح_شهریور[[#This Row],[حق و خواروبار]],"")</f>
        <v/>
      </c>
      <c r="P204"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04"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04" s="91"/>
      <c r="S204" s="91"/>
      <c r="T204" s="89" t="str">
        <f>IFERROR(ج_ح_شهریور[[#This Row],[جمع ح و م م بیمه ]]*7%,"")</f>
        <v/>
      </c>
      <c r="U204"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04" s="89" t="str">
        <f>IFERROR(ج_ح_شهریور[[#This Row],[وام]]+ج_ح_شهریور[[#This Row],[مساعده]]+ج_ح_شهریور[[#This Row],[بیمه پرداختنی]]+ج_ح_شهریور[[#This Row],[مالیات پرداختنی]],"")</f>
        <v/>
      </c>
      <c r="W204" s="89" t="str">
        <f>IFERROR(ج_ح_شهریور[[#This Row],[جمع ح و م]]-ج_ح_شهریور[[#This Row],[جمع کسورات]],"")</f>
        <v/>
      </c>
      <c r="X204" s="108"/>
    </row>
    <row r="205" spans="2:24" ht="32.1" customHeight="1">
      <c r="B205" s="1">
        <f t="shared" si="4"/>
        <v>6</v>
      </c>
      <c r="C205" s="85" t="str">
        <f>IF(ج_ح_شهریور[[#This Row],[نام]]&lt;&gt;"",ROW()-192+1,"")</f>
        <v/>
      </c>
      <c r="D205" s="86"/>
      <c r="E205" s="86"/>
      <c r="F205" s="87"/>
      <c r="G205" s="88" t="str">
        <f>IFERROR(IF(COUNT(ج_ح_شهریور[[#This Row],[کارکرد]]),حداقل_حقوق_پایه_روزانه,""),"")</f>
        <v/>
      </c>
      <c r="H205" s="89" t="str">
        <f>IFERROR(IF(ج_ح_شهریور[[#This Row],[کارکرد]]*ج_ح_شهریور[[#This Row],[دستمزد روزانه ]]=0,"",ج_ح_شهریور[[#This Row],[کارکرد]]*ج_ح_شهریور[[#This Row],[دستمزد روزانه ]]),"")</f>
        <v/>
      </c>
      <c r="I205" s="91"/>
      <c r="J205" s="90" t="str">
        <f>IFERROR((ج_ح_شهریور[[#This Row],[دستمزد روزانه ]]/7.33)*1.4*ج_ح_شهریور[[#This Row],[مدت اضافه کاری ]],"")</f>
        <v/>
      </c>
      <c r="K205" s="89" t="str">
        <f>IF(ج_ح_شهریور[[#This Row],[کارکرد]]="","",ج_ح_شهریور[[#This Row],[کارکرد]]/31*حق_مسکن)</f>
        <v/>
      </c>
      <c r="L205" s="91"/>
      <c r="M205" s="89" t="str">
        <f>IF(ج_ح_شهریور[[#This Row],[تعداد فرزندان]]="","",ج_ح_شهریور[[#This Row],[کارکرد]]/31*3*ج_ح_شهریور[[#This Row],[تعداد فرزندان]]*حداقل_حقوق_پایه_روزانه)</f>
        <v/>
      </c>
      <c r="N205" s="89" t="str">
        <f>IF(ج_ح_شهریور[[#This Row],[کارکرد]]="","",ج_ح_شهریور[[#This Row],[کارکرد]]/31*حق_خواربار)</f>
        <v/>
      </c>
      <c r="O205" s="89" t="str">
        <f>IFERROR(ج_ح_شهریور[[#This Row],[حقوق پایه]]+ج_ح_شهریور[[#This Row],[اضافه کاری]]+ج_ح_شهریور[[#This Row],[حق مسکن]]+ج_ح_شهریور[[#This Row],[حق اولاد]]+ج_ح_شهریور[[#This Row],[حق و خواروبار]],"")</f>
        <v/>
      </c>
      <c r="P205"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05"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05" s="91"/>
      <c r="S205" s="91"/>
      <c r="T205" s="89" t="str">
        <f>IFERROR(ج_ح_شهریور[[#This Row],[جمع ح و م م بیمه ]]*7%,"")</f>
        <v/>
      </c>
      <c r="U205"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05" s="89" t="str">
        <f>IFERROR(ج_ح_شهریور[[#This Row],[وام]]+ج_ح_شهریور[[#This Row],[مساعده]]+ج_ح_شهریور[[#This Row],[بیمه پرداختنی]]+ج_ح_شهریور[[#This Row],[مالیات پرداختنی]],"")</f>
        <v/>
      </c>
      <c r="W205" s="89" t="str">
        <f>IFERROR(ج_ح_شهریور[[#This Row],[جمع ح و م]]-ج_ح_شهریور[[#This Row],[جمع کسورات]],"")</f>
        <v/>
      </c>
      <c r="X205" s="108"/>
    </row>
    <row r="206" spans="2:24" ht="32.1" customHeight="1">
      <c r="B206" s="1">
        <f t="shared" si="4"/>
        <v>6</v>
      </c>
      <c r="C206" s="85" t="str">
        <f>IF(ج_ح_شهریور[[#This Row],[نام]]&lt;&gt;"",ROW()-192+1,"")</f>
        <v/>
      </c>
      <c r="D206" s="86"/>
      <c r="E206" s="86"/>
      <c r="F206" s="87"/>
      <c r="G206" s="88" t="str">
        <f>IFERROR(IF(COUNT(ج_ح_شهریور[[#This Row],[کارکرد]]),حداقل_حقوق_پایه_روزانه,""),"")</f>
        <v/>
      </c>
      <c r="H206" s="89" t="str">
        <f>IFERROR(IF(ج_ح_شهریور[[#This Row],[کارکرد]]*ج_ح_شهریور[[#This Row],[دستمزد روزانه ]]=0,"",ج_ح_شهریور[[#This Row],[کارکرد]]*ج_ح_شهریور[[#This Row],[دستمزد روزانه ]]),"")</f>
        <v/>
      </c>
      <c r="I206" s="91"/>
      <c r="J206" s="90" t="str">
        <f>IFERROR((ج_ح_شهریور[[#This Row],[دستمزد روزانه ]]/7.33)*1.4*ج_ح_شهریور[[#This Row],[مدت اضافه کاری ]],"")</f>
        <v/>
      </c>
      <c r="K206" s="89" t="str">
        <f>IF(ج_ح_شهریور[[#This Row],[کارکرد]]="","",ج_ح_شهریور[[#This Row],[کارکرد]]/31*حق_مسکن)</f>
        <v/>
      </c>
      <c r="L206" s="91"/>
      <c r="M206" s="89" t="str">
        <f>IF(ج_ح_شهریور[[#This Row],[تعداد فرزندان]]="","",ج_ح_شهریور[[#This Row],[کارکرد]]/31*3*ج_ح_شهریور[[#This Row],[تعداد فرزندان]]*حداقل_حقوق_پایه_روزانه)</f>
        <v/>
      </c>
      <c r="N206" s="89" t="str">
        <f>IF(ج_ح_شهریور[[#This Row],[کارکرد]]="","",ج_ح_شهریور[[#This Row],[کارکرد]]/31*حق_خواربار)</f>
        <v/>
      </c>
      <c r="O206" s="89" t="str">
        <f>IFERROR(ج_ح_شهریور[[#This Row],[حقوق پایه]]+ج_ح_شهریور[[#This Row],[اضافه کاری]]+ج_ح_شهریور[[#This Row],[حق مسکن]]+ج_ح_شهریور[[#This Row],[حق اولاد]]+ج_ح_شهریور[[#This Row],[حق و خواروبار]],"")</f>
        <v/>
      </c>
      <c r="P206"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06"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06" s="91"/>
      <c r="S206" s="91"/>
      <c r="T206" s="89" t="str">
        <f>IFERROR(ج_ح_شهریور[[#This Row],[جمع ح و م م بیمه ]]*7%,"")</f>
        <v/>
      </c>
      <c r="U206"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06" s="89" t="str">
        <f>IFERROR(ج_ح_شهریور[[#This Row],[وام]]+ج_ح_شهریور[[#This Row],[مساعده]]+ج_ح_شهریور[[#This Row],[بیمه پرداختنی]]+ج_ح_شهریور[[#This Row],[مالیات پرداختنی]],"")</f>
        <v/>
      </c>
      <c r="W206" s="89" t="str">
        <f>IFERROR(ج_ح_شهریور[[#This Row],[جمع ح و م]]-ج_ح_شهریور[[#This Row],[جمع کسورات]],"")</f>
        <v/>
      </c>
      <c r="X206" s="108"/>
    </row>
    <row r="207" spans="2:24" ht="32.1" customHeight="1">
      <c r="B207" s="1">
        <f t="shared" si="4"/>
        <v>6</v>
      </c>
      <c r="C207" s="85" t="str">
        <f>IF(ج_ح_شهریور[[#This Row],[نام]]&lt;&gt;"",ROW()-192+1,"")</f>
        <v/>
      </c>
      <c r="D207" s="86"/>
      <c r="E207" s="86"/>
      <c r="F207" s="87"/>
      <c r="G207" s="88" t="str">
        <f>IFERROR(IF(COUNT(ج_ح_شهریور[[#This Row],[کارکرد]]),حداقل_حقوق_پایه_روزانه,""),"")</f>
        <v/>
      </c>
      <c r="H207" s="89" t="str">
        <f>IFERROR(IF(ج_ح_شهریور[[#This Row],[کارکرد]]*ج_ح_شهریور[[#This Row],[دستمزد روزانه ]]=0,"",ج_ح_شهریور[[#This Row],[کارکرد]]*ج_ح_شهریور[[#This Row],[دستمزد روزانه ]]),"")</f>
        <v/>
      </c>
      <c r="I207" s="91"/>
      <c r="J207" s="90" t="str">
        <f>IFERROR((ج_ح_شهریور[[#This Row],[دستمزد روزانه ]]/7.33)*1.4*ج_ح_شهریور[[#This Row],[مدت اضافه کاری ]],"")</f>
        <v/>
      </c>
      <c r="K207" s="89" t="str">
        <f>IF(ج_ح_شهریور[[#This Row],[کارکرد]]="","",ج_ح_شهریور[[#This Row],[کارکرد]]/31*حق_مسکن)</f>
        <v/>
      </c>
      <c r="L207" s="91"/>
      <c r="M207" s="89" t="str">
        <f>IF(ج_ح_شهریور[[#This Row],[تعداد فرزندان]]="","",ج_ح_شهریور[[#This Row],[کارکرد]]/31*3*ج_ح_شهریور[[#This Row],[تعداد فرزندان]]*حداقل_حقوق_پایه_روزانه)</f>
        <v/>
      </c>
      <c r="N207" s="89" t="str">
        <f>IF(ج_ح_شهریور[[#This Row],[کارکرد]]="","",ج_ح_شهریور[[#This Row],[کارکرد]]/31*حق_خواربار)</f>
        <v/>
      </c>
      <c r="O207" s="89" t="str">
        <f>IFERROR(ج_ح_شهریور[[#This Row],[حقوق پایه]]+ج_ح_شهریور[[#This Row],[اضافه کاری]]+ج_ح_شهریور[[#This Row],[حق مسکن]]+ج_ح_شهریور[[#This Row],[حق اولاد]]+ج_ح_شهریور[[#This Row],[حق و خواروبار]],"")</f>
        <v/>
      </c>
      <c r="P207"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07"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07" s="91"/>
      <c r="S207" s="91"/>
      <c r="T207" s="89" t="str">
        <f>IFERROR(ج_ح_شهریور[[#This Row],[جمع ح و م م بیمه ]]*7%,"")</f>
        <v/>
      </c>
      <c r="U207"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07" s="89" t="str">
        <f>IFERROR(ج_ح_شهریور[[#This Row],[وام]]+ج_ح_شهریور[[#This Row],[مساعده]]+ج_ح_شهریور[[#This Row],[بیمه پرداختنی]]+ج_ح_شهریور[[#This Row],[مالیات پرداختنی]],"")</f>
        <v/>
      </c>
      <c r="W207" s="89" t="str">
        <f>IFERROR(ج_ح_شهریور[[#This Row],[جمع ح و م]]-ج_ح_شهریور[[#This Row],[جمع کسورات]],"")</f>
        <v/>
      </c>
      <c r="X207" s="108"/>
    </row>
    <row r="208" spans="2:24" ht="32.1" customHeight="1">
      <c r="B208" s="1">
        <f t="shared" si="4"/>
        <v>6</v>
      </c>
      <c r="C208" s="85" t="str">
        <f>IF(ج_ح_شهریور[[#This Row],[نام]]&lt;&gt;"",ROW()-192+1,"")</f>
        <v/>
      </c>
      <c r="D208" s="86"/>
      <c r="E208" s="86"/>
      <c r="F208" s="87"/>
      <c r="G208" s="88" t="str">
        <f>IFERROR(IF(COUNT(ج_ح_شهریور[[#This Row],[کارکرد]]),حداقل_حقوق_پایه_روزانه,""),"")</f>
        <v/>
      </c>
      <c r="H208" s="89" t="str">
        <f>IFERROR(IF(ج_ح_شهریور[[#This Row],[کارکرد]]*ج_ح_شهریور[[#This Row],[دستمزد روزانه ]]=0,"",ج_ح_شهریور[[#This Row],[کارکرد]]*ج_ح_شهریور[[#This Row],[دستمزد روزانه ]]),"")</f>
        <v/>
      </c>
      <c r="I208" s="91"/>
      <c r="J208" s="90" t="str">
        <f>IFERROR((ج_ح_شهریور[[#This Row],[دستمزد روزانه ]]/7.33)*1.4*ج_ح_شهریور[[#This Row],[مدت اضافه کاری ]],"")</f>
        <v/>
      </c>
      <c r="K208" s="89" t="str">
        <f>IF(ج_ح_شهریور[[#This Row],[کارکرد]]="","",ج_ح_شهریور[[#This Row],[کارکرد]]/31*حق_مسکن)</f>
        <v/>
      </c>
      <c r="L208" s="91"/>
      <c r="M208" s="89" t="str">
        <f>IF(ج_ح_شهریور[[#This Row],[تعداد فرزندان]]="","",ج_ح_شهریور[[#This Row],[کارکرد]]/31*3*ج_ح_شهریور[[#This Row],[تعداد فرزندان]]*حداقل_حقوق_پایه_روزانه)</f>
        <v/>
      </c>
      <c r="N208" s="89" t="str">
        <f>IF(ج_ح_شهریور[[#This Row],[کارکرد]]="","",ج_ح_شهریور[[#This Row],[کارکرد]]/31*حق_خواربار)</f>
        <v/>
      </c>
      <c r="O208" s="89" t="str">
        <f>IFERROR(ج_ح_شهریور[[#This Row],[حقوق پایه]]+ج_ح_شهریور[[#This Row],[اضافه کاری]]+ج_ح_شهریور[[#This Row],[حق مسکن]]+ج_ح_شهریور[[#This Row],[حق اولاد]]+ج_ح_شهریور[[#This Row],[حق و خواروبار]],"")</f>
        <v/>
      </c>
      <c r="P208"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08"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08" s="91"/>
      <c r="S208" s="91"/>
      <c r="T208" s="89" t="str">
        <f>IFERROR(ج_ح_شهریور[[#This Row],[جمع ح و م م بیمه ]]*7%,"")</f>
        <v/>
      </c>
      <c r="U208"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08" s="89" t="str">
        <f>IFERROR(ج_ح_شهریور[[#This Row],[وام]]+ج_ح_شهریور[[#This Row],[مساعده]]+ج_ح_شهریور[[#This Row],[بیمه پرداختنی]]+ج_ح_شهریور[[#This Row],[مالیات پرداختنی]],"")</f>
        <v/>
      </c>
      <c r="W208" s="89" t="str">
        <f>IFERROR(ج_ح_شهریور[[#This Row],[جمع ح و م]]-ج_ح_شهریور[[#This Row],[جمع کسورات]],"")</f>
        <v/>
      </c>
      <c r="X208" s="108"/>
    </row>
    <row r="209" spans="1:24" ht="32.1" customHeight="1">
      <c r="B209" s="1">
        <f t="shared" si="4"/>
        <v>6</v>
      </c>
      <c r="C209" s="85" t="str">
        <f>IF(ج_ح_شهریور[[#This Row],[نام]]&lt;&gt;"",ROW()-192+1,"")</f>
        <v/>
      </c>
      <c r="D209" s="86"/>
      <c r="E209" s="86"/>
      <c r="F209" s="87"/>
      <c r="G209" s="88" t="str">
        <f>IFERROR(IF(COUNT(ج_ح_شهریور[[#This Row],[کارکرد]]),حداقل_حقوق_پایه_روزانه,""),"")</f>
        <v/>
      </c>
      <c r="H209" s="89" t="str">
        <f>IFERROR(IF(ج_ح_شهریور[[#This Row],[کارکرد]]*ج_ح_شهریور[[#This Row],[دستمزد روزانه ]]=0,"",ج_ح_شهریور[[#This Row],[کارکرد]]*ج_ح_شهریور[[#This Row],[دستمزد روزانه ]]),"")</f>
        <v/>
      </c>
      <c r="I209" s="91"/>
      <c r="J209" s="90" t="str">
        <f>IFERROR((ج_ح_شهریور[[#This Row],[دستمزد روزانه ]]/7.33)*1.4*ج_ح_شهریور[[#This Row],[مدت اضافه کاری ]],"")</f>
        <v/>
      </c>
      <c r="K209" s="89" t="str">
        <f>IF(ج_ح_شهریور[[#This Row],[کارکرد]]="","",ج_ح_شهریور[[#This Row],[کارکرد]]/31*حق_مسکن)</f>
        <v/>
      </c>
      <c r="L209" s="91"/>
      <c r="M209" s="89" t="str">
        <f>IF(ج_ح_شهریور[[#This Row],[تعداد فرزندان]]="","",ج_ح_شهریور[[#This Row],[کارکرد]]/31*3*ج_ح_شهریور[[#This Row],[تعداد فرزندان]]*حداقل_حقوق_پایه_روزانه)</f>
        <v/>
      </c>
      <c r="N209" s="89" t="str">
        <f>IF(ج_ح_شهریور[[#This Row],[کارکرد]]="","",ج_ح_شهریور[[#This Row],[کارکرد]]/31*حق_خواربار)</f>
        <v/>
      </c>
      <c r="O209" s="89" t="str">
        <f>IFERROR(ج_ح_شهریور[[#This Row],[حقوق پایه]]+ج_ح_شهریور[[#This Row],[اضافه کاری]]+ج_ح_شهریور[[#This Row],[حق مسکن]]+ج_ح_شهریور[[#This Row],[حق اولاد]]+ج_ح_شهریور[[#This Row],[حق و خواروبار]],"")</f>
        <v/>
      </c>
      <c r="P209"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09"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09" s="91"/>
      <c r="S209" s="91"/>
      <c r="T209" s="89" t="str">
        <f>IFERROR(ج_ح_شهریور[[#This Row],[جمع ح و م م بیمه ]]*7%,"")</f>
        <v/>
      </c>
      <c r="U209"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09" s="89" t="str">
        <f>IFERROR(ج_ح_شهریور[[#This Row],[وام]]+ج_ح_شهریور[[#This Row],[مساعده]]+ج_ح_شهریور[[#This Row],[بیمه پرداختنی]]+ج_ح_شهریور[[#This Row],[مالیات پرداختنی]],"")</f>
        <v/>
      </c>
      <c r="W209" s="89" t="str">
        <f>IFERROR(ج_ح_شهریور[[#This Row],[جمع ح و م]]-ج_ح_شهریور[[#This Row],[جمع کسورات]],"")</f>
        <v/>
      </c>
      <c r="X209" s="108"/>
    </row>
    <row r="210" spans="1:24" ht="32.1" customHeight="1">
      <c r="B210" s="1">
        <f t="shared" si="4"/>
        <v>6</v>
      </c>
      <c r="C210" s="85" t="str">
        <f>IF(ج_ح_شهریور[[#This Row],[نام]]&lt;&gt;"",ROW()-192+1,"")</f>
        <v/>
      </c>
      <c r="D210" s="86"/>
      <c r="E210" s="86"/>
      <c r="F210" s="87"/>
      <c r="G210" s="88" t="str">
        <f>IFERROR(IF(COUNT(ج_ح_شهریور[[#This Row],[کارکرد]]),حداقل_حقوق_پایه_روزانه,""),"")</f>
        <v/>
      </c>
      <c r="H210" s="89" t="str">
        <f>IFERROR(IF(ج_ح_شهریور[[#This Row],[کارکرد]]*ج_ح_شهریور[[#This Row],[دستمزد روزانه ]]=0,"",ج_ح_شهریور[[#This Row],[کارکرد]]*ج_ح_شهریور[[#This Row],[دستمزد روزانه ]]),"")</f>
        <v/>
      </c>
      <c r="I210" s="91"/>
      <c r="J210" s="90" t="str">
        <f>IFERROR((ج_ح_شهریور[[#This Row],[دستمزد روزانه ]]/7.33)*1.4*ج_ح_شهریور[[#This Row],[مدت اضافه کاری ]],"")</f>
        <v/>
      </c>
      <c r="K210" s="89" t="str">
        <f>IF(ج_ح_شهریور[[#This Row],[کارکرد]]="","",ج_ح_شهریور[[#This Row],[کارکرد]]/31*حق_مسکن)</f>
        <v/>
      </c>
      <c r="L210" s="91"/>
      <c r="M210" s="89" t="str">
        <f>IF(ج_ح_شهریور[[#This Row],[تعداد فرزندان]]="","",ج_ح_شهریور[[#This Row],[کارکرد]]/31*3*ج_ح_شهریور[[#This Row],[تعداد فرزندان]]*حداقل_حقوق_پایه_روزانه)</f>
        <v/>
      </c>
      <c r="N210" s="89" t="str">
        <f>IF(ج_ح_شهریور[[#This Row],[کارکرد]]="","",ج_ح_شهریور[[#This Row],[کارکرد]]/31*حق_خواربار)</f>
        <v/>
      </c>
      <c r="O210" s="89" t="str">
        <f>IFERROR(ج_ح_شهریور[[#This Row],[حقوق پایه]]+ج_ح_شهریور[[#This Row],[اضافه کاری]]+ج_ح_شهریور[[#This Row],[حق مسکن]]+ج_ح_شهریور[[#This Row],[حق اولاد]]+ج_ح_شهریور[[#This Row],[حق و خواروبار]],"")</f>
        <v/>
      </c>
      <c r="P210"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10"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10" s="91"/>
      <c r="S210" s="91"/>
      <c r="T210" s="89" t="str">
        <f>IFERROR(ج_ح_شهریور[[#This Row],[جمع ح و م م بیمه ]]*7%,"")</f>
        <v/>
      </c>
      <c r="U210"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10" s="89" t="str">
        <f>IFERROR(ج_ح_شهریور[[#This Row],[وام]]+ج_ح_شهریور[[#This Row],[مساعده]]+ج_ح_شهریور[[#This Row],[بیمه پرداختنی]]+ج_ح_شهریور[[#This Row],[مالیات پرداختنی]],"")</f>
        <v/>
      </c>
      <c r="W210" s="89" t="str">
        <f>IFERROR(ج_ح_شهریور[[#This Row],[جمع ح و م]]-ج_ح_شهریور[[#This Row],[جمع کسورات]],"")</f>
        <v/>
      </c>
      <c r="X210" s="108"/>
    </row>
    <row r="211" spans="1:24" ht="32.1" customHeight="1">
      <c r="B211" s="1">
        <f t="shared" si="4"/>
        <v>6</v>
      </c>
      <c r="C211" s="85" t="str">
        <f>IF(ج_ح_شهریور[[#This Row],[نام]]&lt;&gt;"",ROW()-192+1,"")</f>
        <v/>
      </c>
      <c r="D211" s="86"/>
      <c r="E211" s="86"/>
      <c r="F211" s="87"/>
      <c r="G211" s="88" t="str">
        <f>IFERROR(IF(COUNT(ج_ح_شهریور[[#This Row],[کارکرد]]),حداقل_حقوق_پایه_روزانه,""),"")</f>
        <v/>
      </c>
      <c r="H211" s="89" t="str">
        <f>IFERROR(IF(ج_ح_شهریور[[#This Row],[کارکرد]]*ج_ح_شهریور[[#This Row],[دستمزد روزانه ]]=0,"",ج_ح_شهریور[[#This Row],[کارکرد]]*ج_ح_شهریور[[#This Row],[دستمزد روزانه ]]),"")</f>
        <v/>
      </c>
      <c r="I211" s="91"/>
      <c r="J211" s="90" t="str">
        <f>IFERROR((ج_ح_شهریور[[#This Row],[دستمزد روزانه ]]/7.33)*1.4*ج_ح_شهریور[[#This Row],[مدت اضافه کاری ]],"")</f>
        <v/>
      </c>
      <c r="K211" s="89" t="str">
        <f>IF(ج_ح_شهریور[[#This Row],[کارکرد]]="","",ج_ح_شهریور[[#This Row],[کارکرد]]/31*حق_مسکن)</f>
        <v/>
      </c>
      <c r="L211" s="91"/>
      <c r="M211" s="89" t="str">
        <f>IF(ج_ح_شهریور[[#This Row],[تعداد فرزندان]]="","",ج_ح_شهریور[[#This Row],[کارکرد]]/31*3*ج_ح_شهریور[[#This Row],[تعداد فرزندان]]*حداقل_حقوق_پایه_روزانه)</f>
        <v/>
      </c>
      <c r="N211" s="89" t="str">
        <f>IF(ج_ح_شهریور[[#This Row],[کارکرد]]="","",ج_ح_شهریور[[#This Row],[کارکرد]]/31*حق_خواربار)</f>
        <v/>
      </c>
      <c r="O211" s="89" t="str">
        <f>IFERROR(ج_ح_شهریور[[#This Row],[حقوق پایه]]+ج_ح_شهریور[[#This Row],[اضافه کاری]]+ج_ح_شهریور[[#This Row],[حق مسکن]]+ج_ح_شهریور[[#This Row],[حق اولاد]]+ج_ح_شهریور[[#This Row],[حق و خواروبار]],"")</f>
        <v/>
      </c>
      <c r="P211"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11"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11" s="91"/>
      <c r="S211" s="91"/>
      <c r="T211" s="89" t="str">
        <f>IFERROR(ج_ح_شهریور[[#This Row],[جمع ح و م م بیمه ]]*7%,"")</f>
        <v/>
      </c>
      <c r="U211"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11" s="89" t="str">
        <f>IFERROR(ج_ح_شهریور[[#This Row],[وام]]+ج_ح_شهریور[[#This Row],[مساعده]]+ج_ح_شهریور[[#This Row],[بیمه پرداختنی]]+ج_ح_شهریور[[#This Row],[مالیات پرداختنی]],"")</f>
        <v/>
      </c>
      <c r="W211" s="89" t="str">
        <f>IFERROR(ج_ح_شهریور[[#This Row],[جمع ح و م]]-ج_ح_شهریور[[#This Row],[جمع کسورات]],"")</f>
        <v/>
      </c>
      <c r="X211" s="108"/>
    </row>
    <row r="212" spans="1:24" ht="32.1" customHeight="1">
      <c r="B212" s="1">
        <f t="shared" si="4"/>
        <v>6</v>
      </c>
      <c r="C212" s="85" t="str">
        <f>IF(ج_ح_شهریور[[#This Row],[نام]]&lt;&gt;"",ROW()-192+1,"")</f>
        <v/>
      </c>
      <c r="D212" s="86"/>
      <c r="E212" s="86"/>
      <c r="F212" s="87"/>
      <c r="G212" s="88" t="str">
        <f>IFERROR(IF(COUNT(ج_ح_شهریور[[#This Row],[کارکرد]]),حداقل_حقوق_پایه_روزانه,""),"")</f>
        <v/>
      </c>
      <c r="H212" s="89" t="str">
        <f>IFERROR(IF(ج_ح_شهریور[[#This Row],[کارکرد]]*ج_ح_شهریور[[#This Row],[دستمزد روزانه ]]=0,"",ج_ح_شهریور[[#This Row],[کارکرد]]*ج_ح_شهریور[[#This Row],[دستمزد روزانه ]]),"")</f>
        <v/>
      </c>
      <c r="I212" s="91"/>
      <c r="J212" s="90" t="str">
        <f>IFERROR((ج_ح_شهریور[[#This Row],[دستمزد روزانه ]]/7.33)*1.4*ج_ح_شهریور[[#This Row],[مدت اضافه کاری ]],"")</f>
        <v/>
      </c>
      <c r="K212" s="89" t="str">
        <f>IF(ج_ح_شهریور[[#This Row],[کارکرد]]="","",ج_ح_شهریور[[#This Row],[کارکرد]]/31*حق_مسکن)</f>
        <v/>
      </c>
      <c r="L212" s="91"/>
      <c r="M212" s="89" t="str">
        <f>IF(ج_ح_شهریور[[#This Row],[تعداد فرزندان]]="","",ج_ح_شهریور[[#This Row],[کارکرد]]/31*3*ج_ح_شهریور[[#This Row],[تعداد فرزندان]]*حداقل_حقوق_پایه_روزانه)</f>
        <v/>
      </c>
      <c r="N212" s="89" t="str">
        <f>IF(ج_ح_شهریور[[#This Row],[کارکرد]]="","",ج_ح_شهریور[[#This Row],[کارکرد]]/31*حق_خواربار)</f>
        <v/>
      </c>
      <c r="O212" s="89" t="str">
        <f>IFERROR(ج_ح_شهریور[[#This Row],[حقوق پایه]]+ج_ح_شهریور[[#This Row],[اضافه کاری]]+ج_ح_شهریور[[#This Row],[حق مسکن]]+ج_ح_شهریور[[#This Row],[حق اولاد]]+ج_ح_شهریور[[#This Row],[حق و خواروبار]],"")</f>
        <v/>
      </c>
      <c r="P212"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12"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12" s="91"/>
      <c r="S212" s="91"/>
      <c r="T212" s="89" t="str">
        <f>IFERROR(ج_ح_شهریور[[#This Row],[جمع ح و م م بیمه ]]*7%,"")</f>
        <v/>
      </c>
      <c r="U212"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12" s="89" t="str">
        <f>IFERROR(ج_ح_شهریور[[#This Row],[وام]]+ج_ح_شهریور[[#This Row],[مساعده]]+ج_ح_شهریور[[#This Row],[بیمه پرداختنی]]+ج_ح_شهریور[[#This Row],[مالیات پرداختنی]],"")</f>
        <v/>
      </c>
      <c r="W212" s="89" t="str">
        <f>IFERROR(ج_ح_شهریور[[#This Row],[جمع ح و م]]-ج_ح_شهریور[[#This Row],[جمع کسورات]],"")</f>
        <v/>
      </c>
      <c r="X212" s="108"/>
    </row>
    <row r="213" spans="1:24" ht="32.1" customHeight="1">
      <c r="B213" s="1">
        <f t="shared" si="4"/>
        <v>6</v>
      </c>
      <c r="C213" s="85" t="str">
        <f>IF(ج_ح_شهریور[[#This Row],[نام]]&lt;&gt;"",ROW()-192+1,"")</f>
        <v/>
      </c>
      <c r="D213" s="86"/>
      <c r="E213" s="86"/>
      <c r="F213" s="87"/>
      <c r="G213" s="88" t="str">
        <f>IFERROR(IF(COUNT(ج_ح_شهریور[[#This Row],[کارکرد]]),حداقل_حقوق_پایه_روزانه,""),"")</f>
        <v/>
      </c>
      <c r="H213" s="89" t="str">
        <f>IFERROR(IF(ج_ح_شهریور[[#This Row],[کارکرد]]*ج_ح_شهریور[[#This Row],[دستمزد روزانه ]]=0,"",ج_ح_شهریور[[#This Row],[کارکرد]]*ج_ح_شهریور[[#This Row],[دستمزد روزانه ]]),"")</f>
        <v/>
      </c>
      <c r="I213" s="91"/>
      <c r="J213" s="90" t="str">
        <f>IFERROR((ج_ح_شهریور[[#This Row],[دستمزد روزانه ]]/7.33)*1.4*ج_ح_شهریور[[#This Row],[مدت اضافه کاری ]],"")</f>
        <v/>
      </c>
      <c r="K213" s="89" t="str">
        <f>IF(ج_ح_شهریور[[#This Row],[کارکرد]]="","",ج_ح_شهریور[[#This Row],[کارکرد]]/31*حق_مسکن)</f>
        <v/>
      </c>
      <c r="L213" s="91"/>
      <c r="M213" s="89" t="str">
        <f>IF(ج_ح_شهریور[[#This Row],[تعداد فرزندان]]="","",ج_ح_شهریور[[#This Row],[کارکرد]]/31*3*ج_ح_شهریور[[#This Row],[تعداد فرزندان]]*حداقل_حقوق_پایه_روزانه)</f>
        <v/>
      </c>
      <c r="N213" s="89" t="str">
        <f>IF(ج_ح_شهریور[[#This Row],[کارکرد]]="","",ج_ح_شهریور[[#This Row],[کارکرد]]/31*حق_خواربار)</f>
        <v/>
      </c>
      <c r="O213" s="89" t="str">
        <f>IFERROR(ج_ح_شهریور[[#This Row],[حقوق پایه]]+ج_ح_شهریور[[#This Row],[اضافه کاری]]+ج_ح_شهریور[[#This Row],[حق مسکن]]+ج_ح_شهریور[[#This Row],[حق اولاد]]+ج_ح_شهریور[[#This Row],[حق و خواروبار]],"")</f>
        <v/>
      </c>
      <c r="P213"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13"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13" s="91"/>
      <c r="S213" s="91"/>
      <c r="T213" s="89" t="str">
        <f>IFERROR(ج_ح_شهریور[[#This Row],[جمع ح و م م بیمه ]]*7%,"")</f>
        <v/>
      </c>
      <c r="U213"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13" s="89" t="str">
        <f>IFERROR(ج_ح_شهریور[[#This Row],[وام]]+ج_ح_شهریور[[#This Row],[مساعده]]+ج_ح_شهریور[[#This Row],[بیمه پرداختنی]]+ج_ح_شهریور[[#This Row],[مالیات پرداختنی]],"")</f>
        <v/>
      </c>
      <c r="W213" s="89" t="str">
        <f>IFERROR(ج_ح_شهریور[[#This Row],[جمع ح و م]]-ج_ح_شهریور[[#This Row],[جمع کسورات]],"")</f>
        <v/>
      </c>
      <c r="X213" s="108"/>
    </row>
    <row r="214" spans="1:24" ht="32.1" customHeight="1">
      <c r="B214" s="1">
        <f t="shared" si="4"/>
        <v>6</v>
      </c>
      <c r="C214" s="85" t="str">
        <f>IF(ج_ح_شهریور[[#This Row],[نام]]&lt;&gt;"",ROW()-192+1,"")</f>
        <v/>
      </c>
      <c r="D214" s="86"/>
      <c r="E214" s="86"/>
      <c r="F214" s="87"/>
      <c r="G214" s="88" t="str">
        <f>IFERROR(IF(COUNT(ج_ح_شهریور[[#This Row],[کارکرد]]),حداقل_حقوق_پایه_روزانه,""),"")</f>
        <v/>
      </c>
      <c r="H214" s="89" t="str">
        <f>IFERROR(IF(ج_ح_شهریور[[#This Row],[کارکرد]]*ج_ح_شهریور[[#This Row],[دستمزد روزانه ]]=0,"",ج_ح_شهریور[[#This Row],[کارکرد]]*ج_ح_شهریور[[#This Row],[دستمزد روزانه ]]),"")</f>
        <v/>
      </c>
      <c r="I214" s="91"/>
      <c r="J214" s="90" t="str">
        <f>IFERROR((ج_ح_شهریور[[#This Row],[دستمزد روزانه ]]/7.33)*1.4*ج_ح_شهریور[[#This Row],[مدت اضافه کاری ]],"")</f>
        <v/>
      </c>
      <c r="K214" s="89" t="str">
        <f>IF(ج_ح_شهریور[[#This Row],[کارکرد]]="","",ج_ح_شهریور[[#This Row],[کارکرد]]/31*حق_مسکن)</f>
        <v/>
      </c>
      <c r="L214" s="91"/>
      <c r="M214" s="89" t="str">
        <f>IF(ج_ح_شهریور[[#This Row],[تعداد فرزندان]]="","",ج_ح_شهریور[[#This Row],[کارکرد]]/31*3*ج_ح_شهریور[[#This Row],[تعداد فرزندان]]*حداقل_حقوق_پایه_روزانه)</f>
        <v/>
      </c>
      <c r="N214" s="89" t="str">
        <f>IF(ج_ح_شهریور[[#This Row],[کارکرد]]="","",ج_ح_شهریور[[#This Row],[کارکرد]]/31*حق_خواربار)</f>
        <v/>
      </c>
      <c r="O214" s="89" t="str">
        <f>IFERROR(ج_ح_شهریور[[#This Row],[حقوق پایه]]+ج_ح_شهریور[[#This Row],[اضافه کاری]]+ج_ح_شهریور[[#This Row],[حق مسکن]]+ج_ح_شهریور[[#This Row],[حق اولاد]]+ج_ح_شهریور[[#This Row],[حق و خواروبار]],"")</f>
        <v/>
      </c>
      <c r="P214"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14"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14" s="91"/>
      <c r="S214" s="91"/>
      <c r="T214" s="89" t="str">
        <f>IFERROR(ج_ح_شهریور[[#This Row],[جمع ح و م م بیمه ]]*7%,"")</f>
        <v/>
      </c>
      <c r="U214"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14" s="89" t="str">
        <f>IFERROR(ج_ح_شهریور[[#This Row],[وام]]+ج_ح_شهریور[[#This Row],[مساعده]]+ج_ح_شهریور[[#This Row],[بیمه پرداختنی]]+ج_ح_شهریور[[#This Row],[مالیات پرداختنی]],"")</f>
        <v/>
      </c>
      <c r="W214" s="89" t="str">
        <f>IFERROR(ج_ح_شهریور[[#This Row],[جمع ح و م]]-ج_ح_شهریور[[#This Row],[جمع کسورات]],"")</f>
        <v/>
      </c>
      <c r="X214" s="108"/>
    </row>
    <row r="215" spans="1:24" ht="32.1" customHeight="1">
      <c r="B215" s="1">
        <f t="shared" si="4"/>
        <v>6</v>
      </c>
      <c r="C215" s="85" t="str">
        <f>IF(ج_ح_شهریور[[#This Row],[نام]]&lt;&gt;"",ROW()-192+1,"")</f>
        <v/>
      </c>
      <c r="D215" s="86"/>
      <c r="E215" s="86"/>
      <c r="F215" s="87"/>
      <c r="G215" s="88" t="str">
        <f>IFERROR(IF(COUNT(ج_ح_شهریور[[#This Row],[کارکرد]]),حداقل_حقوق_پایه_روزانه,""),"")</f>
        <v/>
      </c>
      <c r="H215" s="89" t="str">
        <f>IFERROR(IF(ج_ح_شهریور[[#This Row],[کارکرد]]*ج_ح_شهریور[[#This Row],[دستمزد روزانه ]]=0,"",ج_ح_شهریور[[#This Row],[کارکرد]]*ج_ح_شهریور[[#This Row],[دستمزد روزانه ]]),"")</f>
        <v/>
      </c>
      <c r="I215" s="91"/>
      <c r="J215" s="90" t="str">
        <f>IFERROR((ج_ح_شهریور[[#This Row],[دستمزد روزانه ]]/7.33)*1.4*ج_ح_شهریور[[#This Row],[مدت اضافه کاری ]],"")</f>
        <v/>
      </c>
      <c r="K215" s="89" t="str">
        <f>IF(ج_ح_شهریور[[#This Row],[کارکرد]]="","",ج_ح_شهریور[[#This Row],[کارکرد]]/31*حق_مسکن)</f>
        <v/>
      </c>
      <c r="L215" s="91"/>
      <c r="M215" s="89" t="str">
        <f>IF(ج_ح_شهریور[[#This Row],[تعداد فرزندان]]="","",ج_ح_شهریور[[#This Row],[کارکرد]]/31*3*ج_ح_شهریور[[#This Row],[تعداد فرزندان]]*حداقل_حقوق_پایه_روزانه)</f>
        <v/>
      </c>
      <c r="N215" s="89" t="str">
        <f>IF(ج_ح_شهریور[[#This Row],[کارکرد]]="","",ج_ح_شهریور[[#This Row],[کارکرد]]/31*حق_خواربار)</f>
        <v/>
      </c>
      <c r="O215" s="89" t="str">
        <f>IFERROR(ج_ح_شهریور[[#This Row],[حقوق پایه]]+ج_ح_شهریور[[#This Row],[اضافه کاری]]+ج_ح_شهریور[[#This Row],[حق مسکن]]+ج_ح_شهریور[[#This Row],[حق اولاد]]+ج_ح_شهریور[[#This Row],[حق و خواروبار]],"")</f>
        <v/>
      </c>
      <c r="P215"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15"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15" s="91"/>
      <c r="S215" s="91"/>
      <c r="T215" s="89" t="str">
        <f>IFERROR(ج_ح_شهریور[[#This Row],[جمع ح و م م بیمه ]]*7%,"")</f>
        <v/>
      </c>
      <c r="U215"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15" s="89" t="str">
        <f>IFERROR(ج_ح_شهریور[[#This Row],[وام]]+ج_ح_شهریور[[#This Row],[مساعده]]+ج_ح_شهریور[[#This Row],[بیمه پرداختنی]]+ج_ح_شهریور[[#This Row],[مالیات پرداختنی]],"")</f>
        <v/>
      </c>
      <c r="W215" s="89" t="str">
        <f>IFERROR(ج_ح_شهریور[[#This Row],[جمع ح و م]]-ج_ح_شهریور[[#This Row],[جمع کسورات]],"")</f>
        <v/>
      </c>
      <c r="X215" s="108"/>
    </row>
    <row r="216" spans="1:24" ht="32.1" customHeight="1">
      <c r="B216" s="1">
        <f t="shared" si="4"/>
        <v>6</v>
      </c>
      <c r="C216" s="85" t="str">
        <f>IF(ج_ح_شهریور[[#This Row],[نام]]&lt;&gt;"",ROW()-192+1,"")</f>
        <v/>
      </c>
      <c r="D216" s="86"/>
      <c r="E216" s="86"/>
      <c r="F216" s="87"/>
      <c r="G216" s="88" t="str">
        <f>IFERROR(IF(COUNT(ج_ح_شهریور[[#This Row],[کارکرد]]),حداقل_حقوق_پایه_روزانه,""),"")</f>
        <v/>
      </c>
      <c r="H216" s="89" t="str">
        <f>IFERROR(IF(ج_ح_شهریور[[#This Row],[کارکرد]]*ج_ح_شهریور[[#This Row],[دستمزد روزانه ]]=0,"",ج_ح_شهریور[[#This Row],[کارکرد]]*ج_ح_شهریور[[#This Row],[دستمزد روزانه ]]),"")</f>
        <v/>
      </c>
      <c r="I216" s="91"/>
      <c r="J216" s="90" t="str">
        <f>IFERROR((ج_ح_شهریور[[#This Row],[دستمزد روزانه ]]/7.33)*1.4*ج_ح_شهریور[[#This Row],[مدت اضافه کاری ]],"")</f>
        <v/>
      </c>
      <c r="K216" s="89" t="str">
        <f>IF(ج_ح_شهریور[[#This Row],[کارکرد]]="","",ج_ح_شهریور[[#This Row],[کارکرد]]/31*حق_مسکن)</f>
        <v/>
      </c>
      <c r="L216" s="91"/>
      <c r="M216" s="89" t="str">
        <f>IF(ج_ح_شهریور[[#This Row],[تعداد فرزندان]]="","",ج_ح_شهریور[[#This Row],[کارکرد]]/31*3*ج_ح_شهریور[[#This Row],[تعداد فرزندان]]*حداقل_حقوق_پایه_روزانه)</f>
        <v/>
      </c>
      <c r="N216" s="89" t="str">
        <f>IF(ج_ح_شهریور[[#This Row],[کارکرد]]="","",ج_ح_شهریور[[#This Row],[کارکرد]]/31*حق_خواربار)</f>
        <v/>
      </c>
      <c r="O216" s="89" t="str">
        <f>IFERROR(ج_ح_شهریور[[#This Row],[حقوق پایه]]+ج_ح_شهریور[[#This Row],[اضافه کاری]]+ج_ح_شهریور[[#This Row],[حق مسکن]]+ج_ح_شهریور[[#This Row],[حق اولاد]]+ج_ح_شهریور[[#This Row],[حق و خواروبار]],"")</f>
        <v/>
      </c>
      <c r="P216"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16"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16" s="91"/>
      <c r="S216" s="91"/>
      <c r="T216" s="89" t="str">
        <f>IFERROR(ج_ح_شهریور[[#This Row],[جمع ح و م م بیمه ]]*7%,"")</f>
        <v/>
      </c>
      <c r="U216"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16" s="89" t="str">
        <f>IFERROR(ج_ح_شهریور[[#This Row],[وام]]+ج_ح_شهریور[[#This Row],[مساعده]]+ج_ح_شهریور[[#This Row],[بیمه پرداختنی]]+ج_ح_شهریور[[#This Row],[مالیات پرداختنی]],"")</f>
        <v/>
      </c>
      <c r="W216" s="89" t="str">
        <f>IFERROR(ج_ح_شهریور[[#This Row],[جمع ح و م]]-ج_ح_شهریور[[#This Row],[جمع کسورات]],"")</f>
        <v/>
      </c>
      <c r="X216" s="108"/>
    </row>
    <row r="217" spans="1:24" ht="32.1" customHeight="1">
      <c r="B217" s="1">
        <f t="shared" si="4"/>
        <v>6</v>
      </c>
      <c r="C217" s="85" t="str">
        <f>IF(ج_ح_شهریور[[#This Row],[نام]]&lt;&gt;"",ROW()-192+1,"")</f>
        <v/>
      </c>
      <c r="D217" s="86"/>
      <c r="E217" s="86"/>
      <c r="F217" s="87"/>
      <c r="G217" s="88" t="str">
        <f>IFERROR(IF(COUNT(ج_ح_شهریور[[#This Row],[کارکرد]]),حداقل_حقوق_پایه_روزانه,""),"")</f>
        <v/>
      </c>
      <c r="H217" s="89" t="str">
        <f>IFERROR(IF(ج_ح_شهریور[[#This Row],[کارکرد]]*ج_ح_شهریور[[#This Row],[دستمزد روزانه ]]=0,"",ج_ح_شهریور[[#This Row],[کارکرد]]*ج_ح_شهریور[[#This Row],[دستمزد روزانه ]]),"")</f>
        <v/>
      </c>
      <c r="I217" s="91"/>
      <c r="J217" s="90" t="str">
        <f>IFERROR((ج_ح_شهریور[[#This Row],[دستمزد روزانه ]]/7.33)*1.4*ج_ح_شهریور[[#This Row],[مدت اضافه کاری ]],"")</f>
        <v/>
      </c>
      <c r="K217" s="89" t="str">
        <f>IF(ج_ح_شهریور[[#This Row],[کارکرد]]="","",ج_ح_شهریور[[#This Row],[کارکرد]]/31*حق_مسکن)</f>
        <v/>
      </c>
      <c r="L217" s="91"/>
      <c r="M217" s="89" t="str">
        <f>IF(ج_ح_شهریور[[#This Row],[تعداد فرزندان]]="","",ج_ح_شهریور[[#This Row],[کارکرد]]/31*3*ج_ح_شهریور[[#This Row],[تعداد فرزندان]]*حداقل_حقوق_پایه_روزانه)</f>
        <v/>
      </c>
      <c r="N217" s="89" t="str">
        <f>IF(ج_ح_شهریور[[#This Row],[کارکرد]]="","",ج_ح_شهریور[[#This Row],[کارکرد]]/31*حق_خواربار)</f>
        <v/>
      </c>
      <c r="O217" s="89" t="str">
        <f>IFERROR(ج_ح_شهریور[[#This Row],[حقوق پایه]]+ج_ح_شهریور[[#This Row],[اضافه کاری]]+ج_ح_شهریور[[#This Row],[حق مسکن]]+ج_ح_شهریور[[#This Row],[حق اولاد]]+ج_ح_شهریور[[#This Row],[حق و خواروبار]],"")</f>
        <v/>
      </c>
      <c r="P217"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17"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17" s="91"/>
      <c r="S217" s="91"/>
      <c r="T217" s="89" t="str">
        <f>IFERROR(ج_ح_شهریور[[#This Row],[جمع ح و م م بیمه ]]*7%,"")</f>
        <v/>
      </c>
      <c r="U217"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17" s="89" t="str">
        <f>IFERROR(ج_ح_شهریور[[#This Row],[وام]]+ج_ح_شهریور[[#This Row],[مساعده]]+ج_ح_شهریور[[#This Row],[بیمه پرداختنی]]+ج_ح_شهریور[[#This Row],[مالیات پرداختنی]],"")</f>
        <v/>
      </c>
      <c r="W217" s="89" t="str">
        <f>IFERROR(ج_ح_شهریور[[#This Row],[جمع ح و م]]-ج_ح_شهریور[[#This Row],[جمع کسورات]],"")</f>
        <v/>
      </c>
      <c r="X217" s="108"/>
    </row>
    <row r="218" spans="1:24" ht="32.1" customHeight="1">
      <c r="B218" s="1">
        <f t="shared" si="4"/>
        <v>6</v>
      </c>
      <c r="C218" s="85" t="str">
        <f>IF(ج_ح_شهریور[[#This Row],[نام]]&lt;&gt;"",ROW()-192+1,"")</f>
        <v/>
      </c>
      <c r="D218" s="86"/>
      <c r="E218" s="86"/>
      <c r="F218" s="87"/>
      <c r="G218" s="88" t="str">
        <f>IFERROR(IF(COUNT(ج_ح_شهریور[[#This Row],[کارکرد]]),حداقل_حقوق_پایه_روزانه,""),"")</f>
        <v/>
      </c>
      <c r="H218" s="89" t="str">
        <f>IFERROR(IF(ج_ح_شهریور[[#This Row],[کارکرد]]*ج_ح_شهریور[[#This Row],[دستمزد روزانه ]]=0,"",ج_ح_شهریور[[#This Row],[کارکرد]]*ج_ح_شهریور[[#This Row],[دستمزد روزانه ]]),"")</f>
        <v/>
      </c>
      <c r="I218" s="91"/>
      <c r="J218" s="90" t="str">
        <f>IFERROR((ج_ح_شهریور[[#This Row],[دستمزد روزانه ]]/7.33)*1.4*ج_ح_شهریور[[#This Row],[مدت اضافه کاری ]],"")</f>
        <v/>
      </c>
      <c r="K218" s="89" t="str">
        <f>IF(ج_ح_شهریور[[#This Row],[کارکرد]]="","",ج_ح_شهریور[[#This Row],[کارکرد]]/31*حق_مسکن)</f>
        <v/>
      </c>
      <c r="L218" s="91"/>
      <c r="M218" s="89" t="str">
        <f>IF(ج_ح_شهریور[[#This Row],[تعداد فرزندان]]="","",ج_ح_شهریور[[#This Row],[کارکرد]]/31*3*ج_ح_شهریور[[#This Row],[تعداد فرزندان]]*حداقل_حقوق_پایه_روزانه)</f>
        <v/>
      </c>
      <c r="N218" s="89" t="str">
        <f>IF(ج_ح_شهریور[[#This Row],[کارکرد]]="","",ج_ح_شهریور[[#This Row],[کارکرد]]/31*حق_خواربار)</f>
        <v/>
      </c>
      <c r="O218" s="89" t="str">
        <f>IFERROR(ج_ح_شهریور[[#This Row],[حقوق پایه]]+ج_ح_شهریور[[#This Row],[اضافه کاری]]+ج_ح_شهریور[[#This Row],[حق مسکن]]+ج_ح_شهریور[[#This Row],[حق اولاد]]+ج_ح_شهریور[[#This Row],[حق و خواروبار]],"")</f>
        <v/>
      </c>
      <c r="P218"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18"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18" s="91"/>
      <c r="S218" s="91"/>
      <c r="T218" s="89" t="str">
        <f>IFERROR(ج_ح_شهریور[[#This Row],[جمع ح و م م بیمه ]]*7%,"")</f>
        <v/>
      </c>
      <c r="U218"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18" s="89" t="str">
        <f>IFERROR(ج_ح_شهریور[[#This Row],[وام]]+ج_ح_شهریور[[#This Row],[مساعده]]+ج_ح_شهریور[[#This Row],[بیمه پرداختنی]]+ج_ح_شهریور[[#This Row],[مالیات پرداختنی]],"")</f>
        <v/>
      </c>
      <c r="W218" s="89" t="str">
        <f>IFERROR(ج_ح_شهریور[[#This Row],[جمع ح و م]]-ج_ح_شهریور[[#This Row],[جمع کسورات]],"")</f>
        <v/>
      </c>
      <c r="X218" s="108"/>
    </row>
    <row r="219" spans="1:24" ht="32.1" customHeight="1">
      <c r="B219" s="1">
        <f t="shared" si="4"/>
        <v>6</v>
      </c>
      <c r="C219" s="85" t="str">
        <f>IF(ج_ح_شهریور[[#This Row],[نام]]&lt;&gt;"",ROW()-192+1,"")</f>
        <v/>
      </c>
      <c r="D219" s="86"/>
      <c r="E219" s="86"/>
      <c r="F219" s="87"/>
      <c r="G219" s="88" t="str">
        <f>IFERROR(IF(COUNT(ج_ح_شهریور[[#This Row],[کارکرد]]),حداقل_حقوق_پایه_روزانه,""),"")</f>
        <v/>
      </c>
      <c r="H219" s="89" t="str">
        <f>IFERROR(IF(ج_ح_شهریور[[#This Row],[کارکرد]]*ج_ح_شهریور[[#This Row],[دستمزد روزانه ]]=0,"",ج_ح_شهریور[[#This Row],[کارکرد]]*ج_ح_شهریور[[#This Row],[دستمزد روزانه ]]),"")</f>
        <v/>
      </c>
      <c r="I219" s="91"/>
      <c r="J219" s="90" t="str">
        <f>IFERROR((ج_ح_شهریور[[#This Row],[دستمزد روزانه ]]/7.33)*1.4*ج_ح_شهریور[[#This Row],[مدت اضافه کاری ]],"")</f>
        <v/>
      </c>
      <c r="K219" s="89" t="str">
        <f>IF(ج_ح_شهریور[[#This Row],[کارکرد]]="","",ج_ح_شهریور[[#This Row],[کارکرد]]/31*حق_مسکن)</f>
        <v/>
      </c>
      <c r="L219" s="91"/>
      <c r="M219" s="89" t="str">
        <f>IF(ج_ح_شهریور[[#This Row],[تعداد فرزندان]]="","",ج_ح_شهریور[[#This Row],[کارکرد]]/31*3*ج_ح_شهریور[[#This Row],[تعداد فرزندان]]*حداقل_حقوق_پایه_روزانه)</f>
        <v/>
      </c>
      <c r="N219" s="89" t="str">
        <f>IF(ج_ح_شهریور[[#This Row],[کارکرد]]="","",ج_ح_شهریور[[#This Row],[کارکرد]]/31*حق_خواربار)</f>
        <v/>
      </c>
      <c r="O219" s="89" t="str">
        <f>IFERROR(ج_ح_شهریور[[#This Row],[حقوق پایه]]+ج_ح_شهریور[[#This Row],[اضافه کاری]]+ج_ح_شهریور[[#This Row],[حق مسکن]]+ج_ح_شهریور[[#This Row],[حق اولاد]]+ج_ح_شهریور[[#This Row],[حق و خواروبار]],"")</f>
        <v/>
      </c>
      <c r="P219"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19"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19" s="91"/>
      <c r="S219" s="91"/>
      <c r="T219" s="89" t="str">
        <f>IFERROR(ج_ح_شهریور[[#This Row],[جمع ح و م م بیمه ]]*7%,"")</f>
        <v/>
      </c>
      <c r="U219"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19" s="89" t="str">
        <f>IFERROR(ج_ح_شهریور[[#This Row],[وام]]+ج_ح_شهریور[[#This Row],[مساعده]]+ج_ح_شهریور[[#This Row],[بیمه پرداختنی]]+ج_ح_شهریور[[#This Row],[مالیات پرداختنی]],"")</f>
        <v/>
      </c>
      <c r="W219" s="89" t="str">
        <f>IFERROR(ج_ح_شهریور[[#This Row],[جمع ح و م]]-ج_ح_شهریور[[#This Row],[جمع کسورات]],"")</f>
        <v/>
      </c>
      <c r="X219" s="108"/>
    </row>
    <row r="220" spans="1:24" ht="32.1" customHeight="1">
      <c r="B220" s="1">
        <f t="shared" si="4"/>
        <v>6</v>
      </c>
      <c r="C220" s="85" t="str">
        <f>IF(ج_ح_شهریور[[#This Row],[نام]]&lt;&gt;"",ROW()-192+1,"")</f>
        <v/>
      </c>
      <c r="D220" s="86"/>
      <c r="E220" s="86"/>
      <c r="F220" s="87"/>
      <c r="G220" s="88" t="str">
        <f>IFERROR(IF(COUNT(ج_ح_شهریور[[#This Row],[کارکرد]]),حداقل_حقوق_پایه_روزانه,""),"")</f>
        <v/>
      </c>
      <c r="H220" s="89" t="str">
        <f>IFERROR(IF(ج_ح_شهریور[[#This Row],[کارکرد]]*ج_ح_شهریور[[#This Row],[دستمزد روزانه ]]=0,"",ج_ح_شهریور[[#This Row],[کارکرد]]*ج_ح_شهریور[[#This Row],[دستمزد روزانه ]]),"")</f>
        <v/>
      </c>
      <c r="I220" s="91"/>
      <c r="J220" s="90" t="str">
        <f>IFERROR((ج_ح_شهریور[[#This Row],[دستمزد روزانه ]]/7.33)*1.4*ج_ح_شهریور[[#This Row],[مدت اضافه کاری ]],"")</f>
        <v/>
      </c>
      <c r="K220" s="89" t="str">
        <f>IF(ج_ح_شهریور[[#This Row],[کارکرد]]="","",ج_ح_شهریور[[#This Row],[کارکرد]]/31*حق_مسکن)</f>
        <v/>
      </c>
      <c r="L220" s="91"/>
      <c r="M220" s="89" t="str">
        <f>IF(ج_ح_شهریور[[#This Row],[تعداد فرزندان]]="","",ج_ح_شهریور[[#This Row],[کارکرد]]/31*3*ج_ح_شهریور[[#This Row],[تعداد فرزندان]]*حداقل_حقوق_پایه_روزانه)</f>
        <v/>
      </c>
      <c r="N220" s="89" t="str">
        <f>IF(ج_ح_شهریور[[#This Row],[کارکرد]]="","",ج_ح_شهریور[[#This Row],[کارکرد]]/31*حق_خواربار)</f>
        <v/>
      </c>
      <c r="O220" s="89" t="str">
        <f>IFERROR(ج_ح_شهریور[[#This Row],[حقوق پایه]]+ج_ح_شهریور[[#This Row],[اضافه کاری]]+ج_ح_شهریور[[#This Row],[حق مسکن]]+ج_ح_شهریور[[#This Row],[حق اولاد]]+ج_ح_شهریور[[#This Row],[حق و خواروبار]],"")</f>
        <v/>
      </c>
      <c r="P220"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20"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20" s="91"/>
      <c r="S220" s="91"/>
      <c r="T220" s="89" t="str">
        <f>IFERROR(ج_ح_شهریور[[#This Row],[جمع ح و م م بیمه ]]*7%,"")</f>
        <v/>
      </c>
      <c r="U220"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20" s="89" t="str">
        <f>IFERROR(ج_ح_شهریور[[#This Row],[وام]]+ج_ح_شهریور[[#This Row],[مساعده]]+ج_ح_شهریور[[#This Row],[بیمه پرداختنی]]+ج_ح_شهریور[[#This Row],[مالیات پرداختنی]],"")</f>
        <v/>
      </c>
      <c r="W220" s="89" t="str">
        <f>IFERROR(ج_ح_شهریور[[#This Row],[جمع ح و م]]-ج_ح_شهریور[[#This Row],[جمع کسورات]],"")</f>
        <v/>
      </c>
      <c r="X220" s="108"/>
    </row>
    <row r="221" spans="1:24" ht="32.1" customHeight="1">
      <c r="B221" s="1">
        <f t="shared" si="4"/>
        <v>6</v>
      </c>
      <c r="C221" s="85" t="str">
        <f>IF(ج_ح_شهریور[[#This Row],[نام]]&lt;&gt;"",ROW()-192+1,"")</f>
        <v/>
      </c>
      <c r="D221" s="86"/>
      <c r="E221" s="86"/>
      <c r="F221" s="87"/>
      <c r="G221" s="88" t="str">
        <f>IFERROR(IF(COUNT(ج_ح_شهریور[[#This Row],[کارکرد]]),حداقل_حقوق_پایه_روزانه,""),"")</f>
        <v/>
      </c>
      <c r="H221" s="89" t="str">
        <f>IFERROR(IF(ج_ح_شهریور[[#This Row],[کارکرد]]*ج_ح_شهریور[[#This Row],[دستمزد روزانه ]]=0,"",ج_ح_شهریور[[#This Row],[کارکرد]]*ج_ح_شهریور[[#This Row],[دستمزد روزانه ]]),"")</f>
        <v/>
      </c>
      <c r="I221" s="91"/>
      <c r="J221" s="90" t="str">
        <f>IFERROR((ج_ح_شهریور[[#This Row],[دستمزد روزانه ]]/7.33)*1.4*ج_ح_شهریور[[#This Row],[مدت اضافه کاری ]],"")</f>
        <v/>
      </c>
      <c r="K221" s="89" t="str">
        <f>IF(ج_ح_شهریور[[#This Row],[کارکرد]]="","",ج_ح_شهریور[[#This Row],[کارکرد]]/31*حق_مسکن)</f>
        <v/>
      </c>
      <c r="L221" s="91"/>
      <c r="M221" s="89" t="str">
        <f>IF(ج_ح_شهریور[[#This Row],[تعداد فرزندان]]="","",ج_ح_شهریور[[#This Row],[کارکرد]]/31*3*ج_ح_شهریور[[#This Row],[تعداد فرزندان]]*حداقل_حقوق_پایه_روزانه)</f>
        <v/>
      </c>
      <c r="N221" s="89" t="str">
        <f>IF(ج_ح_شهریور[[#This Row],[کارکرد]]="","",ج_ح_شهریور[[#This Row],[کارکرد]]/31*حق_خواربار)</f>
        <v/>
      </c>
      <c r="O221" s="89" t="str">
        <f>IFERROR(ج_ح_شهریور[[#This Row],[حقوق پایه]]+ج_ح_شهریور[[#This Row],[اضافه کاری]]+ج_ح_شهریور[[#This Row],[حق مسکن]]+ج_ح_شهریور[[#This Row],[حق اولاد]]+ج_ح_شهریور[[#This Row],[حق و خواروبار]],"")</f>
        <v/>
      </c>
      <c r="P221" s="89" t="str">
        <f>IFERROR(IF(ج_ح_شهریور[[#This Row],[حقوق پایه]]+ج_ح_شهریور[[#This Row],[اضافه کاری]]+ج_ح_شهریور[[#This Row],[حق مسکن]]+ج_ح_شهریور[[#This Row],[حق و خواروبار]]&gt;حداکثر_حقوق_مشمول_بیمه_ماهانه,حداکثر_حقوق_مشمول_بیمه_ماهانه,ج_ح_شهریور[[#This Row],[حقوق پایه]]+ج_ح_شهریور[[#This Row],[اضافه کاری]]+ج_ح_شهریور[[#This Row],[حق مسکن]]+ج_ح_شهریور[[#This Row],[حق و خواروبار]]),"")</f>
        <v/>
      </c>
      <c r="Q221" s="89" t="str">
        <f>IFERROR(ج_ح_شهریور[[#This Row],[حقوق پایه]]+ج_ح_شهریور[[#This Row],[اضافه کاری]]+ج_ح_شهریور[[#This Row],[حق مسکن]]+ج_ح_شهریور[[#This Row],[حق و خواروبار]]+ج_ح_شهریور[[#This Row],[حق اولاد]]-(2/7)*ج_ح_شهریور[[#This Row],[بیمه پرداختنی]],"")</f>
        <v/>
      </c>
      <c r="R221" s="91"/>
      <c r="S221" s="91"/>
      <c r="T221" s="89" t="str">
        <f>IFERROR(ج_ح_شهریور[[#This Row],[جمع ح و م م بیمه ]]*7%,"")</f>
        <v/>
      </c>
      <c r="U221" s="92" t="str">
        <f>IFERROR(IF(ج_ح_شهریور[[#This Row],[جمع ح و م م مالیات]]&gt;=400000000,(ج_ح_شهریور[[#This Row],[جمع ح و م م مالیات]]-400000000)*30%+26000000,IF(ج_ح_شهریور[[#This Row],[جمع ح و م م مالیات]]&gt;=270000000,(ج_ح_شهریور[[#This Row],[جمع ح و م م مالیات]]-270000000)*20%+15750000,IF(ج_ح_شهریور[[#This Row],[جمع ح و م م مالیات]]&gt;=165000000,(ج_ح_شهریور[[#This Row],[جمع ح و م م مالیات]]-165000000)*15%+4500000,IF(ج_ح_شهریور[[#This Row],[جمع ح و م م مالیات]]&gt;=120000000,(ج_ح_شهریور[[#This Row],[جمع ح و م م مالیات]]-120000000)*10%,0)))),"")</f>
        <v/>
      </c>
      <c r="V221" s="89" t="str">
        <f>IFERROR(ج_ح_شهریور[[#This Row],[وام]]+ج_ح_شهریور[[#This Row],[مساعده]]+ج_ح_شهریور[[#This Row],[بیمه پرداختنی]]+ج_ح_شهریور[[#This Row],[مالیات پرداختنی]],"")</f>
        <v/>
      </c>
      <c r="W221" s="89" t="str">
        <f>IFERROR(ج_ح_شهریور[[#This Row],[جمع ح و م]]-ج_ح_شهریور[[#This Row],[جمع کسورات]],"")</f>
        <v/>
      </c>
      <c r="X221" s="108"/>
    </row>
    <row r="222" spans="1:24" ht="32.1" customHeight="1">
      <c r="B222" s="1">
        <f t="shared" si="4"/>
        <v>6</v>
      </c>
      <c r="C222" s="23"/>
      <c r="D222" s="24"/>
      <c r="E222" s="24" t="s">
        <v>35</v>
      </c>
      <c r="F222" s="33">
        <f>SUBTOTAL(109,ج_ح_شهریور[کارکرد])</f>
        <v>0</v>
      </c>
      <c r="G222" s="25">
        <f>SUBTOTAL(109,ج_ح_شهریور[[دستمزد روزانه ]])</f>
        <v>0</v>
      </c>
      <c r="H222" s="25">
        <f>SUBTOTAL(109,ج_ح_شهریور[حقوق پایه])</f>
        <v>0</v>
      </c>
      <c r="I222" s="34">
        <f>SUBTOTAL(109,ج_ح_شهریور[[مدت اضافه کاری ]])</f>
        <v>0</v>
      </c>
      <c r="J222" s="35">
        <f>SUBTOTAL(109,ج_ح_شهریور[اضافه کاری])</f>
        <v>0</v>
      </c>
      <c r="K222" s="25">
        <f>SUBTOTAL(109,ج_ح_شهریور[حق مسکن])</f>
        <v>0</v>
      </c>
      <c r="L222" s="36">
        <f>SUBTOTAL(109,ج_ح_شهریور[تعداد فرزندان])</f>
        <v>0</v>
      </c>
      <c r="M222" s="25">
        <f>SUBTOTAL(109,ج_ح_شهریور[حق اولاد])</f>
        <v>0</v>
      </c>
      <c r="N222" s="25">
        <f>SUBTOTAL(109,ج_ح_شهریور[حق و خواروبار])</f>
        <v>0</v>
      </c>
      <c r="O222" s="25">
        <f>SUBTOTAL(109,ج_ح_شهریور[جمع ح و م])</f>
        <v>0</v>
      </c>
      <c r="P222" s="25">
        <f>SUBTOTAL(109,ج_ح_شهریور[[جمع ح و م م بیمه ]])</f>
        <v>0</v>
      </c>
      <c r="Q222" s="25">
        <f>SUBTOTAL(109,ج_ح_شهریور[جمع ح و م م مالیات])</f>
        <v>0</v>
      </c>
      <c r="R222" s="25">
        <f>SUBTOTAL(109,ج_ح_شهریور[وام])</f>
        <v>0</v>
      </c>
      <c r="S222" s="25">
        <f>SUBTOTAL(109,ج_ح_شهریور[مساعده])</f>
        <v>0</v>
      </c>
      <c r="T222" s="25">
        <f>SUBTOTAL(109,ج_ح_شهریور[بیمه پرداختنی])</f>
        <v>0</v>
      </c>
      <c r="U222" s="25">
        <f>SUBTOTAL(109,ج_ح_شهریور[مالیات پرداختنی])</f>
        <v>0</v>
      </c>
      <c r="V222" s="25">
        <f>SUBTOTAL(109,ج_ح_شهریور[جمع کسورات])</f>
        <v>0</v>
      </c>
      <c r="W222" s="25">
        <f>SUBTOTAL(109,ج_ح_شهریور[خالص قابل پرداخت])</f>
        <v>0</v>
      </c>
      <c r="X222" s="109"/>
    </row>
    <row r="223" spans="1:24" ht="8.1" customHeight="1"/>
    <row r="224" spans="1:24" s="7" customFormat="1" ht="39.950000000000003" customHeight="1">
      <c r="A224" s="15"/>
      <c r="B224" s="15"/>
      <c r="C224" s="128" t="str">
        <f>CONCATENATE("شرکت"," ",'اطلاعات شرکت'!$B$1)</f>
        <v>شرکت پندار حساب شهسوار</v>
      </c>
      <c r="D224" s="128"/>
      <c r="E224" s="128"/>
      <c r="F224" s="128"/>
      <c r="G224" s="128"/>
      <c r="H224" s="128"/>
      <c r="I224" s="128"/>
      <c r="J224" s="128"/>
      <c r="K224" s="128"/>
      <c r="L224" s="128"/>
      <c r="M224" s="128"/>
      <c r="N224" s="128"/>
      <c r="O224" s="128"/>
      <c r="P224" s="128"/>
      <c r="Q224" s="128"/>
      <c r="R224" s="128"/>
      <c r="S224" s="128"/>
      <c r="T224" s="128"/>
      <c r="U224" s="128"/>
      <c r="V224" s="128"/>
      <c r="W224" s="128"/>
      <c r="X224" s="105"/>
    </row>
    <row r="225" spans="2:24" s="7" customFormat="1" ht="50.1" customHeight="1">
      <c r="C225" s="127" t="str">
        <f>CONCATENATE("جدول حقوق و دستمزد مهر ماه سال"," ",'اطلاعات شرکت'!$B$2)</f>
        <v>جدول حقوق و دستمزد مهر ماه سال 1402</v>
      </c>
      <c r="D225" s="127"/>
      <c r="E225" s="127"/>
      <c r="F225" s="127"/>
      <c r="G225" s="127"/>
      <c r="H225" s="127"/>
      <c r="I225" s="127"/>
      <c r="J225" s="127"/>
      <c r="K225" s="127"/>
      <c r="L225" s="127"/>
      <c r="M225" s="127"/>
      <c r="N225" s="127"/>
      <c r="O225" s="127"/>
      <c r="P225" s="127"/>
      <c r="Q225" s="127"/>
      <c r="R225" s="127"/>
      <c r="S225" s="127"/>
      <c r="T225" s="127"/>
      <c r="U225" s="127"/>
      <c r="V225" s="127"/>
      <c r="W225" s="127"/>
      <c r="X225" s="105"/>
    </row>
    <row r="226" spans="2:24" s="12" customFormat="1" ht="50.1" customHeight="1">
      <c r="C226" s="129" t="s">
        <v>1</v>
      </c>
      <c r="D226" s="28" t="s">
        <v>23</v>
      </c>
      <c r="E226" s="28" t="s">
        <v>56</v>
      </c>
      <c r="F226" s="28" t="s">
        <v>11</v>
      </c>
      <c r="G226" s="28" t="s">
        <v>12</v>
      </c>
      <c r="H226" s="28" t="s">
        <v>37</v>
      </c>
      <c r="I226" s="28" t="s">
        <v>51</v>
      </c>
      <c r="J226" s="28" t="s">
        <v>47</v>
      </c>
      <c r="K226" s="28" t="s">
        <v>4</v>
      </c>
      <c r="L226" s="28" t="s">
        <v>48</v>
      </c>
      <c r="M226" s="28" t="s">
        <v>14</v>
      </c>
      <c r="N226" s="28" t="s">
        <v>5</v>
      </c>
      <c r="O226" s="28" t="s">
        <v>17</v>
      </c>
      <c r="P226" s="28" t="s">
        <v>49</v>
      </c>
      <c r="Q226" s="28" t="s">
        <v>50</v>
      </c>
      <c r="R226" s="28" t="s">
        <v>15</v>
      </c>
      <c r="S226" s="28" t="s">
        <v>16</v>
      </c>
      <c r="T226" s="28" t="s">
        <v>59</v>
      </c>
      <c r="U226" s="28" t="s">
        <v>58</v>
      </c>
      <c r="V226" s="28" t="s">
        <v>21</v>
      </c>
      <c r="W226" s="28" t="s">
        <v>57</v>
      </c>
      <c r="X226" s="106"/>
    </row>
    <row r="227" spans="2:24" s="7" customFormat="1" ht="32.1" customHeight="1">
      <c r="C227" s="129"/>
      <c r="D227" s="29">
        <v>1</v>
      </c>
      <c r="E227" s="29">
        <v>2</v>
      </c>
      <c r="F227" s="29">
        <v>3</v>
      </c>
      <c r="G227" s="29">
        <v>4</v>
      </c>
      <c r="H227" s="29">
        <v>5</v>
      </c>
      <c r="I227" s="29">
        <v>6</v>
      </c>
      <c r="J227" s="29">
        <v>7</v>
      </c>
      <c r="K227" s="29">
        <v>8</v>
      </c>
      <c r="L227" s="29">
        <v>9</v>
      </c>
      <c r="M227" s="29">
        <v>10</v>
      </c>
      <c r="N227" s="29">
        <v>11</v>
      </c>
      <c r="O227" s="29">
        <v>12</v>
      </c>
      <c r="P227" s="29">
        <v>13</v>
      </c>
      <c r="Q227" s="29">
        <v>14</v>
      </c>
      <c r="R227" s="29">
        <v>15</v>
      </c>
      <c r="S227" s="29">
        <v>16</v>
      </c>
      <c r="T227" s="29">
        <v>17</v>
      </c>
      <c r="U227" s="29">
        <v>18</v>
      </c>
      <c r="V227" s="29">
        <v>19</v>
      </c>
      <c r="W227" s="30">
        <v>20</v>
      </c>
      <c r="X227" s="105"/>
    </row>
    <row r="228" spans="2:24" s="7" customFormat="1" ht="20.100000000000001" customHeight="1">
      <c r="C228" s="16" t="s">
        <v>1</v>
      </c>
      <c r="D228" s="16" t="s">
        <v>23</v>
      </c>
      <c r="E228" s="16" t="s">
        <v>56</v>
      </c>
      <c r="F228" s="16" t="s">
        <v>11</v>
      </c>
      <c r="G228" s="16" t="s">
        <v>12</v>
      </c>
      <c r="H228" s="16" t="s">
        <v>37</v>
      </c>
      <c r="I228" s="16" t="s">
        <v>46</v>
      </c>
      <c r="J228" s="16" t="s">
        <v>47</v>
      </c>
      <c r="K228" s="16" t="s">
        <v>4</v>
      </c>
      <c r="L228" s="16" t="s">
        <v>13</v>
      </c>
      <c r="M228" s="16" t="s">
        <v>14</v>
      </c>
      <c r="N228" s="16" t="s">
        <v>79</v>
      </c>
      <c r="O228" s="16" t="s">
        <v>53</v>
      </c>
      <c r="P228" s="16" t="s">
        <v>54</v>
      </c>
      <c r="Q228" s="31" t="s">
        <v>55</v>
      </c>
      <c r="R228" s="16" t="s">
        <v>15</v>
      </c>
      <c r="S228" s="16" t="s">
        <v>16</v>
      </c>
      <c r="T228" s="31" t="s">
        <v>19</v>
      </c>
      <c r="U228" s="31" t="s">
        <v>20</v>
      </c>
      <c r="V228" s="16" t="s">
        <v>21</v>
      </c>
      <c r="W228" s="16" t="s">
        <v>22</v>
      </c>
      <c r="X228" s="110" t="s">
        <v>133</v>
      </c>
    </row>
    <row r="229" spans="2:24" ht="32.1" customHeight="1">
      <c r="B229" s="1">
        <f>B222+1</f>
        <v>7</v>
      </c>
      <c r="C229" s="85" t="str">
        <f>IF(ج_ح_مهر[[#This Row],[نام]]&lt;&gt;"",ROW()-229+1,"")</f>
        <v/>
      </c>
      <c r="D229" s="86"/>
      <c r="E229" s="86"/>
      <c r="F229" s="87"/>
      <c r="G229" s="88" t="str">
        <f>IFERROR(IF(COUNT(ج_ح_مهر[[#This Row],[کارکرد]]),حداقل_حقوق_پایه_روزانه,""),"")</f>
        <v/>
      </c>
      <c r="H229" s="89" t="str">
        <f>IFERROR(IF(ج_ح_مهر[[#This Row],[کارکرد]]*ج_ح_مهر[[#This Row],[دستمزد روزانه ]]=0,"",ج_ح_مهر[[#This Row],[کارکرد]]*ج_ح_مهر[[#This Row],[دستمزد روزانه ]]),"")</f>
        <v/>
      </c>
      <c r="I229" s="91">
        <v>0</v>
      </c>
      <c r="J229" s="90" t="str">
        <f>IFERROR((ج_ح_مهر[[#This Row],[دستمزد روزانه ]]/7.33)*1.4*ج_ح_مهر[[#This Row],[مدت اضافه کاری ]],"")</f>
        <v/>
      </c>
      <c r="K229" s="89" t="str">
        <f>IF(ج_ح_مهر[[#This Row],[کارکرد]]="","",ج_ح_مهر[[#This Row],[کارکرد]]/30*حق_مسکن)</f>
        <v/>
      </c>
      <c r="L229" s="91">
        <v>0</v>
      </c>
      <c r="M229" s="89">
        <f>IF(ج_ح_مهر[[#This Row],[تعداد فرزندان]]="","",ج_ح_مهر[[#This Row],[کارکرد]]/30*3*ج_ح_مهر[[#This Row],[تعداد فرزندان]]*حداقل_حقوق_پایه_روزانه)</f>
        <v>0</v>
      </c>
      <c r="N229" s="89" t="str">
        <f>IF(ج_ح_مهر[[#This Row],[کارکرد]]="","",ج_ح_مهر[[#This Row],[کارکرد]]/30*حق_خواربار)</f>
        <v/>
      </c>
      <c r="O229" s="89" t="str">
        <f>IFERROR(ج_ح_مهر[[#This Row],[حقوق پایه]]+ج_ح_مهر[[#This Row],[اضافه کاری]]+ج_ح_مهر[[#This Row],[حق مسکن]]+ج_ح_مهر[[#This Row],[حق اولاد]]+ج_ح_مهر[[#This Row],[حق و خواروبار]],"")</f>
        <v/>
      </c>
      <c r="P229"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29" s="89" t="str">
        <f>IFERROR(ج_ح_مهر[[#This Row],[حقوق پایه]]+ج_ح_مهر[[#This Row],[اضافه کاری]]+ج_ح_مهر[[#This Row],[حق مسکن]]+ج_ح_مهر[[#This Row],[حق و خواروبار]]+ج_ح_مهر[[#This Row],[حق اولاد]]-(2/7)*ج_ح_مهر[[#This Row],[بیمه پرداختنی]],"")</f>
        <v/>
      </c>
      <c r="R229" s="91">
        <v>0</v>
      </c>
      <c r="S229" s="91">
        <v>0</v>
      </c>
      <c r="T229" s="89" t="str">
        <f>IFERROR(ج_ح_مهر[[#This Row],[جمع ح و م م بیمه ]]*7%,"")</f>
        <v/>
      </c>
      <c r="U229"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29" s="89" t="str">
        <f>IFERROR(ج_ح_مهر[[#This Row],[وام]]+ج_ح_مهر[[#This Row],[مساعده]]+ج_ح_مهر[[#This Row],[بیمه پرداختنی]]+ج_ح_مهر[[#This Row],[مالیات پرداختنی]],"")</f>
        <v/>
      </c>
      <c r="W229" s="89" t="str">
        <f>IFERROR(ج_ح_مهر[[#This Row],[جمع ح و م]]-ج_ح_مهر[[#This Row],[جمع کسورات]],"")</f>
        <v/>
      </c>
      <c r="X229" s="108" t="e">
        <f>100000000-ج_ح_مهر[[#This Row],[جمع ح و م م مالیات]]</f>
        <v>#VALUE!</v>
      </c>
    </row>
    <row r="230" spans="2:24" ht="32.1" customHeight="1">
      <c r="B230" s="1">
        <f>B229</f>
        <v>7</v>
      </c>
      <c r="C230" s="85" t="str">
        <f>IF(ج_ح_مهر[[#This Row],[نام]]&lt;&gt;"",ROW()-229+1,"")</f>
        <v/>
      </c>
      <c r="D230" s="86"/>
      <c r="E230" s="86"/>
      <c r="F230" s="87"/>
      <c r="G230" s="88" t="str">
        <f>IFERROR(IF(COUNT(ج_ح_مهر[[#This Row],[کارکرد]]),حداقل_حقوق_پایه_روزانه,""),"")</f>
        <v/>
      </c>
      <c r="H230" s="89" t="str">
        <f>IFERROR(IF(ج_ح_مهر[[#This Row],[کارکرد]]*ج_ح_مهر[[#This Row],[دستمزد روزانه ]]=0,"",ج_ح_مهر[[#This Row],[کارکرد]]*ج_ح_مهر[[#This Row],[دستمزد روزانه ]]),"")</f>
        <v/>
      </c>
      <c r="I230" s="91">
        <v>0</v>
      </c>
      <c r="J230" s="90" t="str">
        <f>IFERROR((ج_ح_مهر[[#This Row],[دستمزد روزانه ]]/7.33)*1.4*ج_ح_مهر[[#This Row],[مدت اضافه کاری ]],"")</f>
        <v/>
      </c>
      <c r="K230" s="89" t="str">
        <f>IF(ج_ح_مهر[[#This Row],[کارکرد]]="","",ج_ح_مهر[[#This Row],[کارکرد]]/30*حق_مسکن)</f>
        <v/>
      </c>
      <c r="L230" s="91">
        <v>0</v>
      </c>
      <c r="M230" s="89">
        <f>IF(ج_ح_مهر[[#This Row],[تعداد فرزندان]]="","",ج_ح_مهر[[#This Row],[کارکرد]]/30*3*ج_ح_مهر[[#This Row],[تعداد فرزندان]]*حداقل_حقوق_پایه_روزانه)</f>
        <v>0</v>
      </c>
      <c r="N230" s="89" t="str">
        <f>IF(ج_ح_مهر[[#This Row],[کارکرد]]="","",ج_ح_مهر[[#This Row],[کارکرد]]/30*حق_خواربار)</f>
        <v/>
      </c>
      <c r="O230" s="89" t="str">
        <f>IFERROR(ج_ح_مهر[[#This Row],[حقوق پایه]]+ج_ح_مهر[[#This Row],[اضافه کاری]]+ج_ح_مهر[[#This Row],[حق مسکن]]+ج_ح_مهر[[#This Row],[حق اولاد]]+ج_ح_مهر[[#This Row],[حق و خواروبار]],"")</f>
        <v/>
      </c>
      <c r="P230"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30" s="89" t="str">
        <f>IFERROR(ج_ح_مهر[[#This Row],[حقوق پایه]]+ج_ح_مهر[[#This Row],[اضافه کاری]]+ج_ح_مهر[[#This Row],[حق مسکن]]+ج_ح_مهر[[#This Row],[حق و خواروبار]]+ج_ح_مهر[[#This Row],[حق اولاد]]-(2/7)*ج_ح_مهر[[#This Row],[بیمه پرداختنی]],"")</f>
        <v/>
      </c>
      <c r="R230" s="91">
        <v>0</v>
      </c>
      <c r="S230" s="91">
        <v>0</v>
      </c>
      <c r="T230" s="89" t="str">
        <f>IFERROR(ج_ح_مهر[[#This Row],[جمع ح و م م بیمه ]]*7%,"")</f>
        <v/>
      </c>
      <c r="U230"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30" s="89" t="str">
        <f>IFERROR(ج_ح_مهر[[#This Row],[وام]]+ج_ح_مهر[[#This Row],[مساعده]]+ج_ح_مهر[[#This Row],[بیمه پرداختنی]]+ج_ح_مهر[[#This Row],[مالیات پرداختنی]],"")</f>
        <v/>
      </c>
      <c r="W230" s="89" t="str">
        <f>IFERROR(ج_ح_مهر[[#This Row],[جمع ح و م]]-ج_ح_مهر[[#This Row],[جمع کسورات]],"")</f>
        <v/>
      </c>
      <c r="X230" s="108" t="e">
        <f>100000000-ج_ح_مهر[[#This Row],[جمع ح و م م مالیات]]</f>
        <v>#VALUE!</v>
      </c>
    </row>
    <row r="231" spans="2:24" ht="32.1" customHeight="1">
      <c r="B231" s="1">
        <f t="shared" ref="B231:B259" si="5">B230</f>
        <v>7</v>
      </c>
      <c r="C231" s="85" t="str">
        <f>IF(ج_ح_مهر[[#This Row],[نام]]&lt;&gt;"",ROW()-229+1,"")</f>
        <v/>
      </c>
      <c r="D231" s="86"/>
      <c r="E231" s="86"/>
      <c r="F231" s="87"/>
      <c r="G231" s="88" t="str">
        <f>IFERROR(IF(COUNT(ج_ح_مهر[[#This Row],[کارکرد]]),حداقل_حقوق_پایه_روزانه,""),"")</f>
        <v/>
      </c>
      <c r="H231" s="89" t="str">
        <f>IFERROR(IF(ج_ح_مهر[[#This Row],[کارکرد]]*ج_ح_مهر[[#This Row],[دستمزد روزانه ]]=0,"",ج_ح_مهر[[#This Row],[کارکرد]]*ج_ح_مهر[[#This Row],[دستمزد روزانه ]]),"")</f>
        <v/>
      </c>
      <c r="I231" s="91">
        <v>0</v>
      </c>
      <c r="J231" s="90" t="str">
        <f>IFERROR((ج_ح_مهر[[#This Row],[دستمزد روزانه ]]/7.33)*1.4*ج_ح_مهر[[#This Row],[مدت اضافه کاری ]],"")</f>
        <v/>
      </c>
      <c r="K231" s="89" t="str">
        <f>IF(ج_ح_مهر[[#This Row],[کارکرد]]="","",ج_ح_مهر[[#This Row],[کارکرد]]/30*حق_مسکن)</f>
        <v/>
      </c>
      <c r="L231" s="91">
        <v>0</v>
      </c>
      <c r="M231" s="89">
        <f>IF(ج_ح_مهر[[#This Row],[تعداد فرزندان]]="","",ج_ح_مهر[[#This Row],[کارکرد]]/30*3*ج_ح_مهر[[#This Row],[تعداد فرزندان]]*حداقل_حقوق_پایه_روزانه)</f>
        <v>0</v>
      </c>
      <c r="N231" s="89" t="str">
        <f>IF(ج_ح_مهر[[#This Row],[کارکرد]]="","",ج_ح_مهر[[#This Row],[کارکرد]]/30*حق_خواربار)</f>
        <v/>
      </c>
      <c r="O231" s="89" t="str">
        <f>IFERROR(ج_ح_مهر[[#This Row],[حقوق پایه]]+ج_ح_مهر[[#This Row],[اضافه کاری]]+ج_ح_مهر[[#This Row],[حق مسکن]]+ج_ح_مهر[[#This Row],[حق اولاد]]+ج_ح_مهر[[#This Row],[حق و خواروبار]],"")</f>
        <v/>
      </c>
      <c r="P231"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31" s="89" t="str">
        <f>IFERROR(ج_ح_مهر[[#This Row],[حقوق پایه]]+ج_ح_مهر[[#This Row],[اضافه کاری]]+ج_ح_مهر[[#This Row],[حق مسکن]]+ج_ح_مهر[[#This Row],[حق و خواروبار]]+ج_ح_مهر[[#This Row],[حق اولاد]]-(2/7)*ج_ح_مهر[[#This Row],[بیمه پرداختنی]],"")</f>
        <v/>
      </c>
      <c r="R231" s="91">
        <v>0</v>
      </c>
      <c r="S231" s="91">
        <v>0</v>
      </c>
      <c r="T231" s="89" t="str">
        <f>IFERROR(ج_ح_مهر[[#This Row],[جمع ح و م م بیمه ]]*7%,"")</f>
        <v/>
      </c>
      <c r="U231"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31" s="89" t="str">
        <f>IFERROR(ج_ح_مهر[[#This Row],[وام]]+ج_ح_مهر[[#This Row],[مساعده]]+ج_ح_مهر[[#This Row],[بیمه پرداختنی]]+ج_ح_مهر[[#This Row],[مالیات پرداختنی]],"")</f>
        <v/>
      </c>
      <c r="W231" s="89" t="str">
        <f>IFERROR(ج_ح_مهر[[#This Row],[جمع ح و م]]-ج_ح_مهر[[#This Row],[جمع کسورات]],"")</f>
        <v/>
      </c>
      <c r="X231" s="108" t="e">
        <f>100000000-ج_ح_مهر[[#This Row],[جمع ح و م م مالیات]]</f>
        <v>#VALUE!</v>
      </c>
    </row>
    <row r="232" spans="2:24" ht="32.1" customHeight="1">
      <c r="B232" s="1">
        <f t="shared" si="5"/>
        <v>7</v>
      </c>
      <c r="C232" s="85" t="str">
        <f>IF(ج_ح_مهر[[#This Row],[نام]]&lt;&gt;"",ROW()-229+1,"")</f>
        <v/>
      </c>
      <c r="D232" s="86"/>
      <c r="E232" s="86"/>
      <c r="F232" s="87"/>
      <c r="G232" s="88" t="str">
        <f>IFERROR(IF(COUNT(ج_ح_مهر[[#This Row],[کارکرد]]),حداقل_حقوق_پایه_روزانه,""),"")</f>
        <v/>
      </c>
      <c r="H232" s="89" t="str">
        <f>IFERROR(IF(ج_ح_مهر[[#This Row],[کارکرد]]*ج_ح_مهر[[#This Row],[دستمزد روزانه ]]=0,"",ج_ح_مهر[[#This Row],[کارکرد]]*ج_ح_مهر[[#This Row],[دستمزد روزانه ]]),"")</f>
        <v/>
      </c>
      <c r="I232" s="91">
        <v>0</v>
      </c>
      <c r="J232" s="90" t="str">
        <f>IFERROR((ج_ح_مهر[[#This Row],[دستمزد روزانه ]]/7.33)*1.4*ج_ح_مهر[[#This Row],[مدت اضافه کاری ]],"")</f>
        <v/>
      </c>
      <c r="K232" s="89" t="str">
        <f>IF(ج_ح_مهر[[#This Row],[کارکرد]]="","",ج_ح_مهر[[#This Row],[کارکرد]]/30*حق_مسکن)</f>
        <v/>
      </c>
      <c r="L232" s="91">
        <v>0</v>
      </c>
      <c r="M232" s="89">
        <f>IF(ج_ح_مهر[[#This Row],[تعداد فرزندان]]="","",ج_ح_مهر[[#This Row],[کارکرد]]/30*3*ج_ح_مهر[[#This Row],[تعداد فرزندان]]*حداقل_حقوق_پایه_روزانه)</f>
        <v>0</v>
      </c>
      <c r="N232" s="89" t="str">
        <f>IF(ج_ح_مهر[[#This Row],[کارکرد]]="","",ج_ح_مهر[[#This Row],[کارکرد]]/30*حق_خواربار)</f>
        <v/>
      </c>
      <c r="O232" s="89" t="str">
        <f>IFERROR(ج_ح_مهر[[#This Row],[حقوق پایه]]+ج_ح_مهر[[#This Row],[اضافه کاری]]+ج_ح_مهر[[#This Row],[حق مسکن]]+ج_ح_مهر[[#This Row],[حق اولاد]]+ج_ح_مهر[[#This Row],[حق و خواروبار]],"")</f>
        <v/>
      </c>
      <c r="P232"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32" s="89" t="str">
        <f>IFERROR(ج_ح_مهر[[#This Row],[حقوق پایه]]+ج_ح_مهر[[#This Row],[اضافه کاری]]+ج_ح_مهر[[#This Row],[حق مسکن]]+ج_ح_مهر[[#This Row],[حق و خواروبار]]+ج_ح_مهر[[#This Row],[حق اولاد]]-(2/7)*ج_ح_مهر[[#This Row],[بیمه پرداختنی]],"")</f>
        <v/>
      </c>
      <c r="R232" s="91">
        <v>0</v>
      </c>
      <c r="S232" s="91">
        <v>0</v>
      </c>
      <c r="T232" s="89" t="str">
        <f>IFERROR(ج_ح_مهر[[#This Row],[جمع ح و م م بیمه ]]*7%,"")</f>
        <v/>
      </c>
      <c r="U232"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32" s="89" t="str">
        <f>IFERROR(ج_ح_مهر[[#This Row],[وام]]+ج_ح_مهر[[#This Row],[مساعده]]+ج_ح_مهر[[#This Row],[بیمه پرداختنی]]+ج_ح_مهر[[#This Row],[مالیات پرداختنی]],"")</f>
        <v/>
      </c>
      <c r="W232" s="89" t="str">
        <f>IFERROR(ج_ح_مهر[[#This Row],[جمع ح و م]]-ج_ح_مهر[[#This Row],[جمع کسورات]],"")</f>
        <v/>
      </c>
      <c r="X232" s="108" t="e">
        <f>50000000-ج_ح_مهر[[#This Row],[جمع ح و م م مالیات]]</f>
        <v>#VALUE!</v>
      </c>
    </row>
    <row r="233" spans="2:24" ht="32.1" customHeight="1">
      <c r="B233" s="1">
        <f t="shared" si="5"/>
        <v>7</v>
      </c>
      <c r="C233" s="85" t="str">
        <f>IF(ج_ح_مهر[[#This Row],[نام]]&lt;&gt;"",ROW()-229+1,"")</f>
        <v/>
      </c>
      <c r="D233" s="86"/>
      <c r="E233" s="86"/>
      <c r="F233" s="87"/>
      <c r="G233" s="88" t="str">
        <f>IFERROR(IF(COUNT(ج_ح_مهر[[#This Row],[کارکرد]]),حداقل_حقوق_پایه_روزانه,""),"")</f>
        <v/>
      </c>
      <c r="H233" s="89" t="str">
        <f>IFERROR(IF(ج_ح_مهر[[#This Row],[کارکرد]]*ج_ح_مهر[[#This Row],[دستمزد روزانه ]]=0,"",ج_ح_مهر[[#This Row],[کارکرد]]*ج_ح_مهر[[#This Row],[دستمزد روزانه ]]),"")</f>
        <v/>
      </c>
      <c r="I233" s="91"/>
      <c r="J233" s="90" t="str">
        <f>IFERROR((ج_ح_مهر[[#This Row],[دستمزد روزانه ]]/7.33)*1.4*ج_ح_مهر[[#This Row],[مدت اضافه کاری ]],"")</f>
        <v/>
      </c>
      <c r="K233" s="89" t="str">
        <f>IF(ج_ح_مهر[[#This Row],[کارکرد]]="","",ج_ح_مهر[[#This Row],[کارکرد]]/30*حق_مسکن)</f>
        <v/>
      </c>
      <c r="L233" s="91"/>
      <c r="M233" s="89" t="str">
        <f>IF(ج_ح_مهر[[#This Row],[تعداد فرزندان]]="","",ج_ح_مهر[[#This Row],[کارکرد]]/30*3*ج_ح_مهر[[#This Row],[تعداد فرزندان]]*حداقل_حقوق_پایه_روزانه)</f>
        <v/>
      </c>
      <c r="N233" s="89" t="str">
        <f>IF(ج_ح_مهر[[#This Row],[کارکرد]]="","",ج_ح_مهر[[#This Row],[کارکرد]]/30*حق_خواربار)</f>
        <v/>
      </c>
      <c r="O233" s="89" t="str">
        <f>IFERROR(ج_ح_مهر[[#This Row],[حقوق پایه]]+ج_ح_مهر[[#This Row],[اضافه کاری]]+ج_ح_مهر[[#This Row],[حق مسکن]]+ج_ح_مهر[[#This Row],[حق اولاد]]+ج_ح_مهر[[#This Row],[حق و خواروبار]],"")</f>
        <v/>
      </c>
      <c r="P233"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33" s="89" t="str">
        <f>IFERROR(ج_ح_مهر[[#This Row],[حقوق پایه]]+ج_ح_مهر[[#This Row],[اضافه کاری]]+ج_ح_مهر[[#This Row],[حق مسکن]]+ج_ح_مهر[[#This Row],[حق و خواروبار]]+ج_ح_مهر[[#This Row],[حق اولاد]]-(2/7)*ج_ح_مهر[[#This Row],[بیمه پرداختنی]],"")</f>
        <v/>
      </c>
      <c r="R233" s="91"/>
      <c r="S233" s="91"/>
      <c r="T233" s="89" t="str">
        <f>IFERROR(ج_ح_مهر[[#This Row],[جمع ح و م م بیمه ]]*7%,"")</f>
        <v/>
      </c>
      <c r="U233"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33" s="89" t="str">
        <f>IFERROR(ج_ح_مهر[[#This Row],[وام]]+ج_ح_مهر[[#This Row],[مساعده]]+ج_ح_مهر[[#This Row],[بیمه پرداختنی]]+ج_ح_مهر[[#This Row],[مالیات پرداختنی]],"")</f>
        <v/>
      </c>
      <c r="W233" s="89" t="str">
        <f>IFERROR(ج_ح_مهر[[#This Row],[جمع ح و م]]-ج_ح_مهر[[#This Row],[جمع کسورات]],"")</f>
        <v/>
      </c>
      <c r="X233" s="108"/>
    </row>
    <row r="234" spans="2:24" ht="32.1" customHeight="1">
      <c r="B234" s="1">
        <f t="shared" si="5"/>
        <v>7</v>
      </c>
      <c r="C234" s="85" t="str">
        <f>IF(ج_ح_مهر[[#This Row],[نام]]&lt;&gt;"",ROW()-229+1,"")</f>
        <v/>
      </c>
      <c r="D234" s="86"/>
      <c r="E234" s="86"/>
      <c r="F234" s="87"/>
      <c r="G234" s="88" t="str">
        <f>IFERROR(IF(COUNT(ج_ح_مهر[[#This Row],[کارکرد]]),حداقل_حقوق_پایه_روزانه,""),"")</f>
        <v/>
      </c>
      <c r="H234" s="89" t="str">
        <f>IFERROR(IF(ج_ح_مهر[[#This Row],[کارکرد]]*ج_ح_مهر[[#This Row],[دستمزد روزانه ]]=0,"",ج_ح_مهر[[#This Row],[کارکرد]]*ج_ح_مهر[[#This Row],[دستمزد روزانه ]]),"")</f>
        <v/>
      </c>
      <c r="I234" s="91"/>
      <c r="J234" s="90" t="str">
        <f>IFERROR((ج_ح_مهر[[#This Row],[دستمزد روزانه ]]/7.33)*1.4*ج_ح_مهر[[#This Row],[مدت اضافه کاری ]],"")</f>
        <v/>
      </c>
      <c r="K234" s="89" t="str">
        <f>IF(ج_ح_مهر[[#This Row],[کارکرد]]="","",ج_ح_مهر[[#This Row],[کارکرد]]/30*حق_مسکن)</f>
        <v/>
      </c>
      <c r="L234" s="91"/>
      <c r="M234" s="89" t="str">
        <f>IF(ج_ح_مهر[[#This Row],[تعداد فرزندان]]="","",ج_ح_مهر[[#This Row],[کارکرد]]/30*3*ج_ح_مهر[[#This Row],[تعداد فرزندان]]*حداقل_حقوق_پایه_روزانه)</f>
        <v/>
      </c>
      <c r="N234" s="89" t="str">
        <f>IF(ج_ح_مهر[[#This Row],[کارکرد]]="","",ج_ح_مهر[[#This Row],[کارکرد]]/30*حق_خواربار)</f>
        <v/>
      </c>
      <c r="O234" s="89" t="str">
        <f>IFERROR(ج_ح_مهر[[#This Row],[حقوق پایه]]+ج_ح_مهر[[#This Row],[اضافه کاری]]+ج_ح_مهر[[#This Row],[حق مسکن]]+ج_ح_مهر[[#This Row],[حق اولاد]]+ج_ح_مهر[[#This Row],[حق و خواروبار]],"")</f>
        <v/>
      </c>
      <c r="P234"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34" s="89" t="str">
        <f>IFERROR(ج_ح_مهر[[#This Row],[حقوق پایه]]+ج_ح_مهر[[#This Row],[اضافه کاری]]+ج_ح_مهر[[#This Row],[حق مسکن]]+ج_ح_مهر[[#This Row],[حق و خواروبار]]+ج_ح_مهر[[#This Row],[حق اولاد]]-(2/7)*ج_ح_مهر[[#This Row],[بیمه پرداختنی]],"")</f>
        <v/>
      </c>
      <c r="R234" s="91"/>
      <c r="S234" s="91"/>
      <c r="T234" s="89" t="str">
        <f>IFERROR(ج_ح_مهر[[#This Row],[جمع ح و م م بیمه ]]*7%,"")</f>
        <v/>
      </c>
      <c r="U234"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34" s="89" t="str">
        <f>IFERROR(ج_ح_مهر[[#This Row],[وام]]+ج_ح_مهر[[#This Row],[مساعده]]+ج_ح_مهر[[#This Row],[بیمه پرداختنی]]+ج_ح_مهر[[#This Row],[مالیات پرداختنی]],"")</f>
        <v/>
      </c>
      <c r="W234" s="89" t="str">
        <f>IFERROR(ج_ح_مهر[[#This Row],[جمع ح و م]]-ج_ح_مهر[[#This Row],[جمع کسورات]],"")</f>
        <v/>
      </c>
      <c r="X234" s="108"/>
    </row>
    <row r="235" spans="2:24" ht="32.1" customHeight="1">
      <c r="B235" s="1">
        <f t="shared" si="5"/>
        <v>7</v>
      </c>
      <c r="C235" s="85" t="str">
        <f>IF(ج_ح_مهر[[#This Row],[نام]]&lt;&gt;"",ROW()-229+1,"")</f>
        <v/>
      </c>
      <c r="D235" s="86"/>
      <c r="E235" s="86"/>
      <c r="F235" s="87"/>
      <c r="G235" s="88" t="str">
        <f>IFERROR(IF(COUNT(ج_ح_مهر[[#This Row],[کارکرد]]),حداقل_حقوق_پایه_روزانه,""),"")</f>
        <v/>
      </c>
      <c r="H235" s="89" t="str">
        <f>IFERROR(IF(ج_ح_مهر[[#This Row],[کارکرد]]*ج_ح_مهر[[#This Row],[دستمزد روزانه ]]=0,"",ج_ح_مهر[[#This Row],[کارکرد]]*ج_ح_مهر[[#This Row],[دستمزد روزانه ]]),"")</f>
        <v/>
      </c>
      <c r="I235" s="91"/>
      <c r="J235" s="90" t="str">
        <f>IFERROR((ج_ح_مهر[[#This Row],[دستمزد روزانه ]]/7.33)*1.4*ج_ح_مهر[[#This Row],[مدت اضافه کاری ]],"")</f>
        <v/>
      </c>
      <c r="K235" s="89" t="str">
        <f>IF(ج_ح_مهر[[#This Row],[کارکرد]]="","",ج_ح_مهر[[#This Row],[کارکرد]]/30*حق_مسکن)</f>
        <v/>
      </c>
      <c r="L235" s="91"/>
      <c r="M235" s="89" t="str">
        <f>IF(ج_ح_مهر[[#This Row],[تعداد فرزندان]]="","",ج_ح_مهر[[#This Row],[کارکرد]]/30*3*ج_ح_مهر[[#This Row],[تعداد فرزندان]]*حداقل_حقوق_پایه_روزانه)</f>
        <v/>
      </c>
      <c r="N235" s="89" t="str">
        <f>IF(ج_ح_مهر[[#This Row],[کارکرد]]="","",ج_ح_مهر[[#This Row],[کارکرد]]/30*حق_خواربار)</f>
        <v/>
      </c>
      <c r="O235" s="89" t="str">
        <f>IFERROR(ج_ح_مهر[[#This Row],[حقوق پایه]]+ج_ح_مهر[[#This Row],[اضافه کاری]]+ج_ح_مهر[[#This Row],[حق مسکن]]+ج_ح_مهر[[#This Row],[حق اولاد]]+ج_ح_مهر[[#This Row],[حق و خواروبار]],"")</f>
        <v/>
      </c>
      <c r="P235"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35" s="89" t="str">
        <f>IFERROR(ج_ح_مهر[[#This Row],[حقوق پایه]]+ج_ح_مهر[[#This Row],[اضافه کاری]]+ج_ح_مهر[[#This Row],[حق مسکن]]+ج_ح_مهر[[#This Row],[حق و خواروبار]]+ج_ح_مهر[[#This Row],[حق اولاد]]-(2/7)*ج_ح_مهر[[#This Row],[بیمه پرداختنی]],"")</f>
        <v/>
      </c>
      <c r="R235" s="91"/>
      <c r="S235" s="91"/>
      <c r="T235" s="89" t="str">
        <f>IFERROR(ج_ح_مهر[[#This Row],[جمع ح و م م بیمه ]]*7%,"")</f>
        <v/>
      </c>
      <c r="U235"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35" s="89" t="str">
        <f>IFERROR(ج_ح_مهر[[#This Row],[وام]]+ج_ح_مهر[[#This Row],[مساعده]]+ج_ح_مهر[[#This Row],[بیمه پرداختنی]]+ج_ح_مهر[[#This Row],[مالیات پرداختنی]],"")</f>
        <v/>
      </c>
      <c r="W235" s="89" t="str">
        <f>IFERROR(ج_ح_مهر[[#This Row],[جمع ح و م]]-ج_ح_مهر[[#This Row],[جمع کسورات]],"")</f>
        <v/>
      </c>
      <c r="X235" s="108"/>
    </row>
    <row r="236" spans="2:24" ht="32.1" customHeight="1">
      <c r="B236" s="1">
        <f t="shared" si="5"/>
        <v>7</v>
      </c>
      <c r="C236" s="85" t="str">
        <f>IF(ج_ح_مهر[[#This Row],[نام]]&lt;&gt;"",ROW()-229+1,"")</f>
        <v/>
      </c>
      <c r="D236" s="86"/>
      <c r="E236" s="86"/>
      <c r="F236" s="87"/>
      <c r="G236" s="88" t="str">
        <f>IFERROR(IF(COUNT(ج_ح_مهر[[#This Row],[کارکرد]]),حداقل_حقوق_پایه_روزانه,""),"")</f>
        <v/>
      </c>
      <c r="H236" s="89" t="str">
        <f>IFERROR(IF(ج_ح_مهر[[#This Row],[کارکرد]]*ج_ح_مهر[[#This Row],[دستمزد روزانه ]]=0,"",ج_ح_مهر[[#This Row],[کارکرد]]*ج_ح_مهر[[#This Row],[دستمزد روزانه ]]),"")</f>
        <v/>
      </c>
      <c r="I236" s="91"/>
      <c r="J236" s="90" t="str">
        <f>IFERROR((ج_ح_مهر[[#This Row],[دستمزد روزانه ]]/7.33)*1.4*ج_ح_مهر[[#This Row],[مدت اضافه کاری ]],"")</f>
        <v/>
      </c>
      <c r="K236" s="89" t="str">
        <f>IF(ج_ح_مهر[[#This Row],[کارکرد]]="","",ج_ح_مهر[[#This Row],[کارکرد]]/30*حق_مسکن)</f>
        <v/>
      </c>
      <c r="L236" s="91"/>
      <c r="M236" s="89" t="str">
        <f>IF(ج_ح_مهر[[#This Row],[تعداد فرزندان]]="","",ج_ح_مهر[[#This Row],[کارکرد]]/30*3*ج_ح_مهر[[#This Row],[تعداد فرزندان]]*حداقل_حقوق_پایه_روزانه)</f>
        <v/>
      </c>
      <c r="N236" s="89" t="str">
        <f>IF(ج_ح_مهر[[#This Row],[کارکرد]]="","",ج_ح_مهر[[#This Row],[کارکرد]]/30*حق_خواربار)</f>
        <v/>
      </c>
      <c r="O236" s="89" t="str">
        <f>IFERROR(ج_ح_مهر[[#This Row],[حقوق پایه]]+ج_ح_مهر[[#This Row],[اضافه کاری]]+ج_ح_مهر[[#This Row],[حق مسکن]]+ج_ح_مهر[[#This Row],[حق اولاد]]+ج_ح_مهر[[#This Row],[حق و خواروبار]],"")</f>
        <v/>
      </c>
      <c r="P236"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36" s="89" t="str">
        <f>IFERROR(ج_ح_مهر[[#This Row],[حقوق پایه]]+ج_ح_مهر[[#This Row],[اضافه کاری]]+ج_ح_مهر[[#This Row],[حق مسکن]]+ج_ح_مهر[[#This Row],[حق و خواروبار]]+ج_ح_مهر[[#This Row],[حق اولاد]]-(2/7)*ج_ح_مهر[[#This Row],[بیمه پرداختنی]],"")</f>
        <v/>
      </c>
      <c r="R236" s="91"/>
      <c r="S236" s="91"/>
      <c r="T236" s="89" t="str">
        <f>IFERROR(ج_ح_مهر[[#This Row],[جمع ح و م م بیمه ]]*7%,"")</f>
        <v/>
      </c>
      <c r="U236"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36" s="89" t="str">
        <f>IFERROR(ج_ح_مهر[[#This Row],[وام]]+ج_ح_مهر[[#This Row],[مساعده]]+ج_ح_مهر[[#This Row],[بیمه پرداختنی]]+ج_ح_مهر[[#This Row],[مالیات پرداختنی]],"")</f>
        <v/>
      </c>
      <c r="W236" s="89" t="str">
        <f>IFERROR(ج_ح_مهر[[#This Row],[جمع ح و م]]-ج_ح_مهر[[#This Row],[جمع کسورات]],"")</f>
        <v/>
      </c>
      <c r="X236" s="108"/>
    </row>
    <row r="237" spans="2:24" ht="32.1" customHeight="1">
      <c r="B237" s="1">
        <f t="shared" si="5"/>
        <v>7</v>
      </c>
      <c r="C237" s="85" t="str">
        <f>IF(ج_ح_مهر[[#This Row],[نام]]&lt;&gt;"",ROW()-229+1,"")</f>
        <v/>
      </c>
      <c r="D237" s="86"/>
      <c r="E237" s="86"/>
      <c r="F237" s="87"/>
      <c r="G237" s="88" t="str">
        <f>IFERROR(IF(COUNT(ج_ح_مهر[[#This Row],[کارکرد]]),حداقل_حقوق_پایه_روزانه,""),"")</f>
        <v/>
      </c>
      <c r="H237" s="89" t="str">
        <f>IFERROR(IF(ج_ح_مهر[[#This Row],[کارکرد]]*ج_ح_مهر[[#This Row],[دستمزد روزانه ]]=0,"",ج_ح_مهر[[#This Row],[کارکرد]]*ج_ح_مهر[[#This Row],[دستمزد روزانه ]]),"")</f>
        <v/>
      </c>
      <c r="I237" s="91"/>
      <c r="J237" s="90" t="str">
        <f>IFERROR((ج_ح_مهر[[#This Row],[دستمزد روزانه ]]/7.33)*1.4*ج_ح_مهر[[#This Row],[مدت اضافه کاری ]],"")</f>
        <v/>
      </c>
      <c r="K237" s="89" t="str">
        <f>IF(ج_ح_مهر[[#This Row],[کارکرد]]="","",ج_ح_مهر[[#This Row],[کارکرد]]/30*حق_مسکن)</f>
        <v/>
      </c>
      <c r="L237" s="91"/>
      <c r="M237" s="89" t="str">
        <f>IF(ج_ح_مهر[[#This Row],[تعداد فرزندان]]="","",ج_ح_مهر[[#This Row],[کارکرد]]/30*3*ج_ح_مهر[[#This Row],[تعداد فرزندان]]*حداقل_حقوق_پایه_روزانه)</f>
        <v/>
      </c>
      <c r="N237" s="89" t="str">
        <f>IF(ج_ح_مهر[[#This Row],[کارکرد]]="","",ج_ح_مهر[[#This Row],[کارکرد]]/30*حق_خواربار)</f>
        <v/>
      </c>
      <c r="O237" s="89" t="str">
        <f>IFERROR(ج_ح_مهر[[#This Row],[حقوق پایه]]+ج_ح_مهر[[#This Row],[اضافه کاری]]+ج_ح_مهر[[#This Row],[حق مسکن]]+ج_ح_مهر[[#This Row],[حق اولاد]]+ج_ح_مهر[[#This Row],[حق و خواروبار]],"")</f>
        <v/>
      </c>
      <c r="P237"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37" s="89" t="str">
        <f>IFERROR(ج_ح_مهر[[#This Row],[حقوق پایه]]+ج_ح_مهر[[#This Row],[اضافه کاری]]+ج_ح_مهر[[#This Row],[حق مسکن]]+ج_ح_مهر[[#This Row],[حق و خواروبار]]+ج_ح_مهر[[#This Row],[حق اولاد]]-(2/7)*ج_ح_مهر[[#This Row],[بیمه پرداختنی]],"")</f>
        <v/>
      </c>
      <c r="R237" s="91"/>
      <c r="S237" s="91"/>
      <c r="T237" s="89" t="str">
        <f>IFERROR(ج_ح_مهر[[#This Row],[جمع ح و م م بیمه ]]*7%,"")</f>
        <v/>
      </c>
      <c r="U237"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37" s="89" t="str">
        <f>IFERROR(ج_ح_مهر[[#This Row],[وام]]+ج_ح_مهر[[#This Row],[مساعده]]+ج_ح_مهر[[#This Row],[بیمه پرداختنی]]+ج_ح_مهر[[#This Row],[مالیات پرداختنی]],"")</f>
        <v/>
      </c>
      <c r="W237" s="89" t="str">
        <f>IFERROR(ج_ح_مهر[[#This Row],[جمع ح و م]]-ج_ح_مهر[[#This Row],[جمع کسورات]],"")</f>
        <v/>
      </c>
      <c r="X237" s="108"/>
    </row>
    <row r="238" spans="2:24" ht="32.1" customHeight="1">
      <c r="B238" s="1">
        <f t="shared" si="5"/>
        <v>7</v>
      </c>
      <c r="C238" s="85" t="str">
        <f>IF(ج_ح_مهر[[#This Row],[نام]]&lt;&gt;"",ROW()-229+1,"")</f>
        <v/>
      </c>
      <c r="D238" s="86"/>
      <c r="E238" s="86"/>
      <c r="F238" s="87"/>
      <c r="G238" s="88" t="str">
        <f>IFERROR(IF(COUNT(ج_ح_مهر[[#This Row],[کارکرد]]),حداقل_حقوق_پایه_روزانه,""),"")</f>
        <v/>
      </c>
      <c r="H238" s="89" t="str">
        <f>IFERROR(IF(ج_ح_مهر[[#This Row],[کارکرد]]*ج_ح_مهر[[#This Row],[دستمزد روزانه ]]=0,"",ج_ح_مهر[[#This Row],[کارکرد]]*ج_ح_مهر[[#This Row],[دستمزد روزانه ]]),"")</f>
        <v/>
      </c>
      <c r="I238" s="91"/>
      <c r="J238" s="90" t="str">
        <f>IFERROR((ج_ح_مهر[[#This Row],[دستمزد روزانه ]]/7.33)*1.4*ج_ح_مهر[[#This Row],[مدت اضافه کاری ]],"")</f>
        <v/>
      </c>
      <c r="K238" s="89" t="str">
        <f>IF(ج_ح_مهر[[#This Row],[کارکرد]]="","",ج_ح_مهر[[#This Row],[کارکرد]]/30*حق_مسکن)</f>
        <v/>
      </c>
      <c r="L238" s="91"/>
      <c r="M238" s="89" t="str">
        <f>IF(ج_ح_مهر[[#This Row],[تعداد فرزندان]]="","",ج_ح_مهر[[#This Row],[کارکرد]]/30*3*ج_ح_مهر[[#This Row],[تعداد فرزندان]]*حداقل_حقوق_پایه_روزانه)</f>
        <v/>
      </c>
      <c r="N238" s="89" t="str">
        <f>IF(ج_ح_مهر[[#This Row],[کارکرد]]="","",ج_ح_مهر[[#This Row],[کارکرد]]/30*حق_خواربار)</f>
        <v/>
      </c>
      <c r="O238" s="89" t="str">
        <f>IFERROR(ج_ح_مهر[[#This Row],[حقوق پایه]]+ج_ح_مهر[[#This Row],[اضافه کاری]]+ج_ح_مهر[[#This Row],[حق مسکن]]+ج_ح_مهر[[#This Row],[حق اولاد]]+ج_ح_مهر[[#This Row],[حق و خواروبار]],"")</f>
        <v/>
      </c>
      <c r="P238"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38" s="89" t="str">
        <f>IFERROR(ج_ح_مهر[[#This Row],[حقوق پایه]]+ج_ح_مهر[[#This Row],[اضافه کاری]]+ج_ح_مهر[[#This Row],[حق مسکن]]+ج_ح_مهر[[#This Row],[حق و خواروبار]]+ج_ح_مهر[[#This Row],[حق اولاد]]-(2/7)*ج_ح_مهر[[#This Row],[بیمه پرداختنی]],"")</f>
        <v/>
      </c>
      <c r="R238" s="91"/>
      <c r="S238" s="91"/>
      <c r="T238" s="89" t="str">
        <f>IFERROR(ج_ح_مهر[[#This Row],[جمع ح و م م بیمه ]]*7%,"")</f>
        <v/>
      </c>
      <c r="U238"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38" s="89" t="str">
        <f>IFERROR(ج_ح_مهر[[#This Row],[وام]]+ج_ح_مهر[[#This Row],[مساعده]]+ج_ح_مهر[[#This Row],[بیمه پرداختنی]]+ج_ح_مهر[[#This Row],[مالیات پرداختنی]],"")</f>
        <v/>
      </c>
      <c r="W238" s="89" t="str">
        <f>IFERROR(ج_ح_مهر[[#This Row],[جمع ح و م]]-ج_ح_مهر[[#This Row],[جمع کسورات]],"")</f>
        <v/>
      </c>
      <c r="X238" s="108"/>
    </row>
    <row r="239" spans="2:24" ht="32.1" customHeight="1">
      <c r="B239" s="1">
        <f t="shared" si="5"/>
        <v>7</v>
      </c>
      <c r="C239" s="85" t="str">
        <f>IF(ج_ح_مهر[[#This Row],[نام]]&lt;&gt;"",ROW()-229+1,"")</f>
        <v/>
      </c>
      <c r="D239" s="86"/>
      <c r="E239" s="86"/>
      <c r="F239" s="87"/>
      <c r="G239" s="88" t="str">
        <f>IFERROR(IF(COUNT(ج_ح_مهر[[#This Row],[کارکرد]]),حداقل_حقوق_پایه_روزانه,""),"")</f>
        <v/>
      </c>
      <c r="H239" s="89" t="str">
        <f>IFERROR(IF(ج_ح_مهر[[#This Row],[کارکرد]]*ج_ح_مهر[[#This Row],[دستمزد روزانه ]]=0,"",ج_ح_مهر[[#This Row],[کارکرد]]*ج_ح_مهر[[#This Row],[دستمزد روزانه ]]),"")</f>
        <v/>
      </c>
      <c r="I239" s="91"/>
      <c r="J239" s="90" t="str">
        <f>IFERROR((ج_ح_مهر[[#This Row],[دستمزد روزانه ]]/7.33)*1.4*ج_ح_مهر[[#This Row],[مدت اضافه کاری ]],"")</f>
        <v/>
      </c>
      <c r="K239" s="89" t="str">
        <f>IF(ج_ح_مهر[[#This Row],[کارکرد]]="","",ج_ح_مهر[[#This Row],[کارکرد]]/30*حق_مسکن)</f>
        <v/>
      </c>
      <c r="L239" s="91"/>
      <c r="M239" s="89" t="str">
        <f>IF(ج_ح_مهر[[#This Row],[تعداد فرزندان]]="","",ج_ح_مهر[[#This Row],[کارکرد]]/30*3*ج_ح_مهر[[#This Row],[تعداد فرزندان]]*حداقل_حقوق_پایه_روزانه)</f>
        <v/>
      </c>
      <c r="N239" s="89" t="str">
        <f>IF(ج_ح_مهر[[#This Row],[کارکرد]]="","",ج_ح_مهر[[#This Row],[کارکرد]]/30*حق_خواربار)</f>
        <v/>
      </c>
      <c r="O239" s="89" t="str">
        <f>IFERROR(ج_ح_مهر[[#This Row],[حقوق پایه]]+ج_ح_مهر[[#This Row],[اضافه کاری]]+ج_ح_مهر[[#This Row],[حق مسکن]]+ج_ح_مهر[[#This Row],[حق اولاد]]+ج_ح_مهر[[#This Row],[حق و خواروبار]],"")</f>
        <v/>
      </c>
      <c r="P239"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39" s="89" t="str">
        <f>IFERROR(ج_ح_مهر[[#This Row],[حقوق پایه]]+ج_ح_مهر[[#This Row],[اضافه کاری]]+ج_ح_مهر[[#This Row],[حق مسکن]]+ج_ح_مهر[[#This Row],[حق و خواروبار]]+ج_ح_مهر[[#This Row],[حق اولاد]]-(2/7)*ج_ح_مهر[[#This Row],[بیمه پرداختنی]],"")</f>
        <v/>
      </c>
      <c r="R239" s="91"/>
      <c r="S239" s="91"/>
      <c r="T239" s="89" t="str">
        <f>IFERROR(ج_ح_مهر[[#This Row],[جمع ح و م م بیمه ]]*7%,"")</f>
        <v/>
      </c>
      <c r="U239"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39" s="89" t="str">
        <f>IFERROR(ج_ح_مهر[[#This Row],[وام]]+ج_ح_مهر[[#This Row],[مساعده]]+ج_ح_مهر[[#This Row],[بیمه پرداختنی]]+ج_ح_مهر[[#This Row],[مالیات پرداختنی]],"")</f>
        <v/>
      </c>
      <c r="W239" s="89" t="str">
        <f>IFERROR(ج_ح_مهر[[#This Row],[جمع ح و م]]-ج_ح_مهر[[#This Row],[جمع کسورات]],"")</f>
        <v/>
      </c>
      <c r="X239" s="108"/>
    </row>
    <row r="240" spans="2:24" ht="32.1" customHeight="1">
      <c r="B240" s="1">
        <f t="shared" si="5"/>
        <v>7</v>
      </c>
      <c r="C240" s="85" t="str">
        <f>IF(ج_ح_مهر[[#This Row],[نام]]&lt;&gt;"",ROW()-229+1,"")</f>
        <v/>
      </c>
      <c r="D240" s="86"/>
      <c r="E240" s="86"/>
      <c r="F240" s="87"/>
      <c r="G240" s="88" t="str">
        <f>IFERROR(IF(COUNT(ج_ح_مهر[[#This Row],[کارکرد]]),حداقل_حقوق_پایه_روزانه,""),"")</f>
        <v/>
      </c>
      <c r="H240" s="89" t="str">
        <f>IFERROR(IF(ج_ح_مهر[[#This Row],[کارکرد]]*ج_ح_مهر[[#This Row],[دستمزد روزانه ]]=0,"",ج_ح_مهر[[#This Row],[کارکرد]]*ج_ح_مهر[[#This Row],[دستمزد روزانه ]]),"")</f>
        <v/>
      </c>
      <c r="I240" s="91"/>
      <c r="J240" s="90" t="str">
        <f>IFERROR((ج_ح_مهر[[#This Row],[دستمزد روزانه ]]/7.33)*1.4*ج_ح_مهر[[#This Row],[مدت اضافه کاری ]],"")</f>
        <v/>
      </c>
      <c r="K240" s="89" t="str">
        <f>IF(ج_ح_مهر[[#This Row],[کارکرد]]="","",ج_ح_مهر[[#This Row],[کارکرد]]/30*حق_مسکن)</f>
        <v/>
      </c>
      <c r="L240" s="91"/>
      <c r="M240" s="89" t="str">
        <f>IF(ج_ح_مهر[[#This Row],[تعداد فرزندان]]="","",ج_ح_مهر[[#This Row],[کارکرد]]/30*3*ج_ح_مهر[[#This Row],[تعداد فرزندان]]*حداقل_حقوق_پایه_روزانه)</f>
        <v/>
      </c>
      <c r="N240" s="89" t="str">
        <f>IF(ج_ح_مهر[[#This Row],[کارکرد]]="","",ج_ح_مهر[[#This Row],[کارکرد]]/30*حق_خواربار)</f>
        <v/>
      </c>
      <c r="O240" s="89" t="str">
        <f>IFERROR(ج_ح_مهر[[#This Row],[حقوق پایه]]+ج_ح_مهر[[#This Row],[اضافه کاری]]+ج_ح_مهر[[#This Row],[حق مسکن]]+ج_ح_مهر[[#This Row],[حق اولاد]]+ج_ح_مهر[[#This Row],[حق و خواروبار]],"")</f>
        <v/>
      </c>
      <c r="P240"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40" s="89" t="str">
        <f>IFERROR(ج_ح_مهر[[#This Row],[حقوق پایه]]+ج_ح_مهر[[#This Row],[اضافه کاری]]+ج_ح_مهر[[#This Row],[حق مسکن]]+ج_ح_مهر[[#This Row],[حق و خواروبار]]+ج_ح_مهر[[#This Row],[حق اولاد]]-(2/7)*ج_ح_مهر[[#This Row],[بیمه پرداختنی]],"")</f>
        <v/>
      </c>
      <c r="R240" s="91"/>
      <c r="S240" s="91"/>
      <c r="T240" s="89" t="str">
        <f>IFERROR(ج_ح_مهر[[#This Row],[جمع ح و م م بیمه ]]*7%,"")</f>
        <v/>
      </c>
      <c r="U240"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40" s="89" t="str">
        <f>IFERROR(ج_ح_مهر[[#This Row],[وام]]+ج_ح_مهر[[#This Row],[مساعده]]+ج_ح_مهر[[#This Row],[بیمه پرداختنی]]+ج_ح_مهر[[#This Row],[مالیات پرداختنی]],"")</f>
        <v/>
      </c>
      <c r="W240" s="89" t="str">
        <f>IFERROR(ج_ح_مهر[[#This Row],[جمع ح و م]]-ج_ح_مهر[[#This Row],[جمع کسورات]],"")</f>
        <v/>
      </c>
      <c r="X240" s="108"/>
    </row>
    <row r="241" spans="2:24" ht="32.1" customHeight="1">
      <c r="B241" s="1">
        <f t="shared" si="5"/>
        <v>7</v>
      </c>
      <c r="C241" s="85" t="str">
        <f>IF(ج_ح_مهر[[#This Row],[نام]]&lt;&gt;"",ROW()-229+1,"")</f>
        <v/>
      </c>
      <c r="D241" s="86"/>
      <c r="E241" s="86"/>
      <c r="F241" s="87"/>
      <c r="G241" s="88" t="str">
        <f>IFERROR(IF(COUNT(ج_ح_مهر[[#This Row],[کارکرد]]),حداقل_حقوق_پایه_روزانه,""),"")</f>
        <v/>
      </c>
      <c r="H241" s="89" t="str">
        <f>IFERROR(IF(ج_ح_مهر[[#This Row],[کارکرد]]*ج_ح_مهر[[#This Row],[دستمزد روزانه ]]=0,"",ج_ح_مهر[[#This Row],[کارکرد]]*ج_ح_مهر[[#This Row],[دستمزد روزانه ]]),"")</f>
        <v/>
      </c>
      <c r="I241" s="91"/>
      <c r="J241" s="90" t="str">
        <f>IFERROR((ج_ح_مهر[[#This Row],[دستمزد روزانه ]]/7.33)*1.4*ج_ح_مهر[[#This Row],[مدت اضافه کاری ]],"")</f>
        <v/>
      </c>
      <c r="K241" s="89" t="str">
        <f>IF(ج_ح_مهر[[#This Row],[کارکرد]]="","",ج_ح_مهر[[#This Row],[کارکرد]]/30*حق_مسکن)</f>
        <v/>
      </c>
      <c r="L241" s="91"/>
      <c r="M241" s="89" t="str">
        <f>IF(ج_ح_مهر[[#This Row],[تعداد فرزندان]]="","",ج_ح_مهر[[#This Row],[کارکرد]]/30*3*ج_ح_مهر[[#This Row],[تعداد فرزندان]]*حداقل_حقوق_پایه_روزانه)</f>
        <v/>
      </c>
      <c r="N241" s="89" t="str">
        <f>IF(ج_ح_مهر[[#This Row],[کارکرد]]="","",ج_ح_مهر[[#This Row],[کارکرد]]/30*حق_خواربار)</f>
        <v/>
      </c>
      <c r="O241" s="89" t="str">
        <f>IFERROR(ج_ح_مهر[[#This Row],[حقوق پایه]]+ج_ح_مهر[[#This Row],[اضافه کاری]]+ج_ح_مهر[[#This Row],[حق مسکن]]+ج_ح_مهر[[#This Row],[حق اولاد]]+ج_ح_مهر[[#This Row],[حق و خواروبار]],"")</f>
        <v/>
      </c>
      <c r="P241"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41" s="89" t="str">
        <f>IFERROR(ج_ح_مهر[[#This Row],[حقوق پایه]]+ج_ح_مهر[[#This Row],[اضافه کاری]]+ج_ح_مهر[[#This Row],[حق مسکن]]+ج_ح_مهر[[#This Row],[حق و خواروبار]]+ج_ح_مهر[[#This Row],[حق اولاد]]-(2/7)*ج_ح_مهر[[#This Row],[بیمه پرداختنی]],"")</f>
        <v/>
      </c>
      <c r="R241" s="91"/>
      <c r="S241" s="91"/>
      <c r="T241" s="89" t="str">
        <f>IFERROR(ج_ح_مهر[[#This Row],[جمع ح و م م بیمه ]]*7%,"")</f>
        <v/>
      </c>
      <c r="U241"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41" s="89" t="str">
        <f>IFERROR(ج_ح_مهر[[#This Row],[وام]]+ج_ح_مهر[[#This Row],[مساعده]]+ج_ح_مهر[[#This Row],[بیمه پرداختنی]]+ج_ح_مهر[[#This Row],[مالیات پرداختنی]],"")</f>
        <v/>
      </c>
      <c r="W241" s="89" t="str">
        <f>IFERROR(ج_ح_مهر[[#This Row],[جمع ح و م]]-ج_ح_مهر[[#This Row],[جمع کسورات]],"")</f>
        <v/>
      </c>
      <c r="X241" s="108"/>
    </row>
    <row r="242" spans="2:24" ht="32.1" customHeight="1">
      <c r="B242" s="1">
        <f t="shared" si="5"/>
        <v>7</v>
      </c>
      <c r="C242" s="85" t="str">
        <f>IF(ج_ح_مهر[[#This Row],[نام]]&lt;&gt;"",ROW()-229+1,"")</f>
        <v/>
      </c>
      <c r="D242" s="86"/>
      <c r="E242" s="86"/>
      <c r="F242" s="87"/>
      <c r="G242" s="88" t="str">
        <f>IFERROR(IF(COUNT(ج_ح_مهر[[#This Row],[کارکرد]]),حداقل_حقوق_پایه_روزانه,""),"")</f>
        <v/>
      </c>
      <c r="H242" s="89" t="str">
        <f>IFERROR(IF(ج_ح_مهر[[#This Row],[کارکرد]]*ج_ح_مهر[[#This Row],[دستمزد روزانه ]]=0,"",ج_ح_مهر[[#This Row],[کارکرد]]*ج_ح_مهر[[#This Row],[دستمزد روزانه ]]),"")</f>
        <v/>
      </c>
      <c r="I242" s="91"/>
      <c r="J242" s="90" t="str">
        <f>IFERROR((ج_ح_مهر[[#This Row],[دستمزد روزانه ]]/7.33)*1.4*ج_ح_مهر[[#This Row],[مدت اضافه کاری ]],"")</f>
        <v/>
      </c>
      <c r="K242" s="89" t="str">
        <f>IF(ج_ح_مهر[[#This Row],[کارکرد]]="","",ج_ح_مهر[[#This Row],[کارکرد]]/30*حق_مسکن)</f>
        <v/>
      </c>
      <c r="L242" s="91"/>
      <c r="M242" s="89" t="str">
        <f>IF(ج_ح_مهر[[#This Row],[تعداد فرزندان]]="","",ج_ح_مهر[[#This Row],[کارکرد]]/30*3*ج_ح_مهر[[#This Row],[تعداد فرزندان]]*حداقل_حقوق_پایه_روزانه)</f>
        <v/>
      </c>
      <c r="N242" s="89" t="str">
        <f>IF(ج_ح_مهر[[#This Row],[کارکرد]]="","",ج_ح_مهر[[#This Row],[کارکرد]]/30*حق_خواربار)</f>
        <v/>
      </c>
      <c r="O242" s="89" t="str">
        <f>IFERROR(ج_ح_مهر[[#This Row],[حقوق پایه]]+ج_ح_مهر[[#This Row],[اضافه کاری]]+ج_ح_مهر[[#This Row],[حق مسکن]]+ج_ح_مهر[[#This Row],[حق اولاد]]+ج_ح_مهر[[#This Row],[حق و خواروبار]],"")</f>
        <v/>
      </c>
      <c r="P242"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42" s="89" t="str">
        <f>IFERROR(ج_ح_مهر[[#This Row],[حقوق پایه]]+ج_ح_مهر[[#This Row],[اضافه کاری]]+ج_ح_مهر[[#This Row],[حق مسکن]]+ج_ح_مهر[[#This Row],[حق و خواروبار]]+ج_ح_مهر[[#This Row],[حق اولاد]]-(2/7)*ج_ح_مهر[[#This Row],[بیمه پرداختنی]],"")</f>
        <v/>
      </c>
      <c r="R242" s="91"/>
      <c r="S242" s="91"/>
      <c r="T242" s="89" t="str">
        <f>IFERROR(ج_ح_مهر[[#This Row],[جمع ح و م م بیمه ]]*7%,"")</f>
        <v/>
      </c>
      <c r="U242"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42" s="89" t="str">
        <f>IFERROR(ج_ح_مهر[[#This Row],[وام]]+ج_ح_مهر[[#This Row],[مساعده]]+ج_ح_مهر[[#This Row],[بیمه پرداختنی]]+ج_ح_مهر[[#This Row],[مالیات پرداختنی]],"")</f>
        <v/>
      </c>
      <c r="W242" s="89" t="str">
        <f>IFERROR(ج_ح_مهر[[#This Row],[جمع ح و م]]-ج_ح_مهر[[#This Row],[جمع کسورات]],"")</f>
        <v/>
      </c>
      <c r="X242" s="108"/>
    </row>
    <row r="243" spans="2:24" ht="32.1" customHeight="1">
      <c r="B243" s="1">
        <f t="shared" si="5"/>
        <v>7</v>
      </c>
      <c r="C243" s="85" t="str">
        <f>IF(ج_ح_مهر[[#This Row],[نام]]&lt;&gt;"",ROW()-229+1,"")</f>
        <v/>
      </c>
      <c r="D243" s="86"/>
      <c r="E243" s="86"/>
      <c r="F243" s="87"/>
      <c r="G243" s="88" t="str">
        <f>IFERROR(IF(COUNT(ج_ح_مهر[[#This Row],[کارکرد]]),حداقل_حقوق_پایه_روزانه,""),"")</f>
        <v/>
      </c>
      <c r="H243" s="89" t="str">
        <f>IFERROR(IF(ج_ح_مهر[[#This Row],[کارکرد]]*ج_ح_مهر[[#This Row],[دستمزد روزانه ]]=0,"",ج_ح_مهر[[#This Row],[کارکرد]]*ج_ح_مهر[[#This Row],[دستمزد روزانه ]]),"")</f>
        <v/>
      </c>
      <c r="I243" s="91"/>
      <c r="J243" s="90" t="str">
        <f>IFERROR((ج_ح_مهر[[#This Row],[دستمزد روزانه ]]/7.33)*1.4*ج_ح_مهر[[#This Row],[مدت اضافه کاری ]],"")</f>
        <v/>
      </c>
      <c r="K243" s="89" t="str">
        <f>IF(ج_ح_مهر[[#This Row],[کارکرد]]="","",ج_ح_مهر[[#This Row],[کارکرد]]/30*حق_مسکن)</f>
        <v/>
      </c>
      <c r="L243" s="91"/>
      <c r="M243" s="89" t="str">
        <f>IF(ج_ح_مهر[[#This Row],[تعداد فرزندان]]="","",ج_ح_مهر[[#This Row],[کارکرد]]/30*3*ج_ح_مهر[[#This Row],[تعداد فرزندان]]*حداقل_حقوق_پایه_روزانه)</f>
        <v/>
      </c>
      <c r="N243" s="89" t="str">
        <f>IF(ج_ح_مهر[[#This Row],[کارکرد]]="","",ج_ح_مهر[[#This Row],[کارکرد]]/30*حق_خواربار)</f>
        <v/>
      </c>
      <c r="O243" s="89" t="str">
        <f>IFERROR(ج_ح_مهر[[#This Row],[حقوق پایه]]+ج_ح_مهر[[#This Row],[اضافه کاری]]+ج_ح_مهر[[#This Row],[حق مسکن]]+ج_ح_مهر[[#This Row],[حق اولاد]]+ج_ح_مهر[[#This Row],[حق و خواروبار]],"")</f>
        <v/>
      </c>
      <c r="P243"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43" s="89" t="str">
        <f>IFERROR(ج_ح_مهر[[#This Row],[حقوق پایه]]+ج_ح_مهر[[#This Row],[اضافه کاری]]+ج_ح_مهر[[#This Row],[حق مسکن]]+ج_ح_مهر[[#This Row],[حق و خواروبار]]+ج_ح_مهر[[#This Row],[حق اولاد]]-(2/7)*ج_ح_مهر[[#This Row],[بیمه پرداختنی]],"")</f>
        <v/>
      </c>
      <c r="R243" s="91"/>
      <c r="S243" s="91"/>
      <c r="T243" s="89" t="str">
        <f>IFERROR(ج_ح_مهر[[#This Row],[جمع ح و م م بیمه ]]*7%,"")</f>
        <v/>
      </c>
      <c r="U243"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43" s="89" t="str">
        <f>IFERROR(ج_ح_مهر[[#This Row],[وام]]+ج_ح_مهر[[#This Row],[مساعده]]+ج_ح_مهر[[#This Row],[بیمه پرداختنی]]+ج_ح_مهر[[#This Row],[مالیات پرداختنی]],"")</f>
        <v/>
      </c>
      <c r="W243" s="89" t="str">
        <f>IFERROR(ج_ح_مهر[[#This Row],[جمع ح و م]]-ج_ح_مهر[[#This Row],[جمع کسورات]],"")</f>
        <v/>
      </c>
      <c r="X243" s="108"/>
    </row>
    <row r="244" spans="2:24" ht="32.1" customHeight="1">
      <c r="B244" s="1">
        <f t="shared" si="5"/>
        <v>7</v>
      </c>
      <c r="C244" s="85" t="str">
        <f>IF(ج_ح_مهر[[#This Row],[نام]]&lt;&gt;"",ROW()-229+1,"")</f>
        <v/>
      </c>
      <c r="D244" s="86"/>
      <c r="E244" s="86"/>
      <c r="F244" s="87"/>
      <c r="G244" s="88" t="str">
        <f>IFERROR(IF(COUNT(ج_ح_مهر[[#This Row],[کارکرد]]),حداقل_حقوق_پایه_روزانه,""),"")</f>
        <v/>
      </c>
      <c r="H244" s="89" t="str">
        <f>IFERROR(IF(ج_ح_مهر[[#This Row],[کارکرد]]*ج_ح_مهر[[#This Row],[دستمزد روزانه ]]=0,"",ج_ح_مهر[[#This Row],[کارکرد]]*ج_ح_مهر[[#This Row],[دستمزد روزانه ]]),"")</f>
        <v/>
      </c>
      <c r="I244" s="91"/>
      <c r="J244" s="90" t="str">
        <f>IFERROR((ج_ح_مهر[[#This Row],[دستمزد روزانه ]]/7.33)*1.4*ج_ح_مهر[[#This Row],[مدت اضافه کاری ]],"")</f>
        <v/>
      </c>
      <c r="K244" s="89" t="str">
        <f>IF(ج_ح_مهر[[#This Row],[کارکرد]]="","",ج_ح_مهر[[#This Row],[کارکرد]]/30*حق_مسکن)</f>
        <v/>
      </c>
      <c r="L244" s="91"/>
      <c r="M244" s="89" t="str">
        <f>IF(ج_ح_مهر[[#This Row],[تعداد فرزندان]]="","",ج_ح_مهر[[#This Row],[کارکرد]]/30*3*ج_ح_مهر[[#This Row],[تعداد فرزندان]]*حداقل_حقوق_پایه_روزانه)</f>
        <v/>
      </c>
      <c r="N244" s="89" t="str">
        <f>IF(ج_ح_مهر[[#This Row],[کارکرد]]="","",ج_ح_مهر[[#This Row],[کارکرد]]/30*حق_خواربار)</f>
        <v/>
      </c>
      <c r="O244" s="89" t="str">
        <f>IFERROR(ج_ح_مهر[[#This Row],[حقوق پایه]]+ج_ح_مهر[[#This Row],[اضافه کاری]]+ج_ح_مهر[[#This Row],[حق مسکن]]+ج_ح_مهر[[#This Row],[حق اولاد]]+ج_ح_مهر[[#This Row],[حق و خواروبار]],"")</f>
        <v/>
      </c>
      <c r="P244"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44" s="89" t="str">
        <f>IFERROR(ج_ح_مهر[[#This Row],[حقوق پایه]]+ج_ح_مهر[[#This Row],[اضافه کاری]]+ج_ح_مهر[[#This Row],[حق مسکن]]+ج_ح_مهر[[#This Row],[حق و خواروبار]]+ج_ح_مهر[[#This Row],[حق اولاد]]-(2/7)*ج_ح_مهر[[#This Row],[بیمه پرداختنی]],"")</f>
        <v/>
      </c>
      <c r="R244" s="91"/>
      <c r="S244" s="91"/>
      <c r="T244" s="89" t="str">
        <f>IFERROR(ج_ح_مهر[[#This Row],[جمع ح و م م بیمه ]]*7%,"")</f>
        <v/>
      </c>
      <c r="U244"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44" s="89" t="str">
        <f>IFERROR(ج_ح_مهر[[#This Row],[وام]]+ج_ح_مهر[[#This Row],[مساعده]]+ج_ح_مهر[[#This Row],[بیمه پرداختنی]]+ج_ح_مهر[[#This Row],[مالیات پرداختنی]],"")</f>
        <v/>
      </c>
      <c r="W244" s="89" t="str">
        <f>IFERROR(ج_ح_مهر[[#This Row],[جمع ح و م]]-ج_ح_مهر[[#This Row],[جمع کسورات]],"")</f>
        <v/>
      </c>
      <c r="X244" s="108"/>
    </row>
    <row r="245" spans="2:24" ht="32.1" customHeight="1">
      <c r="B245" s="1">
        <f t="shared" si="5"/>
        <v>7</v>
      </c>
      <c r="C245" s="85" t="str">
        <f>IF(ج_ح_مهر[[#This Row],[نام]]&lt;&gt;"",ROW()-229+1,"")</f>
        <v/>
      </c>
      <c r="D245" s="86"/>
      <c r="E245" s="86"/>
      <c r="F245" s="87"/>
      <c r="G245" s="88" t="str">
        <f>IFERROR(IF(COUNT(ج_ح_مهر[[#This Row],[کارکرد]]),حداقل_حقوق_پایه_روزانه,""),"")</f>
        <v/>
      </c>
      <c r="H245" s="89" t="str">
        <f>IFERROR(IF(ج_ح_مهر[[#This Row],[کارکرد]]*ج_ح_مهر[[#This Row],[دستمزد روزانه ]]=0,"",ج_ح_مهر[[#This Row],[کارکرد]]*ج_ح_مهر[[#This Row],[دستمزد روزانه ]]),"")</f>
        <v/>
      </c>
      <c r="I245" s="91"/>
      <c r="J245" s="90" t="str">
        <f>IFERROR((ج_ح_مهر[[#This Row],[دستمزد روزانه ]]/7.33)*1.4*ج_ح_مهر[[#This Row],[مدت اضافه کاری ]],"")</f>
        <v/>
      </c>
      <c r="K245" s="89" t="str">
        <f>IF(ج_ح_مهر[[#This Row],[کارکرد]]="","",ج_ح_مهر[[#This Row],[کارکرد]]/30*حق_مسکن)</f>
        <v/>
      </c>
      <c r="L245" s="91"/>
      <c r="M245" s="89" t="str">
        <f>IF(ج_ح_مهر[[#This Row],[تعداد فرزندان]]="","",ج_ح_مهر[[#This Row],[کارکرد]]/30*3*ج_ح_مهر[[#This Row],[تعداد فرزندان]]*حداقل_حقوق_پایه_روزانه)</f>
        <v/>
      </c>
      <c r="N245" s="89" t="str">
        <f>IF(ج_ح_مهر[[#This Row],[کارکرد]]="","",ج_ح_مهر[[#This Row],[کارکرد]]/30*حق_خواربار)</f>
        <v/>
      </c>
      <c r="O245" s="89" t="str">
        <f>IFERROR(ج_ح_مهر[[#This Row],[حقوق پایه]]+ج_ح_مهر[[#This Row],[اضافه کاری]]+ج_ح_مهر[[#This Row],[حق مسکن]]+ج_ح_مهر[[#This Row],[حق اولاد]]+ج_ح_مهر[[#This Row],[حق و خواروبار]],"")</f>
        <v/>
      </c>
      <c r="P245"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45" s="89" t="str">
        <f>IFERROR(ج_ح_مهر[[#This Row],[حقوق پایه]]+ج_ح_مهر[[#This Row],[اضافه کاری]]+ج_ح_مهر[[#This Row],[حق مسکن]]+ج_ح_مهر[[#This Row],[حق و خواروبار]]+ج_ح_مهر[[#This Row],[حق اولاد]]-(2/7)*ج_ح_مهر[[#This Row],[بیمه پرداختنی]],"")</f>
        <v/>
      </c>
      <c r="R245" s="91"/>
      <c r="S245" s="91"/>
      <c r="T245" s="89" t="str">
        <f>IFERROR(ج_ح_مهر[[#This Row],[جمع ح و م م بیمه ]]*7%,"")</f>
        <v/>
      </c>
      <c r="U245"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45" s="89" t="str">
        <f>IFERROR(ج_ح_مهر[[#This Row],[وام]]+ج_ح_مهر[[#This Row],[مساعده]]+ج_ح_مهر[[#This Row],[بیمه پرداختنی]]+ج_ح_مهر[[#This Row],[مالیات پرداختنی]],"")</f>
        <v/>
      </c>
      <c r="W245" s="89" t="str">
        <f>IFERROR(ج_ح_مهر[[#This Row],[جمع ح و م]]-ج_ح_مهر[[#This Row],[جمع کسورات]],"")</f>
        <v/>
      </c>
      <c r="X245" s="108"/>
    </row>
    <row r="246" spans="2:24" ht="32.1" customHeight="1">
      <c r="B246" s="1">
        <f t="shared" si="5"/>
        <v>7</v>
      </c>
      <c r="C246" s="85" t="str">
        <f>IF(ج_ح_مهر[[#This Row],[نام]]&lt;&gt;"",ROW()-229+1,"")</f>
        <v/>
      </c>
      <c r="D246" s="86"/>
      <c r="E246" s="86"/>
      <c r="F246" s="87"/>
      <c r="G246" s="88" t="str">
        <f>IFERROR(IF(COUNT(ج_ح_مهر[[#This Row],[کارکرد]]),حداقل_حقوق_پایه_روزانه,""),"")</f>
        <v/>
      </c>
      <c r="H246" s="89" t="str">
        <f>IFERROR(IF(ج_ح_مهر[[#This Row],[کارکرد]]*ج_ح_مهر[[#This Row],[دستمزد روزانه ]]=0,"",ج_ح_مهر[[#This Row],[کارکرد]]*ج_ح_مهر[[#This Row],[دستمزد روزانه ]]),"")</f>
        <v/>
      </c>
      <c r="I246" s="91"/>
      <c r="J246" s="90" t="str">
        <f>IFERROR((ج_ح_مهر[[#This Row],[دستمزد روزانه ]]/7.33)*1.4*ج_ح_مهر[[#This Row],[مدت اضافه کاری ]],"")</f>
        <v/>
      </c>
      <c r="K246" s="89" t="str">
        <f>IF(ج_ح_مهر[[#This Row],[کارکرد]]="","",ج_ح_مهر[[#This Row],[کارکرد]]/30*حق_مسکن)</f>
        <v/>
      </c>
      <c r="L246" s="91"/>
      <c r="M246" s="89" t="str">
        <f>IF(ج_ح_مهر[[#This Row],[تعداد فرزندان]]="","",ج_ح_مهر[[#This Row],[کارکرد]]/30*3*ج_ح_مهر[[#This Row],[تعداد فرزندان]]*حداقل_حقوق_پایه_روزانه)</f>
        <v/>
      </c>
      <c r="N246" s="89" t="str">
        <f>IF(ج_ح_مهر[[#This Row],[کارکرد]]="","",ج_ح_مهر[[#This Row],[کارکرد]]/30*حق_خواربار)</f>
        <v/>
      </c>
      <c r="O246" s="89" t="str">
        <f>IFERROR(ج_ح_مهر[[#This Row],[حقوق پایه]]+ج_ح_مهر[[#This Row],[اضافه کاری]]+ج_ح_مهر[[#This Row],[حق مسکن]]+ج_ح_مهر[[#This Row],[حق اولاد]]+ج_ح_مهر[[#This Row],[حق و خواروبار]],"")</f>
        <v/>
      </c>
      <c r="P246"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46" s="89" t="str">
        <f>IFERROR(ج_ح_مهر[[#This Row],[حقوق پایه]]+ج_ح_مهر[[#This Row],[اضافه کاری]]+ج_ح_مهر[[#This Row],[حق مسکن]]+ج_ح_مهر[[#This Row],[حق و خواروبار]]+ج_ح_مهر[[#This Row],[حق اولاد]]-(2/7)*ج_ح_مهر[[#This Row],[بیمه پرداختنی]],"")</f>
        <v/>
      </c>
      <c r="R246" s="91"/>
      <c r="S246" s="91"/>
      <c r="T246" s="89" t="str">
        <f>IFERROR(ج_ح_مهر[[#This Row],[جمع ح و م م بیمه ]]*7%,"")</f>
        <v/>
      </c>
      <c r="U246"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46" s="89" t="str">
        <f>IFERROR(ج_ح_مهر[[#This Row],[وام]]+ج_ح_مهر[[#This Row],[مساعده]]+ج_ح_مهر[[#This Row],[بیمه پرداختنی]]+ج_ح_مهر[[#This Row],[مالیات پرداختنی]],"")</f>
        <v/>
      </c>
      <c r="W246" s="89" t="str">
        <f>IFERROR(ج_ح_مهر[[#This Row],[جمع ح و م]]-ج_ح_مهر[[#This Row],[جمع کسورات]],"")</f>
        <v/>
      </c>
      <c r="X246" s="108"/>
    </row>
    <row r="247" spans="2:24" ht="32.1" customHeight="1">
      <c r="B247" s="1">
        <f t="shared" si="5"/>
        <v>7</v>
      </c>
      <c r="C247" s="85" t="str">
        <f>IF(ج_ح_مهر[[#This Row],[نام]]&lt;&gt;"",ROW()-229+1,"")</f>
        <v/>
      </c>
      <c r="D247" s="86"/>
      <c r="E247" s="86"/>
      <c r="F247" s="87"/>
      <c r="G247" s="88" t="str">
        <f>IFERROR(IF(COUNT(ج_ح_مهر[[#This Row],[کارکرد]]),حداقل_حقوق_پایه_روزانه,""),"")</f>
        <v/>
      </c>
      <c r="H247" s="89" t="str">
        <f>IFERROR(IF(ج_ح_مهر[[#This Row],[کارکرد]]*ج_ح_مهر[[#This Row],[دستمزد روزانه ]]=0,"",ج_ح_مهر[[#This Row],[کارکرد]]*ج_ح_مهر[[#This Row],[دستمزد روزانه ]]),"")</f>
        <v/>
      </c>
      <c r="I247" s="91"/>
      <c r="J247" s="90" t="str">
        <f>IFERROR((ج_ح_مهر[[#This Row],[دستمزد روزانه ]]/7.33)*1.4*ج_ح_مهر[[#This Row],[مدت اضافه کاری ]],"")</f>
        <v/>
      </c>
      <c r="K247" s="89" t="str">
        <f>IF(ج_ح_مهر[[#This Row],[کارکرد]]="","",ج_ح_مهر[[#This Row],[کارکرد]]/30*حق_مسکن)</f>
        <v/>
      </c>
      <c r="L247" s="91"/>
      <c r="M247" s="89" t="str">
        <f>IF(ج_ح_مهر[[#This Row],[تعداد فرزندان]]="","",ج_ح_مهر[[#This Row],[کارکرد]]/30*3*ج_ح_مهر[[#This Row],[تعداد فرزندان]]*حداقل_حقوق_پایه_روزانه)</f>
        <v/>
      </c>
      <c r="N247" s="89" t="str">
        <f>IF(ج_ح_مهر[[#This Row],[کارکرد]]="","",ج_ح_مهر[[#This Row],[کارکرد]]/30*حق_خواربار)</f>
        <v/>
      </c>
      <c r="O247" s="89" t="str">
        <f>IFERROR(ج_ح_مهر[[#This Row],[حقوق پایه]]+ج_ح_مهر[[#This Row],[اضافه کاری]]+ج_ح_مهر[[#This Row],[حق مسکن]]+ج_ح_مهر[[#This Row],[حق اولاد]]+ج_ح_مهر[[#This Row],[حق و خواروبار]],"")</f>
        <v/>
      </c>
      <c r="P247"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47" s="89" t="str">
        <f>IFERROR(ج_ح_مهر[[#This Row],[حقوق پایه]]+ج_ح_مهر[[#This Row],[اضافه کاری]]+ج_ح_مهر[[#This Row],[حق مسکن]]+ج_ح_مهر[[#This Row],[حق و خواروبار]]+ج_ح_مهر[[#This Row],[حق اولاد]]-(2/7)*ج_ح_مهر[[#This Row],[بیمه پرداختنی]],"")</f>
        <v/>
      </c>
      <c r="R247" s="91"/>
      <c r="S247" s="91"/>
      <c r="T247" s="89" t="str">
        <f>IFERROR(ج_ح_مهر[[#This Row],[جمع ح و م م بیمه ]]*7%,"")</f>
        <v/>
      </c>
      <c r="U247"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47" s="89" t="str">
        <f>IFERROR(ج_ح_مهر[[#This Row],[وام]]+ج_ح_مهر[[#This Row],[مساعده]]+ج_ح_مهر[[#This Row],[بیمه پرداختنی]]+ج_ح_مهر[[#This Row],[مالیات پرداختنی]],"")</f>
        <v/>
      </c>
      <c r="W247" s="89" t="str">
        <f>IFERROR(ج_ح_مهر[[#This Row],[جمع ح و م]]-ج_ح_مهر[[#This Row],[جمع کسورات]],"")</f>
        <v/>
      </c>
      <c r="X247" s="108"/>
    </row>
    <row r="248" spans="2:24" ht="32.1" customHeight="1">
      <c r="B248" s="1">
        <f t="shared" si="5"/>
        <v>7</v>
      </c>
      <c r="C248" s="85" t="str">
        <f>IF(ج_ح_مهر[[#This Row],[نام]]&lt;&gt;"",ROW()-229+1,"")</f>
        <v/>
      </c>
      <c r="D248" s="86"/>
      <c r="E248" s="86"/>
      <c r="F248" s="87"/>
      <c r="G248" s="88" t="str">
        <f>IFERROR(IF(COUNT(ج_ح_مهر[[#This Row],[کارکرد]]),حداقل_حقوق_پایه_روزانه,""),"")</f>
        <v/>
      </c>
      <c r="H248" s="89" t="str">
        <f>IFERROR(IF(ج_ح_مهر[[#This Row],[کارکرد]]*ج_ح_مهر[[#This Row],[دستمزد روزانه ]]=0,"",ج_ح_مهر[[#This Row],[کارکرد]]*ج_ح_مهر[[#This Row],[دستمزد روزانه ]]),"")</f>
        <v/>
      </c>
      <c r="I248" s="91"/>
      <c r="J248" s="90" t="str">
        <f>IFERROR((ج_ح_مهر[[#This Row],[دستمزد روزانه ]]/7.33)*1.4*ج_ح_مهر[[#This Row],[مدت اضافه کاری ]],"")</f>
        <v/>
      </c>
      <c r="K248" s="89" t="str">
        <f>IF(ج_ح_مهر[[#This Row],[کارکرد]]="","",ج_ح_مهر[[#This Row],[کارکرد]]/30*حق_مسکن)</f>
        <v/>
      </c>
      <c r="L248" s="91"/>
      <c r="M248" s="89" t="str">
        <f>IF(ج_ح_مهر[[#This Row],[تعداد فرزندان]]="","",ج_ح_مهر[[#This Row],[کارکرد]]/30*3*ج_ح_مهر[[#This Row],[تعداد فرزندان]]*حداقل_حقوق_پایه_روزانه)</f>
        <v/>
      </c>
      <c r="N248" s="89" t="str">
        <f>IF(ج_ح_مهر[[#This Row],[کارکرد]]="","",ج_ح_مهر[[#This Row],[کارکرد]]/30*حق_خواربار)</f>
        <v/>
      </c>
      <c r="O248" s="89" t="str">
        <f>IFERROR(ج_ح_مهر[[#This Row],[حقوق پایه]]+ج_ح_مهر[[#This Row],[اضافه کاری]]+ج_ح_مهر[[#This Row],[حق مسکن]]+ج_ح_مهر[[#This Row],[حق اولاد]]+ج_ح_مهر[[#This Row],[حق و خواروبار]],"")</f>
        <v/>
      </c>
      <c r="P248"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48" s="89" t="str">
        <f>IFERROR(ج_ح_مهر[[#This Row],[حقوق پایه]]+ج_ح_مهر[[#This Row],[اضافه کاری]]+ج_ح_مهر[[#This Row],[حق مسکن]]+ج_ح_مهر[[#This Row],[حق و خواروبار]]+ج_ح_مهر[[#This Row],[حق اولاد]]-(2/7)*ج_ح_مهر[[#This Row],[بیمه پرداختنی]],"")</f>
        <v/>
      </c>
      <c r="R248" s="91"/>
      <c r="S248" s="91"/>
      <c r="T248" s="89" t="str">
        <f>IFERROR(ج_ح_مهر[[#This Row],[جمع ح و م م بیمه ]]*7%,"")</f>
        <v/>
      </c>
      <c r="U248"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48" s="89" t="str">
        <f>IFERROR(ج_ح_مهر[[#This Row],[وام]]+ج_ح_مهر[[#This Row],[مساعده]]+ج_ح_مهر[[#This Row],[بیمه پرداختنی]]+ج_ح_مهر[[#This Row],[مالیات پرداختنی]],"")</f>
        <v/>
      </c>
      <c r="W248" s="89" t="str">
        <f>IFERROR(ج_ح_مهر[[#This Row],[جمع ح و م]]-ج_ح_مهر[[#This Row],[جمع کسورات]],"")</f>
        <v/>
      </c>
      <c r="X248" s="108"/>
    </row>
    <row r="249" spans="2:24" ht="32.1" customHeight="1">
      <c r="B249" s="1">
        <f t="shared" si="5"/>
        <v>7</v>
      </c>
      <c r="C249" s="85" t="str">
        <f>IF(ج_ح_مهر[[#This Row],[نام]]&lt;&gt;"",ROW()-229+1,"")</f>
        <v/>
      </c>
      <c r="D249" s="86"/>
      <c r="E249" s="86"/>
      <c r="F249" s="87"/>
      <c r="G249" s="88" t="str">
        <f>IFERROR(IF(COUNT(ج_ح_مهر[[#This Row],[کارکرد]]),حداقل_حقوق_پایه_روزانه,""),"")</f>
        <v/>
      </c>
      <c r="H249" s="89" t="str">
        <f>IFERROR(IF(ج_ح_مهر[[#This Row],[کارکرد]]*ج_ح_مهر[[#This Row],[دستمزد روزانه ]]=0,"",ج_ح_مهر[[#This Row],[کارکرد]]*ج_ح_مهر[[#This Row],[دستمزد روزانه ]]),"")</f>
        <v/>
      </c>
      <c r="I249" s="91"/>
      <c r="J249" s="90" t="str">
        <f>IFERROR((ج_ح_مهر[[#This Row],[دستمزد روزانه ]]/7.33)*1.4*ج_ح_مهر[[#This Row],[مدت اضافه کاری ]],"")</f>
        <v/>
      </c>
      <c r="K249" s="89" t="str">
        <f>IF(ج_ح_مهر[[#This Row],[کارکرد]]="","",ج_ح_مهر[[#This Row],[کارکرد]]/30*حق_مسکن)</f>
        <v/>
      </c>
      <c r="L249" s="91"/>
      <c r="M249" s="89" t="str">
        <f>IF(ج_ح_مهر[[#This Row],[تعداد فرزندان]]="","",ج_ح_مهر[[#This Row],[کارکرد]]/30*3*ج_ح_مهر[[#This Row],[تعداد فرزندان]]*حداقل_حقوق_پایه_روزانه)</f>
        <v/>
      </c>
      <c r="N249" s="89" t="str">
        <f>IF(ج_ح_مهر[[#This Row],[کارکرد]]="","",ج_ح_مهر[[#This Row],[کارکرد]]/30*حق_خواربار)</f>
        <v/>
      </c>
      <c r="O249" s="89" t="str">
        <f>IFERROR(ج_ح_مهر[[#This Row],[حقوق پایه]]+ج_ح_مهر[[#This Row],[اضافه کاری]]+ج_ح_مهر[[#This Row],[حق مسکن]]+ج_ح_مهر[[#This Row],[حق اولاد]]+ج_ح_مهر[[#This Row],[حق و خواروبار]],"")</f>
        <v/>
      </c>
      <c r="P249"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49" s="89" t="str">
        <f>IFERROR(ج_ح_مهر[[#This Row],[حقوق پایه]]+ج_ح_مهر[[#This Row],[اضافه کاری]]+ج_ح_مهر[[#This Row],[حق مسکن]]+ج_ح_مهر[[#This Row],[حق و خواروبار]]+ج_ح_مهر[[#This Row],[حق اولاد]]-(2/7)*ج_ح_مهر[[#This Row],[بیمه پرداختنی]],"")</f>
        <v/>
      </c>
      <c r="R249" s="91"/>
      <c r="S249" s="91"/>
      <c r="T249" s="89" t="str">
        <f>IFERROR(ج_ح_مهر[[#This Row],[جمع ح و م م بیمه ]]*7%,"")</f>
        <v/>
      </c>
      <c r="U249"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49" s="89" t="str">
        <f>IFERROR(ج_ح_مهر[[#This Row],[وام]]+ج_ح_مهر[[#This Row],[مساعده]]+ج_ح_مهر[[#This Row],[بیمه پرداختنی]]+ج_ح_مهر[[#This Row],[مالیات پرداختنی]],"")</f>
        <v/>
      </c>
      <c r="W249" s="89" t="str">
        <f>IFERROR(ج_ح_مهر[[#This Row],[جمع ح و م]]-ج_ح_مهر[[#This Row],[جمع کسورات]],"")</f>
        <v/>
      </c>
      <c r="X249" s="108"/>
    </row>
    <row r="250" spans="2:24" ht="32.1" customHeight="1">
      <c r="B250" s="1">
        <f t="shared" si="5"/>
        <v>7</v>
      </c>
      <c r="C250" s="85" t="str">
        <f>IF(ج_ح_مهر[[#This Row],[نام]]&lt;&gt;"",ROW()-229+1,"")</f>
        <v/>
      </c>
      <c r="D250" s="86"/>
      <c r="E250" s="86"/>
      <c r="F250" s="87"/>
      <c r="G250" s="88" t="str">
        <f>IFERROR(IF(COUNT(ج_ح_مهر[[#This Row],[کارکرد]]),حداقل_حقوق_پایه_روزانه,""),"")</f>
        <v/>
      </c>
      <c r="H250" s="89" t="str">
        <f>IFERROR(IF(ج_ح_مهر[[#This Row],[کارکرد]]*ج_ح_مهر[[#This Row],[دستمزد روزانه ]]=0,"",ج_ح_مهر[[#This Row],[کارکرد]]*ج_ح_مهر[[#This Row],[دستمزد روزانه ]]),"")</f>
        <v/>
      </c>
      <c r="I250" s="91"/>
      <c r="J250" s="90" t="str">
        <f>IFERROR((ج_ح_مهر[[#This Row],[دستمزد روزانه ]]/7.33)*1.4*ج_ح_مهر[[#This Row],[مدت اضافه کاری ]],"")</f>
        <v/>
      </c>
      <c r="K250" s="89" t="str">
        <f>IF(ج_ح_مهر[[#This Row],[کارکرد]]="","",ج_ح_مهر[[#This Row],[کارکرد]]/30*حق_مسکن)</f>
        <v/>
      </c>
      <c r="L250" s="91"/>
      <c r="M250" s="89" t="str">
        <f>IF(ج_ح_مهر[[#This Row],[تعداد فرزندان]]="","",ج_ح_مهر[[#This Row],[کارکرد]]/30*3*ج_ح_مهر[[#This Row],[تعداد فرزندان]]*حداقل_حقوق_پایه_روزانه)</f>
        <v/>
      </c>
      <c r="N250" s="89" t="str">
        <f>IF(ج_ح_مهر[[#This Row],[کارکرد]]="","",ج_ح_مهر[[#This Row],[کارکرد]]/30*حق_خواربار)</f>
        <v/>
      </c>
      <c r="O250" s="89" t="str">
        <f>IFERROR(ج_ح_مهر[[#This Row],[حقوق پایه]]+ج_ح_مهر[[#This Row],[اضافه کاری]]+ج_ح_مهر[[#This Row],[حق مسکن]]+ج_ح_مهر[[#This Row],[حق اولاد]]+ج_ح_مهر[[#This Row],[حق و خواروبار]],"")</f>
        <v/>
      </c>
      <c r="P250"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50" s="89" t="str">
        <f>IFERROR(ج_ح_مهر[[#This Row],[حقوق پایه]]+ج_ح_مهر[[#This Row],[اضافه کاری]]+ج_ح_مهر[[#This Row],[حق مسکن]]+ج_ح_مهر[[#This Row],[حق و خواروبار]]+ج_ح_مهر[[#This Row],[حق اولاد]]-(2/7)*ج_ح_مهر[[#This Row],[بیمه پرداختنی]],"")</f>
        <v/>
      </c>
      <c r="R250" s="91"/>
      <c r="S250" s="91"/>
      <c r="T250" s="89" t="str">
        <f>IFERROR(ج_ح_مهر[[#This Row],[جمع ح و م م بیمه ]]*7%,"")</f>
        <v/>
      </c>
      <c r="U250"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50" s="89" t="str">
        <f>IFERROR(ج_ح_مهر[[#This Row],[وام]]+ج_ح_مهر[[#This Row],[مساعده]]+ج_ح_مهر[[#This Row],[بیمه پرداختنی]]+ج_ح_مهر[[#This Row],[مالیات پرداختنی]],"")</f>
        <v/>
      </c>
      <c r="W250" s="89" t="str">
        <f>IFERROR(ج_ح_مهر[[#This Row],[جمع ح و م]]-ج_ح_مهر[[#This Row],[جمع کسورات]],"")</f>
        <v/>
      </c>
      <c r="X250" s="108"/>
    </row>
    <row r="251" spans="2:24" ht="32.1" customHeight="1">
      <c r="B251" s="1">
        <f t="shared" si="5"/>
        <v>7</v>
      </c>
      <c r="C251" s="85" t="str">
        <f>IF(ج_ح_مهر[[#This Row],[نام]]&lt;&gt;"",ROW()-229+1,"")</f>
        <v/>
      </c>
      <c r="D251" s="86"/>
      <c r="E251" s="86"/>
      <c r="F251" s="87"/>
      <c r="G251" s="88" t="str">
        <f>IFERROR(IF(COUNT(ج_ح_مهر[[#This Row],[کارکرد]]),حداقل_حقوق_پایه_روزانه,""),"")</f>
        <v/>
      </c>
      <c r="H251" s="89" t="str">
        <f>IFERROR(IF(ج_ح_مهر[[#This Row],[کارکرد]]*ج_ح_مهر[[#This Row],[دستمزد روزانه ]]=0,"",ج_ح_مهر[[#This Row],[کارکرد]]*ج_ح_مهر[[#This Row],[دستمزد روزانه ]]),"")</f>
        <v/>
      </c>
      <c r="I251" s="91"/>
      <c r="J251" s="90" t="str">
        <f>IFERROR((ج_ح_مهر[[#This Row],[دستمزد روزانه ]]/7.33)*1.4*ج_ح_مهر[[#This Row],[مدت اضافه کاری ]],"")</f>
        <v/>
      </c>
      <c r="K251" s="89" t="str">
        <f>IF(ج_ح_مهر[[#This Row],[کارکرد]]="","",ج_ح_مهر[[#This Row],[کارکرد]]/30*حق_مسکن)</f>
        <v/>
      </c>
      <c r="L251" s="91"/>
      <c r="M251" s="89" t="str">
        <f>IF(ج_ح_مهر[[#This Row],[تعداد فرزندان]]="","",ج_ح_مهر[[#This Row],[کارکرد]]/30*3*ج_ح_مهر[[#This Row],[تعداد فرزندان]]*حداقل_حقوق_پایه_روزانه)</f>
        <v/>
      </c>
      <c r="N251" s="89" t="str">
        <f>IF(ج_ح_مهر[[#This Row],[کارکرد]]="","",ج_ح_مهر[[#This Row],[کارکرد]]/30*حق_خواربار)</f>
        <v/>
      </c>
      <c r="O251" s="89" t="str">
        <f>IFERROR(ج_ح_مهر[[#This Row],[حقوق پایه]]+ج_ح_مهر[[#This Row],[اضافه کاری]]+ج_ح_مهر[[#This Row],[حق مسکن]]+ج_ح_مهر[[#This Row],[حق اولاد]]+ج_ح_مهر[[#This Row],[حق و خواروبار]],"")</f>
        <v/>
      </c>
      <c r="P251"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51" s="89" t="str">
        <f>IFERROR(ج_ح_مهر[[#This Row],[حقوق پایه]]+ج_ح_مهر[[#This Row],[اضافه کاری]]+ج_ح_مهر[[#This Row],[حق مسکن]]+ج_ح_مهر[[#This Row],[حق و خواروبار]]+ج_ح_مهر[[#This Row],[حق اولاد]]-(2/7)*ج_ح_مهر[[#This Row],[بیمه پرداختنی]],"")</f>
        <v/>
      </c>
      <c r="R251" s="91"/>
      <c r="S251" s="91"/>
      <c r="T251" s="89" t="str">
        <f>IFERROR(ج_ح_مهر[[#This Row],[جمع ح و م م بیمه ]]*7%,"")</f>
        <v/>
      </c>
      <c r="U251"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51" s="89" t="str">
        <f>IFERROR(ج_ح_مهر[[#This Row],[وام]]+ج_ح_مهر[[#This Row],[مساعده]]+ج_ح_مهر[[#This Row],[بیمه پرداختنی]]+ج_ح_مهر[[#This Row],[مالیات پرداختنی]],"")</f>
        <v/>
      </c>
      <c r="W251" s="89" t="str">
        <f>IFERROR(ج_ح_مهر[[#This Row],[جمع ح و م]]-ج_ح_مهر[[#This Row],[جمع کسورات]],"")</f>
        <v/>
      </c>
      <c r="X251" s="108"/>
    </row>
    <row r="252" spans="2:24" ht="32.1" customHeight="1">
      <c r="B252" s="1">
        <f t="shared" si="5"/>
        <v>7</v>
      </c>
      <c r="C252" s="85" t="str">
        <f>IF(ج_ح_مهر[[#This Row],[نام]]&lt;&gt;"",ROW()-229+1,"")</f>
        <v/>
      </c>
      <c r="D252" s="86"/>
      <c r="E252" s="86"/>
      <c r="F252" s="87"/>
      <c r="G252" s="88" t="str">
        <f>IFERROR(IF(COUNT(ج_ح_مهر[[#This Row],[کارکرد]]),حداقل_حقوق_پایه_روزانه,""),"")</f>
        <v/>
      </c>
      <c r="H252" s="89" t="str">
        <f>IFERROR(IF(ج_ح_مهر[[#This Row],[کارکرد]]*ج_ح_مهر[[#This Row],[دستمزد روزانه ]]=0,"",ج_ح_مهر[[#This Row],[کارکرد]]*ج_ح_مهر[[#This Row],[دستمزد روزانه ]]),"")</f>
        <v/>
      </c>
      <c r="I252" s="91"/>
      <c r="J252" s="90" t="str">
        <f>IFERROR((ج_ح_مهر[[#This Row],[دستمزد روزانه ]]/7.33)*1.4*ج_ح_مهر[[#This Row],[مدت اضافه کاری ]],"")</f>
        <v/>
      </c>
      <c r="K252" s="89" t="str">
        <f>IF(ج_ح_مهر[[#This Row],[کارکرد]]="","",ج_ح_مهر[[#This Row],[کارکرد]]/30*حق_مسکن)</f>
        <v/>
      </c>
      <c r="L252" s="91"/>
      <c r="M252" s="89" t="str">
        <f>IF(ج_ح_مهر[[#This Row],[تعداد فرزندان]]="","",ج_ح_مهر[[#This Row],[کارکرد]]/30*3*ج_ح_مهر[[#This Row],[تعداد فرزندان]]*حداقل_حقوق_پایه_روزانه)</f>
        <v/>
      </c>
      <c r="N252" s="89" t="str">
        <f>IF(ج_ح_مهر[[#This Row],[کارکرد]]="","",ج_ح_مهر[[#This Row],[کارکرد]]/30*حق_خواربار)</f>
        <v/>
      </c>
      <c r="O252" s="89" t="str">
        <f>IFERROR(ج_ح_مهر[[#This Row],[حقوق پایه]]+ج_ح_مهر[[#This Row],[اضافه کاری]]+ج_ح_مهر[[#This Row],[حق مسکن]]+ج_ح_مهر[[#This Row],[حق اولاد]]+ج_ح_مهر[[#This Row],[حق و خواروبار]],"")</f>
        <v/>
      </c>
      <c r="P252"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52" s="89" t="str">
        <f>IFERROR(ج_ح_مهر[[#This Row],[حقوق پایه]]+ج_ح_مهر[[#This Row],[اضافه کاری]]+ج_ح_مهر[[#This Row],[حق مسکن]]+ج_ح_مهر[[#This Row],[حق و خواروبار]]+ج_ح_مهر[[#This Row],[حق اولاد]]-(2/7)*ج_ح_مهر[[#This Row],[بیمه پرداختنی]],"")</f>
        <v/>
      </c>
      <c r="R252" s="91"/>
      <c r="S252" s="91"/>
      <c r="T252" s="89" t="str">
        <f>IFERROR(ج_ح_مهر[[#This Row],[جمع ح و م م بیمه ]]*7%,"")</f>
        <v/>
      </c>
      <c r="U252"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52" s="89" t="str">
        <f>IFERROR(ج_ح_مهر[[#This Row],[وام]]+ج_ح_مهر[[#This Row],[مساعده]]+ج_ح_مهر[[#This Row],[بیمه پرداختنی]]+ج_ح_مهر[[#This Row],[مالیات پرداختنی]],"")</f>
        <v/>
      </c>
      <c r="W252" s="89" t="str">
        <f>IFERROR(ج_ح_مهر[[#This Row],[جمع ح و م]]-ج_ح_مهر[[#This Row],[جمع کسورات]],"")</f>
        <v/>
      </c>
      <c r="X252" s="108"/>
    </row>
    <row r="253" spans="2:24" ht="32.1" customHeight="1">
      <c r="B253" s="1">
        <f t="shared" si="5"/>
        <v>7</v>
      </c>
      <c r="C253" s="85" t="str">
        <f>IF(ج_ح_مهر[[#This Row],[نام]]&lt;&gt;"",ROW()-229+1,"")</f>
        <v/>
      </c>
      <c r="D253" s="86"/>
      <c r="E253" s="86"/>
      <c r="F253" s="87"/>
      <c r="G253" s="88" t="str">
        <f>IFERROR(IF(COUNT(ج_ح_مهر[[#This Row],[کارکرد]]),حداقل_حقوق_پایه_روزانه,""),"")</f>
        <v/>
      </c>
      <c r="H253" s="89" t="str">
        <f>IFERROR(IF(ج_ح_مهر[[#This Row],[کارکرد]]*ج_ح_مهر[[#This Row],[دستمزد روزانه ]]=0,"",ج_ح_مهر[[#This Row],[کارکرد]]*ج_ح_مهر[[#This Row],[دستمزد روزانه ]]),"")</f>
        <v/>
      </c>
      <c r="I253" s="91"/>
      <c r="J253" s="90" t="str">
        <f>IFERROR((ج_ح_مهر[[#This Row],[دستمزد روزانه ]]/7.33)*1.4*ج_ح_مهر[[#This Row],[مدت اضافه کاری ]],"")</f>
        <v/>
      </c>
      <c r="K253" s="89" t="str">
        <f>IF(ج_ح_مهر[[#This Row],[کارکرد]]="","",ج_ح_مهر[[#This Row],[کارکرد]]/30*حق_مسکن)</f>
        <v/>
      </c>
      <c r="L253" s="91"/>
      <c r="M253" s="89" t="str">
        <f>IF(ج_ح_مهر[[#This Row],[تعداد فرزندان]]="","",ج_ح_مهر[[#This Row],[کارکرد]]/30*3*ج_ح_مهر[[#This Row],[تعداد فرزندان]]*حداقل_حقوق_پایه_روزانه)</f>
        <v/>
      </c>
      <c r="N253" s="89" t="str">
        <f>IF(ج_ح_مهر[[#This Row],[کارکرد]]="","",ج_ح_مهر[[#This Row],[کارکرد]]/30*حق_خواربار)</f>
        <v/>
      </c>
      <c r="O253" s="89" t="str">
        <f>IFERROR(ج_ح_مهر[[#This Row],[حقوق پایه]]+ج_ح_مهر[[#This Row],[اضافه کاری]]+ج_ح_مهر[[#This Row],[حق مسکن]]+ج_ح_مهر[[#This Row],[حق اولاد]]+ج_ح_مهر[[#This Row],[حق و خواروبار]],"")</f>
        <v/>
      </c>
      <c r="P253"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53" s="89" t="str">
        <f>IFERROR(ج_ح_مهر[[#This Row],[حقوق پایه]]+ج_ح_مهر[[#This Row],[اضافه کاری]]+ج_ح_مهر[[#This Row],[حق مسکن]]+ج_ح_مهر[[#This Row],[حق و خواروبار]]+ج_ح_مهر[[#This Row],[حق اولاد]]-(2/7)*ج_ح_مهر[[#This Row],[بیمه پرداختنی]],"")</f>
        <v/>
      </c>
      <c r="R253" s="91"/>
      <c r="S253" s="91"/>
      <c r="T253" s="89" t="str">
        <f>IFERROR(ج_ح_مهر[[#This Row],[جمع ح و م م بیمه ]]*7%,"")</f>
        <v/>
      </c>
      <c r="U253"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53" s="89" t="str">
        <f>IFERROR(ج_ح_مهر[[#This Row],[وام]]+ج_ح_مهر[[#This Row],[مساعده]]+ج_ح_مهر[[#This Row],[بیمه پرداختنی]]+ج_ح_مهر[[#This Row],[مالیات پرداختنی]],"")</f>
        <v/>
      </c>
      <c r="W253" s="89" t="str">
        <f>IFERROR(ج_ح_مهر[[#This Row],[جمع ح و م]]-ج_ح_مهر[[#This Row],[جمع کسورات]],"")</f>
        <v/>
      </c>
      <c r="X253" s="108"/>
    </row>
    <row r="254" spans="2:24" ht="32.1" customHeight="1">
      <c r="B254" s="1">
        <f t="shared" si="5"/>
        <v>7</v>
      </c>
      <c r="C254" s="85" t="str">
        <f>IF(ج_ح_مهر[[#This Row],[نام]]&lt;&gt;"",ROW()-229+1,"")</f>
        <v/>
      </c>
      <c r="D254" s="86"/>
      <c r="E254" s="86"/>
      <c r="F254" s="87"/>
      <c r="G254" s="88" t="str">
        <f>IFERROR(IF(COUNT(ج_ح_مهر[[#This Row],[کارکرد]]),حداقل_حقوق_پایه_روزانه,""),"")</f>
        <v/>
      </c>
      <c r="H254" s="89" t="str">
        <f>IFERROR(IF(ج_ح_مهر[[#This Row],[کارکرد]]*ج_ح_مهر[[#This Row],[دستمزد روزانه ]]=0,"",ج_ح_مهر[[#This Row],[کارکرد]]*ج_ح_مهر[[#This Row],[دستمزد روزانه ]]),"")</f>
        <v/>
      </c>
      <c r="I254" s="91"/>
      <c r="J254" s="90" t="str">
        <f>IFERROR((ج_ح_مهر[[#This Row],[دستمزد روزانه ]]/7.33)*1.4*ج_ح_مهر[[#This Row],[مدت اضافه کاری ]],"")</f>
        <v/>
      </c>
      <c r="K254" s="89" t="str">
        <f>IF(ج_ح_مهر[[#This Row],[کارکرد]]="","",ج_ح_مهر[[#This Row],[کارکرد]]/30*حق_مسکن)</f>
        <v/>
      </c>
      <c r="L254" s="91"/>
      <c r="M254" s="89" t="str">
        <f>IF(ج_ح_مهر[[#This Row],[تعداد فرزندان]]="","",ج_ح_مهر[[#This Row],[کارکرد]]/30*3*ج_ح_مهر[[#This Row],[تعداد فرزندان]]*حداقل_حقوق_پایه_روزانه)</f>
        <v/>
      </c>
      <c r="N254" s="89" t="str">
        <f>IF(ج_ح_مهر[[#This Row],[کارکرد]]="","",ج_ح_مهر[[#This Row],[کارکرد]]/30*حق_خواربار)</f>
        <v/>
      </c>
      <c r="O254" s="89" t="str">
        <f>IFERROR(ج_ح_مهر[[#This Row],[حقوق پایه]]+ج_ح_مهر[[#This Row],[اضافه کاری]]+ج_ح_مهر[[#This Row],[حق مسکن]]+ج_ح_مهر[[#This Row],[حق اولاد]]+ج_ح_مهر[[#This Row],[حق و خواروبار]],"")</f>
        <v/>
      </c>
      <c r="P254"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54" s="89" t="str">
        <f>IFERROR(ج_ح_مهر[[#This Row],[حقوق پایه]]+ج_ح_مهر[[#This Row],[اضافه کاری]]+ج_ح_مهر[[#This Row],[حق مسکن]]+ج_ح_مهر[[#This Row],[حق و خواروبار]]+ج_ح_مهر[[#This Row],[حق اولاد]]-(2/7)*ج_ح_مهر[[#This Row],[بیمه پرداختنی]],"")</f>
        <v/>
      </c>
      <c r="R254" s="91"/>
      <c r="S254" s="91"/>
      <c r="T254" s="89" t="str">
        <f>IFERROR(ج_ح_مهر[[#This Row],[جمع ح و م م بیمه ]]*7%,"")</f>
        <v/>
      </c>
      <c r="U254"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54" s="89" t="str">
        <f>IFERROR(ج_ح_مهر[[#This Row],[وام]]+ج_ح_مهر[[#This Row],[مساعده]]+ج_ح_مهر[[#This Row],[بیمه پرداختنی]]+ج_ح_مهر[[#This Row],[مالیات پرداختنی]],"")</f>
        <v/>
      </c>
      <c r="W254" s="89" t="str">
        <f>IFERROR(ج_ح_مهر[[#This Row],[جمع ح و م]]-ج_ح_مهر[[#This Row],[جمع کسورات]],"")</f>
        <v/>
      </c>
      <c r="X254" s="108"/>
    </row>
    <row r="255" spans="2:24" ht="32.1" customHeight="1">
      <c r="B255" s="1">
        <f t="shared" si="5"/>
        <v>7</v>
      </c>
      <c r="C255" s="85" t="str">
        <f>IF(ج_ح_مهر[[#This Row],[نام]]&lt;&gt;"",ROW()-229+1,"")</f>
        <v/>
      </c>
      <c r="D255" s="86"/>
      <c r="E255" s="86"/>
      <c r="F255" s="87"/>
      <c r="G255" s="88" t="str">
        <f>IFERROR(IF(COUNT(ج_ح_مهر[[#This Row],[کارکرد]]),حداقل_حقوق_پایه_روزانه,""),"")</f>
        <v/>
      </c>
      <c r="H255" s="89" t="str">
        <f>IFERROR(IF(ج_ح_مهر[[#This Row],[کارکرد]]*ج_ح_مهر[[#This Row],[دستمزد روزانه ]]=0,"",ج_ح_مهر[[#This Row],[کارکرد]]*ج_ح_مهر[[#This Row],[دستمزد روزانه ]]),"")</f>
        <v/>
      </c>
      <c r="I255" s="91"/>
      <c r="J255" s="90" t="str">
        <f>IFERROR((ج_ح_مهر[[#This Row],[دستمزد روزانه ]]/7.33)*1.4*ج_ح_مهر[[#This Row],[مدت اضافه کاری ]],"")</f>
        <v/>
      </c>
      <c r="K255" s="89" t="str">
        <f>IF(ج_ح_مهر[[#This Row],[کارکرد]]="","",ج_ح_مهر[[#This Row],[کارکرد]]/30*حق_مسکن)</f>
        <v/>
      </c>
      <c r="L255" s="91"/>
      <c r="M255" s="89" t="str">
        <f>IF(ج_ح_مهر[[#This Row],[تعداد فرزندان]]="","",ج_ح_مهر[[#This Row],[کارکرد]]/30*3*ج_ح_مهر[[#This Row],[تعداد فرزندان]]*حداقل_حقوق_پایه_روزانه)</f>
        <v/>
      </c>
      <c r="N255" s="89" t="str">
        <f>IF(ج_ح_مهر[[#This Row],[کارکرد]]="","",ج_ح_مهر[[#This Row],[کارکرد]]/30*حق_خواربار)</f>
        <v/>
      </c>
      <c r="O255" s="89" t="str">
        <f>IFERROR(ج_ح_مهر[[#This Row],[حقوق پایه]]+ج_ح_مهر[[#This Row],[اضافه کاری]]+ج_ح_مهر[[#This Row],[حق مسکن]]+ج_ح_مهر[[#This Row],[حق اولاد]]+ج_ح_مهر[[#This Row],[حق و خواروبار]],"")</f>
        <v/>
      </c>
      <c r="P255"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55" s="89" t="str">
        <f>IFERROR(ج_ح_مهر[[#This Row],[حقوق پایه]]+ج_ح_مهر[[#This Row],[اضافه کاری]]+ج_ح_مهر[[#This Row],[حق مسکن]]+ج_ح_مهر[[#This Row],[حق و خواروبار]]+ج_ح_مهر[[#This Row],[حق اولاد]]-(2/7)*ج_ح_مهر[[#This Row],[بیمه پرداختنی]],"")</f>
        <v/>
      </c>
      <c r="R255" s="91"/>
      <c r="S255" s="91"/>
      <c r="T255" s="89" t="str">
        <f>IFERROR(ج_ح_مهر[[#This Row],[جمع ح و م م بیمه ]]*7%,"")</f>
        <v/>
      </c>
      <c r="U255"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55" s="89" t="str">
        <f>IFERROR(ج_ح_مهر[[#This Row],[وام]]+ج_ح_مهر[[#This Row],[مساعده]]+ج_ح_مهر[[#This Row],[بیمه پرداختنی]]+ج_ح_مهر[[#This Row],[مالیات پرداختنی]],"")</f>
        <v/>
      </c>
      <c r="W255" s="89" t="str">
        <f>IFERROR(ج_ح_مهر[[#This Row],[جمع ح و م]]-ج_ح_مهر[[#This Row],[جمع کسورات]],"")</f>
        <v/>
      </c>
      <c r="X255" s="108"/>
    </row>
    <row r="256" spans="2:24" ht="32.1" customHeight="1">
      <c r="B256" s="1">
        <f t="shared" si="5"/>
        <v>7</v>
      </c>
      <c r="C256" s="85" t="str">
        <f>IF(ج_ح_مهر[[#This Row],[نام]]&lt;&gt;"",ROW()-229+1,"")</f>
        <v/>
      </c>
      <c r="D256" s="86"/>
      <c r="E256" s="86"/>
      <c r="F256" s="87"/>
      <c r="G256" s="88" t="str">
        <f>IFERROR(IF(COUNT(ج_ح_مهر[[#This Row],[کارکرد]]),حداقل_حقوق_پایه_روزانه,""),"")</f>
        <v/>
      </c>
      <c r="H256" s="89" t="str">
        <f>IFERROR(IF(ج_ح_مهر[[#This Row],[کارکرد]]*ج_ح_مهر[[#This Row],[دستمزد روزانه ]]=0,"",ج_ح_مهر[[#This Row],[کارکرد]]*ج_ح_مهر[[#This Row],[دستمزد روزانه ]]),"")</f>
        <v/>
      </c>
      <c r="I256" s="91"/>
      <c r="J256" s="90" t="str">
        <f>IFERROR((ج_ح_مهر[[#This Row],[دستمزد روزانه ]]/7.33)*1.4*ج_ح_مهر[[#This Row],[مدت اضافه کاری ]],"")</f>
        <v/>
      </c>
      <c r="K256" s="89" t="str">
        <f>IF(ج_ح_مهر[[#This Row],[کارکرد]]="","",ج_ح_مهر[[#This Row],[کارکرد]]/30*حق_مسکن)</f>
        <v/>
      </c>
      <c r="L256" s="91"/>
      <c r="M256" s="89" t="str">
        <f>IF(ج_ح_مهر[[#This Row],[تعداد فرزندان]]="","",ج_ح_مهر[[#This Row],[کارکرد]]/30*3*ج_ح_مهر[[#This Row],[تعداد فرزندان]]*حداقل_حقوق_پایه_روزانه)</f>
        <v/>
      </c>
      <c r="N256" s="89" t="str">
        <f>IF(ج_ح_مهر[[#This Row],[کارکرد]]="","",ج_ح_مهر[[#This Row],[کارکرد]]/30*حق_خواربار)</f>
        <v/>
      </c>
      <c r="O256" s="89" t="str">
        <f>IFERROR(ج_ح_مهر[[#This Row],[حقوق پایه]]+ج_ح_مهر[[#This Row],[اضافه کاری]]+ج_ح_مهر[[#This Row],[حق مسکن]]+ج_ح_مهر[[#This Row],[حق اولاد]]+ج_ح_مهر[[#This Row],[حق و خواروبار]],"")</f>
        <v/>
      </c>
      <c r="P256"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56" s="89" t="str">
        <f>IFERROR(ج_ح_مهر[[#This Row],[حقوق پایه]]+ج_ح_مهر[[#This Row],[اضافه کاری]]+ج_ح_مهر[[#This Row],[حق مسکن]]+ج_ح_مهر[[#This Row],[حق و خواروبار]]+ج_ح_مهر[[#This Row],[حق اولاد]]-(2/7)*ج_ح_مهر[[#This Row],[بیمه پرداختنی]],"")</f>
        <v/>
      </c>
      <c r="R256" s="91"/>
      <c r="S256" s="91"/>
      <c r="T256" s="89" t="str">
        <f>IFERROR(ج_ح_مهر[[#This Row],[جمع ح و م م بیمه ]]*7%,"")</f>
        <v/>
      </c>
      <c r="U256"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56" s="89" t="str">
        <f>IFERROR(ج_ح_مهر[[#This Row],[وام]]+ج_ح_مهر[[#This Row],[مساعده]]+ج_ح_مهر[[#This Row],[بیمه پرداختنی]]+ج_ح_مهر[[#This Row],[مالیات پرداختنی]],"")</f>
        <v/>
      </c>
      <c r="W256" s="89" t="str">
        <f>IFERROR(ج_ح_مهر[[#This Row],[جمع ح و م]]-ج_ح_مهر[[#This Row],[جمع کسورات]],"")</f>
        <v/>
      </c>
      <c r="X256" s="108"/>
    </row>
    <row r="257" spans="1:24" ht="32.1" customHeight="1">
      <c r="B257" s="1">
        <f t="shared" si="5"/>
        <v>7</v>
      </c>
      <c r="C257" s="85" t="str">
        <f>IF(ج_ح_مهر[[#This Row],[نام]]&lt;&gt;"",ROW()-229+1,"")</f>
        <v/>
      </c>
      <c r="D257" s="86"/>
      <c r="E257" s="86"/>
      <c r="F257" s="87"/>
      <c r="G257" s="88" t="str">
        <f>IFERROR(IF(COUNT(ج_ح_مهر[[#This Row],[کارکرد]]),حداقل_حقوق_پایه_روزانه,""),"")</f>
        <v/>
      </c>
      <c r="H257" s="89" t="str">
        <f>IFERROR(IF(ج_ح_مهر[[#This Row],[کارکرد]]*ج_ح_مهر[[#This Row],[دستمزد روزانه ]]=0,"",ج_ح_مهر[[#This Row],[کارکرد]]*ج_ح_مهر[[#This Row],[دستمزد روزانه ]]),"")</f>
        <v/>
      </c>
      <c r="I257" s="91"/>
      <c r="J257" s="90" t="str">
        <f>IFERROR((ج_ح_مهر[[#This Row],[دستمزد روزانه ]]/7.33)*1.4*ج_ح_مهر[[#This Row],[مدت اضافه کاری ]],"")</f>
        <v/>
      </c>
      <c r="K257" s="89" t="str">
        <f>IF(ج_ح_مهر[[#This Row],[کارکرد]]="","",ج_ح_مهر[[#This Row],[کارکرد]]/30*حق_مسکن)</f>
        <v/>
      </c>
      <c r="L257" s="91"/>
      <c r="M257" s="89" t="str">
        <f>IF(ج_ح_مهر[[#This Row],[تعداد فرزندان]]="","",ج_ح_مهر[[#This Row],[کارکرد]]/30*3*ج_ح_مهر[[#This Row],[تعداد فرزندان]]*حداقل_حقوق_پایه_روزانه)</f>
        <v/>
      </c>
      <c r="N257" s="89" t="str">
        <f>IF(ج_ح_مهر[[#This Row],[کارکرد]]="","",ج_ح_مهر[[#This Row],[کارکرد]]/30*حق_خواربار)</f>
        <v/>
      </c>
      <c r="O257" s="89" t="str">
        <f>IFERROR(ج_ح_مهر[[#This Row],[حقوق پایه]]+ج_ح_مهر[[#This Row],[اضافه کاری]]+ج_ح_مهر[[#This Row],[حق مسکن]]+ج_ح_مهر[[#This Row],[حق اولاد]]+ج_ح_مهر[[#This Row],[حق و خواروبار]],"")</f>
        <v/>
      </c>
      <c r="P257"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57" s="89" t="str">
        <f>IFERROR(ج_ح_مهر[[#This Row],[حقوق پایه]]+ج_ح_مهر[[#This Row],[اضافه کاری]]+ج_ح_مهر[[#This Row],[حق مسکن]]+ج_ح_مهر[[#This Row],[حق و خواروبار]]+ج_ح_مهر[[#This Row],[حق اولاد]]-(2/7)*ج_ح_مهر[[#This Row],[بیمه پرداختنی]],"")</f>
        <v/>
      </c>
      <c r="R257" s="91"/>
      <c r="S257" s="91"/>
      <c r="T257" s="89" t="str">
        <f>IFERROR(ج_ح_مهر[[#This Row],[جمع ح و م م بیمه ]]*7%,"")</f>
        <v/>
      </c>
      <c r="U257"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57" s="89" t="str">
        <f>IFERROR(ج_ح_مهر[[#This Row],[وام]]+ج_ح_مهر[[#This Row],[مساعده]]+ج_ح_مهر[[#This Row],[بیمه پرداختنی]]+ج_ح_مهر[[#This Row],[مالیات پرداختنی]],"")</f>
        <v/>
      </c>
      <c r="W257" s="89" t="str">
        <f>IFERROR(ج_ح_مهر[[#This Row],[جمع ح و م]]-ج_ح_مهر[[#This Row],[جمع کسورات]],"")</f>
        <v/>
      </c>
      <c r="X257" s="108"/>
    </row>
    <row r="258" spans="1:24" ht="32.1" customHeight="1">
      <c r="B258" s="1">
        <f t="shared" si="5"/>
        <v>7</v>
      </c>
      <c r="C258" s="85" t="str">
        <f>IF(ج_ح_مهر[[#This Row],[نام]]&lt;&gt;"",ROW()-229+1,"")</f>
        <v/>
      </c>
      <c r="D258" s="86"/>
      <c r="E258" s="86"/>
      <c r="F258" s="87"/>
      <c r="G258" s="88" t="str">
        <f>IFERROR(IF(COUNT(ج_ح_مهر[[#This Row],[کارکرد]]),حداقل_حقوق_پایه_روزانه,""),"")</f>
        <v/>
      </c>
      <c r="H258" s="89" t="str">
        <f>IFERROR(IF(ج_ح_مهر[[#This Row],[کارکرد]]*ج_ح_مهر[[#This Row],[دستمزد روزانه ]]=0,"",ج_ح_مهر[[#This Row],[کارکرد]]*ج_ح_مهر[[#This Row],[دستمزد روزانه ]]),"")</f>
        <v/>
      </c>
      <c r="I258" s="91"/>
      <c r="J258" s="90" t="str">
        <f>IFERROR((ج_ح_مهر[[#This Row],[دستمزد روزانه ]]/7.33)*1.4*ج_ح_مهر[[#This Row],[مدت اضافه کاری ]],"")</f>
        <v/>
      </c>
      <c r="K258" s="89" t="str">
        <f>IF(ج_ح_مهر[[#This Row],[کارکرد]]="","",ج_ح_مهر[[#This Row],[کارکرد]]/30*حق_مسکن)</f>
        <v/>
      </c>
      <c r="L258" s="91"/>
      <c r="M258" s="89" t="str">
        <f>IF(ج_ح_مهر[[#This Row],[تعداد فرزندان]]="","",ج_ح_مهر[[#This Row],[کارکرد]]/30*3*ج_ح_مهر[[#This Row],[تعداد فرزندان]]*حداقل_حقوق_پایه_روزانه)</f>
        <v/>
      </c>
      <c r="N258" s="89" t="str">
        <f>IF(ج_ح_مهر[[#This Row],[کارکرد]]="","",ج_ح_مهر[[#This Row],[کارکرد]]/30*حق_خواربار)</f>
        <v/>
      </c>
      <c r="O258" s="89" t="str">
        <f>IFERROR(ج_ح_مهر[[#This Row],[حقوق پایه]]+ج_ح_مهر[[#This Row],[اضافه کاری]]+ج_ح_مهر[[#This Row],[حق مسکن]]+ج_ح_مهر[[#This Row],[حق اولاد]]+ج_ح_مهر[[#This Row],[حق و خواروبار]],"")</f>
        <v/>
      </c>
      <c r="P258" s="89" t="str">
        <f>IFERROR(IF(ج_ح_مهر[[#This Row],[حقوق پایه]]+ج_ح_مهر[[#This Row],[اضافه کاری]]+ج_ح_مهر[[#This Row],[حق مسکن]]+ج_ح_مهر[[#This Row],[حق و خواروبار]]&gt;حداکثر_حقوق_مشمول_بیمه_ماهانه,حداکثر_حقوق_مشمول_بیمه_ماهانه,ج_ح_مهر[[#This Row],[حقوق پایه]]+ج_ح_مهر[[#This Row],[اضافه کاری]]+ج_ح_مهر[[#This Row],[حق مسکن]]+ج_ح_مهر[[#This Row],[حق و خواروبار]]),"")</f>
        <v/>
      </c>
      <c r="Q258" s="89" t="str">
        <f>IFERROR(ج_ح_مهر[[#This Row],[حقوق پایه]]+ج_ح_مهر[[#This Row],[اضافه کاری]]+ج_ح_مهر[[#This Row],[حق مسکن]]+ج_ح_مهر[[#This Row],[حق و خواروبار]]+ج_ح_مهر[[#This Row],[حق اولاد]]-(2/7)*ج_ح_مهر[[#This Row],[بیمه پرداختنی]],"")</f>
        <v/>
      </c>
      <c r="R258" s="91"/>
      <c r="S258" s="91"/>
      <c r="T258" s="89" t="str">
        <f>IFERROR(ج_ح_مهر[[#This Row],[جمع ح و م م بیمه ]]*7%,"")</f>
        <v/>
      </c>
      <c r="U258" s="92" t="str">
        <f>IFERROR(IF(ج_ح_مهر[[#This Row],[جمع ح و م م مالیات]]&gt;=400000000,(ج_ح_مهر[[#This Row],[جمع ح و م م مالیات]]-400000000)*30%+26000000,IF(ج_ح_مهر[[#This Row],[جمع ح و م م مالیات]]&gt;=270000000,(ج_ح_مهر[[#This Row],[جمع ح و م م مالیات]]-270000000)*20%+15750000,IF(ج_ح_مهر[[#This Row],[جمع ح و م م مالیات]]&gt;=165000000,(ج_ح_مهر[[#This Row],[جمع ح و م م مالیات]]-165000000)*15%+4500000,IF(ج_ح_مهر[[#This Row],[جمع ح و م م مالیات]]&gt;=120000000,(ج_ح_مهر[[#This Row],[جمع ح و م م مالیات]]-120000000)*10%,0)))),"")</f>
        <v/>
      </c>
      <c r="V258" s="89" t="str">
        <f>IFERROR(ج_ح_مهر[[#This Row],[وام]]+ج_ح_مهر[[#This Row],[مساعده]]+ج_ح_مهر[[#This Row],[بیمه پرداختنی]]+ج_ح_مهر[[#This Row],[مالیات پرداختنی]],"")</f>
        <v/>
      </c>
      <c r="W258" s="89" t="str">
        <f>IFERROR(ج_ح_مهر[[#This Row],[جمع ح و م]]-ج_ح_مهر[[#This Row],[جمع کسورات]],"")</f>
        <v/>
      </c>
      <c r="X258" s="108"/>
    </row>
    <row r="259" spans="1:24" ht="32.1" customHeight="1">
      <c r="B259" s="1">
        <f t="shared" si="5"/>
        <v>7</v>
      </c>
      <c r="C259" s="23"/>
      <c r="D259" s="24"/>
      <c r="E259" s="24" t="s">
        <v>35</v>
      </c>
      <c r="F259" s="33">
        <f>SUBTOTAL(109,ج_ح_مهر[کارکرد])</f>
        <v>0</v>
      </c>
      <c r="G259" s="25">
        <f>SUBTOTAL(109,ج_ح_مهر[[دستمزد روزانه ]])</f>
        <v>0</v>
      </c>
      <c r="H259" s="25">
        <f>SUBTOTAL(109,ج_ح_مهر[حقوق پایه])</f>
        <v>0</v>
      </c>
      <c r="I259" s="34">
        <f>SUBTOTAL(109,ج_ح_مهر[[مدت اضافه کاری ]])</f>
        <v>0</v>
      </c>
      <c r="J259" s="35">
        <f>SUBTOTAL(109,ج_ح_مهر[اضافه کاری])</f>
        <v>0</v>
      </c>
      <c r="K259" s="25">
        <f>SUBTOTAL(109,ج_ح_مهر[حق مسکن])</f>
        <v>0</v>
      </c>
      <c r="L259" s="36">
        <f>SUBTOTAL(109,ج_ح_مهر[تعداد فرزندان])</f>
        <v>0</v>
      </c>
      <c r="M259" s="25">
        <f>SUBTOTAL(109,ج_ح_مهر[حق اولاد])</f>
        <v>0</v>
      </c>
      <c r="N259" s="25">
        <f>SUBTOTAL(109,ج_ح_مهر[حق و خواروبار])</f>
        <v>0</v>
      </c>
      <c r="O259" s="25">
        <f>SUBTOTAL(109,ج_ح_مهر[جمع ح و م])</f>
        <v>0</v>
      </c>
      <c r="P259" s="25">
        <f>SUBTOTAL(109,ج_ح_مهر[[جمع ح و م م بیمه ]])</f>
        <v>0</v>
      </c>
      <c r="Q259" s="25">
        <f>SUBTOTAL(109,ج_ح_مهر[جمع ح و م م مالیات])</f>
        <v>0</v>
      </c>
      <c r="R259" s="25">
        <f>SUBTOTAL(109,ج_ح_مهر[وام])</f>
        <v>0</v>
      </c>
      <c r="S259" s="25">
        <f>SUBTOTAL(109,ج_ح_مهر[مساعده])</f>
        <v>0</v>
      </c>
      <c r="T259" s="25">
        <f>SUBTOTAL(109,ج_ح_مهر[بیمه پرداختنی])</f>
        <v>0</v>
      </c>
      <c r="U259" s="25">
        <f>SUBTOTAL(109,ج_ح_مهر[مالیات پرداختنی])</f>
        <v>0</v>
      </c>
      <c r="V259" s="25">
        <f>SUBTOTAL(109,ج_ح_مهر[جمع کسورات])</f>
        <v>0</v>
      </c>
      <c r="W259" s="25">
        <f>SUBTOTAL(109,ج_ح_مهر[خالص قابل پرداخت])</f>
        <v>0</v>
      </c>
      <c r="X259" s="109"/>
    </row>
    <row r="260" spans="1:24" ht="8.1" customHeight="1"/>
    <row r="261" spans="1:24" s="7" customFormat="1" ht="39.950000000000003" customHeight="1">
      <c r="A261" s="15"/>
      <c r="B261" s="15"/>
      <c r="C261" s="128" t="str">
        <f>CONCATENATE("شرکت"," ",'اطلاعات شرکت'!$B$1)</f>
        <v>شرکت پندار حساب شهسوار</v>
      </c>
      <c r="D261" s="128"/>
      <c r="E261" s="128"/>
      <c r="F261" s="128"/>
      <c r="G261" s="128"/>
      <c r="H261" s="128"/>
      <c r="I261" s="128"/>
      <c r="J261" s="128"/>
      <c r="K261" s="128"/>
      <c r="L261" s="128"/>
      <c r="M261" s="128"/>
      <c r="N261" s="128"/>
      <c r="O261" s="128"/>
      <c r="P261" s="128"/>
      <c r="Q261" s="128"/>
      <c r="R261" s="128"/>
      <c r="S261" s="128"/>
      <c r="T261" s="128"/>
      <c r="U261" s="128"/>
      <c r="V261" s="128"/>
      <c r="W261" s="128"/>
      <c r="X261" s="105"/>
    </row>
    <row r="262" spans="1:24" s="7" customFormat="1" ht="50.1" customHeight="1">
      <c r="C262" s="127" t="str">
        <f>CONCATENATE("جدول حقوق و دستمزد آبان ماه سال"," ",'اطلاعات شرکت'!$B$2)</f>
        <v>جدول حقوق و دستمزد آبان ماه سال 1402</v>
      </c>
      <c r="D262" s="127"/>
      <c r="E262" s="127"/>
      <c r="F262" s="127"/>
      <c r="G262" s="127"/>
      <c r="H262" s="127"/>
      <c r="I262" s="127"/>
      <c r="J262" s="127"/>
      <c r="K262" s="127"/>
      <c r="L262" s="127"/>
      <c r="M262" s="127"/>
      <c r="N262" s="127"/>
      <c r="O262" s="127"/>
      <c r="P262" s="127"/>
      <c r="Q262" s="127"/>
      <c r="R262" s="127"/>
      <c r="S262" s="127"/>
      <c r="T262" s="127"/>
      <c r="U262" s="127"/>
      <c r="V262" s="127"/>
      <c r="W262" s="127"/>
      <c r="X262" s="105"/>
    </row>
    <row r="263" spans="1:24" s="12" customFormat="1" ht="50.1" customHeight="1">
      <c r="C263" s="129" t="s">
        <v>1</v>
      </c>
      <c r="D263" s="28" t="s">
        <v>23</v>
      </c>
      <c r="E263" s="28" t="s">
        <v>56</v>
      </c>
      <c r="F263" s="28" t="s">
        <v>11</v>
      </c>
      <c r="G263" s="28" t="s">
        <v>12</v>
      </c>
      <c r="H263" s="28" t="s">
        <v>37</v>
      </c>
      <c r="I263" s="28" t="s">
        <v>51</v>
      </c>
      <c r="J263" s="28" t="s">
        <v>47</v>
      </c>
      <c r="K263" s="28" t="s">
        <v>4</v>
      </c>
      <c r="L263" s="28" t="s">
        <v>48</v>
      </c>
      <c r="M263" s="28" t="s">
        <v>14</v>
      </c>
      <c r="N263" s="28" t="s">
        <v>5</v>
      </c>
      <c r="O263" s="28" t="s">
        <v>17</v>
      </c>
      <c r="P263" s="28" t="s">
        <v>49</v>
      </c>
      <c r="Q263" s="28" t="s">
        <v>50</v>
      </c>
      <c r="R263" s="28" t="s">
        <v>15</v>
      </c>
      <c r="S263" s="28" t="s">
        <v>16</v>
      </c>
      <c r="T263" s="28" t="s">
        <v>59</v>
      </c>
      <c r="U263" s="28" t="s">
        <v>58</v>
      </c>
      <c r="V263" s="28" t="s">
        <v>21</v>
      </c>
      <c r="W263" s="28" t="s">
        <v>57</v>
      </c>
      <c r="X263" s="106"/>
    </row>
    <row r="264" spans="1:24" s="7" customFormat="1" ht="32.1" customHeight="1">
      <c r="C264" s="129"/>
      <c r="D264" s="29">
        <v>1</v>
      </c>
      <c r="E264" s="29">
        <v>2</v>
      </c>
      <c r="F264" s="29">
        <v>3</v>
      </c>
      <c r="G264" s="29">
        <v>4</v>
      </c>
      <c r="H264" s="29">
        <v>5</v>
      </c>
      <c r="I264" s="29">
        <v>6</v>
      </c>
      <c r="J264" s="29">
        <v>7</v>
      </c>
      <c r="K264" s="29">
        <v>8</v>
      </c>
      <c r="L264" s="29">
        <v>9</v>
      </c>
      <c r="M264" s="29">
        <v>10</v>
      </c>
      <c r="N264" s="29">
        <v>11</v>
      </c>
      <c r="O264" s="29">
        <v>12</v>
      </c>
      <c r="P264" s="29">
        <v>13</v>
      </c>
      <c r="Q264" s="29">
        <v>14</v>
      </c>
      <c r="R264" s="29">
        <v>15</v>
      </c>
      <c r="S264" s="29">
        <v>16</v>
      </c>
      <c r="T264" s="29">
        <v>17</v>
      </c>
      <c r="U264" s="29">
        <v>18</v>
      </c>
      <c r="V264" s="29">
        <v>19</v>
      </c>
      <c r="W264" s="30">
        <v>20</v>
      </c>
      <c r="X264" s="105"/>
    </row>
    <row r="265" spans="1:24" s="7" customFormat="1" ht="20.100000000000001" customHeight="1">
      <c r="C265" s="16" t="s">
        <v>1</v>
      </c>
      <c r="D265" s="16" t="s">
        <v>23</v>
      </c>
      <c r="E265" s="16" t="s">
        <v>56</v>
      </c>
      <c r="F265" s="16" t="s">
        <v>11</v>
      </c>
      <c r="G265" s="16" t="s">
        <v>12</v>
      </c>
      <c r="H265" s="16" t="s">
        <v>37</v>
      </c>
      <c r="I265" s="16" t="s">
        <v>46</v>
      </c>
      <c r="J265" s="16" t="s">
        <v>47</v>
      </c>
      <c r="K265" s="16" t="s">
        <v>4</v>
      </c>
      <c r="L265" s="16" t="s">
        <v>13</v>
      </c>
      <c r="M265" s="16" t="s">
        <v>14</v>
      </c>
      <c r="N265" s="16" t="s">
        <v>79</v>
      </c>
      <c r="O265" s="16" t="s">
        <v>53</v>
      </c>
      <c r="P265" s="16" t="s">
        <v>54</v>
      </c>
      <c r="Q265" s="31" t="s">
        <v>55</v>
      </c>
      <c r="R265" s="16" t="s">
        <v>15</v>
      </c>
      <c r="S265" s="16" t="s">
        <v>16</v>
      </c>
      <c r="T265" s="31" t="s">
        <v>19</v>
      </c>
      <c r="U265" s="31" t="s">
        <v>20</v>
      </c>
      <c r="V265" s="16" t="s">
        <v>21</v>
      </c>
      <c r="W265" s="16" t="s">
        <v>22</v>
      </c>
      <c r="X265" s="110" t="s">
        <v>133</v>
      </c>
    </row>
    <row r="266" spans="1:24" ht="32.1" customHeight="1">
      <c r="B266" s="1">
        <f>B259+1</f>
        <v>8</v>
      </c>
      <c r="C266" s="85" t="str">
        <f>IF(ج_ح_آبان[[#This Row],[نام]]&lt;&gt;"",ROW()-266+1,"")</f>
        <v/>
      </c>
      <c r="D266" s="86"/>
      <c r="E266" s="86"/>
      <c r="F266" s="87"/>
      <c r="G266" s="88" t="str">
        <f>IFERROR(IF(COUNT(ج_ح_آبان[[#This Row],[کارکرد]]),حداقل_حقوق_پایه_روزانه,""),"")</f>
        <v/>
      </c>
      <c r="H266" s="89" t="str">
        <f>IFERROR(IF(ج_ح_آبان[[#This Row],[کارکرد]]*ج_ح_آبان[[#This Row],[دستمزد روزانه ]]=0,"",ج_ح_آبان[[#This Row],[کارکرد]]*ج_ح_آبان[[#This Row],[دستمزد روزانه ]]),"")</f>
        <v/>
      </c>
      <c r="I266" s="91">
        <v>0</v>
      </c>
      <c r="J266" s="90" t="str">
        <f>IFERROR((ج_ح_آبان[[#This Row],[دستمزد روزانه ]]/7.33)*1.4*ج_ح_آبان[[#This Row],[مدت اضافه کاری ]],"")</f>
        <v/>
      </c>
      <c r="K266" s="89" t="str">
        <f>IF(ج_ح_آبان[[#This Row],[کارکرد]]="","",ج_ح_آبان[[#This Row],[کارکرد]]/30*حق_مسکن)</f>
        <v/>
      </c>
      <c r="L266" s="91">
        <v>0</v>
      </c>
      <c r="M266" s="89">
        <f>IF(ج_ح_آبان[[#This Row],[تعداد فرزندان]]="","",ج_ح_آبان[[#This Row],[کارکرد]]/30*3*ج_ح_آبان[[#This Row],[تعداد فرزندان]]*حداقل_حقوق_پایه_روزانه)</f>
        <v>0</v>
      </c>
      <c r="N266" s="89" t="str">
        <f>IF(ج_ح_آبان[[#This Row],[کارکرد]]="","",ج_ح_آبان[[#This Row],[کارکرد]]/30*حق_خواربار)</f>
        <v/>
      </c>
      <c r="O266" s="89" t="str">
        <f>IFERROR(ج_ح_آبان[[#This Row],[حقوق پایه]]+ج_ح_آبان[[#This Row],[اضافه کاری]]+ج_ح_آبان[[#This Row],[حق مسکن]]+ج_ح_آبان[[#This Row],[حق اولاد]]+ج_ح_آبان[[#This Row],[حق و خواروبار]],"")</f>
        <v/>
      </c>
      <c r="P266"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66" s="89" t="str">
        <f>IFERROR(ج_ح_آبان[[#This Row],[حقوق پایه]]+ج_ح_آبان[[#This Row],[اضافه کاری]]+ج_ح_آبان[[#This Row],[حق مسکن]]+ج_ح_آبان[[#This Row],[حق و خواروبار]]+ج_ح_آبان[[#This Row],[حق اولاد]]-(2/7)*ج_ح_آبان[[#This Row],[بیمه پرداختنی]],"")</f>
        <v/>
      </c>
      <c r="R266" s="91">
        <v>0</v>
      </c>
      <c r="S266" s="91">
        <v>0</v>
      </c>
      <c r="T266" s="89" t="str">
        <f>IFERROR(ج_ح_آبان[[#This Row],[جمع ح و م م بیمه ]]*7%,"")</f>
        <v/>
      </c>
      <c r="U266"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66" s="89" t="str">
        <f>IFERROR(ج_ح_آبان[[#This Row],[وام]]+ج_ح_آبان[[#This Row],[مساعده]]+ج_ح_آبان[[#This Row],[بیمه پرداختنی]]+ج_ح_آبان[[#This Row],[مالیات پرداختنی]],"")</f>
        <v/>
      </c>
      <c r="W266" s="89" t="str">
        <f>IFERROR(ج_ح_آبان[[#This Row],[جمع ح و م]]-ج_ح_آبان[[#This Row],[جمع کسورات]],"")</f>
        <v/>
      </c>
      <c r="X266" s="108" t="e">
        <f>100000000-ج_ح_آبان[[#This Row],[جمع ح و م م مالیات]]</f>
        <v>#VALUE!</v>
      </c>
    </row>
    <row r="267" spans="1:24" ht="32.1" customHeight="1">
      <c r="B267" s="1">
        <f>B266</f>
        <v>8</v>
      </c>
      <c r="C267" s="85" t="str">
        <f>IF(ج_ح_آبان[[#This Row],[نام]]&lt;&gt;"",ROW()-266+1,"")</f>
        <v/>
      </c>
      <c r="D267" s="86"/>
      <c r="E267" s="86"/>
      <c r="F267" s="87"/>
      <c r="G267" s="88" t="str">
        <f>IFERROR(IF(COUNT(ج_ح_آبان[[#This Row],[کارکرد]]),حداقل_حقوق_پایه_روزانه,""),"")</f>
        <v/>
      </c>
      <c r="H267" s="89" t="str">
        <f>IFERROR(IF(ج_ح_آبان[[#This Row],[کارکرد]]*ج_ح_آبان[[#This Row],[دستمزد روزانه ]]=0,"",ج_ح_آبان[[#This Row],[کارکرد]]*ج_ح_آبان[[#This Row],[دستمزد روزانه ]]),"")</f>
        <v/>
      </c>
      <c r="I267" s="91">
        <v>0</v>
      </c>
      <c r="J267" s="90" t="str">
        <f>IFERROR((ج_ح_آبان[[#This Row],[دستمزد روزانه ]]/7.33)*1.4*ج_ح_آبان[[#This Row],[مدت اضافه کاری ]],"")</f>
        <v/>
      </c>
      <c r="K267" s="89" t="str">
        <f>IF(ج_ح_آبان[[#This Row],[کارکرد]]="","",ج_ح_آبان[[#This Row],[کارکرد]]/30*حق_مسکن)</f>
        <v/>
      </c>
      <c r="L267" s="91">
        <v>0</v>
      </c>
      <c r="M267" s="89">
        <f>IF(ج_ح_آبان[[#This Row],[تعداد فرزندان]]="","",ج_ح_آبان[[#This Row],[کارکرد]]/30*3*ج_ح_آبان[[#This Row],[تعداد فرزندان]]*حداقل_حقوق_پایه_روزانه)</f>
        <v>0</v>
      </c>
      <c r="N267" s="89" t="str">
        <f>IF(ج_ح_آبان[[#This Row],[کارکرد]]="","",ج_ح_آبان[[#This Row],[کارکرد]]/30*حق_خواربار)</f>
        <v/>
      </c>
      <c r="O267" s="89" t="str">
        <f>IFERROR(ج_ح_آبان[[#This Row],[حقوق پایه]]+ج_ح_آبان[[#This Row],[اضافه کاری]]+ج_ح_آبان[[#This Row],[حق مسکن]]+ج_ح_آبان[[#This Row],[حق اولاد]]+ج_ح_آبان[[#This Row],[حق و خواروبار]],"")</f>
        <v/>
      </c>
      <c r="P267"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67" s="89" t="str">
        <f>IFERROR(ج_ح_آبان[[#This Row],[حقوق پایه]]+ج_ح_آبان[[#This Row],[اضافه کاری]]+ج_ح_آبان[[#This Row],[حق مسکن]]+ج_ح_آبان[[#This Row],[حق و خواروبار]]+ج_ح_آبان[[#This Row],[حق اولاد]]-(2/7)*ج_ح_آبان[[#This Row],[بیمه پرداختنی]],"")</f>
        <v/>
      </c>
      <c r="R267" s="91">
        <v>0</v>
      </c>
      <c r="S267" s="91">
        <v>0</v>
      </c>
      <c r="T267" s="89" t="str">
        <f>IFERROR(ج_ح_آبان[[#This Row],[جمع ح و م م بیمه ]]*7%,"")</f>
        <v/>
      </c>
      <c r="U267"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67" s="89" t="str">
        <f>IFERROR(ج_ح_آبان[[#This Row],[وام]]+ج_ح_آبان[[#This Row],[مساعده]]+ج_ح_آبان[[#This Row],[بیمه پرداختنی]]+ج_ح_آبان[[#This Row],[مالیات پرداختنی]],"")</f>
        <v/>
      </c>
      <c r="W267" s="89" t="str">
        <f>IFERROR(ج_ح_آبان[[#This Row],[جمع ح و م]]-ج_ح_آبان[[#This Row],[جمع کسورات]],"")</f>
        <v/>
      </c>
      <c r="X267" s="108" t="e">
        <f>100000000-ج_ح_آبان[[#This Row],[جمع ح و م م مالیات]]</f>
        <v>#VALUE!</v>
      </c>
    </row>
    <row r="268" spans="1:24" ht="32.1" customHeight="1">
      <c r="B268" s="1">
        <f t="shared" ref="B268:B296" si="6">B267</f>
        <v>8</v>
      </c>
      <c r="C268" s="85" t="str">
        <f>IF(ج_ح_آبان[[#This Row],[نام]]&lt;&gt;"",ROW()-266+1,"")</f>
        <v/>
      </c>
      <c r="D268" s="86"/>
      <c r="E268" s="86"/>
      <c r="F268" s="87"/>
      <c r="G268" s="88" t="str">
        <f>IFERROR(IF(COUNT(ج_ح_آبان[[#This Row],[کارکرد]]),حداقل_حقوق_پایه_روزانه,""),"")</f>
        <v/>
      </c>
      <c r="H268" s="89" t="str">
        <f>IFERROR(IF(ج_ح_آبان[[#This Row],[کارکرد]]*ج_ح_آبان[[#This Row],[دستمزد روزانه ]]=0,"",ج_ح_آبان[[#This Row],[کارکرد]]*ج_ح_آبان[[#This Row],[دستمزد روزانه ]]),"")</f>
        <v/>
      </c>
      <c r="I268" s="91">
        <v>0</v>
      </c>
      <c r="J268" s="90" t="str">
        <f>IFERROR((ج_ح_آبان[[#This Row],[دستمزد روزانه ]]/7.33)*1.4*ج_ح_آبان[[#This Row],[مدت اضافه کاری ]],"")</f>
        <v/>
      </c>
      <c r="K268" s="89" t="str">
        <f>IF(ج_ح_آبان[[#This Row],[کارکرد]]="","",ج_ح_آبان[[#This Row],[کارکرد]]/30*حق_مسکن)</f>
        <v/>
      </c>
      <c r="L268" s="91">
        <v>0</v>
      </c>
      <c r="M268" s="89">
        <f>IF(ج_ح_آبان[[#This Row],[تعداد فرزندان]]="","",ج_ح_آبان[[#This Row],[کارکرد]]/30*3*ج_ح_آبان[[#This Row],[تعداد فرزندان]]*حداقل_حقوق_پایه_روزانه)</f>
        <v>0</v>
      </c>
      <c r="N268" s="89" t="str">
        <f>IF(ج_ح_آبان[[#This Row],[کارکرد]]="","",ج_ح_آبان[[#This Row],[کارکرد]]/30*حق_خواربار)</f>
        <v/>
      </c>
      <c r="O268" s="89" t="str">
        <f>IFERROR(ج_ح_آبان[[#This Row],[حقوق پایه]]+ج_ح_آبان[[#This Row],[اضافه کاری]]+ج_ح_آبان[[#This Row],[حق مسکن]]+ج_ح_آبان[[#This Row],[حق اولاد]]+ج_ح_آبان[[#This Row],[حق و خواروبار]],"")</f>
        <v/>
      </c>
      <c r="P268"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68" s="89" t="str">
        <f>IFERROR(ج_ح_آبان[[#This Row],[حقوق پایه]]+ج_ح_آبان[[#This Row],[اضافه کاری]]+ج_ح_آبان[[#This Row],[حق مسکن]]+ج_ح_آبان[[#This Row],[حق و خواروبار]]+ج_ح_آبان[[#This Row],[حق اولاد]]-(2/7)*ج_ح_آبان[[#This Row],[بیمه پرداختنی]],"")</f>
        <v/>
      </c>
      <c r="R268" s="91">
        <v>0</v>
      </c>
      <c r="S268" s="91">
        <v>0</v>
      </c>
      <c r="T268" s="89" t="str">
        <f>IFERROR(ج_ح_آبان[[#This Row],[جمع ح و م م بیمه ]]*7%,"")</f>
        <v/>
      </c>
      <c r="U268"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68" s="89" t="str">
        <f>IFERROR(ج_ح_آبان[[#This Row],[وام]]+ج_ح_آبان[[#This Row],[مساعده]]+ج_ح_آبان[[#This Row],[بیمه پرداختنی]]+ج_ح_آبان[[#This Row],[مالیات پرداختنی]],"")</f>
        <v/>
      </c>
      <c r="W268" s="89" t="str">
        <f>IFERROR(ج_ح_آبان[[#This Row],[جمع ح و م]]-ج_ح_آبان[[#This Row],[جمع کسورات]],"")</f>
        <v/>
      </c>
      <c r="X268" s="108" t="e">
        <f>100000000-ج_ح_آبان[[#This Row],[جمع ح و م م مالیات]]</f>
        <v>#VALUE!</v>
      </c>
    </row>
    <row r="269" spans="1:24" ht="32.1" customHeight="1">
      <c r="B269" s="1">
        <f t="shared" si="6"/>
        <v>8</v>
      </c>
      <c r="C269" s="85" t="str">
        <f>IF(ج_ح_آبان[[#This Row],[نام]]&lt;&gt;"",ROW()-266+1,"")</f>
        <v/>
      </c>
      <c r="D269" s="86"/>
      <c r="E269" s="86"/>
      <c r="F269" s="87"/>
      <c r="G269" s="88" t="str">
        <f>IFERROR(IF(COUNT(ج_ح_آبان[[#This Row],[کارکرد]]),حداقل_حقوق_پایه_روزانه,""),"")</f>
        <v/>
      </c>
      <c r="H269" s="89" t="str">
        <f>IFERROR(IF(ج_ح_آبان[[#This Row],[کارکرد]]*ج_ح_آبان[[#This Row],[دستمزد روزانه ]]=0,"",ج_ح_آبان[[#This Row],[کارکرد]]*ج_ح_آبان[[#This Row],[دستمزد روزانه ]]),"")</f>
        <v/>
      </c>
      <c r="I269" s="91">
        <v>0</v>
      </c>
      <c r="J269" s="90" t="str">
        <f>IFERROR((ج_ح_آبان[[#This Row],[دستمزد روزانه ]]/7.33)*1.4*ج_ح_آبان[[#This Row],[مدت اضافه کاری ]],"")</f>
        <v/>
      </c>
      <c r="K269" s="89" t="str">
        <f>IF(ج_ح_آبان[[#This Row],[کارکرد]]="","",ج_ح_آبان[[#This Row],[کارکرد]]/30*حق_مسکن)</f>
        <v/>
      </c>
      <c r="L269" s="91">
        <v>0</v>
      </c>
      <c r="M269" s="89">
        <f>IF(ج_ح_آبان[[#This Row],[تعداد فرزندان]]="","",ج_ح_آبان[[#This Row],[کارکرد]]/30*3*ج_ح_آبان[[#This Row],[تعداد فرزندان]]*حداقل_حقوق_پایه_روزانه)</f>
        <v>0</v>
      </c>
      <c r="N269" s="89" t="str">
        <f>IF(ج_ح_آبان[[#This Row],[کارکرد]]="","",ج_ح_آبان[[#This Row],[کارکرد]]/30*حق_خواربار)</f>
        <v/>
      </c>
      <c r="O269" s="89" t="str">
        <f>IFERROR(ج_ح_آبان[[#This Row],[حقوق پایه]]+ج_ح_آبان[[#This Row],[اضافه کاری]]+ج_ح_آبان[[#This Row],[حق مسکن]]+ج_ح_آبان[[#This Row],[حق اولاد]]+ج_ح_آبان[[#This Row],[حق و خواروبار]],"")</f>
        <v/>
      </c>
      <c r="P269"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69" s="89" t="str">
        <f>IFERROR(ج_ح_آبان[[#This Row],[حقوق پایه]]+ج_ح_آبان[[#This Row],[اضافه کاری]]+ج_ح_آبان[[#This Row],[حق مسکن]]+ج_ح_آبان[[#This Row],[حق و خواروبار]]+ج_ح_آبان[[#This Row],[حق اولاد]]-(2/7)*ج_ح_آبان[[#This Row],[بیمه پرداختنی]],"")</f>
        <v/>
      </c>
      <c r="R269" s="91">
        <v>0</v>
      </c>
      <c r="S269" s="91">
        <v>0</v>
      </c>
      <c r="T269" s="89" t="str">
        <f>IFERROR(ج_ح_آبان[[#This Row],[جمع ح و م م بیمه ]]*7%,"")</f>
        <v/>
      </c>
      <c r="U269"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69" s="89" t="str">
        <f>IFERROR(ج_ح_آبان[[#This Row],[وام]]+ج_ح_آبان[[#This Row],[مساعده]]+ج_ح_آبان[[#This Row],[بیمه پرداختنی]]+ج_ح_آبان[[#This Row],[مالیات پرداختنی]],"")</f>
        <v/>
      </c>
      <c r="W269" s="89" t="str">
        <f>IFERROR(ج_ح_آبان[[#This Row],[جمع ح و م]]-ج_ح_آبان[[#This Row],[جمع کسورات]],"")</f>
        <v/>
      </c>
      <c r="X269" s="108" t="e">
        <f>50000000-ج_ح_آبان[[#This Row],[جمع ح و م م مالیات]]</f>
        <v>#VALUE!</v>
      </c>
    </row>
    <row r="270" spans="1:24" ht="32.1" customHeight="1">
      <c r="B270" s="1">
        <f t="shared" si="6"/>
        <v>8</v>
      </c>
      <c r="C270" s="85" t="str">
        <f>IF(ج_ح_آبان[[#This Row],[نام]]&lt;&gt;"",ROW()-266+1,"")</f>
        <v/>
      </c>
      <c r="D270" s="86"/>
      <c r="E270" s="86"/>
      <c r="F270" s="87"/>
      <c r="G270" s="88" t="str">
        <f>IFERROR(IF(COUNT(ج_ح_آبان[[#This Row],[کارکرد]]),حداقل_حقوق_پایه_روزانه,""),"")</f>
        <v/>
      </c>
      <c r="H270" s="89" t="str">
        <f>IFERROR(IF(ج_ح_آبان[[#This Row],[کارکرد]]*ج_ح_آبان[[#This Row],[دستمزد روزانه ]]=0,"",ج_ح_آبان[[#This Row],[کارکرد]]*ج_ح_آبان[[#This Row],[دستمزد روزانه ]]),"")</f>
        <v/>
      </c>
      <c r="I270" s="91"/>
      <c r="J270" s="90" t="str">
        <f>IFERROR((ج_ح_آبان[[#This Row],[دستمزد روزانه ]]/7.33)*1.4*ج_ح_آبان[[#This Row],[مدت اضافه کاری ]],"")</f>
        <v/>
      </c>
      <c r="K270" s="89" t="str">
        <f>IF(ج_ح_آبان[[#This Row],[کارکرد]]="","",ج_ح_آبان[[#This Row],[کارکرد]]/30*حق_مسکن)</f>
        <v/>
      </c>
      <c r="L270" s="91"/>
      <c r="M270" s="89" t="str">
        <f>IF(ج_ح_آبان[[#This Row],[تعداد فرزندان]]="","",ج_ح_آبان[[#This Row],[کارکرد]]/30*3*ج_ح_آبان[[#This Row],[تعداد فرزندان]]*حداقل_حقوق_پایه_روزانه)</f>
        <v/>
      </c>
      <c r="N270" s="89" t="str">
        <f>IF(ج_ح_آبان[[#This Row],[کارکرد]]="","",ج_ح_آبان[[#This Row],[کارکرد]]/30*حق_خواربار)</f>
        <v/>
      </c>
      <c r="O270" s="89" t="str">
        <f>IFERROR(ج_ح_آبان[[#This Row],[حقوق پایه]]+ج_ح_آبان[[#This Row],[اضافه کاری]]+ج_ح_آبان[[#This Row],[حق مسکن]]+ج_ح_آبان[[#This Row],[حق اولاد]]+ج_ح_آبان[[#This Row],[حق و خواروبار]],"")</f>
        <v/>
      </c>
      <c r="P270"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70" s="89" t="str">
        <f>IFERROR(ج_ح_آبان[[#This Row],[حقوق پایه]]+ج_ح_آبان[[#This Row],[اضافه کاری]]+ج_ح_آبان[[#This Row],[حق مسکن]]+ج_ح_آبان[[#This Row],[حق و خواروبار]]+ج_ح_آبان[[#This Row],[حق اولاد]]-(2/7)*ج_ح_آبان[[#This Row],[بیمه پرداختنی]],"")</f>
        <v/>
      </c>
      <c r="R270" s="91"/>
      <c r="S270" s="91"/>
      <c r="T270" s="89" t="str">
        <f>IFERROR(ج_ح_آبان[[#This Row],[جمع ح و م م بیمه ]]*7%,"")</f>
        <v/>
      </c>
      <c r="U270"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70" s="89" t="str">
        <f>IFERROR(ج_ح_آبان[[#This Row],[وام]]+ج_ح_آبان[[#This Row],[مساعده]]+ج_ح_آبان[[#This Row],[بیمه پرداختنی]]+ج_ح_آبان[[#This Row],[مالیات پرداختنی]],"")</f>
        <v/>
      </c>
      <c r="W270" s="89" t="str">
        <f>IFERROR(ج_ح_آبان[[#This Row],[جمع ح و م]]-ج_ح_آبان[[#This Row],[جمع کسورات]],"")</f>
        <v/>
      </c>
      <c r="X270" s="108"/>
    </row>
    <row r="271" spans="1:24" ht="32.1" customHeight="1">
      <c r="B271" s="1">
        <f t="shared" si="6"/>
        <v>8</v>
      </c>
      <c r="C271" s="85" t="str">
        <f>IF(ج_ح_آبان[[#This Row],[نام]]&lt;&gt;"",ROW()-266+1,"")</f>
        <v/>
      </c>
      <c r="D271" s="86"/>
      <c r="E271" s="86"/>
      <c r="F271" s="87"/>
      <c r="G271" s="88" t="str">
        <f>IFERROR(IF(COUNT(ج_ح_آبان[[#This Row],[کارکرد]]),حداقل_حقوق_پایه_روزانه,""),"")</f>
        <v/>
      </c>
      <c r="H271" s="89" t="str">
        <f>IFERROR(IF(ج_ح_آبان[[#This Row],[کارکرد]]*ج_ح_آبان[[#This Row],[دستمزد روزانه ]]=0,"",ج_ح_آبان[[#This Row],[کارکرد]]*ج_ح_آبان[[#This Row],[دستمزد روزانه ]]),"")</f>
        <v/>
      </c>
      <c r="I271" s="91"/>
      <c r="J271" s="90" t="str">
        <f>IFERROR((ج_ح_آبان[[#This Row],[دستمزد روزانه ]]/7.33)*1.4*ج_ح_آبان[[#This Row],[مدت اضافه کاری ]],"")</f>
        <v/>
      </c>
      <c r="K271" s="89" t="str">
        <f>IF(ج_ح_آبان[[#This Row],[کارکرد]]="","",ج_ح_آبان[[#This Row],[کارکرد]]/30*حق_مسکن)</f>
        <v/>
      </c>
      <c r="L271" s="91"/>
      <c r="M271" s="89" t="str">
        <f>IF(ج_ح_آبان[[#This Row],[تعداد فرزندان]]="","",ج_ح_آبان[[#This Row],[کارکرد]]/30*3*ج_ح_آبان[[#This Row],[تعداد فرزندان]]*حداقل_حقوق_پایه_روزانه)</f>
        <v/>
      </c>
      <c r="N271" s="89" t="str">
        <f>IF(ج_ح_آبان[[#This Row],[کارکرد]]="","",ج_ح_آبان[[#This Row],[کارکرد]]/30*حق_خواربار)</f>
        <v/>
      </c>
      <c r="O271" s="89" t="str">
        <f>IFERROR(ج_ح_آبان[[#This Row],[حقوق پایه]]+ج_ح_آبان[[#This Row],[اضافه کاری]]+ج_ح_آبان[[#This Row],[حق مسکن]]+ج_ح_آبان[[#This Row],[حق اولاد]]+ج_ح_آبان[[#This Row],[حق و خواروبار]],"")</f>
        <v/>
      </c>
      <c r="P271"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71" s="89" t="str">
        <f>IFERROR(ج_ح_آبان[[#This Row],[حقوق پایه]]+ج_ح_آبان[[#This Row],[اضافه کاری]]+ج_ح_آبان[[#This Row],[حق مسکن]]+ج_ح_آبان[[#This Row],[حق و خواروبار]]+ج_ح_آبان[[#This Row],[حق اولاد]]-(2/7)*ج_ح_آبان[[#This Row],[بیمه پرداختنی]],"")</f>
        <v/>
      </c>
      <c r="R271" s="91"/>
      <c r="S271" s="91"/>
      <c r="T271" s="89" t="str">
        <f>IFERROR(ج_ح_آبان[[#This Row],[جمع ح و م م بیمه ]]*7%,"")</f>
        <v/>
      </c>
      <c r="U271"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71" s="89" t="str">
        <f>IFERROR(ج_ح_آبان[[#This Row],[وام]]+ج_ح_آبان[[#This Row],[مساعده]]+ج_ح_آبان[[#This Row],[بیمه پرداختنی]]+ج_ح_آبان[[#This Row],[مالیات پرداختنی]],"")</f>
        <v/>
      </c>
      <c r="W271" s="89" t="str">
        <f>IFERROR(ج_ح_آبان[[#This Row],[جمع ح و م]]-ج_ح_آبان[[#This Row],[جمع کسورات]],"")</f>
        <v/>
      </c>
      <c r="X271" s="108"/>
    </row>
    <row r="272" spans="1:24" ht="32.1" customHeight="1">
      <c r="B272" s="1">
        <f t="shared" si="6"/>
        <v>8</v>
      </c>
      <c r="C272" s="85" t="str">
        <f>IF(ج_ح_آبان[[#This Row],[نام]]&lt;&gt;"",ROW()-266+1,"")</f>
        <v/>
      </c>
      <c r="D272" s="86"/>
      <c r="E272" s="86"/>
      <c r="F272" s="87"/>
      <c r="G272" s="88" t="str">
        <f>IFERROR(IF(COUNT(ج_ح_آبان[[#This Row],[کارکرد]]),حداقل_حقوق_پایه_روزانه,""),"")</f>
        <v/>
      </c>
      <c r="H272" s="89" t="str">
        <f>IFERROR(IF(ج_ح_آبان[[#This Row],[کارکرد]]*ج_ح_آبان[[#This Row],[دستمزد روزانه ]]=0,"",ج_ح_آبان[[#This Row],[کارکرد]]*ج_ح_آبان[[#This Row],[دستمزد روزانه ]]),"")</f>
        <v/>
      </c>
      <c r="I272" s="91"/>
      <c r="J272" s="90" t="str">
        <f>IFERROR((ج_ح_آبان[[#This Row],[دستمزد روزانه ]]/7.33)*1.4*ج_ح_آبان[[#This Row],[مدت اضافه کاری ]],"")</f>
        <v/>
      </c>
      <c r="K272" s="89" t="str">
        <f>IF(ج_ح_آبان[[#This Row],[کارکرد]]="","",ج_ح_آبان[[#This Row],[کارکرد]]/30*حق_مسکن)</f>
        <v/>
      </c>
      <c r="L272" s="91"/>
      <c r="M272" s="89" t="str">
        <f>IF(ج_ح_آبان[[#This Row],[تعداد فرزندان]]="","",ج_ح_آبان[[#This Row],[کارکرد]]/30*3*ج_ح_آبان[[#This Row],[تعداد فرزندان]]*حداقل_حقوق_پایه_روزانه)</f>
        <v/>
      </c>
      <c r="N272" s="89" t="str">
        <f>IF(ج_ح_آبان[[#This Row],[کارکرد]]="","",ج_ح_آبان[[#This Row],[کارکرد]]/30*حق_خواربار)</f>
        <v/>
      </c>
      <c r="O272" s="89" t="str">
        <f>IFERROR(ج_ح_آبان[[#This Row],[حقوق پایه]]+ج_ح_آبان[[#This Row],[اضافه کاری]]+ج_ح_آبان[[#This Row],[حق مسکن]]+ج_ح_آبان[[#This Row],[حق اولاد]]+ج_ح_آبان[[#This Row],[حق و خواروبار]],"")</f>
        <v/>
      </c>
      <c r="P272"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72" s="89" t="str">
        <f>IFERROR(ج_ح_آبان[[#This Row],[حقوق پایه]]+ج_ح_آبان[[#This Row],[اضافه کاری]]+ج_ح_آبان[[#This Row],[حق مسکن]]+ج_ح_آبان[[#This Row],[حق و خواروبار]]+ج_ح_آبان[[#This Row],[حق اولاد]]-(2/7)*ج_ح_آبان[[#This Row],[بیمه پرداختنی]],"")</f>
        <v/>
      </c>
      <c r="R272" s="91"/>
      <c r="S272" s="91"/>
      <c r="T272" s="89" t="str">
        <f>IFERROR(ج_ح_آبان[[#This Row],[جمع ح و م م بیمه ]]*7%,"")</f>
        <v/>
      </c>
      <c r="U272"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72" s="89" t="str">
        <f>IFERROR(ج_ح_آبان[[#This Row],[وام]]+ج_ح_آبان[[#This Row],[مساعده]]+ج_ح_آبان[[#This Row],[بیمه پرداختنی]]+ج_ح_آبان[[#This Row],[مالیات پرداختنی]],"")</f>
        <v/>
      </c>
      <c r="W272" s="89" t="str">
        <f>IFERROR(ج_ح_آبان[[#This Row],[جمع ح و م]]-ج_ح_آبان[[#This Row],[جمع کسورات]],"")</f>
        <v/>
      </c>
      <c r="X272" s="108"/>
    </row>
    <row r="273" spans="2:24" ht="32.1" customHeight="1">
      <c r="B273" s="1">
        <f t="shared" si="6"/>
        <v>8</v>
      </c>
      <c r="C273" s="85" t="str">
        <f>IF(ج_ح_آبان[[#This Row],[نام]]&lt;&gt;"",ROW()-266+1,"")</f>
        <v/>
      </c>
      <c r="D273" s="86"/>
      <c r="E273" s="86"/>
      <c r="F273" s="87"/>
      <c r="G273" s="88" t="str">
        <f>IFERROR(IF(COUNT(ج_ح_آبان[[#This Row],[کارکرد]]),حداقل_حقوق_پایه_روزانه,""),"")</f>
        <v/>
      </c>
      <c r="H273" s="89" t="str">
        <f>IFERROR(IF(ج_ح_آبان[[#This Row],[کارکرد]]*ج_ح_آبان[[#This Row],[دستمزد روزانه ]]=0,"",ج_ح_آبان[[#This Row],[کارکرد]]*ج_ح_آبان[[#This Row],[دستمزد روزانه ]]),"")</f>
        <v/>
      </c>
      <c r="I273" s="91"/>
      <c r="J273" s="90" t="str">
        <f>IFERROR((ج_ح_آبان[[#This Row],[دستمزد روزانه ]]/7.33)*1.4*ج_ح_آبان[[#This Row],[مدت اضافه کاری ]],"")</f>
        <v/>
      </c>
      <c r="K273" s="89" t="str">
        <f>IF(ج_ح_آبان[[#This Row],[کارکرد]]="","",ج_ح_آبان[[#This Row],[کارکرد]]/30*حق_مسکن)</f>
        <v/>
      </c>
      <c r="L273" s="91"/>
      <c r="M273" s="89" t="str">
        <f>IF(ج_ح_آبان[[#This Row],[تعداد فرزندان]]="","",ج_ح_آبان[[#This Row],[کارکرد]]/30*3*ج_ح_آبان[[#This Row],[تعداد فرزندان]]*حداقل_حقوق_پایه_روزانه)</f>
        <v/>
      </c>
      <c r="N273" s="89" t="str">
        <f>IF(ج_ح_آبان[[#This Row],[کارکرد]]="","",ج_ح_آبان[[#This Row],[کارکرد]]/30*حق_خواربار)</f>
        <v/>
      </c>
      <c r="O273" s="89" t="str">
        <f>IFERROR(ج_ح_آبان[[#This Row],[حقوق پایه]]+ج_ح_آبان[[#This Row],[اضافه کاری]]+ج_ح_آبان[[#This Row],[حق مسکن]]+ج_ح_آبان[[#This Row],[حق اولاد]]+ج_ح_آبان[[#This Row],[حق و خواروبار]],"")</f>
        <v/>
      </c>
      <c r="P273"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73" s="89" t="str">
        <f>IFERROR(ج_ح_آبان[[#This Row],[حقوق پایه]]+ج_ح_آبان[[#This Row],[اضافه کاری]]+ج_ح_آبان[[#This Row],[حق مسکن]]+ج_ح_آبان[[#This Row],[حق و خواروبار]]+ج_ح_آبان[[#This Row],[حق اولاد]]-(2/7)*ج_ح_آبان[[#This Row],[بیمه پرداختنی]],"")</f>
        <v/>
      </c>
      <c r="R273" s="91"/>
      <c r="S273" s="91"/>
      <c r="T273" s="89" t="str">
        <f>IFERROR(ج_ح_آبان[[#This Row],[جمع ح و م م بیمه ]]*7%,"")</f>
        <v/>
      </c>
      <c r="U273"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73" s="89" t="str">
        <f>IFERROR(ج_ح_آبان[[#This Row],[وام]]+ج_ح_آبان[[#This Row],[مساعده]]+ج_ح_آبان[[#This Row],[بیمه پرداختنی]]+ج_ح_آبان[[#This Row],[مالیات پرداختنی]],"")</f>
        <v/>
      </c>
      <c r="W273" s="89" t="str">
        <f>IFERROR(ج_ح_آبان[[#This Row],[جمع ح و م]]-ج_ح_آبان[[#This Row],[جمع کسورات]],"")</f>
        <v/>
      </c>
      <c r="X273" s="108"/>
    </row>
    <row r="274" spans="2:24" ht="32.1" customHeight="1">
      <c r="B274" s="1">
        <f t="shared" si="6"/>
        <v>8</v>
      </c>
      <c r="C274" s="85" t="str">
        <f>IF(ج_ح_آبان[[#This Row],[نام]]&lt;&gt;"",ROW()-266+1,"")</f>
        <v/>
      </c>
      <c r="D274" s="86"/>
      <c r="E274" s="86"/>
      <c r="F274" s="87"/>
      <c r="G274" s="88" t="str">
        <f>IFERROR(IF(COUNT(ج_ح_آبان[[#This Row],[کارکرد]]),حداقل_حقوق_پایه_روزانه,""),"")</f>
        <v/>
      </c>
      <c r="H274" s="89" t="str">
        <f>IFERROR(IF(ج_ح_آبان[[#This Row],[کارکرد]]*ج_ح_آبان[[#This Row],[دستمزد روزانه ]]=0,"",ج_ح_آبان[[#This Row],[کارکرد]]*ج_ح_آبان[[#This Row],[دستمزد روزانه ]]),"")</f>
        <v/>
      </c>
      <c r="I274" s="91"/>
      <c r="J274" s="90" t="str">
        <f>IFERROR((ج_ح_آبان[[#This Row],[دستمزد روزانه ]]/7.33)*1.4*ج_ح_آبان[[#This Row],[مدت اضافه کاری ]],"")</f>
        <v/>
      </c>
      <c r="K274" s="89" t="str">
        <f>IF(ج_ح_آبان[[#This Row],[کارکرد]]="","",ج_ح_آبان[[#This Row],[کارکرد]]/30*حق_مسکن)</f>
        <v/>
      </c>
      <c r="L274" s="91"/>
      <c r="M274" s="89" t="str">
        <f>IF(ج_ح_آبان[[#This Row],[تعداد فرزندان]]="","",ج_ح_آبان[[#This Row],[کارکرد]]/30*3*ج_ح_آبان[[#This Row],[تعداد فرزندان]]*حداقل_حقوق_پایه_روزانه)</f>
        <v/>
      </c>
      <c r="N274" s="89" t="str">
        <f>IF(ج_ح_آبان[[#This Row],[کارکرد]]="","",ج_ح_آبان[[#This Row],[کارکرد]]/30*حق_خواربار)</f>
        <v/>
      </c>
      <c r="O274" s="89" t="str">
        <f>IFERROR(ج_ح_آبان[[#This Row],[حقوق پایه]]+ج_ح_آبان[[#This Row],[اضافه کاری]]+ج_ح_آبان[[#This Row],[حق مسکن]]+ج_ح_آبان[[#This Row],[حق اولاد]]+ج_ح_آبان[[#This Row],[حق و خواروبار]],"")</f>
        <v/>
      </c>
      <c r="P274"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74" s="89" t="str">
        <f>IFERROR(ج_ح_آبان[[#This Row],[حقوق پایه]]+ج_ح_آبان[[#This Row],[اضافه کاری]]+ج_ح_آبان[[#This Row],[حق مسکن]]+ج_ح_آبان[[#This Row],[حق و خواروبار]]+ج_ح_آبان[[#This Row],[حق اولاد]]-(2/7)*ج_ح_آبان[[#This Row],[بیمه پرداختنی]],"")</f>
        <v/>
      </c>
      <c r="R274" s="91"/>
      <c r="S274" s="91"/>
      <c r="T274" s="89" t="str">
        <f>IFERROR(ج_ح_آبان[[#This Row],[جمع ح و م م بیمه ]]*7%,"")</f>
        <v/>
      </c>
      <c r="U274"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74" s="89" t="str">
        <f>IFERROR(ج_ح_آبان[[#This Row],[وام]]+ج_ح_آبان[[#This Row],[مساعده]]+ج_ح_آبان[[#This Row],[بیمه پرداختنی]]+ج_ح_آبان[[#This Row],[مالیات پرداختنی]],"")</f>
        <v/>
      </c>
      <c r="W274" s="89" t="str">
        <f>IFERROR(ج_ح_آبان[[#This Row],[جمع ح و م]]-ج_ح_آبان[[#This Row],[جمع کسورات]],"")</f>
        <v/>
      </c>
      <c r="X274" s="108"/>
    </row>
    <row r="275" spans="2:24" ht="32.1" customHeight="1">
      <c r="B275" s="1">
        <f t="shared" si="6"/>
        <v>8</v>
      </c>
      <c r="C275" s="85" t="str">
        <f>IF(ج_ح_آبان[[#This Row],[نام]]&lt;&gt;"",ROW()-266+1,"")</f>
        <v/>
      </c>
      <c r="D275" s="86"/>
      <c r="E275" s="86"/>
      <c r="F275" s="87"/>
      <c r="G275" s="88" t="str">
        <f>IFERROR(IF(COUNT(ج_ح_آبان[[#This Row],[کارکرد]]),حداقل_حقوق_پایه_روزانه,""),"")</f>
        <v/>
      </c>
      <c r="H275" s="89" t="str">
        <f>IFERROR(IF(ج_ح_آبان[[#This Row],[کارکرد]]*ج_ح_آبان[[#This Row],[دستمزد روزانه ]]=0,"",ج_ح_آبان[[#This Row],[کارکرد]]*ج_ح_آبان[[#This Row],[دستمزد روزانه ]]),"")</f>
        <v/>
      </c>
      <c r="I275" s="91"/>
      <c r="J275" s="90" t="str">
        <f>IFERROR((ج_ح_آبان[[#This Row],[دستمزد روزانه ]]/7.33)*1.4*ج_ح_آبان[[#This Row],[مدت اضافه کاری ]],"")</f>
        <v/>
      </c>
      <c r="K275" s="89" t="str">
        <f>IF(ج_ح_آبان[[#This Row],[کارکرد]]="","",ج_ح_آبان[[#This Row],[کارکرد]]/30*حق_مسکن)</f>
        <v/>
      </c>
      <c r="L275" s="91"/>
      <c r="M275" s="89" t="str">
        <f>IF(ج_ح_آبان[[#This Row],[تعداد فرزندان]]="","",ج_ح_آبان[[#This Row],[کارکرد]]/30*3*ج_ح_آبان[[#This Row],[تعداد فرزندان]]*حداقل_حقوق_پایه_روزانه)</f>
        <v/>
      </c>
      <c r="N275" s="89" t="str">
        <f>IF(ج_ح_آبان[[#This Row],[کارکرد]]="","",ج_ح_آبان[[#This Row],[کارکرد]]/30*حق_خواربار)</f>
        <v/>
      </c>
      <c r="O275" s="89" t="str">
        <f>IFERROR(ج_ح_آبان[[#This Row],[حقوق پایه]]+ج_ح_آبان[[#This Row],[اضافه کاری]]+ج_ح_آبان[[#This Row],[حق مسکن]]+ج_ح_آبان[[#This Row],[حق اولاد]]+ج_ح_آبان[[#This Row],[حق و خواروبار]],"")</f>
        <v/>
      </c>
      <c r="P275"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75" s="89" t="str">
        <f>IFERROR(ج_ح_آبان[[#This Row],[حقوق پایه]]+ج_ح_آبان[[#This Row],[اضافه کاری]]+ج_ح_آبان[[#This Row],[حق مسکن]]+ج_ح_آبان[[#This Row],[حق و خواروبار]]+ج_ح_آبان[[#This Row],[حق اولاد]]-(2/7)*ج_ح_آبان[[#This Row],[بیمه پرداختنی]],"")</f>
        <v/>
      </c>
      <c r="R275" s="91"/>
      <c r="S275" s="91"/>
      <c r="T275" s="89" t="str">
        <f>IFERROR(ج_ح_آبان[[#This Row],[جمع ح و م م بیمه ]]*7%,"")</f>
        <v/>
      </c>
      <c r="U275"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75" s="89" t="str">
        <f>IFERROR(ج_ح_آبان[[#This Row],[وام]]+ج_ح_آبان[[#This Row],[مساعده]]+ج_ح_آبان[[#This Row],[بیمه پرداختنی]]+ج_ح_آبان[[#This Row],[مالیات پرداختنی]],"")</f>
        <v/>
      </c>
      <c r="W275" s="89" t="str">
        <f>IFERROR(ج_ح_آبان[[#This Row],[جمع ح و م]]-ج_ح_آبان[[#This Row],[جمع کسورات]],"")</f>
        <v/>
      </c>
      <c r="X275" s="108"/>
    </row>
    <row r="276" spans="2:24" ht="32.1" customHeight="1">
      <c r="B276" s="1">
        <f t="shared" si="6"/>
        <v>8</v>
      </c>
      <c r="C276" s="85" t="str">
        <f>IF(ج_ح_آبان[[#This Row],[نام]]&lt;&gt;"",ROW()-266+1,"")</f>
        <v/>
      </c>
      <c r="D276" s="86"/>
      <c r="E276" s="86"/>
      <c r="F276" s="87"/>
      <c r="G276" s="88" t="str">
        <f>IFERROR(IF(COUNT(ج_ح_آبان[[#This Row],[کارکرد]]),حداقل_حقوق_پایه_روزانه,""),"")</f>
        <v/>
      </c>
      <c r="H276" s="89" t="str">
        <f>IFERROR(IF(ج_ح_آبان[[#This Row],[کارکرد]]*ج_ح_آبان[[#This Row],[دستمزد روزانه ]]=0,"",ج_ح_آبان[[#This Row],[کارکرد]]*ج_ح_آبان[[#This Row],[دستمزد روزانه ]]),"")</f>
        <v/>
      </c>
      <c r="I276" s="91"/>
      <c r="J276" s="90" t="str">
        <f>IFERROR((ج_ح_آبان[[#This Row],[دستمزد روزانه ]]/7.33)*1.4*ج_ح_آبان[[#This Row],[مدت اضافه کاری ]],"")</f>
        <v/>
      </c>
      <c r="K276" s="89" t="str">
        <f>IF(ج_ح_آبان[[#This Row],[کارکرد]]="","",ج_ح_آبان[[#This Row],[کارکرد]]/30*حق_مسکن)</f>
        <v/>
      </c>
      <c r="L276" s="91"/>
      <c r="M276" s="89" t="str">
        <f>IF(ج_ح_آبان[[#This Row],[تعداد فرزندان]]="","",ج_ح_آبان[[#This Row],[کارکرد]]/30*3*ج_ح_آبان[[#This Row],[تعداد فرزندان]]*حداقل_حقوق_پایه_روزانه)</f>
        <v/>
      </c>
      <c r="N276" s="89" t="str">
        <f>IF(ج_ح_آبان[[#This Row],[کارکرد]]="","",ج_ح_آبان[[#This Row],[کارکرد]]/30*حق_خواربار)</f>
        <v/>
      </c>
      <c r="O276" s="89" t="str">
        <f>IFERROR(ج_ح_آبان[[#This Row],[حقوق پایه]]+ج_ح_آبان[[#This Row],[اضافه کاری]]+ج_ح_آبان[[#This Row],[حق مسکن]]+ج_ح_آبان[[#This Row],[حق اولاد]]+ج_ح_آبان[[#This Row],[حق و خواروبار]],"")</f>
        <v/>
      </c>
      <c r="P276"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76" s="89" t="str">
        <f>IFERROR(ج_ح_آبان[[#This Row],[حقوق پایه]]+ج_ح_آبان[[#This Row],[اضافه کاری]]+ج_ح_آبان[[#This Row],[حق مسکن]]+ج_ح_آبان[[#This Row],[حق و خواروبار]]+ج_ح_آبان[[#This Row],[حق اولاد]]-(2/7)*ج_ح_آبان[[#This Row],[بیمه پرداختنی]],"")</f>
        <v/>
      </c>
      <c r="R276" s="91"/>
      <c r="S276" s="91"/>
      <c r="T276" s="89" t="str">
        <f>IFERROR(ج_ح_آبان[[#This Row],[جمع ح و م م بیمه ]]*7%,"")</f>
        <v/>
      </c>
      <c r="U276"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76" s="89" t="str">
        <f>IFERROR(ج_ح_آبان[[#This Row],[وام]]+ج_ح_آبان[[#This Row],[مساعده]]+ج_ح_آبان[[#This Row],[بیمه پرداختنی]]+ج_ح_آبان[[#This Row],[مالیات پرداختنی]],"")</f>
        <v/>
      </c>
      <c r="W276" s="89" t="str">
        <f>IFERROR(ج_ح_آبان[[#This Row],[جمع ح و م]]-ج_ح_آبان[[#This Row],[جمع کسورات]],"")</f>
        <v/>
      </c>
      <c r="X276" s="108"/>
    </row>
    <row r="277" spans="2:24" ht="32.1" customHeight="1">
      <c r="B277" s="1">
        <f t="shared" si="6"/>
        <v>8</v>
      </c>
      <c r="C277" s="85" t="str">
        <f>IF(ج_ح_آبان[[#This Row],[نام]]&lt;&gt;"",ROW()-266+1,"")</f>
        <v/>
      </c>
      <c r="D277" s="86"/>
      <c r="E277" s="86"/>
      <c r="F277" s="87"/>
      <c r="G277" s="88" t="str">
        <f>IFERROR(IF(COUNT(ج_ح_آبان[[#This Row],[کارکرد]]),حداقل_حقوق_پایه_روزانه,""),"")</f>
        <v/>
      </c>
      <c r="H277" s="89" t="str">
        <f>IFERROR(IF(ج_ح_آبان[[#This Row],[کارکرد]]*ج_ح_آبان[[#This Row],[دستمزد روزانه ]]=0,"",ج_ح_آبان[[#This Row],[کارکرد]]*ج_ح_آبان[[#This Row],[دستمزد روزانه ]]),"")</f>
        <v/>
      </c>
      <c r="I277" s="91"/>
      <c r="J277" s="90" t="str">
        <f>IFERROR((ج_ح_آبان[[#This Row],[دستمزد روزانه ]]/7.33)*1.4*ج_ح_آبان[[#This Row],[مدت اضافه کاری ]],"")</f>
        <v/>
      </c>
      <c r="K277" s="89" t="str">
        <f>IF(ج_ح_آبان[[#This Row],[کارکرد]]="","",ج_ح_آبان[[#This Row],[کارکرد]]/30*حق_مسکن)</f>
        <v/>
      </c>
      <c r="L277" s="91"/>
      <c r="M277" s="89" t="str">
        <f>IF(ج_ح_آبان[[#This Row],[تعداد فرزندان]]="","",ج_ح_آبان[[#This Row],[کارکرد]]/30*3*ج_ح_آبان[[#This Row],[تعداد فرزندان]]*حداقل_حقوق_پایه_روزانه)</f>
        <v/>
      </c>
      <c r="N277" s="89" t="str">
        <f>IF(ج_ح_آبان[[#This Row],[کارکرد]]="","",ج_ح_آبان[[#This Row],[کارکرد]]/30*حق_خواربار)</f>
        <v/>
      </c>
      <c r="O277" s="89" t="str">
        <f>IFERROR(ج_ح_آبان[[#This Row],[حقوق پایه]]+ج_ح_آبان[[#This Row],[اضافه کاری]]+ج_ح_آبان[[#This Row],[حق مسکن]]+ج_ح_آبان[[#This Row],[حق اولاد]]+ج_ح_آبان[[#This Row],[حق و خواروبار]],"")</f>
        <v/>
      </c>
      <c r="P277"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77" s="89" t="str">
        <f>IFERROR(ج_ح_آبان[[#This Row],[حقوق پایه]]+ج_ح_آبان[[#This Row],[اضافه کاری]]+ج_ح_آبان[[#This Row],[حق مسکن]]+ج_ح_آبان[[#This Row],[حق و خواروبار]]+ج_ح_آبان[[#This Row],[حق اولاد]]-(2/7)*ج_ح_آبان[[#This Row],[بیمه پرداختنی]],"")</f>
        <v/>
      </c>
      <c r="R277" s="91"/>
      <c r="S277" s="91"/>
      <c r="T277" s="89" t="str">
        <f>IFERROR(ج_ح_آبان[[#This Row],[جمع ح و م م بیمه ]]*7%,"")</f>
        <v/>
      </c>
      <c r="U277"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77" s="89" t="str">
        <f>IFERROR(ج_ح_آبان[[#This Row],[وام]]+ج_ح_آبان[[#This Row],[مساعده]]+ج_ح_آبان[[#This Row],[بیمه پرداختنی]]+ج_ح_آبان[[#This Row],[مالیات پرداختنی]],"")</f>
        <v/>
      </c>
      <c r="W277" s="89" t="str">
        <f>IFERROR(ج_ح_آبان[[#This Row],[جمع ح و م]]-ج_ح_آبان[[#This Row],[جمع کسورات]],"")</f>
        <v/>
      </c>
      <c r="X277" s="108"/>
    </row>
    <row r="278" spans="2:24" ht="32.1" customHeight="1">
      <c r="B278" s="1">
        <f t="shared" si="6"/>
        <v>8</v>
      </c>
      <c r="C278" s="85" t="str">
        <f>IF(ج_ح_آبان[[#This Row],[نام]]&lt;&gt;"",ROW()-266+1,"")</f>
        <v/>
      </c>
      <c r="D278" s="86"/>
      <c r="E278" s="86"/>
      <c r="F278" s="87"/>
      <c r="G278" s="88" t="str">
        <f>IFERROR(IF(COUNT(ج_ح_آبان[[#This Row],[کارکرد]]),حداقل_حقوق_پایه_روزانه,""),"")</f>
        <v/>
      </c>
      <c r="H278" s="89" t="str">
        <f>IFERROR(IF(ج_ح_آبان[[#This Row],[کارکرد]]*ج_ح_آبان[[#This Row],[دستمزد روزانه ]]=0,"",ج_ح_آبان[[#This Row],[کارکرد]]*ج_ح_آبان[[#This Row],[دستمزد روزانه ]]),"")</f>
        <v/>
      </c>
      <c r="I278" s="91"/>
      <c r="J278" s="90" t="str">
        <f>IFERROR((ج_ح_آبان[[#This Row],[دستمزد روزانه ]]/7.33)*1.4*ج_ح_آبان[[#This Row],[مدت اضافه کاری ]],"")</f>
        <v/>
      </c>
      <c r="K278" s="89" t="str">
        <f>IF(ج_ح_آبان[[#This Row],[کارکرد]]="","",ج_ح_آبان[[#This Row],[کارکرد]]/30*حق_مسکن)</f>
        <v/>
      </c>
      <c r="L278" s="91"/>
      <c r="M278" s="89" t="str">
        <f>IF(ج_ح_آبان[[#This Row],[تعداد فرزندان]]="","",ج_ح_آبان[[#This Row],[کارکرد]]/30*3*ج_ح_آبان[[#This Row],[تعداد فرزندان]]*حداقل_حقوق_پایه_روزانه)</f>
        <v/>
      </c>
      <c r="N278" s="89" t="str">
        <f>IF(ج_ح_آبان[[#This Row],[کارکرد]]="","",ج_ح_آبان[[#This Row],[کارکرد]]/30*حق_خواربار)</f>
        <v/>
      </c>
      <c r="O278" s="89" t="str">
        <f>IFERROR(ج_ح_آبان[[#This Row],[حقوق پایه]]+ج_ح_آبان[[#This Row],[اضافه کاری]]+ج_ح_آبان[[#This Row],[حق مسکن]]+ج_ح_آبان[[#This Row],[حق اولاد]]+ج_ح_آبان[[#This Row],[حق و خواروبار]],"")</f>
        <v/>
      </c>
      <c r="P278"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78" s="89" t="str">
        <f>IFERROR(ج_ح_آبان[[#This Row],[حقوق پایه]]+ج_ح_آبان[[#This Row],[اضافه کاری]]+ج_ح_آبان[[#This Row],[حق مسکن]]+ج_ح_آبان[[#This Row],[حق و خواروبار]]+ج_ح_آبان[[#This Row],[حق اولاد]]-(2/7)*ج_ح_آبان[[#This Row],[بیمه پرداختنی]],"")</f>
        <v/>
      </c>
      <c r="R278" s="91"/>
      <c r="S278" s="91"/>
      <c r="T278" s="89" t="str">
        <f>IFERROR(ج_ح_آبان[[#This Row],[جمع ح و م م بیمه ]]*7%,"")</f>
        <v/>
      </c>
      <c r="U278"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78" s="89" t="str">
        <f>IFERROR(ج_ح_آبان[[#This Row],[وام]]+ج_ح_آبان[[#This Row],[مساعده]]+ج_ح_آبان[[#This Row],[بیمه پرداختنی]]+ج_ح_آبان[[#This Row],[مالیات پرداختنی]],"")</f>
        <v/>
      </c>
      <c r="W278" s="89" t="str">
        <f>IFERROR(ج_ح_آبان[[#This Row],[جمع ح و م]]-ج_ح_آبان[[#This Row],[جمع کسورات]],"")</f>
        <v/>
      </c>
      <c r="X278" s="108"/>
    </row>
    <row r="279" spans="2:24" ht="32.1" customHeight="1">
      <c r="B279" s="1">
        <f t="shared" si="6"/>
        <v>8</v>
      </c>
      <c r="C279" s="85" t="str">
        <f>IF(ج_ح_آبان[[#This Row],[نام]]&lt;&gt;"",ROW()-266+1,"")</f>
        <v/>
      </c>
      <c r="D279" s="86"/>
      <c r="E279" s="86"/>
      <c r="F279" s="87"/>
      <c r="G279" s="88" t="str">
        <f>IFERROR(IF(COUNT(ج_ح_آبان[[#This Row],[کارکرد]]),حداقل_حقوق_پایه_روزانه,""),"")</f>
        <v/>
      </c>
      <c r="H279" s="89" t="str">
        <f>IFERROR(IF(ج_ح_آبان[[#This Row],[کارکرد]]*ج_ح_آبان[[#This Row],[دستمزد روزانه ]]=0,"",ج_ح_آبان[[#This Row],[کارکرد]]*ج_ح_آبان[[#This Row],[دستمزد روزانه ]]),"")</f>
        <v/>
      </c>
      <c r="I279" s="91"/>
      <c r="J279" s="90" t="str">
        <f>IFERROR((ج_ح_آبان[[#This Row],[دستمزد روزانه ]]/7.33)*1.4*ج_ح_آبان[[#This Row],[مدت اضافه کاری ]],"")</f>
        <v/>
      </c>
      <c r="K279" s="89" t="str">
        <f>IF(ج_ح_آبان[[#This Row],[کارکرد]]="","",ج_ح_آبان[[#This Row],[کارکرد]]/30*حق_مسکن)</f>
        <v/>
      </c>
      <c r="L279" s="91"/>
      <c r="M279" s="89" t="str">
        <f>IF(ج_ح_آبان[[#This Row],[تعداد فرزندان]]="","",ج_ح_آبان[[#This Row],[کارکرد]]/30*3*ج_ح_آبان[[#This Row],[تعداد فرزندان]]*حداقل_حقوق_پایه_روزانه)</f>
        <v/>
      </c>
      <c r="N279" s="89" t="str">
        <f>IF(ج_ح_آبان[[#This Row],[کارکرد]]="","",ج_ح_آبان[[#This Row],[کارکرد]]/30*حق_خواربار)</f>
        <v/>
      </c>
      <c r="O279" s="89" t="str">
        <f>IFERROR(ج_ح_آبان[[#This Row],[حقوق پایه]]+ج_ح_آبان[[#This Row],[اضافه کاری]]+ج_ح_آبان[[#This Row],[حق مسکن]]+ج_ح_آبان[[#This Row],[حق اولاد]]+ج_ح_آبان[[#This Row],[حق و خواروبار]],"")</f>
        <v/>
      </c>
      <c r="P279"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79" s="89" t="str">
        <f>IFERROR(ج_ح_آبان[[#This Row],[حقوق پایه]]+ج_ح_آبان[[#This Row],[اضافه کاری]]+ج_ح_آبان[[#This Row],[حق مسکن]]+ج_ح_آبان[[#This Row],[حق و خواروبار]]+ج_ح_آبان[[#This Row],[حق اولاد]]-(2/7)*ج_ح_آبان[[#This Row],[بیمه پرداختنی]],"")</f>
        <v/>
      </c>
      <c r="R279" s="91"/>
      <c r="S279" s="91"/>
      <c r="T279" s="89" t="str">
        <f>IFERROR(ج_ح_آبان[[#This Row],[جمع ح و م م بیمه ]]*7%,"")</f>
        <v/>
      </c>
      <c r="U279"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79" s="89" t="str">
        <f>IFERROR(ج_ح_آبان[[#This Row],[وام]]+ج_ح_آبان[[#This Row],[مساعده]]+ج_ح_آبان[[#This Row],[بیمه پرداختنی]]+ج_ح_آبان[[#This Row],[مالیات پرداختنی]],"")</f>
        <v/>
      </c>
      <c r="W279" s="89" t="str">
        <f>IFERROR(ج_ح_آبان[[#This Row],[جمع ح و م]]-ج_ح_آبان[[#This Row],[جمع کسورات]],"")</f>
        <v/>
      </c>
      <c r="X279" s="108"/>
    </row>
    <row r="280" spans="2:24" ht="32.1" customHeight="1">
      <c r="B280" s="1">
        <f t="shared" si="6"/>
        <v>8</v>
      </c>
      <c r="C280" s="85" t="str">
        <f>IF(ج_ح_آبان[[#This Row],[نام]]&lt;&gt;"",ROW()-266+1,"")</f>
        <v/>
      </c>
      <c r="D280" s="86"/>
      <c r="E280" s="86"/>
      <c r="F280" s="87"/>
      <c r="G280" s="88" t="str">
        <f>IFERROR(IF(COUNT(ج_ح_آبان[[#This Row],[کارکرد]]),حداقل_حقوق_پایه_روزانه,""),"")</f>
        <v/>
      </c>
      <c r="H280" s="89" t="str">
        <f>IFERROR(IF(ج_ح_آبان[[#This Row],[کارکرد]]*ج_ح_آبان[[#This Row],[دستمزد روزانه ]]=0,"",ج_ح_آبان[[#This Row],[کارکرد]]*ج_ح_آبان[[#This Row],[دستمزد روزانه ]]),"")</f>
        <v/>
      </c>
      <c r="I280" s="91"/>
      <c r="J280" s="90" t="str">
        <f>IFERROR((ج_ح_آبان[[#This Row],[دستمزد روزانه ]]/7.33)*1.4*ج_ح_آبان[[#This Row],[مدت اضافه کاری ]],"")</f>
        <v/>
      </c>
      <c r="K280" s="89" t="str">
        <f>IF(ج_ح_آبان[[#This Row],[کارکرد]]="","",ج_ح_آبان[[#This Row],[کارکرد]]/30*حق_مسکن)</f>
        <v/>
      </c>
      <c r="L280" s="91"/>
      <c r="M280" s="89" t="str">
        <f>IF(ج_ح_آبان[[#This Row],[تعداد فرزندان]]="","",ج_ح_آبان[[#This Row],[کارکرد]]/30*3*ج_ح_آبان[[#This Row],[تعداد فرزندان]]*حداقل_حقوق_پایه_روزانه)</f>
        <v/>
      </c>
      <c r="N280" s="89" t="str">
        <f>IF(ج_ح_آبان[[#This Row],[کارکرد]]="","",ج_ح_آبان[[#This Row],[کارکرد]]/30*حق_خواربار)</f>
        <v/>
      </c>
      <c r="O280" s="89" t="str">
        <f>IFERROR(ج_ح_آبان[[#This Row],[حقوق پایه]]+ج_ح_آبان[[#This Row],[اضافه کاری]]+ج_ح_آبان[[#This Row],[حق مسکن]]+ج_ح_آبان[[#This Row],[حق اولاد]]+ج_ح_آبان[[#This Row],[حق و خواروبار]],"")</f>
        <v/>
      </c>
      <c r="P280"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80" s="89" t="str">
        <f>IFERROR(ج_ح_آبان[[#This Row],[حقوق پایه]]+ج_ح_آبان[[#This Row],[اضافه کاری]]+ج_ح_آبان[[#This Row],[حق مسکن]]+ج_ح_آبان[[#This Row],[حق و خواروبار]]+ج_ح_آبان[[#This Row],[حق اولاد]]-(2/7)*ج_ح_آبان[[#This Row],[بیمه پرداختنی]],"")</f>
        <v/>
      </c>
      <c r="R280" s="91"/>
      <c r="S280" s="91"/>
      <c r="T280" s="89" t="str">
        <f>IFERROR(ج_ح_آبان[[#This Row],[جمع ح و م م بیمه ]]*7%,"")</f>
        <v/>
      </c>
      <c r="U280"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80" s="89" t="str">
        <f>IFERROR(ج_ح_آبان[[#This Row],[وام]]+ج_ح_آبان[[#This Row],[مساعده]]+ج_ح_آبان[[#This Row],[بیمه پرداختنی]]+ج_ح_آبان[[#This Row],[مالیات پرداختنی]],"")</f>
        <v/>
      </c>
      <c r="W280" s="89" t="str">
        <f>IFERROR(ج_ح_آبان[[#This Row],[جمع ح و م]]-ج_ح_آبان[[#This Row],[جمع کسورات]],"")</f>
        <v/>
      </c>
      <c r="X280" s="108"/>
    </row>
    <row r="281" spans="2:24" ht="32.1" customHeight="1">
      <c r="B281" s="1">
        <f t="shared" si="6"/>
        <v>8</v>
      </c>
      <c r="C281" s="85" t="str">
        <f>IF(ج_ح_آبان[[#This Row],[نام]]&lt;&gt;"",ROW()-266+1,"")</f>
        <v/>
      </c>
      <c r="D281" s="86"/>
      <c r="E281" s="86"/>
      <c r="F281" s="87"/>
      <c r="G281" s="88" t="str">
        <f>IFERROR(IF(COUNT(ج_ح_آبان[[#This Row],[کارکرد]]),حداقل_حقوق_پایه_روزانه,""),"")</f>
        <v/>
      </c>
      <c r="H281" s="89" t="str">
        <f>IFERROR(IF(ج_ح_آبان[[#This Row],[کارکرد]]*ج_ح_آبان[[#This Row],[دستمزد روزانه ]]=0,"",ج_ح_آبان[[#This Row],[کارکرد]]*ج_ح_آبان[[#This Row],[دستمزد روزانه ]]),"")</f>
        <v/>
      </c>
      <c r="I281" s="91"/>
      <c r="J281" s="90" t="str">
        <f>IFERROR((ج_ح_آبان[[#This Row],[دستمزد روزانه ]]/7.33)*1.4*ج_ح_آبان[[#This Row],[مدت اضافه کاری ]],"")</f>
        <v/>
      </c>
      <c r="K281" s="89" t="str">
        <f>IF(ج_ح_آبان[[#This Row],[کارکرد]]="","",ج_ح_آبان[[#This Row],[کارکرد]]/30*حق_مسکن)</f>
        <v/>
      </c>
      <c r="L281" s="91"/>
      <c r="M281" s="89" t="str">
        <f>IF(ج_ح_آبان[[#This Row],[تعداد فرزندان]]="","",ج_ح_آبان[[#This Row],[کارکرد]]/30*3*ج_ح_آبان[[#This Row],[تعداد فرزندان]]*حداقل_حقوق_پایه_روزانه)</f>
        <v/>
      </c>
      <c r="N281" s="89" t="str">
        <f>IF(ج_ح_آبان[[#This Row],[کارکرد]]="","",ج_ح_آبان[[#This Row],[کارکرد]]/30*حق_خواربار)</f>
        <v/>
      </c>
      <c r="O281" s="89" t="str">
        <f>IFERROR(ج_ح_آبان[[#This Row],[حقوق پایه]]+ج_ح_آبان[[#This Row],[اضافه کاری]]+ج_ح_آبان[[#This Row],[حق مسکن]]+ج_ح_آبان[[#This Row],[حق اولاد]]+ج_ح_آبان[[#This Row],[حق و خواروبار]],"")</f>
        <v/>
      </c>
      <c r="P281"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81" s="89" t="str">
        <f>IFERROR(ج_ح_آبان[[#This Row],[حقوق پایه]]+ج_ح_آبان[[#This Row],[اضافه کاری]]+ج_ح_آبان[[#This Row],[حق مسکن]]+ج_ح_آبان[[#This Row],[حق و خواروبار]]+ج_ح_آبان[[#This Row],[حق اولاد]]-(2/7)*ج_ح_آبان[[#This Row],[بیمه پرداختنی]],"")</f>
        <v/>
      </c>
      <c r="R281" s="91"/>
      <c r="S281" s="91"/>
      <c r="T281" s="89" t="str">
        <f>IFERROR(ج_ح_آبان[[#This Row],[جمع ح و م م بیمه ]]*7%,"")</f>
        <v/>
      </c>
      <c r="U281"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81" s="89" t="str">
        <f>IFERROR(ج_ح_آبان[[#This Row],[وام]]+ج_ح_آبان[[#This Row],[مساعده]]+ج_ح_آبان[[#This Row],[بیمه پرداختنی]]+ج_ح_آبان[[#This Row],[مالیات پرداختنی]],"")</f>
        <v/>
      </c>
      <c r="W281" s="89" t="str">
        <f>IFERROR(ج_ح_آبان[[#This Row],[جمع ح و م]]-ج_ح_آبان[[#This Row],[جمع کسورات]],"")</f>
        <v/>
      </c>
      <c r="X281" s="108"/>
    </row>
    <row r="282" spans="2:24" ht="32.1" customHeight="1">
      <c r="B282" s="1">
        <f t="shared" si="6"/>
        <v>8</v>
      </c>
      <c r="C282" s="85" t="str">
        <f>IF(ج_ح_آبان[[#This Row],[نام]]&lt;&gt;"",ROW()-266+1,"")</f>
        <v/>
      </c>
      <c r="D282" s="86"/>
      <c r="E282" s="86"/>
      <c r="F282" s="87"/>
      <c r="G282" s="88" t="str">
        <f>IFERROR(IF(COUNT(ج_ح_آبان[[#This Row],[کارکرد]]),حداقل_حقوق_پایه_روزانه,""),"")</f>
        <v/>
      </c>
      <c r="H282" s="89" t="str">
        <f>IFERROR(IF(ج_ح_آبان[[#This Row],[کارکرد]]*ج_ح_آبان[[#This Row],[دستمزد روزانه ]]=0,"",ج_ح_آبان[[#This Row],[کارکرد]]*ج_ح_آبان[[#This Row],[دستمزد روزانه ]]),"")</f>
        <v/>
      </c>
      <c r="I282" s="91"/>
      <c r="J282" s="90" t="str">
        <f>IFERROR((ج_ح_آبان[[#This Row],[دستمزد روزانه ]]/7.33)*1.4*ج_ح_آبان[[#This Row],[مدت اضافه کاری ]],"")</f>
        <v/>
      </c>
      <c r="K282" s="89" t="str">
        <f>IF(ج_ح_آبان[[#This Row],[کارکرد]]="","",ج_ح_آبان[[#This Row],[کارکرد]]/30*حق_مسکن)</f>
        <v/>
      </c>
      <c r="L282" s="91"/>
      <c r="M282" s="89" t="str">
        <f>IF(ج_ح_آبان[[#This Row],[تعداد فرزندان]]="","",ج_ح_آبان[[#This Row],[کارکرد]]/30*3*ج_ح_آبان[[#This Row],[تعداد فرزندان]]*حداقل_حقوق_پایه_روزانه)</f>
        <v/>
      </c>
      <c r="N282" s="89" t="str">
        <f>IF(ج_ح_آبان[[#This Row],[کارکرد]]="","",ج_ح_آبان[[#This Row],[کارکرد]]/30*حق_خواربار)</f>
        <v/>
      </c>
      <c r="O282" s="89" t="str">
        <f>IFERROR(ج_ح_آبان[[#This Row],[حقوق پایه]]+ج_ح_آبان[[#This Row],[اضافه کاری]]+ج_ح_آبان[[#This Row],[حق مسکن]]+ج_ح_آبان[[#This Row],[حق اولاد]]+ج_ح_آبان[[#This Row],[حق و خواروبار]],"")</f>
        <v/>
      </c>
      <c r="P282"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82" s="89" t="str">
        <f>IFERROR(ج_ح_آبان[[#This Row],[حقوق پایه]]+ج_ح_آبان[[#This Row],[اضافه کاری]]+ج_ح_آبان[[#This Row],[حق مسکن]]+ج_ح_آبان[[#This Row],[حق و خواروبار]]+ج_ح_آبان[[#This Row],[حق اولاد]]-(2/7)*ج_ح_آبان[[#This Row],[بیمه پرداختنی]],"")</f>
        <v/>
      </c>
      <c r="R282" s="91"/>
      <c r="S282" s="91"/>
      <c r="T282" s="89" t="str">
        <f>IFERROR(ج_ح_آبان[[#This Row],[جمع ح و م م بیمه ]]*7%,"")</f>
        <v/>
      </c>
      <c r="U282"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82" s="89" t="str">
        <f>IFERROR(ج_ح_آبان[[#This Row],[وام]]+ج_ح_آبان[[#This Row],[مساعده]]+ج_ح_آبان[[#This Row],[بیمه پرداختنی]]+ج_ح_آبان[[#This Row],[مالیات پرداختنی]],"")</f>
        <v/>
      </c>
      <c r="W282" s="89" t="str">
        <f>IFERROR(ج_ح_آبان[[#This Row],[جمع ح و م]]-ج_ح_آبان[[#This Row],[جمع کسورات]],"")</f>
        <v/>
      </c>
      <c r="X282" s="108"/>
    </row>
    <row r="283" spans="2:24" ht="32.1" customHeight="1">
      <c r="B283" s="1">
        <f t="shared" si="6"/>
        <v>8</v>
      </c>
      <c r="C283" s="85" t="str">
        <f>IF(ج_ح_آبان[[#This Row],[نام]]&lt;&gt;"",ROW()-266+1,"")</f>
        <v/>
      </c>
      <c r="D283" s="86"/>
      <c r="E283" s="86"/>
      <c r="F283" s="87"/>
      <c r="G283" s="88" t="str">
        <f>IFERROR(IF(COUNT(ج_ح_آبان[[#This Row],[کارکرد]]),حداقل_حقوق_پایه_روزانه,""),"")</f>
        <v/>
      </c>
      <c r="H283" s="89" t="str">
        <f>IFERROR(IF(ج_ح_آبان[[#This Row],[کارکرد]]*ج_ح_آبان[[#This Row],[دستمزد روزانه ]]=0,"",ج_ح_آبان[[#This Row],[کارکرد]]*ج_ح_آبان[[#This Row],[دستمزد روزانه ]]),"")</f>
        <v/>
      </c>
      <c r="I283" s="91"/>
      <c r="J283" s="90" t="str">
        <f>IFERROR((ج_ح_آبان[[#This Row],[دستمزد روزانه ]]/7.33)*1.4*ج_ح_آبان[[#This Row],[مدت اضافه کاری ]],"")</f>
        <v/>
      </c>
      <c r="K283" s="89" t="str">
        <f>IF(ج_ح_آبان[[#This Row],[کارکرد]]="","",ج_ح_آبان[[#This Row],[کارکرد]]/30*حق_مسکن)</f>
        <v/>
      </c>
      <c r="L283" s="91"/>
      <c r="M283" s="89" t="str">
        <f>IF(ج_ح_آبان[[#This Row],[تعداد فرزندان]]="","",ج_ح_آبان[[#This Row],[کارکرد]]/30*3*ج_ح_آبان[[#This Row],[تعداد فرزندان]]*حداقل_حقوق_پایه_روزانه)</f>
        <v/>
      </c>
      <c r="N283" s="89" t="str">
        <f>IF(ج_ح_آبان[[#This Row],[کارکرد]]="","",ج_ح_آبان[[#This Row],[کارکرد]]/30*حق_خواربار)</f>
        <v/>
      </c>
      <c r="O283" s="89" t="str">
        <f>IFERROR(ج_ح_آبان[[#This Row],[حقوق پایه]]+ج_ح_آبان[[#This Row],[اضافه کاری]]+ج_ح_آبان[[#This Row],[حق مسکن]]+ج_ح_آبان[[#This Row],[حق اولاد]]+ج_ح_آبان[[#This Row],[حق و خواروبار]],"")</f>
        <v/>
      </c>
      <c r="P283"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83" s="89" t="str">
        <f>IFERROR(ج_ح_آبان[[#This Row],[حقوق پایه]]+ج_ح_آبان[[#This Row],[اضافه کاری]]+ج_ح_آبان[[#This Row],[حق مسکن]]+ج_ح_آبان[[#This Row],[حق و خواروبار]]+ج_ح_آبان[[#This Row],[حق اولاد]]-(2/7)*ج_ح_آبان[[#This Row],[بیمه پرداختنی]],"")</f>
        <v/>
      </c>
      <c r="R283" s="91"/>
      <c r="S283" s="91"/>
      <c r="T283" s="89" t="str">
        <f>IFERROR(ج_ح_آبان[[#This Row],[جمع ح و م م بیمه ]]*7%,"")</f>
        <v/>
      </c>
      <c r="U283"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83" s="89" t="str">
        <f>IFERROR(ج_ح_آبان[[#This Row],[وام]]+ج_ح_آبان[[#This Row],[مساعده]]+ج_ح_آبان[[#This Row],[بیمه پرداختنی]]+ج_ح_آبان[[#This Row],[مالیات پرداختنی]],"")</f>
        <v/>
      </c>
      <c r="W283" s="89" t="str">
        <f>IFERROR(ج_ح_آبان[[#This Row],[جمع ح و م]]-ج_ح_آبان[[#This Row],[جمع کسورات]],"")</f>
        <v/>
      </c>
      <c r="X283" s="108"/>
    </row>
    <row r="284" spans="2:24" ht="32.1" customHeight="1">
      <c r="B284" s="1">
        <f t="shared" si="6"/>
        <v>8</v>
      </c>
      <c r="C284" s="85" t="str">
        <f>IF(ج_ح_آبان[[#This Row],[نام]]&lt;&gt;"",ROW()-266+1,"")</f>
        <v/>
      </c>
      <c r="D284" s="86"/>
      <c r="E284" s="86"/>
      <c r="F284" s="87"/>
      <c r="G284" s="88" t="str">
        <f>IFERROR(IF(COUNT(ج_ح_آبان[[#This Row],[کارکرد]]),حداقل_حقوق_پایه_روزانه,""),"")</f>
        <v/>
      </c>
      <c r="H284" s="89" t="str">
        <f>IFERROR(IF(ج_ح_آبان[[#This Row],[کارکرد]]*ج_ح_آبان[[#This Row],[دستمزد روزانه ]]=0,"",ج_ح_آبان[[#This Row],[کارکرد]]*ج_ح_آبان[[#This Row],[دستمزد روزانه ]]),"")</f>
        <v/>
      </c>
      <c r="I284" s="91"/>
      <c r="J284" s="90" t="str">
        <f>IFERROR((ج_ح_آبان[[#This Row],[دستمزد روزانه ]]/7.33)*1.4*ج_ح_آبان[[#This Row],[مدت اضافه کاری ]],"")</f>
        <v/>
      </c>
      <c r="K284" s="89" t="str">
        <f>IF(ج_ح_آبان[[#This Row],[کارکرد]]="","",ج_ح_آبان[[#This Row],[کارکرد]]/30*حق_مسکن)</f>
        <v/>
      </c>
      <c r="L284" s="91"/>
      <c r="M284" s="89" t="str">
        <f>IF(ج_ح_آبان[[#This Row],[تعداد فرزندان]]="","",ج_ح_آبان[[#This Row],[کارکرد]]/30*3*ج_ح_آبان[[#This Row],[تعداد فرزندان]]*حداقل_حقوق_پایه_روزانه)</f>
        <v/>
      </c>
      <c r="N284" s="89" t="str">
        <f>IF(ج_ح_آبان[[#This Row],[کارکرد]]="","",ج_ح_آبان[[#This Row],[کارکرد]]/30*حق_خواربار)</f>
        <v/>
      </c>
      <c r="O284" s="89" t="str">
        <f>IFERROR(ج_ح_آبان[[#This Row],[حقوق پایه]]+ج_ح_آبان[[#This Row],[اضافه کاری]]+ج_ح_آبان[[#This Row],[حق مسکن]]+ج_ح_آبان[[#This Row],[حق اولاد]]+ج_ح_آبان[[#This Row],[حق و خواروبار]],"")</f>
        <v/>
      </c>
      <c r="P284"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84" s="89" t="str">
        <f>IFERROR(ج_ح_آبان[[#This Row],[حقوق پایه]]+ج_ح_آبان[[#This Row],[اضافه کاری]]+ج_ح_آبان[[#This Row],[حق مسکن]]+ج_ح_آبان[[#This Row],[حق و خواروبار]]+ج_ح_آبان[[#This Row],[حق اولاد]]-(2/7)*ج_ح_آبان[[#This Row],[بیمه پرداختنی]],"")</f>
        <v/>
      </c>
      <c r="R284" s="91"/>
      <c r="S284" s="91"/>
      <c r="T284" s="89" t="str">
        <f>IFERROR(ج_ح_آبان[[#This Row],[جمع ح و م م بیمه ]]*7%,"")</f>
        <v/>
      </c>
      <c r="U284"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84" s="89" t="str">
        <f>IFERROR(ج_ح_آبان[[#This Row],[وام]]+ج_ح_آبان[[#This Row],[مساعده]]+ج_ح_آبان[[#This Row],[بیمه پرداختنی]]+ج_ح_آبان[[#This Row],[مالیات پرداختنی]],"")</f>
        <v/>
      </c>
      <c r="W284" s="89" t="str">
        <f>IFERROR(ج_ح_آبان[[#This Row],[جمع ح و م]]-ج_ح_آبان[[#This Row],[جمع کسورات]],"")</f>
        <v/>
      </c>
      <c r="X284" s="108"/>
    </row>
    <row r="285" spans="2:24" ht="32.1" customHeight="1">
      <c r="B285" s="1">
        <f t="shared" si="6"/>
        <v>8</v>
      </c>
      <c r="C285" s="85" t="str">
        <f>IF(ج_ح_آبان[[#This Row],[نام]]&lt;&gt;"",ROW()-266+1,"")</f>
        <v/>
      </c>
      <c r="D285" s="86"/>
      <c r="E285" s="86"/>
      <c r="F285" s="87"/>
      <c r="G285" s="88" t="str">
        <f>IFERROR(IF(COUNT(ج_ح_آبان[[#This Row],[کارکرد]]),حداقل_حقوق_پایه_روزانه,""),"")</f>
        <v/>
      </c>
      <c r="H285" s="89" t="str">
        <f>IFERROR(IF(ج_ح_آبان[[#This Row],[کارکرد]]*ج_ح_آبان[[#This Row],[دستمزد روزانه ]]=0,"",ج_ح_آبان[[#This Row],[کارکرد]]*ج_ح_آبان[[#This Row],[دستمزد روزانه ]]),"")</f>
        <v/>
      </c>
      <c r="I285" s="91"/>
      <c r="J285" s="90" t="str">
        <f>IFERROR((ج_ح_آبان[[#This Row],[دستمزد روزانه ]]/7.33)*1.4*ج_ح_آبان[[#This Row],[مدت اضافه کاری ]],"")</f>
        <v/>
      </c>
      <c r="K285" s="89" t="str">
        <f>IF(ج_ح_آبان[[#This Row],[کارکرد]]="","",ج_ح_آبان[[#This Row],[کارکرد]]/30*حق_مسکن)</f>
        <v/>
      </c>
      <c r="L285" s="91"/>
      <c r="M285" s="89" t="str">
        <f>IF(ج_ح_آبان[[#This Row],[تعداد فرزندان]]="","",ج_ح_آبان[[#This Row],[کارکرد]]/30*3*ج_ح_آبان[[#This Row],[تعداد فرزندان]]*حداقل_حقوق_پایه_روزانه)</f>
        <v/>
      </c>
      <c r="N285" s="89" t="str">
        <f>IF(ج_ح_آبان[[#This Row],[کارکرد]]="","",ج_ح_آبان[[#This Row],[کارکرد]]/30*حق_خواربار)</f>
        <v/>
      </c>
      <c r="O285" s="89" t="str">
        <f>IFERROR(ج_ح_آبان[[#This Row],[حقوق پایه]]+ج_ح_آبان[[#This Row],[اضافه کاری]]+ج_ح_آبان[[#This Row],[حق مسکن]]+ج_ح_آبان[[#This Row],[حق اولاد]]+ج_ح_آبان[[#This Row],[حق و خواروبار]],"")</f>
        <v/>
      </c>
      <c r="P285"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85" s="89" t="str">
        <f>IFERROR(ج_ح_آبان[[#This Row],[حقوق پایه]]+ج_ح_آبان[[#This Row],[اضافه کاری]]+ج_ح_آبان[[#This Row],[حق مسکن]]+ج_ح_آبان[[#This Row],[حق و خواروبار]]+ج_ح_آبان[[#This Row],[حق اولاد]]-(2/7)*ج_ح_آبان[[#This Row],[بیمه پرداختنی]],"")</f>
        <v/>
      </c>
      <c r="R285" s="91"/>
      <c r="S285" s="91"/>
      <c r="T285" s="89" t="str">
        <f>IFERROR(ج_ح_آبان[[#This Row],[جمع ح و م م بیمه ]]*7%,"")</f>
        <v/>
      </c>
      <c r="U285"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85" s="89" t="str">
        <f>IFERROR(ج_ح_آبان[[#This Row],[وام]]+ج_ح_آبان[[#This Row],[مساعده]]+ج_ح_آبان[[#This Row],[بیمه پرداختنی]]+ج_ح_آبان[[#This Row],[مالیات پرداختنی]],"")</f>
        <v/>
      </c>
      <c r="W285" s="89" t="str">
        <f>IFERROR(ج_ح_آبان[[#This Row],[جمع ح و م]]-ج_ح_آبان[[#This Row],[جمع کسورات]],"")</f>
        <v/>
      </c>
      <c r="X285" s="108"/>
    </row>
    <row r="286" spans="2:24" ht="32.1" customHeight="1">
      <c r="B286" s="1">
        <f t="shared" si="6"/>
        <v>8</v>
      </c>
      <c r="C286" s="85" t="str">
        <f>IF(ج_ح_آبان[[#This Row],[نام]]&lt;&gt;"",ROW()-266+1,"")</f>
        <v/>
      </c>
      <c r="D286" s="86"/>
      <c r="E286" s="86"/>
      <c r="F286" s="87"/>
      <c r="G286" s="88" t="str">
        <f>IFERROR(IF(COUNT(ج_ح_آبان[[#This Row],[کارکرد]]),حداقل_حقوق_پایه_روزانه,""),"")</f>
        <v/>
      </c>
      <c r="H286" s="89" t="str">
        <f>IFERROR(IF(ج_ح_آبان[[#This Row],[کارکرد]]*ج_ح_آبان[[#This Row],[دستمزد روزانه ]]=0,"",ج_ح_آبان[[#This Row],[کارکرد]]*ج_ح_آبان[[#This Row],[دستمزد روزانه ]]),"")</f>
        <v/>
      </c>
      <c r="I286" s="91"/>
      <c r="J286" s="90" t="str">
        <f>IFERROR((ج_ح_آبان[[#This Row],[دستمزد روزانه ]]/7.33)*1.4*ج_ح_آبان[[#This Row],[مدت اضافه کاری ]],"")</f>
        <v/>
      </c>
      <c r="K286" s="89" t="str">
        <f>IF(ج_ح_آبان[[#This Row],[کارکرد]]="","",ج_ح_آبان[[#This Row],[کارکرد]]/30*حق_مسکن)</f>
        <v/>
      </c>
      <c r="L286" s="91"/>
      <c r="M286" s="89" t="str">
        <f>IF(ج_ح_آبان[[#This Row],[تعداد فرزندان]]="","",ج_ح_آبان[[#This Row],[کارکرد]]/30*3*ج_ح_آبان[[#This Row],[تعداد فرزندان]]*حداقل_حقوق_پایه_روزانه)</f>
        <v/>
      </c>
      <c r="N286" s="89" t="str">
        <f>IF(ج_ح_آبان[[#This Row],[کارکرد]]="","",ج_ح_آبان[[#This Row],[کارکرد]]/30*حق_خواربار)</f>
        <v/>
      </c>
      <c r="O286" s="89" t="str">
        <f>IFERROR(ج_ح_آبان[[#This Row],[حقوق پایه]]+ج_ح_آبان[[#This Row],[اضافه کاری]]+ج_ح_آبان[[#This Row],[حق مسکن]]+ج_ح_آبان[[#This Row],[حق اولاد]]+ج_ح_آبان[[#This Row],[حق و خواروبار]],"")</f>
        <v/>
      </c>
      <c r="P286"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86" s="89" t="str">
        <f>IFERROR(ج_ح_آبان[[#This Row],[حقوق پایه]]+ج_ح_آبان[[#This Row],[اضافه کاری]]+ج_ح_آبان[[#This Row],[حق مسکن]]+ج_ح_آبان[[#This Row],[حق و خواروبار]]+ج_ح_آبان[[#This Row],[حق اولاد]]-(2/7)*ج_ح_آبان[[#This Row],[بیمه پرداختنی]],"")</f>
        <v/>
      </c>
      <c r="R286" s="91"/>
      <c r="S286" s="91"/>
      <c r="T286" s="89" t="str">
        <f>IFERROR(ج_ح_آبان[[#This Row],[جمع ح و م م بیمه ]]*7%,"")</f>
        <v/>
      </c>
      <c r="U286"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86" s="89" t="str">
        <f>IFERROR(ج_ح_آبان[[#This Row],[وام]]+ج_ح_آبان[[#This Row],[مساعده]]+ج_ح_آبان[[#This Row],[بیمه پرداختنی]]+ج_ح_آبان[[#This Row],[مالیات پرداختنی]],"")</f>
        <v/>
      </c>
      <c r="W286" s="89" t="str">
        <f>IFERROR(ج_ح_آبان[[#This Row],[جمع ح و م]]-ج_ح_آبان[[#This Row],[جمع کسورات]],"")</f>
        <v/>
      </c>
      <c r="X286" s="108"/>
    </row>
    <row r="287" spans="2:24" ht="32.1" customHeight="1">
      <c r="B287" s="1">
        <f t="shared" si="6"/>
        <v>8</v>
      </c>
      <c r="C287" s="85" t="str">
        <f>IF(ج_ح_آبان[[#This Row],[نام]]&lt;&gt;"",ROW()-266+1,"")</f>
        <v/>
      </c>
      <c r="D287" s="86"/>
      <c r="E287" s="86"/>
      <c r="F287" s="87"/>
      <c r="G287" s="88" t="str">
        <f>IFERROR(IF(COUNT(ج_ح_آبان[[#This Row],[کارکرد]]),حداقل_حقوق_پایه_روزانه,""),"")</f>
        <v/>
      </c>
      <c r="H287" s="89" t="str">
        <f>IFERROR(IF(ج_ح_آبان[[#This Row],[کارکرد]]*ج_ح_آبان[[#This Row],[دستمزد روزانه ]]=0,"",ج_ح_آبان[[#This Row],[کارکرد]]*ج_ح_آبان[[#This Row],[دستمزد روزانه ]]),"")</f>
        <v/>
      </c>
      <c r="I287" s="91"/>
      <c r="J287" s="90" t="str">
        <f>IFERROR((ج_ح_آبان[[#This Row],[دستمزد روزانه ]]/7.33)*1.4*ج_ح_آبان[[#This Row],[مدت اضافه کاری ]],"")</f>
        <v/>
      </c>
      <c r="K287" s="89" t="str">
        <f>IF(ج_ح_آبان[[#This Row],[کارکرد]]="","",ج_ح_آبان[[#This Row],[کارکرد]]/30*حق_مسکن)</f>
        <v/>
      </c>
      <c r="L287" s="91"/>
      <c r="M287" s="89" t="str">
        <f>IF(ج_ح_آبان[[#This Row],[تعداد فرزندان]]="","",ج_ح_آبان[[#This Row],[کارکرد]]/30*3*ج_ح_آبان[[#This Row],[تعداد فرزندان]]*حداقل_حقوق_پایه_روزانه)</f>
        <v/>
      </c>
      <c r="N287" s="89" t="str">
        <f>IF(ج_ح_آبان[[#This Row],[کارکرد]]="","",ج_ح_آبان[[#This Row],[کارکرد]]/30*حق_خواربار)</f>
        <v/>
      </c>
      <c r="O287" s="89" t="str">
        <f>IFERROR(ج_ح_آبان[[#This Row],[حقوق پایه]]+ج_ح_آبان[[#This Row],[اضافه کاری]]+ج_ح_آبان[[#This Row],[حق مسکن]]+ج_ح_آبان[[#This Row],[حق اولاد]]+ج_ح_آبان[[#This Row],[حق و خواروبار]],"")</f>
        <v/>
      </c>
      <c r="P287"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87" s="89" t="str">
        <f>IFERROR(ج_ح_آبان[[#This Row],[حقوق پایه]]+ج_ح_آبان[[#This Row],[اضافه کاری]]+ج_ح_آبان[[#This Row],[حق مسکن]]+ج_ح_آبان[[#This Row],[حق و خواروبار]]+ج_ح_آبان[[#This Row],[حق اولاد]]-(2/7)*ج_ح_آبان[[#This Row],[بیمه پرداختنی]],"")</f>
        <v/>
      </c>
      <c r="R287" s="91"/>
      <c r="S287" s="91"/>
      <c r="T287" s="89" t="str">
        <f>IFERROR(ج_ح_آبان[[#This Row],[جمع ح و م م بیمه ]]*7%,"")</f>
        <v/>
      </c>
      <c r="U287"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87" s="89" t="str">
        <f>IFERROR(ج_ح_آبان[[#This Row],[وام]]+ج_ح_آبان[[#This Row],[مساعده]]+ج_ح_آبان[[#This Row],[بیمه پرداختنی]]+ج_ح_آبان[[#This Row],[مالیات پرداختنی]],"")</f>
        <v/>
      </c>
      <c r="W287" s="89" t="str">
        <f>IFERROR(ج_ح_آبان[[#This Row],[جمع ح و م]]-ج_ح_آبان[[#This Row],[جمع کسورات]],"")</f>
        <v/>
      </c>
      <c r="X287" s="108"/>
    </row>
    <row r="288" spans="2:24" ht="32.1" customHeight="1">
      <c r="B288" s="1">
        <f t="shared" si="6"/>
        <v>8</v>
      </c>
      <c r="C288" s="85" t="str">
        <f>IF(ج_ح_آبان[[#This Row],[نام]]&lt;&gt;"",ROW()-266+1,"")</f>
        <v/>
      </c>
      <c r="D288" s="86"/>
      <c r="E288" s="86"/>
      <c r="F288" s="87"/>
      <c r="G288" s="88" t="str">
        <f>IFERROR(IF(COUNT(ج_ح_آبان[[#This Row],[کارکرد]]),حداقل_حقوق_پایه_روزانه,""),"")</f>
        <v/>
      </c>
      <c r="H288" s="89" t="str">
        <f>IFERROR(IF(ج_ح_آبان[[#This Row],[کارکرد]]*ج_ح_آبان[[#This Row],[دستمزد روزانه ]]=0,"",ج_ح_آبان[[#This Row],[کارکرد]]*ج_ح_آبان[[#This Row],[دستمزد روزانه ]]),"")</f>
        <v/>
      </c>
      <c r="I288" s="91"/>
      <c r="J288" s="90" t="str">
        <f>IFERROR((ج_ح_آبان[[#This Row],[دستمزد روزانه ]]/7.33)*1.4*ج_ح_آبان[[#This Row],[مدت اضافه کاری ]],"")</f>
        <v/>
      </c>
      <c r="K288" s="89" t="str">
        <f>IF(ج_ح_آبان[[#This Row],[کارکرد]]="","",ج_ح_آبان[[#This Row],[کارکرد]]/30*حق_مسکن)</f>
        <v/>
      </c>
      <c r="L288" s="91"/>
      <c r="M288" s="89" t="str">
        <f>IF(ج_ح_آبان[[#This Row],[تعداد فرزندان]]="","",ج_ح_آبان[[#This Row],[کارکرد]]/30*3*ج_ح_آبان[[#This Row],[تعداد فرزندان]]*حداقل_حقوق_پایه_روزانه)</f>
        <v/>
      </c>
      <c r="N288" s="89" t="str">
        <f>IF(ج_ح_آبان[[#This Row],[کارکرد]]="","",ج_ح_آبان[[#This Row],[کارکرد]]/30*حق_خواربار)</f>
        <v/>
      </c>
      <c r="O288" s="89" t="str">
        <f>IFERROR(ج_ح_آبان[[#This Row],[حقوق پایه]]+ج_ح_آبان[[#This Row],[اضافه کاری]]+ج_ح_آبان[[#This Row],[حق مسکن]]+ج_ح_آبان[[#This Row],[حق اولاد]]+ج_ح_آبان[[#This Row],[حق و خواروبار]],"")</f>
        <v/>
      </c>
      <c r="P288"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88" s="89" t="str">
        <f>IFERROR(ج_ح_آبان[[#This Row],[حقوق پایه]]+ج_ح_آبان[[#This Row],[اضافه کاری]]+ج_ح_آبان[[#This Row],[حق مسکن]]+ج_ح_آبان[[#This Row],[حق و خواروبار]]+ج_ح_آبان[[#This Row],[حق اولاد]]-(2/7)*ج_ح_آبان[[#This Row],[بیمه پرداختنی]],"")</f>
        <v/>
      </c>
      <c r="R288" s="91"/>
      <c r="S288" s="91"/>
      <c r="T288" s="89" t="str">
        <f>IFERROR(ج_ح_آبان[[#This Row],[جمع ح و م م بیمه ]]*7%,"")</f>
        <v/>
      </c>
      <c r="U288"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88" s="89" t="str">
        <f>IFERROR(ج_ح_آبان[[#This Row],[وام]]+ج_ح_آبان[[#This Row],[مساعده]]+ج_ح_آبان[[#This Row],[بیمه پرداختنی]]+ج_ح_آبان[[#This Row],[مالیات پرداختنی]],"")</f>
        <v/>
      </c>
      <c r="W288" s="89" t="str">
        <f>IFERROR(ج_ح_آبان[[#This Row],[جمع ح و م]]-ج_ح_آبان[[#This Row],[جمع کسورات]],"")</f>
        <v/>
      </c>
      <c r="X288" s="108"/>
    </row>
    <row r="289" spans="1:24" ht="32.1" customHeight="1">
      <c r="B289" s="1">
        <f t="shared" si="6"/>
        <v>8</v>
      </c>
      <c r="C289" s="85" t="str">
        <f>IF(ج_ح_آبان[[#This Row],[نام]]&lt;&gt;"",ROW()-266+1,"")</f>
        <v/>
      </c>
      <c r="D289" s="86"/>
      <c r="E289" s="86"/>
      <c r="F289" s="87"/>
      <c r="G289" s="88" t="str">
        <f>IFERROR(IF(COUNT(ج_ح_آبان[[#This Row],[کارکرد]]),حداقل_حقوق_پایه_روزانه,""),"")</f>
        <v/>
      </c>
      <c r="H289" s="89" t="str">
        <f>IFERROR(IF(ج_ح_آبان[[#This Row],[کارکرد]]*ج_ح_آبان[[#This Row],[دستمزد روزانه ]]=0,"",ج_ح_آبان[[#This Row],[کارکرد]]*ج_ح_آبان[[#This Row],[دستمزد روزانه ]]),"")</f>
        <v/>
      </c>
      <c r="I289" s="91"/>
      <c r="J289" s="90" t="str">
        <f>IFERROR((ج_ح_آبان[[#This Row],[دستمزد روزانه ]]/7.33)*1.4*ج_ح_آبان[[#This Row],[مدت اضافه کاری ]],"")</f>
        <v/>
      </c>
      <c r="K289" s="89" t="str">
        <f>IF(ج_ح_آبان[[#This Row],[کارکرد]]="","",ج_ح_آبان[[#This Row],[کارکرد]]/30*حق_مسکن)</f>
        <v/>
      </c>
      <c r="L289" s="91"/>
      <c r="M289" s="89" t="str">
        <f>IF(ج_ح_آبان[[#This Row],[تعداد فرزندان]]="","",ج_ح_آبان[[#This Row],[کارکرد]]/30*3*ج_ح_آبان[[#This Row],[تعداد فرزندان]]*حداقل_حقوق_پایه_روزانه)</f>
        <v/>
      </c>
      <c r="N289" s="89" t="str">
        <f>IF(ج_ح_آبان[[#This Row],[کارکرد]]="","",ج_ح_آبان[[#This Row],[کارکرد]]/30*حق_خواربار)</f>
        <v/>
      </c>
      <c r="O289" s="89" t="str">
        <f>IFERROR(ج_ح_آبان[[#This Row],[حقوق پایه]]+ج_ح_آبان[[#This Row],[اضافه کاری]]+ج_ح_آبان[[#This Row],[حق مسکن]]+ج_ح_آبان[[#This Row],[حق اولاد]]+ج_ح_آبان[[#This Row],[حق و خواروبار]],"")</f>
        <v/>
      </c>
      <c r="P289"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89" s="89" t="str">
        <f>IFERROR(ج_ح_آبان[[#This Row],[حقوق پایه]]+ج_ح_آبان[[#This Row],[اضافه کاری]]+ج_ح_آبان[[#This Row],[حق مسکن]]+ج_ح_آبان[[#This Row],[حق و خواروبار]]+ج_ح_آبان[[#This Row],[حق اولاد]]-(2/7)*ج_ح_آبان[[#This Row],[بیمه پرداختنی]],"")</f>
        <v/>
      </c>
      <c r="R289" s="91"/>
      <c r="S289" s="91"/>
      <c r="T289" s="89" t="str">
        <f>IFERROR(ج_ح_آبان[[#This Row],[جمع ح و م م بیمه ]]*7%,"")</f>
        <v/>
      </c>
      <c r="U289"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89" s="89" t="str">
        <f>IFERROR(ج_ح_آبان[[#This Row],[وام]]+ج_ح_آبان[[#This Row],[مساعده]]+ج_ح_آبان[[#This Row],[بیمه پرداختنی]]+ج_ح_آبان[[#This Row],[مالیات پرداختنی]],"")</f>
        <v/>
      </c>
      <c r="W289" s="89" t="str">
        <f>IFERROR(ج_ح_آبان[[#This Row],[جمع ح و م]]-ج_ح_آبان[[#This Row],[جمع کسورات]],"")</f>
        <v/>
      </c>
      <c r="X289" s="108"/>
    </row>
    <row r="290" spans="1:24" ht="32.1" customHeight="1">
      <c r="B290" s="1">
        <f t="shared" si="6"/>
        <v>8</v>
      </c>
      <c r="C290" s="85" t="str">
        <f>IF(ج_ح_آبان[[#This Row],[نام]]&lt;&gt;"",ROW()-266+1,"")</f>
        <v/>
      </c>
      <c r="D290" s="86"/>
      <c r="E290" s="86"/>
      <c r="F290" s="87"/>
      <c r="G290" s="88" t="str">
        <f>IFERROR(IF(COUNT(ج_ح_آبان[[#This Row],[کارکرد]]),حداقل_حقوق_پایه_روزانه,""),"")</f>
        <v/>
      </c>
      <c r="H290" s="89" t="str">
        <f>IFERROR(IF(ج_ح_آبان[[#This Row],[کارکرد]]*ج_ح_آبان[[#This Row],[دستمزد روزانه ]]=0,"",ج_ح_آبان[[#This Row],[کارکرد]]*ج_ح_آبان[[#This Row],[دستمزد روزانه ]]),"")</f>
        <v/>
      </c>
      <c r="I290" s="91"/>
      <c r="J290" s="90" t="str">
        <f>IFERROR((ج_ح_آبان[[#This Row],[دستمزد روزانه ]]/7.33)*1.4*ج_ح_آبان[[#This Row],[مدت اضافه کاری ]],"")</f>
        <v/>
      </c>
      <c r="K290" s="89" t="str">
        <f>IF(ج_ح_آبان[[#This Row],[کارکرد]]="","",ج_ح_آبان[[#This Row],[کارکرد]]/30*حق_مسکن)</f>
        <v/>
      </c>
      <c r="L290" s="91"/>
      <c r="M290" s="89" t="str">
        <f>IF(ج_ح_آبان[[#This Row],[تعداد فرزندان]]="","",ج_ح_آبان[[#This Row],[کارکرد]]/30*3*ج_ح_آبان[[#This Row],[تعداد فرزندان]]*حداقل_حقوق_پایه_روزانه)</f>
        <v/>
      </c>
      <c r="N290" s="89" t="str">
        <f>IF(ج_ح_آبان[[#This Row],[کارکرد]]="","",ج_ح_آبان[[#This Row],[کارکرد]]/30*حق_خواربار)</f>
        <v/>
      </c>
      <c r="O290" s="89" t="str">
        <f>IFERROR(ج_ح_آبان[[#This Row],[حقوق پایه]]+ج_ح_آبان[[#This Row],[اضافه کاری]]+ج_ح_آبان[[#This Row],[حق مسکن]]+ج_ح_آبان[[#This Row],[حق اولاد]]+ج_ح_آبان[[#This Row],[حق و خواروبار]],"")</f>
        <v/>
      </c>
      <c r="P290"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90" s="89" t="str">
        <f>IFERROR(ج_ح_آبان[[#This Row],[حقوق پایه]]+ج_ح_آبان[[#This Row],[اضافه کاری]]+ج_ح_آبان[[#This Row],[حق مسکن]]+ج_ح_آبان[[#This Row],[حق و خواروبار]]+ج_ح_آبان[[#This Row],[حق اولاد]]-(2/7)*ج_ح_آبان[[#This Row],[بیمه پرداختنی]],"")</f>
        <v/>
      </c>
      <c r="R290" s="91"/>
      <c r="S290" s="91"/>
      <c r="T290" s="89" t="str">
        <f>IFERROR(ج_ح_آبان[[#This Row],[جمع ح و م م بیمه ]]*7%,"")</f>
        <v/>
      </c>
      <c r="U290"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90" s="89" t="str">
        <f>IFERROR(ج_ح_آبان[[#This Row],[وام]]+ج_ح_آبان[[#This Row],[مساعده]]+ج_ح_آبان[[#This Row],[بیمه پرداختنی]]+ج_ح_آبان[[#This Row],[مالیات پرداختنی]],"")</f>
        <v/>
      </c>
      <c r="W290" s="89" t="str">
        <f>IFERROR(ج_ح_آبان[[#This Row],[جمع ح و م]]-ج_ح_آبان[[#This Row],[جمع کسورات]],"")</f>
        <v/>
      </c>
      <c r="X290" s="108"/>
    </row>
    <row r="291" spans="1:24" ht="32.1" customHeight="1">
      <c r="B291" s="1">
        <f t="shared" si="6"/>
        <v>8</v>
      </c>
      <c r="C291" s="85" t="str">
        <f>IF(ج_ح_آبان[[#This Row],[نام]]&lt;&gt;"",ROW()-266+1,"")</f>
        <v/>
      </c>
      <c r="D291" s="86"/>
      <c r="E291" s="86"/>
      <c r="F291" s="87"/>
      <c r="G291" s="88" t="str">
        <f>IFERROR(IF(COUNT(ج_ح_آبان[[#This Row],[کارکرد]]),حداقل_حقوق_پایه_روزانه,""),"")</f>
        <v/>
      </c>
      <c r="H291" s="89" t="str">
        <f>IFERROR(IF(ج_ح_آبان[[#This Row],[کارکرد]]*ج_ح_آبان[[#This Row],[دستمزد روزانه ]]=0,"",ج_ح_آبان[[#This Row],[کارکرد]]*ج_ح_آبان[[#This Row],[دستمزد روزانه ]]),"")</f>
        <v/>
      </c>
      <c r="I291" s="91"/>
      <c r="J291" s="90" t="str">
        <f>IFERROR((ج_ح_آبان[[#This Row],[دستمزد روزانه ]]/7.33)*1.4*ج_ح_آبان[[#This Row],[مدت اضافه کاری ]],"")</f>
        <v/>
      </c>
      <c r="K291" s="89" t="str">
        <f>IF(ج_ح_آبان[[#This Row],[کارکرد]]="","",ج_ح_آبان[[#This Row],[کارکرد]]/30*حق_مسکن)</f>
        <v/>
      </c>
      <c r="L291" s="91"/>
      <c r="M291" s="89" t="str">
        <f>IF(ج_ح_آبان[[#This Row],[تعداد فرزندان]]="","",ج_ح_آبان[[#This Row],[کارکرد]]/30*3*ج_ح_آبان[[#This Row],[تعداد فرزندان]]*حداقل_حقوق_پایه_روزانه)</f>
        <v/>
      </c>
      <c r="N291" s="89" t="str">
        <f>IF(ج_ح_آبان[[#This Row],[کارکرد]]="","",ج_ح_آبان[[#This Row],[کارکرد]]/30*حق_خواربار)</f>
        <v/>
      </c>
      <c r="O291" s="89" t="str">
        <f>IFERROR(ج_ح_آبان[[#This Row],[حقوق پایه]]+ج_ح_آبان[[#This Row],[اضافه کاری]]+ج_ح_آبان[[#This Row],[حق مسکن]]+ج_ح_آبان[[#This Row],[حق اولاد]]+ج_ح_آبان[[#This Row],[حق و خواروبار]],"")</f>
        <v/>
      </c>
      <c r="P291"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91" s="89" t="str">
        <f>IFERROR(ج_ح_آبان[[#This Row],[حقوق پایه]]+ج_ح_آبان[[#This Row],[اضافه کاری]]+ج_ح_آبان[[#This Row],[حق مسکن]]+ج_ح_آبان[[#This Row],[حق و خواروبار]]+ج_ح_آبان[[#This Row],[حق اولاد]]-(2/7)*ج_ح_آبان[[#This Row],[بیمه پرداختنی]],"")</f>
        <v/>
      </c>
      <c r="R291" s="91"/>
      <c r="S291" s="91"/>
      <c r="T291" s="89" t="str">
        <f>IFERROR(ج_ح_آبان[[#This Row],[جمع ح و م م بیمه ]]*7%,"")</f>
        <v/>
      </c>
      <c r="U291"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91" s="89" t="str">
        <f>IFERROR(ج_ح_آبان[[#This Row],[وام]]+ج_ح_آبان[[#This Row],[مساعده]]+ج_ح_آبان[[#This Row],[بیمه پرداختنی]]+ج_ح_آبان[[#This Row],[مالیات پرداختنی]],"")</f>
        <v/>
      </c>
      <c r="W291" s="89" t="str">
        <f>IFERROR(ج_ح_آبان[[#This Row],[جمع ح و م]]-ج_ح_آبان[[#This Row],[جمع کسورات]],"")</f>
        <v/>
      </c>
      <c r="X291" s="108"/>
    </row>
    <row r="292" spans="1:24" ht="32.1" customHeight="1">
      <c r="B292" s="1">
        <f t="shared" si="6"/>
        <v>8</v>
      </c>
      <c r="C292" s="85" t="str">
        <f>IF(ج_ح_آبان[[#This Row],[نام]]&lt;&gt;"",ROW()-266+1,"")</f>
        <v/>
      </c>
      <c r="D292" s="86"/>
      <c r="E292" s="86"/>
      <c r="F292" s="87"/>
      <c r="G292" s="88" t="str">
        <f>IFERROR(IF(COUNT(ج_ح_آبان[[#This Row],[کارکرد]]),حداقل_حقوق_پایه_روزانه,""),"")</f>
        <v/>
      </c>
      <c r="H292" s="89" t="str">
        <f>IFERROR(IF(ج_ح_آبان[[#This Row],[کارکرد]]*ج_ح_آبان[[#This Row],[دستمزد روزانه ]]=0,"",ج_ح_آبان[[#This Row],[کارکرد]]*ج_ح_آبان[[#This Row],[دستمزد روزانه ]]),"")</f>
        <v/>
      </c>
      <c r="I292" s="91"/>
      <c r="J292" s="90" t="str">
        <f>IFERROR((ج_ح_آبان[[#This Row],[دستمزد روزانه ]]/7.33)*1.4*ج_ح_آبان[[#This Row],[مدت اضافه کاری ]],"")</f>
        <v/>
      </c>
      <c r="K292" s="89" t="str">
        <f>IF(ج_ح_آبان[[#This Row],[کارکرد]]="","",ج_ح_آبان[[#This Row],[کارکرد]]/30*حق_مسکن)</f>
        <v/>
      </c>
      <c r="L292" s="91"/>
      <c r="M292" s="89" t="str">
        <f>IF(ج_ح_آبان[[#This Row],[تعداد فرزندان]]="","",ج_ح_آبان[[#This Row],[کارکرد]]/30*3*ج_ح_آبان[[#This Row],[تعداد فرزندان]]*حداقل_حقوق_پایه_روزانه)</f>
        <v/>
      </c>
      <c r="N292" s="89" t="str">
        <f>IF(ج_ح_آبان[[#This Row],[کارکرد]]="","",ج_ح_آبان[[#This Row],[کارکرد]]/30*حق_خواربار)</f>
        <v/>
      </c>
      <c r="O292" s="89" t="str">
        <f>IFERROR(ج_ح_آبان[[#This Row],[حقوق پایه]]+ج_ح_آبان[[#This Row],[اضافه کاری]]+ج_ح_آبان[[#This Row],[حق مسکن]]+ج_ح_آبان[[#This Row],[حق اولاد]]+ج_ح_آبان[[#This Row],[حق و خواروبار]],"")</f>
        <v/>
      </c>
      <c r="P292"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92" s="89" t="str">
        <f>IFERROR(ج_ح_آبان[[#This Row],[حقوق پایه]]+ج_ح_آبان[[#This Row],[اضافه کاری]]+ج_ح_آبان[[#This Row],[حق مسکن]]+ج_ح_آبان[[#This Row],[حق و خواروبار]]+ج_ح_آبان[[#This Row],[حق اولاد]]-(2/7)*ج_ح_آبان[[#This Row],[بیمه پرداختنی]],"")</f>
        <v/>
      </c>
      <c r="R292" s="91"/>
      <c r="S292" s="91"/>
      <c r="T292" s="89" t="str">
        <f>IFERROR(ج_ح_آبان[[#This Row],[جمع ح و م م بیمه ]]*7%,"")</f>
        <v/>
      </c>
      <c r="U292"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92" s="89" t="str">
        <f>IFERROR(ج_ح_آبان[[#This Row],[وام]]+ج_ح_آبان[[#This Row],[مساعده]]+ج_ح_آبان[[#This Row],[بیمه پرداختنی]]+ج_ح_آبان[[#This Row],[مالیات پرداختنی]],"")</f>
        <v/>
      </c>
      <c r="W292" s="89" t="str">
        <f>IFERROR(ج_ح_آبان[[#This Row],[جمع ح و م]]-ج_ح_آبان[[#This Row],[جمع کسورات]],"")</f>
        <v/>
      </c>
      <c r="X292" s="108"/>
    </row>
    <row r="293" spans="1:24" ht="32.1" customHeight="1">
      <c r="B293" s="1">
        <f t="shared" si="6"/>
        <v>8</v>
      </c>
      <c r="C293" s="85" t="str">
        <f>IF(ج_ح_آبان[[#This Row],[نام]]&lt;&gt;"",ROW()-266+1,"")</f>
        <v/>
      </c>
      <c r="D293" s="86"/>
      <c r="E293" s="86"/>
      <c r="F293" s="87"/>
      <c r="G293" s="88" t="str">
        <f>IFERROR(IF(COUNT(ج_ح_آبان[[#This Row],[کارکرد]]),حداقل_حقوق_پایه_روزانه,""),"")</f>
        <v/>
      </c>
      <c r="H293" s="89" t="str">
        <f>IFERROR(IF(ج_ح_آبان[[#This Row],[کارکرد]]*ج_ح_آبان[[#This Row],[دستمزد روزانه ]]=0,"",ج_ح_آبان[[#This Row],[کارکرد]]*ج_ح_آبان[[#This Row],[دستمزد روزانه ]]),"")</f>
        <v/>
      </c>
      <c r="I293" s="91"/>
      <c r="J293" s="90" t="str">
        <f>IFERROR((ج_ح_آبان[[#This Row],[دستمزد روزانه ]]/7.33)*1.4*ج_ح_آبان[[#This Row],[مدت اضافه کاری ]],"")</f>
        <v/>
      </c>
      <c r="K293" s="89" t="str">
        <f>IF(ج_ح_آبان[[#This Row],[کارکرد]]="","",ج_ح_آبان[[#This Row],[کارکرد]]/30*حق_مسکن)</f>
        <v/>
      </c>
      <c r="L293" s="91"/>
      <c r="M293" s="89" t="str">
        <f>IF(ج_ح_آبان[[#This Row],[تعداد فرزندان]]="","",ج_ح_آبان[[#This Row],[کارکرد]]/30*3*ج_ح_آبان[[#This Row],[تعداد فرزندان]]*حداقل_حقوق_پایه_روزانه)</f>
        <v/>
      </c>
      <c r="N293" s="89" t="str">
        <f>IF(ج_ح_آبان[[#This Row],[کارکرد]]="","",ج_ح_آبان[[#This Row],[کارکرد]]/30*حق_خواربار)</f>
        <v/>
      </c>
      <c r="O293" s="89" t="str">
        <f>IFERROR(ج_ح_آبان[[#This Row],[حقوق پایه]]+ج_ح_آبان[[#This Row],[اضافه کاری]]+ج_ح_آبان[[#This Row],[حق مسکن]]+ج_ح_آبان[[#This Row],[حق اولاد]]+ج_ح_آبان[[#This Row],[حق و خواروبار]],"")</f>
        <v/>
      </c>
      <c r="P293"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93" s="89" t="str">
        <f>IFERROR(ج_ح_آبان[[#This Row],[حقوق پایه]]+ج_ح_آبان[[#This Row],[اضافه کاری]]+ج_ح_آبان[[#This Row],[حق مسکن]]+ج_ح_آبان[[#This Row],[حق و خواروبار]]+ج_ح_آبان[[#This Row],[حق اولاد]]-(2/7)*ج_ح_آبان[[#This Row],[بیمه پرداختنی]],"")</f>
        <v/>
      </c>
      <c r="R293" s="91"/>
      <c r="S293" s="91"/>
      <c r="T293" s="89" t="str">
        <f>IFERROR(ج_ح_آبان[[#This Row],[جمع ح و م م بیمه ]]*7%,"")</f>
        <v/>
      </c>
      <c r="U293"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93" s="89" t="str">
        <f>IFERROR(ج_ح_آبان[[#This Row],[وام]]+ج_ح_آبان[[#This Row],[مساعده]]+ج_ح_آبان[[#This Row],[بیمه پرداختنی]]+ج_ح_آبان[[#This Row],[مالیات پرداختنی]],"")</f>
        <v/>
      </c>
      <c r="W293" s="89" t="str">
        <f>IFERROR(ج_ح_آبان[[#This Row],[جمع ح و م]]-ج_ح_آبان[[#This Row],[جمع کسورات]],"")</f>
        <v/>
      </c>
      <c r="X293" s="108"/>
    </row>
    <row r="294" spans="1:24" ht="32.1" customHeight="1">
      <c r="B294" s="1">
        <f t="shared" si="6"/>
        <v>8</v>
      </c>
      <c r="C294" s="85" t="str">
        <f>IF(ج_ح_آبان[[#This Row],[نام]]&lt;&gt;"",ROW()-266+1,"")</f>
        <v/>
      </c>
      <c r="D294" s="86"/>
      <c r="E294" s="86"/>
      <c r="F294" s="87"/>
      <c r="G294" s="88" t="str">
        <f>IFERROR(IF(COUNT(ج_ح_آبان[[#This Row],[کارکرد]]),حداقل_حقوق_پایه_روزانه,""),"")</f>
        <v/>
      </c>
      <c r="H294" s="89" t="str">
        <f>IFERROR(IF(ج_ح_آبان[[#This Row],[کارکرد]]*ج_ح_آبان[[#This Row],[دستمزد روزانه ]]=0,"",ج_ح_آبان[[#This Row],[کارکرد]]*ج_ح_آبان[[#This Row],[دستمزد روزانه ]]),"")</f>
        <v/>
      </c>
      <c r="I294" s="91"/>
      <c r="J294" s="90" t="str">
        <f>IFERROR((ج_ح_آبان[[#This Row],[دستمزد روزانه ]]/7.33)*1.4*ج_ح_آبان[[#This Row],[مدت اضافه کاری ]],"")</f>
        <v/>
      </c>
      <c r="K294" s="89" t="str">
        <f>IF(ج_ح_آبان[[#This Row],[کارکرد]]="","",ج_ح_آبان[[#This Row],[کارکرد]]/30*حق_مسکن)</f>
        <v/>
      </c>
      <c r="L294" s="91"/>
      <c r="M294" s="89" t="str">
        <f>IF(ج_ح_آبان[[#This Row],[تعداد فرزندان]]="","",ج_ح_آبان[[#This Row],[کارکرد]]/30*3*ج_ح_آبان[[#This Row],[تعداد فرزندان]]*حداقل_حقوق_پایه_روزانه)</f>
        <v/>
      </c>
      <c r="N294" s="89" t="str">
        <f>IF(ج_ح_آبان[[#This Row],[کارکرد]]="","",ج_ح_آبان[[#This Row],[کارکرد]]/30*حق_خواربار)</f>
        <v/>
      </c>
      <c r="O294" s="89" t="str">
        <f>IFERROR(ج_ح_آبان[[#This Row],[حقوق پایه]]+ج_ح_آبان[[#This Row],[اضافه کاری]]+ج_ح_آبان[[#This Row],[حق مسکن]]+ج_ح_آبان[[#This Row],[حق اولاد]]+ج_ح_آبان[[#This Row],[حق و خواروبار]],"")</f>
        <v/>
      </c>
      <c r="P294"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94" s="89" t="str">
        <f>IFERROR(ج_ح_آبان[[#This Row],[حقوق پایه]]+ج_ح_آبان[[#This Row],[اضافه کاری]]+ج_ح_آبان[[#This Row],[حق مسکن]]+ج_ح_آبان[[#This Row],[حق و خواروبار]]+ج_ح_آبان[[#This Row],[حق اولاد]]-(2/7)*ج_ح_آبان[[#This Row],[بیمه پرداختنی]],"")</f>
        <v/>
      </c>
      <c r="R294" s="91"/>
      <c r="S294" s="91"/>
      <c r="T294" s="89" t="str">
        <f>IFERROR(ج_ح_آبان[[#This Row],[جمع ح و م م بیمه ]]*7%,"")</f>
        <v/>
      </c>
      <c r="U294"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94" s="89" t="str">
        <f>IFERROR(ج_ح_آبان[[#This Row],[وام]]+ج_ح_آبان[[#This Row],[مساعده]]+ج_ح_آبان[[#This Row],[بیمه پرداختنی]]+ج_ح_آبان[[#This Row],[مالیات پرداختنی]],"")</f>
        <v/>
      </c>
      <c r="W294" s="89" t="str">
        <f>IFERROR(ج_ح_آبان[[#This Row],[جمع ح و م]]-ج_ح_آبان[[#This Row],[جمع کسورات]],"")</f>
        <v/>
      </c>
      <c r="X294" s="108"/>
    </row>
    <row r="295" spans="1:24" ht="32.1" customHeight="1">
      <c r="B295" s="1">
        <f t="shared" si="6"/>
        <v>8</v>
      </c>
      <c r="C295" s="85" t="str">
        <f>IF(ج_ح_آبان[[#This Row],[نام]]&lt;&gt;"",ROW()-266+1,"")</f>
        <v/>
      </c>
      <c r="D295" s="86"/>
      <c r="E295" s="86"/>
      <c r="F295" s="87"/>
      <c r="G295" s="88" t="str">
        <f>IFERROR(IF(COUNT(ج_ح_آبان[[#This Row],[کارکرد]]),حداقل_حقوق_پایه_روزانه,""),"")</f>
        <v/>
      </c>
      <c r="H295" s="89" t="str">
        <f>IFERROR(IF(ج_ح_آبان[[#This Row],[کارکرد]]*ج_ح_آبان[[#This Row],[دستمزد روزانه ]]=0,"",ج_ح_آبان[[#This Row],[کارکرد]]*ج_ح_آبان[[#This Row],[دستمزد روزانه ]]),"")</f>
        <v/>
      </c>
      <c r="I295" s="91"/>
      <c r="J295" s="90" t="str">
        <f>IFERROR((ج_ح_آبان[[#This Row],[دستمزد روزانه ]]/7.33)*1.4*ج_ح_آبان[[#This Row],[مدت اضافه کاری ]],"")</f>
        <v/>
      </c>
      <c r="K295" s="89" t="str">
        <f>IF(ج_ح_آبان[[#This Row],[کارکرد]]="","",ج_ح_آبان[[#This Row],[کارکرد]]/30*حق_مسکن)</f>
        <v/>
      </c>
      <c r="L295" s="91"/>
      <c r="M295" s="89" t="str">
        <f>IF(ج_ح_آبان[[#This Row],[تعداد فرزندان]]="","",ج_ح_آبان[[#This Row],[کارکرد]]/30*3*ج_ح_آبان[[#This Row],[تعداد فرزندان]]*حداقل_حقوق_پایه_روزانه)</f>
        <v/>
      </c>
      <c r="N295" s="89" t="str">
        <f>IF(ج_ح_آبان[[#This Row],[کارکرد]]="","",ج_ح_آبان[[#This Row],[کارکرد]]/30*حق_خواربار)</f>
        <v/>
      </c>
      <c r="O295" s="89" t="str">
        <f>IFERROR(ج_ح_آبان[[#This Row],[حقوق پایه]]+ج_ح_آبان[[#This Row],[اضافه کاری]]+ج_ح_آبان[[#This Row],[حق مسکن]]+ج_ح_آبان[[#This Row],[حق اولاد]]+ج_ح_آبان[[#This Row],[حق و خواروبار]],"")</f>
        <v/>
      </c>
      <c r="P295" s="89" t="str">
        <f>IFERROR(IF(ج_ح_آبان[[#This Row],[حقوق پایه]]+ج_ح_آبان[[#This Row],[اضافه کاری]]+ج_ح_آبان[[#This Row],[حق مسکن]]+ج_ح_آبان[[#This Row],[حق و خواروبار]]&gt;حداکثر_حقوق_مشمول_بیمه_ماهانه,حداکثر_حقوق_مشمول_بیمه_ماهانه,ج_ح_آبان[[#This Row],[حقوق پایه]]+ج_ح_آبان[[#This Row],[اضافه کاری]]+ج_ح_آبان[[#This Row],[حق مسکن]]+ج_ح_آبان[[#This Row],[حق و خواروبار]]),"")</f>
        <v/>
      </c>
      <c r="Q295" s="89" t="str">
        <f>IFERROR(ج_ح_آبان[[#This Row],[حقوق پایه]]+ج_ح_آبان[[#This Row],[اضافه کاری]]+ج_ح_آبان[[#This Row],[حق مسکن]]+ج_ح_آبان[[#This Row],[حق و خواروبار]]+ج_ح_آبان[[#This Row],[حق اولاد]]-(2/7)*ج_ح_آبان[[#This Row],[بیمه پرداختنی]],"")</f>
        <v/>
      </c>
      <c r="R295" s="91"/>
      <c r="S295" s="91"/>
      <c r="T295" s="89" t="str">
        <f>IFERROR(ج_ح_آبان[[#This Row],[جمع ح و م م بیمه ]]*7%,"")</f>
        <v/>
      </c>
      <c r="U295" s="92" t="str">
        <f>IFERROR(IF(ج_ح_آبان[[#This Row],[جمع ح و م م مالیات]]&gt;=400000000,(ج_ح_آبان[[#This Row],[جمع ح و م م مالیات]]-400000000)*30%+26000000,IF(ج_ح_آبان[[#This Row],[جمع ح و م م مالیات]]&gt;=270000000,(ج_ح_آبان[[#This Row],[جمع ح و م م مالیات]]-270000000)*20%+15750000,IF(ج_ح_آبان[[#This Row],[جمع ح و م م مالیات]]&gt;=165000000,(ج_ح_آبان[[#This Row],[جمع ح و م م مالیات]]-165000000)*15%+4500000,IF(ج_ح_آبان[[#This Row],[جمع ح و م م مالیات]]&gt;=120000000,(ج_ح_آبان[[#This Row],[جمع ح و م م مالیات]]-120000000)*10%,0)))),"")</f>
        <v/>
      </c>
      <c r="V295" s="89" t="str">
        <f>IFERROR(ج_ح_آبان[[#This Row],[وام]]+ج_ح_آبان[[#This Row],[مساعده]]+ج_ح_آبان[[#This Row],[بیمه پرداختنی]]+ج_ح_آبان[[#This Row],[مالیات پرداختنی]],"")</f>
        <v/>
      </c>
      <c r="W295" s="89" t="str">
        <f>IFERROR(ج_ح_آبان[[#This Row],[جمع ح و م]]-ج_ح_آبان[[#This Row],[جمع کسورات]],"")</f>
        <v/>
      </c>
      <c r="X295" s="108"/>
    </row>
    <row r="296" spans="1:24" ht="32.1" customHeight="1">
      <c r="B296" s="1">
        <f t="shared" si="6"/>
        <v>8</v>
      </c>
      <c r="C296" s="23"/>
      <c r="D296" s="24"/>
      <c r="E296" s="24" t="s">
        <v>35</v>
      </c>
      <c r="F296" s="33">
        <f>SUBTOTAL(109,ج_ح_آبان[کارکرد])</f>
        <v>0</v>
      </c>
      <c r="G296" s="25">
        <f>SUBTOTAL(109,ج_ح_آبان[[دستمزد روزانه ]])</f>
        <v>0</v>
      </c>
      <c r="H296" s="25">
        <f>SUBTOTAL(109,ج_ح_آبان[حقوق پایه])</f>
        <v>0</v>
      </c>
      <c r="I296" s="34">
        <f>SUBTOTAL(109,ج_ح_آبان[[مدت اضافه کاری ]])</f>
        <v>0</v>
      </c>
      <c r="J296" s="35">
        <f>SUBTOTAL(109,ج_ح_آبان[اضافه کاری])</f>
        <v>0</v>
      </c>
      <c r="K296" s="25">
        <f>SUBTOTAL(109,ج_ح_آبان[حق مسکن])</f>
        <v>0</v>
      </c>
      <c r="L296" s="36">
        <f>SUBTOTAL(109,ج_ح_آبان[تعداد فرزندان])</f>
        <v>0</v>
      </c>
      <c r="M296" s="25">
        <f>SUBTOTAL(109,ج_ح_آبان[حق اولاد])</f>
        <v>0</v>
      </c>
      <c r="N296" s="25">
        <f>SUBTOTAL(109,ج_ح_آبان[حق و خواروبار])</f>
        <v>0</v>
      </c>
      <c r="O296" s="25">
        <f>SUBTOTAL(109,ج_ح_آبان[جمع ح و م])</f>
        <v>0</v>
      </c>
      <c r="P296" s="25">
        <f>SUBTOTAL(109,ج_ح_آبان[[جمع ح و م م بیمه ]])</f>
        <v>0</v>
      </c>
      <c r="Q296" s="25">
        <f>SUBTOTAL(109,ج_ح_آبان[جمع ح و م م مالیات])</f>
        <v>0</v>
      </c>
      <c r="R296" s="25">
        <f>SUBTOTAL(109,ج_ح_آبان[وام])</f>
        <v>0</v>
      </c>
      <c r="S296" s="25">
        <f>SUBTOTAL(109,ج_ح_آبان[مساعده])</f>
        <v>0</v>
      </c>
      <c r="T296" s="25">
        <f>SUBTOTAL(109,ج_ح_آبان[بیمه پرداختنی])</f>
        <v>0</v>
      </c>
      <c r="U296" s="25">
        <f>SUBTOTAL(109,ج_ح_آبان[مالیات پرداختنی])</f>
        <v>0</v>
      </c>
      <c r="V296" s="25">
        <f>SUBTOTAL(109,ج_ح_آبان[جمع کسورات])</f>
        <v>0</v>
      </c>
      <c r="W296" s="25">
        <f>SUBTOTAL(109,ج_ح_آبان[خالص قابل پرداخت])</f>
        <v>0</v>
      </c>
      <c r="X296" s="109"/>
    </row>
    <row r="297" spans="1:24" ht="8.1" customHeight="1"/>
    <row r="298" spans="1:24" s="7" customFormat="1" ht="39.950000000000003" customHeight="1">
      <c r="A298" s="15"/>
      <c r="B298" s="15"/>
      <c r="C298" s="128" t="str">
        <f>CONCATENATE("شرکت"," ",'اطلاعات شرکت'!$B$1)</f>
        <v>شرکت پندار حساب شهسوار</v>
      </c>
      <c r="D298" s="128"/>
      <c r="E298" s="128"/>
      <c r="F298" s="128"/>
      <c r="G298" s="128"/>
      <c r="H298" s="128"/>
      <c r="I298" s="128"/>
      <c r="J298" s="128"/>
      <c r="K298" s="128"/>
      <c r="L298" s="128"/>
      <c r="M298" s="128"/>
      <c r="N298" s="128"/>
      <c r="O298" s="128"/>
      <c r="P298" s="128"/>
      <c r="Q298" s="128"/>
      <c r="R298" s="128"/>
      <c r="S298" s="128"/>
      <c r="T298" s="128"/>
      <c r="U298" s="128"/>
      <c r="V298" s="128"/>
      <c r="W298" s="128"/>
      <c r="X298" s="105"/>
    </row>
    <row r="299" spans="1:24" s="7" customFormat="1" ht="50.1" customHeight="1">
      <c r="C299" s="127" t="str">
        <f>CONCATENATE("جدول حقوق و دستمزد آذر ماه سال"," ",'اطلاعات شرکت'!$B$2)</f>
        <v>جدول حقوق و دستمزد آذر ماه سال 1402</v>
      </c>
      <c r="D299" s="127"/>
      <c r="E299" s="127"/>
      <c r="F299" s="127"/>
      <c r="G299" s="127"/>
      <c r="H299" s="127"/>
      <c r="I299" s="127"/>
      <c r="J299" s="127"/>
      <c r="K299" s="127"/>
      <c r="L299" s="127"/>
      <c r="M299" s="127"/>
      <c r="N299" s="127"/>
      <c r="O299" s="127"/>
      <c r="P299" s="127"/>
      <c r="Q299" s="127"/>
      <c r="R299" s="127"/>
      <c r="S299" s="127"/>
      <c r="T299" s="127"/>
      <c r="U299" s="127"/>
      <c r="V299" s="127"/>
      <c r="W299" s="127"/>
      <c r="X299" s="105"/>
    </row>
    <row r="300" spans="1:24" s="12" customFormat="1" ht="50.1" customHeight="1">
      <c r="C300" s="129" t="s">
        <v>1</v>
      </c>
      <c r="D300" s="28" t="s">
        <v>23</v>
      </c>
      <c r="E300" s="28" t="s">
        <v>56</v>
      </c>
      <c r="F300" s="28" t="s">
        <v>11</v>
      </c>
      <c r="G300" s="28" t="s">
        <v>12</v>
      </c>
      <c r="H300" s="28" t="s">
        <v>37</v>
      </c>
      <c r="I300" s="28" t="s">
        <v>51</v>
      </c>
      <c r="J300" s="28" t="s">
        <v>47</v>
      </c>
      <c r="K300" s="28" t="s">
        <v>4</v>
      </c>
      <c r="L300" s="28" t="s">
        <v>48</v>
      </c>
      <c r="M300" s="28" t="s">
        <v>14</v>
      </c>
      <c r="N300" s="28" t="s">
        <v>5</v>
      </c>
      <c r="O300" s="28" t="s">
        <v>17</v>
      </c>
      <c r="P300" s="28" t="s">
        <v>49</v>
      </c>
      <c r="Q300" s="28" t="s">
        <v>50</v>
      </c>
      <c r="R300" s="28" t="s">
        <v>15</v>
      </c>
      <c r="S300" s="28" t="s">
        <v>16</v>
      </c>
      <c r="T300" s="28" t="s">
        <v>59</v>
      </c>
      <c r="U300" s="28" t="s">
        <v>58</v>
      </c>
      <c r="V300" s="28" t="s">
        <v>21</v>
      </c>
      <c r="W300" s="28" t="s">
        <v>57</v>
      </c>
      <c r="X300" s="106"/>
    </row>
    <row r="301" spans="1:24" s="7" customFormat="1" ht="32.1" customHeight="1">
      <c r="C301" s="129"/>
      <c r="D301" s="29">
        <v>1</v>
      </c>
      <c r="E301" s="29">
        <v>2</v>
      </c>
      <c r="F301" s="29">
        <v>3</v>
      </c>
      <c r="G301" s="29">
        <v>4</v>
      </c>
      <c r="H301" s="29">
        <v>5</v>
      </c>
      <c r="I301" s="29">
        <v>6</v>
      </c>
      <c r="J301" s="29">
        <v>7</v>
      </c>
      <c r="K301" s="29">
        <v>8</v>
      </c>
      <c r="L301" s="29">
        <v>9</v>
      </c>
      <c r="M301" s="29">
        <v>10</v>
      </c>
      <c r="N301" s="29">
        <v>11</v>
      </c>
      <c r="O301" s="29">
        <v>12</v>
      </c>
      <c r="P301" s="29">
        <v>13</v>
      </c>
      <c r="Q301" s="29">
        <v>14</v>
      </c>
      <c r="R301" s="29">
        <v>15</v>
      </c>
      <c r="S301" s="29">
        <v>16</v>
      </c>
      <c r="T301" s="29">
        <v>17</v>
      </c>
      <c r="U301" s="29">
        <v>18</v>
      </c>
      <c r="V301" s="29">
        <v>19</v>
      </c>
      <c r="W301" s="30">
        <v>20</v>
      </c>
      <c r="X301" s="105"/>
    </row>
    <row r="302" spans="1:24" s="7" customFormat="1" ht="20.100000000000001" customHeight="1">
      <c r="C302" s="16" t="s">
        <v>1</v>
      </c>
      <c r="D302" s="16" t="s">
        <v>23</v>
      </c>
      <c r="E302" s="16" t="s">
        <v>56</v>
      </c>
      <c r="F302" s="16" t="s">
        <v>11</v>
      </c>
      <c r="G302" s="16" t="s">
        <v>12</v>
      </c>
      <c r="H302" s="16" t="s">
        <v>37</v>
      </c>
      <c r="I302" s="16" t="s">
        <v>46</v>
      </c>
      <c r="J302" s="16" t="s">
        <v>47</v>
      </c>
      <c r="K302" s="16" t="s">
        <v>4</v>
      </c>
      <c r="L302" s="16" t="s">
        <v>13</v>
      </c>
      <c r="M302" s="16" t="s">
        <v>14</v>
      </c>
      <c r="N302" s="16" t="s">
        <v>79</v>
      </c>
      <c r="O302" s="16" t="s">
        <v>53</v>
      </c>
      <c r="P302" s="16" t="s">
        <v>54</v>
      </c>
      <c r="Q302" s="31" t="s">
        <v>55</v>
      </c>
      <c r="R302" s="16" t="s">
        <v>15</v>
      </c>
      <c r="S302" s="16" t="s">
        <v>16</v>
      </c>
      <c r="T302" s="31" t="s">
        <v>19</v>
      </c>
      <c r="U302" s="31" t="s">
        <v>20</v>
      </c>
      <c r="V302" s="16" t="s">
        <v>21</v>
      </c>
      <c r="W302" s="16" t="s">
        <v>22</v>
      </c>
      <c r="X302" s="110" t="s">
        <v>133</v>
      </c>
    </row>
    <row r="303" spans="1:24" ht="32.1" customHeight="1">
      <c r="B303" s="1">
        <f>B296+1</f>
        <v>9</v>
      </c>
      <c r="C303" s="85" t="str">
        <f>IF(ج_ح_آذر[[#This Row],[نام]]&lt;&gt;"",ROW()-303+1,"")</f>
        <v/>
      </c>
      <c r="D303" s="86"/>
      <c r="E303" s="86"/>
      <c r="F303" s="87"/>
      <c r="G303" s="88" t="str">
        <f>IFERROR(IF(COUNT(ج_ح_آذر[[#This Row],[کارکرد]]),حداقل_حقوق_پایه_روزانه,""),"")</f>
        <v/>
      </c>
      <c r="H303" s="89" t="str">
        <f>IFERROR(IF(ج_ح_آذر[[#This Row],[کارکرد]]*ج_ح_آذر[[#This Row],[دستمزد روزانه ]]=0,"",ج_ح_آذر[[#This Row],[کارکرد]]*ج_ح_آذر[[#This Row],[دستمزد روزانه ]]),"")</f>
        <v/>
      </c>
      <c r="I303" s="91">
        <v>0</v>
      </c>
      <c r="J303" s="90" t="str">
        <f>IFERROR((ج_ح_آذر[[#This Row],[دستمزد روزانه ]]/7.33)*1.4*ج_ح_آذر[[#This Row],[مدت اضافه کاری ]],"")</f>
        <v/>
      </c>
      <c r="K303" s="89" t="str">
        <f>IF(ج_ح_آذر[[#This Row],[کارکرد]]="","",ج_ح_آذر[[#This Row],[کارکرد]]/30*حق_مسکن)</f>
        <v/>
      </c>
      <c r="L303" s="91">
        <v>0</v>
      </c>
      <c r="M303" s="89">
        <f>IF(ج_ح_آذر[[#This Row],[تعداد فرزندان]]="","",ج_ح_آذر[[#This Row],[کارکرد]]/30*3*ج_ح_آذر[[#This Row],[تعداد فرزندان]]*حداقل_حقوق_پایه_روزانه)</f>
        <v>0</v>
      </c>
      <c r="N303" s="89" t="str">
        <f>IF(ج_ح_آذر[[#This Row],[کارکرد]]="","",ج_ح_آذر[[#This Row],[کارکرد]]/30*حق_خواربار)</f>
        <v/>
      </c>
      <c r="O303" s="89" t="str">
        <f>IFERROR(ج_ح_آذر[[#This Row],[حقوق پایه]]+ج_ح_آذر[[#This Row],[اضافه کاری]]+ج_ح_آذر[[#This Row],[حق مسکن]]+ج_ح_آذر[[#This Row],[حق اولاد]]+ج_ح_آذر[[#This Row],[حق و خواروبار]],"")</f>
        <v/>
      </c>
      <c r="P303"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03" s="89" t="str">
        <f>IFERROR(ج_ح_آذر[[#This Row],[حقوق پایه]]+ج_ح_آذر[[#This Row],[اضافه کاری]]+ج_ح_آذر[[#This Row],[حق مسکن]]+ج_ح_آذر[[#This Row],[حق و خواروبار]]+ج_ح_آذر[[#This Row],[حق اولاد]]-(2/7)*ج_ح_آذر[[#This Row],[بیمه پرداختنی]],"")</f>
        <v/>
      </c>
      <c r="R303" s="91">
        <v>0</v>
      </c>
      <c r="S303" s="91">
        <v>0</v>
      </c>
      <c r="T303" s="89" t="str">
        <f>IFERROR(ج_ح_آذر[[#This Row],[جمع ح و م م بیمه ]]*7%,"")</f>
        <v/>
      </c>
      <c r="U303"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03" s="89" t="str">
        <f>IFERROR(ج_ح_آذر[[#This Row],[وام]]+ج_ح_آذر[[#This Row],[مساعده]]+ج_ح_آذر[[#This Row],[بیمه پرداختنی]]+ج_ح_آذر[[#This Row],[مالیات پرداختنی]],"")</f>
        <v/>
      </c>
      <c r="W303" s="89" t="str">
        <f>IFERROR(ج_ح_آذر[[#This Row],[جمع ح و م]]-ج_ح_آذر[[#This Row],[جمع کسورات]],"")</f>
        <v/>
      </c>
      <c r="X303" s="108" t="e">
        <f>100000000-ج_ح_آذر[[#This Row],[جمع ح و م م مالیات]]</f>
        <v>#VALUE!</v>
      </c>
    </row>
    <row r="304" spans="1:24" ht="32.1" customHeight="1">
      <c r="B304" s="1">
        <f>B303</f>
        <v>9</v>
      </c>
      <c r="C304" s="85" t="str">
        <f>IF(ج_ح_آذر[[#This Row],[نام]]&lt;&gt;"",ROW()-303+1,"")</f>
        <v/>
      </c>
      <c r="D304" s="86"/>
      <c r="E304" s="86"/>
      <c r="F304" s="87"/>
      <c r="G304" s="88" t="str">
        <f>IFERROR(IF(COUNT(ج_ح_آذر[[#This Row],[کارکرد]]),حداقل_حقوق_پایه_روزانه,""),"")</f>
        <v/>
      </c>
      <c r="H304" s="89" t="str">
        <f>IFERROR(IF(ج_ح_آذر[[#This Row],[کارکرد]]*ج_ح_آذر[[#This Row],[دستمزد روزانه ]]=0,"",ج_ح_آذر[[#This Row],[کارکرد]]*ج_ح_آذر[[#This Row],[دستمزد روزانه ]]),"")</f>
        <v/>
      </c>
      <c r="I304" s="91">
        <v>0</v>
      </c>
      <c r="J304" s="90" t="str">
        <f>IFERROR((ج_ح_آذر[[#This Row],[دستمزد روزانه ]]/7.33)*1.4*ج_ح_آذر[[#This Row],[مدت اضافه کاری ]],"")</f>
        <v/>
      </c>
      <c r="K304" s="89" t="str">
        <f>IF(ج_ح_آذر[[#This Row],[کارکرد]]="","",ج_ح_آذر[[#This Row],[کارکرد]]/30*حق_مسکن)</f>
        <v/>
      </c>
      <c r="L304" s="91">
        <v>0</v>
      </c>
      <c r="M304" s="89">
        <f>IF(ج_ح_آذر[[#This Row],[تعداد فرزندان]]="","",ج_ح_آذر[[#This Row],[کارکرد]]/30*3*ج_ح_آذر[[#This Row],[تعداد فرزندان]]*حداقل_حقوق_پایه_روزانه)</f>
        <v>0</v>
      </c>
      <c r="N304" s="89" t="str">
        <f>IF(ج_ح_آذر[[#This Row],[کارکرد]]="","",ج_ح_آذر[[#This Row],[کارکرد]]/30*حق_خواربار)</f>
        <v/>
      </c>
      <c r="O304" s="89" t="str">
        <f>IFERROR(ج_ح_آذر[[#This Row],[حقوق پایه]]+ج_ح_آذر[[#This Row],[اضافه کاری]]+ج_ح_آذر[[#This Row],[حق مسکن]]+ج_ح_آذر[[#This Row],[حق اولاد]]+ج_ح_آذر[[#This Row],[حق و خواروبار]],"")</f>
        <v/>
      </c>
      <c r="P304"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04" s="89" t="str">
        <f>IFERROR(ج_ح_آذر[[#This Row],[حقوق پایه]]+ج_ح_آذر[[#This Row],[اضافه کاری]]+ج_ح_آذر[[#This Row],[حق مسکن]]+ج_ح_آذر[[#This Row],[حق و خواروبار]]+ج_ح_آذر[[#This Row],[حق اولاد]]-(2/7)*ج_ح_آذر[[#This Row],[بیمه پرداختنی]],"")</f>
        <v/>
      </c>
      <c r="R304" s="91">
        <v>0</v>
      </c>
      <c r="S304" s="91">
        <v>0</v>
      </c>
      <c r="T304" s="89" t="str">
        <f>IFERROR(ج_ح_آذر[[#This Row],[جمع ح و م م بیمه ]]*7%,"")</f>
        <v/>
      </c>
      <c r="U304"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04" s="89" t="str">
        <f>IFERROR(ج_ح_آذر[[#This Row],[وام]]+ج_ح_آذر[[#This Row],[مساعده]]+ج_ح_آذر[[#This Row],[بیمه پرداختنی]]+ج_ح_آذر[[#This Row],[مالیات پرداختنی]],"")</f>
        <v/>
      </c>
      <c r="W304" s="89" t="str">
        <f>IFERROR(ج_ح_آذر[[#This Row],[جمع ح و م]]-ج_ح_آذر[[#This Row],[جمع کسورات]],"")</f>
        <v/>
      </c>
      <c r="X304" s="108" t="e">
        <f>100000000-ج_ح_آذر[[#This Row],[جمع ح و م م مالیات]]</f>
        <v>#VALUE!</v>
      </c>
    </row>
    <row r="305" spans="2:24" ht="32.1" customHeight="1">
      <c r="B305" s="1">
        <f t="shared" ref="B305:B333" si="7">B304</f>
        <v>9</v>
      </c>
      <c r="C305" s="85" t="str">
        <f>IF(ج_ح_آذر[[#This Row],[نام]]&lt;&gt;"",ROW()-303+1,"")</f>
        <v/>
      </c>
      <c r="D305" s="86"/>
      <c r="E305" s="86"/>
      <c r="F305" s="87"/>
      <c r="G305" s="88" t="str">
        <f>IFERROR(IF(COUNT(ج_ح_آذر[[#This Row],[کارکرد]]),حداقل_حقوق_پایه_روزانه,""),"")</f>
        <v/>
      </c>
      <c r="H305" s="89" t="str">
        <f>IFERROR(IF(ج_ح_آذر[[#This Row],[کارکرد]]*ج_ح_آذر[[#This Row],[دستمزد روزانه ]]=0,"",ج_ح_آذر[[#This Row],[کارکرد]]*ج_ح_آذر[[#This Row],[دستمزد روزانه ]]),"")</f>
        <v/>
      </c>
      <c r="I305" s="91">
        <v>0</v>
      </c>
      <c r="J305" s="90" t="str">
        <f>IFERROR((ج_ح_آذر[[#This Row],[دستمزد روزانه ]]/7.33)*1.4*ج_ح_آذر[[#This Row],[مدت اضافه کاری ]],"")</f>
        <v/>
      </c>
      <c r="K305" s="89" t="str">
        <f>IF(ج_ح_آذر[[#This Row],[کارکرد]]="","",ج_ح_آذر[[#This Row],[کارکرد]]/30*حق_مسکن)</f>
        <v/>
      </c>
      <c r="L305" s="91">
        <v>0</v>
      </c>
      <c r="M305" s="89">
        <f>IF(ج_ح_آذر[[#This Row],[تعداد فرزندان]]="","",ج_ح_آذر[[#This Row],[کارکرد]]/30*3*ج_ح_آذر[[#This Row],[تعداد فرزندان]]*حداقل_حقوق_پایه_روزانه)</f>
        <v>0</v>
      </c>
      <c r="N305" s="89" t="str">
        <f>IF(ج_ح_آذر[[#This Row],[کارکرد]]="","",ج_ح_آذر[[#This Row],[کارکرد]]/30*حق_خواربار)</f>
        <v/>
      </c>
      <c r="O305" s="89" t="str">
        <f>IFERROR(ج_ح_آذر[[#This Row],[حقوق پایه]]+ج_ح_آذر[[#This Row],[اضافه کاری]]+ج_ح_آذر[[#This Row],[حق مسکن]]+ج_ح_آذر[[#This Row],[حق اولاد]]+ج_ح_آذر[[#This Row],[حق و خواروبار]],"")</f>
        <v/>
      </c>
      <c r="P305"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05" s="89" t="str">
        <f>IFERROR(ج_ح_آذر[[#This Row],[حقوق پایه]]+ج_ح_آذر[[#This Row],[اضافه کاری]]+ج_ح_آذر[[#This Row],[حق مسکن]]+ج_ح_آذر[[#This Row],[حق و خواروبار]]+ج_ح_آذر[[#This Row],[حق اولاد]]-(2/7)*ج_ح_آذر[[#This Row],[بیمه پرداختنی]],"")</f>
        <v/>
      </c>
      <c r="R305" s="91">
        <v>0</v>
      </c>
      <c r="S305" s="91">
        <v>0</v>
      </c>
      <c r="T305" s="89" t="str">
        <f>IFERROR(ج_ح_آذر[[#This Row],[جمع ح و م م بیمه ]]*7%,"")</f>
        <v/>
      </c>
      <c r="U305"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05" s="89" t="str">
        <f>IFERROR(ج_ح_آذر[[#This Row],[وام]]+ج_ح_آذر[[#This Row],[مساعده]]+ج_ح_آذر[[#This Row],[بیمه پرداختنی]]+ج_ح_آذر[[#This Row],[مالیات پرداختنی]],"")</f>
        <v/>
      </c>
      <c r="W305" s="89" t="str">
        <f>IFERROR(ج_ح_آذر[[#This Row],[جمع ح و م]]-ج_ح_آذر[[#This Row],[جمع کسورات]],"")</f>
        <v/>
      </c>
      <c r="X305" s="108" t="e">
        <f>100000000-ج_ح_آذر[[#This Row],[جمع ح و م م مالیات]]</f>
        <v>#VALUE!</v>
      </c>
    </row>
    <row r="306" spans="2:24" ht="32.1" customHeight="1">
      <c r="B306" s="1">
        <f t="shared" si="7"/>
        <v>9</v>
      </c>
      <c r="C306" s="85" t="str">
        <f>IF(ج_ح_آذر[[#This Row],[نام]]&lt;&gt;"",ROW()-303+1,"")</f>
        <v/>
      </c>
      <c r="D306" s="86"/>
      <c r="E306" s="86"/>
      <c r="F306" s="87"/>
      <c r="G306" s="88" t="str">
        <f>IFERROR(IF(COUNT(ج_ح_آذر[[#This Row],[کارکرد]]),حداقل_حقوق_پایه_روزانه,""),"")</f>
        <v/>
      </c>
      <c r="H306" s="89" t="str">
        <f>IFERROR(IF(ج_ح_آذر[[#This Row],[کارکرد]]*ج_ح_آذر[[#This Row],[دستمزد روزانه ]]=0,"",ج_ح_آذر[[#This Row],[کارکرد]]*ج_ح_آذر[[#This Row],[دستمزد روزانه ]]),"")</f>
        <v/>
      </c>
      <c r="I306" s="91">
        <v>0</v>
      </c>
      <c r="J306" s="90" t="str">
        <f>IFERROR((ج_ح_آذر[[#This Row],[دستمزد روزانه ]]/7.33)*1.4*ج_ح_آذر[[#This Row],[مدت اضافه کاری ]],"")</f>
        <v/>
      </c>
      <c r="K306" s="89" t="str">
        <f>IF(ج_ح_آذر[[#This Row],[کارکرد]]="","",ج_ح_آذر[[#This Row],[کارکرد]]/30*حق_مسکن)</f>
        <v/>
      </c>
      <c r="L306" s="91">
        <v>0</v>
      </c>
      <c r="M306" s="89">
        <f>IF(ج_ح_آذر[[#This Row],[تعداد فرزندان]]="","",ج_ح_آذر[[#This Row],[کارکرد]]/30*3*ج_ح_آذر[[#This Row],[تعداد فرزندان]]*حداقل_حقوق_پایه_روزانه)</f>
        <v>0</v>
      </c>
      <c r="N306" s="89" t="str">
        <f>IF(ج_ح_آذر[[#This Row],[کارکرد]]="","",ج_ح_آذر[[#This Row],[کارکرد]]/30*حق_خواربار)</f>
        <v/>
      </c>
      <c r="O306" s="89" t="str">
        <f>IFERROR(ج_ح_آذر[[#This Row],[حقوق پایه]]+ج_ح_آذر[[#This Row],[اضافه کاری]]+ج_ح_آذر[[#This Row],[حق مسکن]]+ج_ح_آذر[[#This Row],[حق اولاد]]+ج_ح_آذر[[#This Row],[حق و خواروبار]],"")</f>
        <v/>
      </c>
      <c r="P306"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06" s="89" t="str">
        <f>IFERROR(ج_ح_آذر[[#This Row],[حقوق پایه]]+ج_ح_آذر[[#This Row],[اضافه کاری]]+ج_ح_آذر[[#This Row],[حق مسکن]]+ج_ح_آذر[[#This Row],[حق و خواروبار]]+ج_ح_آذر[[#This Row],[حق اولاد]]-(2/7)*ج_ح_آذر[[#This Row],[بیمه پرداختنی]],"")</f>
        <v/>
      </c>
      <c r="R306" s="91">
        <v>0</v>
      </c>
      <c r="S306" s="91">
        <v>0</v>
      </c>
      <c r="T306" s="89" t="str">
        <f>IFERROR(ج_ح_آذر[[#This Row],[جمع ح و م م بیمه ]]*7%,"")</f>
        <v/>
      </c>
      <c r="U306"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06" s="89" t="str">
        <f>IFERROR(ج_ح_آذر[[#This Row],[وام]]+ج_ح_آذر[[#This Row],[مساعده]]+ج_ح_آذر[[#This Row],[بیمه پرداختنی]]+ج_ح_آذر[[#This Row],[مالیات پرداختنی]],"")</f>
        <v/>
      </c>
      <c r="W306" s="89" t="str">
        <f>IFERROR(ج_ح_آذر[[#This Row],[جمع ح و م]]-ج_ح_آذر[[#This Row],[جمع کسورات]],"")</f>
        <v/>
      </c>
      <c r="X306" s="108" t="e">
        <f>50000000-ج_ح_آذر[[#This Row],[جمع ح و م م مالیات]]</f>
        <v>#VALUE!</v>
      </c>
    </row>
    <row r="307" spans="2:24" ht="32.1" customHeight="1">
      <c r="B307" s="1">
        <f t="shared" si="7"/>
        <v>9</v>
      </c>
      <c r="C307" s="85" t="str">
        <f>IF(ج_ح_آذر[[#This Row],[نام]]&lt;&gt;"",ROW()-303+1,"")</f>
        <v/>
      </c>
      <c r="D307" s="86"/>
      <c r="E307" s="86"/>
      <c r="F307" s="87"/>
      <c r="G307" s="88" t="str">
        <f>IFERROR(IF(COUNT(ج_ح_آذر[[#This Row],[کارکرد]]),حداقل_حقوق_پایه_روزانه,""),"")</f>
        <v/>
      </c>
      <c r="H307" s="89" t="str">
        <f>IFERROR(IF(ج_ح_آذر[[#This Row],[کارکرد]]*ج_ح_آذر[[#This Row],[دستمزد روزانه ]]=0,"",ج_ح_آذر[[#This Row],[کارکرد]]*ج_ح_آذر[[#This Row],[دستمزد روزانه ]]),"")</f>
        <v/>
      </c>
      <c r="I307" s="91"/>
      <c r="J307" s="90" t="str">
        <f>IFERROR((ج_ح_آذر[[#This Row],[دستمزد روزانه ]]/7.33)*1.4*ج_ح_آذر[[#This Row],[مدت اضافه کاری ]],"")</f>
        <v/>
      </c>
      <c r="K307" s="89" t="str">
        <f>IF(ج_ح_آذر[[#This Row],[کارکرد]]="","",ج_ح_آذر[[#This Row],[کارکرد]]/30*حق_مسکن)</f>
        <v/>
      </c>
      <c r="L307" s="91"/>
      <c r="M307" s="89" t="str">
        <f>IF(ج_ح_آذر[[#This Row],[تعداد فرزندان]]="","",ج_ح_آذر[[#This Row],[کارکرد]]/30*3*ج_ح_آذر[[#This Row],[تعداد فرزندان]]*حداقل_حقوق_پایه_روزانه)</f>
        <v/>
      </c>
      <c r="N307" s="89" t="str">
        <f>IF(ج_ح_آذر[[#This Row],[کارکرد]]="","",ج_ح_آذر[[#This Row],[کارکرد]]/30*حق_خواربار)</f>
        <v/>
      </c>
      <c r="O307" s="89" t="str">
        <f>IFERROR(ج_ح_آذر[[#This Row],[حقوق پایه]]+ج_ح_آذر[[#This Row],[اضافه کاری]]+ج_ح_آذر[[#This Row],[حق مسکن]]+ج_ح_آذر[[#This Row],[حق اولاد]]+ج_ح_آذر[[#This Row],[حق و خواروبار]],"")</f>
        <v/>
      </c>
      <c r="P307"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07" s="89" t="str">
        <f>IFERROR(ج_ح_آذر[[#This Row],[حقوق پایه]]+ج_ح_آذر[[#This Row],[اضافه کاری]]+ج_ح_آذر[[#This Row],[حق مسکن]]+ج_ح_آذر[[#This Row],[حق و خواروبار]]+ج_ح_آذر[[#This Row],[حق اولاد]]-(2/7)*ج_ح_آذر[[#This Row],[بیمه پرداختنی]],"")</f>
        <v/>
      </c>
      <c r="R307" s="91"/>
      <c r="S307" s="91"/>
      <c r="T307" s="89" t="str">
        <f>IFERROR(ج_ح_آذر[[#This Row],[جمع ح و م م بیمه ]]*7%,"")</f>
        <v/>
      </c>
      <c r="U307"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07" s="89" t="str">
        <f>IFERROR(ج_ح_آذر[[#This Row],[وام]]+ج_ح_آذر[[#This Row],[مساعده]]+ج_ح_آذر[[#This Row],[بیمه پرداختنی]]+ج_ح_آذر[[#This Row],[مالیات پرداختنی]],"")</f>
        <v/>
      </c>
      <c r="W307" s="89" t="str">
        <f>IFERROR(ج_ح_آذر[[#This Row],[جمع ح و م]]-ج_ح_آذر[[#This Row],[جمع کسورات]],"")</f>
        <v/>
      </c>
      <c r="X307" s="108"/>
    </row>
    <row r="308" spans="2:24" ht="32.1" customHeight="1">
      <c r="B308" s="1">
        <f t="shared" si="7"/>
        <v>9</v>
      </c>
      <c r="C308" s="85" t="str">
        <f>IF(ج_ح_آذر[[#This Row],[نام]]&lt;&gt;"",ROW()-303+1,"")</f>
        <v/>
      </c>
      <c r="D308" s="86"/>
      <c r="E308" s="86"/>
      <c r="F308" s="87"/>
      <c r="G308" s="88" t="str">
        <f>IFERROR(IF(COUNT(ج_ح_آذر[[#This Row],[کارکرد]]),حداقل_حقوق_پایه_روزانه,""),"")</f>
        <v/>
      </c>
      <c r="H308" s="89" t="str">
        <f>IFERROR(IF(ج_ح_آذر[[#This Row],[کارکرد]]*ج_ح_آذر[[#This Row],[دستمزد روزانه ]]=0,"",ج_ح_آذر[[#This Row],[کارکرد]]*ج_ح_آذر[[#This Row],[دستمزد روزانه ]]),"")</f>
        <v/>
      </c>
      <c r="I308" s="91"/>
      <c r="J308" s="90" t="str">
        <f>IFERROR((ج_ح_آذر[[#This Row],[دستمزد روزانه ]]/7.33)*1.4*ج_ح_آذر[[#This Row],[مدت اضافه کاری ]],"")</f>
        <v/>
      </c>
      <c r="K308" s="89" t="str">
        <f>IF(ج_ح_آذر[[#This Row],[کارکرد]]="","",ج_ح_آذر[[#This Row],[کارکرد]]/30*حق_مسکن)</f>
        <v/>
      </c>
      <c r="L308" s="91"/>
      <c r="M308" s="89" t="str">
        <f>IF(ج_ح_آذر[[#This Row],[تعداد فرزندان]]="","",ج_ح_آذر[[#This Row],[کارکرد]]/30*3*ج_ح_آذر[[#This Row],[تعداد فرزندان]]*حداقل_حقوق_پایه_روزانه)</f>
        <v/>
      </c>
      <c r="N308" s="89" t="str">
        <f>IF(ج_ح_آذر[[#This Row],[کارکرد]]="","",ج_ح_آذر[[#This Row],[کارکرد]]/30*حق_خواربار)</f>
        <v/>
      </c>
      <c r="O308" s="89" t="str">
        <f>IFERROR(ج_ح_آذر[[#This Row],[حقوق پایه]]+ج_ح_آذر[[#This Row],[اضافه کاری]]+ج_ح_آذر[[#This Row],[حق مسکن]]+ج_ح_آذر[[#This Row],[حق اولاد]]+ج_ح_آذر[[#This Row],[حق و خواروبار]],"")</f>
        <v/>
      </c>
      <c r="P308"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08" s="89" t="str">
        <f>IFERROR(ج_ح_آذر[[#This Row],[حقوق پایه]]+ج_ح_آذر[[#This Row],[اضافه کاری]]+ج_ح_آذر[[#This Row],[حق مسکن]]+ج_ح_آذر[[#This Row],[حق و خواروبار]]+ج_ح_آذر[[#This Row],[حق اولاد]]-(2/7)*ج_ح_آذر[[#This Row],[بیمه پرداختنی]],"")</f>
        <v/>
      </c>
      <c r="R308" s="91"/>
      <c r="S308" s="91"/>
      <c r="T308" s="89" t="str">
        <f>IFERROR(ج_ح_آذر[[#This Row],[جمع ح و م م بیمه ]]*7%,"")</f>
        <v/>
      </c>
      <c r="U308"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08" s="89" t="str">
        <f>IFERROR(ج_ح_آذر[[#This Row],[وام]]+ج_ح_آذر[[#This Row],[مساعده]]+ج_ح_آذر[[#This Row],[بیمه پرداختنی]]+ج_ح_آذر[[#This Row],[مالیات پرداختنی]],"")</f>
        <v/>
      </c>
      <c r="W308" s="89" t="str">
        <f>IFERROR(ج_ح_آذر[[#This Row],[جمع ح و م]]-ج_ح_آذر[[#This Row],[جمع کسورات]],"")</f>
        <v/>
      </c>
      <c r="X308" s="108"/>
    </row>
    <row r="309" spans="2:24" ht="32.1" customHeight="1">
      <c r="B309" s="1">
        <f t="shared" si="7"/>
        <v>9</v>
      </c>
      <c r="C309" s="85" t="str">
        <f>IF(ج_ح_آذر[[#This Row],[نام]]&lt;&gt;"",ROW()-303+1,"")</f>
        <v/>
      </c>
      <c r="D309" s="86"/>
      <c r="E309" s="86"/>
      <c r="F309" s="87"/>
      <c r="G309" s="88" t="str">
        <f>IFERROR(IF(COUNT(ج_ح_آذر[[#This Row],[کارکرد]]),حداقل_حقوق_پایه_روزانه,""),"")</f>
        <v/>
      </c>
      <c r="H309" s="89" t="str">
        <f>IFERROR(IF(ج_ح_آذر[[#This Row],[کارکرد]]*ج_ح_آذر[[#This Row],[دستمزد روزانه ]]=0,"",ج_ح_آذر[[#This Row],[کارکرد]]*ج_ح_آذر[[#This Row],[دستمزد روزانه ]]),"")</f>
        <v/>
      </c>
      <c r="I309" s="91"/>
      <c r="J309" s="90" t="str">
        <f>IFERROR((ج_ح_آذر[[#This Row],[دستمزد روزانه ]]/7.33)*1.4*ج_ح_آذر[[#This Row],[مدت اضافه کاری ]],"")</f>
        <v/>
      </c>
      <c r="K309" s="89" t="str">
        <f>IF(ج_ح_آذر[[#This Row],[کارکرد]]="","",ج_ح_آذر[[#This Row],[کارکرد]]/30*حق_مسکن)</f>
        <v/>
      </c>
      <c r="L309" s="91"/>
      <c r="M309" s="89" t="str">
        <f>IF(ج_ح_آذر[[#This Row],[تعداد فرزندان]]="","",ج_ح_آذر[[#This Row],[کارکرد]]/30*3*ج_ح_آذر[[#This Row],[تعداد فرزندان]]*حداقل_حقوق_پایه_روزانه)</f>
        <v/>
      </c>
      <c r="N309" s="89" t="str">
        <f>IF(ج_ح_آذر[[#This Row],[کارکرد]]="","",ج_ح_آذر[[#This Row],[کارکرد]]/30*حق_خواربار)</f>
        <v/>
      </c>
      <c r="O309" s="89" t="str">
        <f>IFERROR(ج_ح_آذر[[#This Row],[حقوق پایه]]+ج_ح_آذر[[#This Row],[اضافه کاری]]+ج_ح_آذر[[#This Row],[حق مسکن]]+ج_ح_آذر[[#This Row],[حق اولاد]]+ج_ح_آذر[[#This Row],[حق و خواروبار]],"")</f>
        <v/>
      </c>
      <c r="P309"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09" s="89" t="str">
        <f>IFERROR(ج_ح_آذر[[#This Row],[حقوق پایه]]+ج_ح_آذر[[#This Row],[اضافه کاری]]+ج_ح_آذر[[#This Row],[حق مسکن]]+ج_ح_آذر[[#This Row],[حق و خواروبار]]+ج_ح_آذر[[#This Row],[حق اولاد]]-(2/7)*ج_ح_آذر[[#This Row],[بیمه پرداختنی]],"")</f>
        <v/>
      </c>
      <c r="R309" s="91"/>
      <c r="S309" s="91"/>
      <c r="T309" s="89" t="str">
        <f>IFERROR(ج_ح_آذر[[#This Row],[جمع ح و م م بیمه ]]*7%,"")</f>
        <v/>
      </c>
      <c r="U309"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09" s="89" t="str">
        <f>IFERROR(ج_ح_آذر[[#This Row],[وام]]+ج_ح_آذر[[#This Row],[مساعده]]+ج_ح_آذر[[#This Row],[بیمه پرداختنی]]+ج_ح_آذر[[#This Row],[مالیات پرداختنی]],"")</f>
        <v/>
      </c>
      <c r="W309" s="89" t="str">
        <f>IFERROR(ج_ح_آذر[[#This Row],[جمع ح و م]]-ج_ح_آذر[[#This Row],[جمع کسورات]],"")</f>
        <v/>
      </c>
      <c r="X309" s="108"/>
    </row>
    <row r="310" spans="2:24" ht="32.1" customHeight="1">
      <c r="B310" s="1">
        <f t="shared" si="7"/>
        <v>9</v>
      </c>
      <c r="C310" s="85" t="str">
        <f>IF(ج_ح_آذر[[#This Row],[نام]]&lt;&gt;"",ROW()-303+1,"")</f>
        <v/>
      </c>
      <c r="D310" s="86"/>
      <c r="E310" s="86"/>
      <c r="F310" s="87"/>
      <c r="G310" s="88" t="str">
        <f>IFERROR(IF(COUNT(ج_ح_آذر[[#This Row],[کارکرد]]),حداقل_حقوق_پایه_روزانه,""),"")</f>
        <v/>
      </c>
      <c r="H310" s="89" t="str">
        <f>IFERROR(IF(ج_ح_آذر[[#This Row],[کارکرد]]*ج_ح_آذر[[#This Row],[دستمزد روزانه ]]=0,"",ج_ح_آذر[[#This Row],[کارکرد]]*ج_ح_آذر[[#This Row],[دستمزد روزانه ]]),"")</f>
        <v/>
      </c>
      <c r="I310" s="91"/>
      <c r="J310" s="90" t="str">
        <f>IFERROR((ج_ح_آذر[[#This Row],[دستمزد روزانه ]]/7.33)*1.4*ج_ح_آذر[[#This Row],[مدت اضافه کاری ]],"")</f>
        <v/>
      </c>
      <c r="K310" s="89" t="str">
        <f>IF(ج_ح_آذر[[#This Row],[کارکرد]]="","",ج_ح_آذر[[#This Row],[کارکرد]]/30*حق_مسکن)</f>
        <v/>
      </c>
      <c r="L310" s="91"/>
      <c r="M310" s="89" t="str">
        <f>IF(ج_ح_آذر[[#This Row],[تعداد فرزندان]]="","",ج_ح_آذر[[#This Row],[کارکرد]]/30*3*ج_ح_آذر[[#This Row],[تعداد فرزندان]]*حداقل_حقوق_پایه_روزانه)</f>
        <v/>
      </c>
      <c r="N310" s="89" t="str">
        <f>IF(ج_ح_آذر[[#This Row],[کارکرد]]="","",ج_ح_آذر[[#This Row],[کارکرد]]/30*حق_خواربار)</f>
        <v/>
      </c>
      <c r="O310" s="89" t="str">
        <f>IFERROR(ج_ح_آذر[[#This Row],[حقوق پایه]]+ج_ح_آذر[[#This Row],[اضافه کاری]]+ج_ح_آذر[[#This Row],[حق مسکن]]+ج_ح_آذر[[#This Row],[حق اولاد]]+ج_ح_آذر[[#This Row],[حق و خواروبار]],"")</f>
        <v/>
      </c>
      <c r="P310"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10" s="89" t="str">
        <f>IFERROR(ج_ح_آذر[[#This Row],[حقوق پایه]]+ج_ح_آذر[[#This Row],[اضافه کاری]]+ج_ح_آذر[[#This Row],[حق مسکن]]+ج_ح_آذر[[#This Row],[حق و خواروبار]]+ج_ح_آذر[[#This Row],[حق اولاد]]-(2/7)*ج_ح_آذر[[#This Row],[بیمه پرداختنی]],"")</f>
        <v/>
      </c>
      <c r="R310" s="91"/>
      <c r="S310" s="91"/>
      <c r="T310" s="89" t="str">
        <f>IFERROR(ج_ح_آذر[[#This Row],[جمع ح و م م بیمه ]]*7%,"")</f>
        <v/>
      </c>
      <c r="U310"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10" s="89" t="str">
        <f>IFERROR(ج_ح_آذر[[#This Row],[وام]]+ج_ح_آذر[[#This Row],[مساعده]]+ج_ح_آذر[[#This Row],[بیمه پرداختنی]]+ج_ح_آذر[[#This Row],[مالیات پرداختنی]],"")</f>
        <v/>
      </c>
      <c r="W310" s="89" t="str">
        <f>IFERROR(ج_ح_آذر[[#This Row],[جمع ح و م]]-ج_ح_آذر[[#This Row],[جمع کسورات]],"")</f>
        <v/>
      </c>
      <c r="X310" s="108"/>
    </row>
    <row r="311" spans="2:24" ht="32.1" customHeight="1">
      <c r="B311" s="1">
        <f t="shared" si="7"/>
        <v>9</v>
      </c>
      <c r="C311" s="85" t="str">
        <f>IF(ج_ح_آذر[[#This Row],[نام]]&lt;&gt;"",ROW()-303+1,"")</f>
        <v/>
      </c>
      <c r="D311" s="86"/>
      <c r="E311" s="86"/>
      <c r="F311" s="87"/>
      <c r="G311" s="88" t="str">
        <f>IFERROR(IF(COUNT(ج_ح_آذر[[#This Row],[کارکرد]]),حداقل_حقوق_پایه_روزانه,""),"")</f>
        <v/>
      </c>
      <c r="H311" s="89" t="str">
        <f>IFERROR(IF(ج_ح_آذر[[#This Row],[کارکرد]]*ج_ح_آذر[[#This Row],[دستمزد روزانه ]]=0,"",ج_ح_آذر[[#This Row],[کارکرد]]*ج_ح_آذر[[#This Row],[دستمزد روزانه ]]),"")</f>
        <v/>
      </c>
      <c r="I311" s="91"/>
      <c r="J311" s="90" t="str">
        <f>IFERROR((ج_ح_آذر[[#This Row],[دستمزد روزانه ]]/7.33)*1.4*ج_ح_آذر[[#This Row],[مدت اضافه کاری ]],"")</f>
        <v/>
      </c>
      <c r="K311" s="89" t="str">
        <f>IF(ج_ح_آذر[[#This Row],[کارکرد]]="","",ج_ح_آذر[[#This Row],[کارکرد]]/30*حق_مسکن)</f>
        <v/>
      </c>
      <c r="L311" s="91"/>
      <c r="M311" s="89" t="str">
        <f>IF(ج_ح_آذر[[#This Row],[تعداد فرزندان]]="","",ج_ح_آذر[[#This Row],[کارکرد]]/30*3*ج_ح_آذر[[#This Row],[تعداد فرزندان]]*حداقل_حقوق_پایه_روزانه)</f>
        <v/>
      </c>
      <c r="N311" s="89" t="str">
        <f>IF(ج_ح_آذر[[#This Row],[کارکرد]]="","",ج_ح_آذر[[#This Row],[کارکرد]]/30*حق_خواربار)</f>
        <v/>
      </c>
      <c r="O311" s="89" t="str">
        <f>IFERROR(ج_ح_آذر[[#This Row],[حقوق پایه]]+ج_ح_آذر[[#This Row],[اضافه کاری]]+ج_ح_آذر[[#This Row],[حق مسکن]]+ج_ح_آذر[[#This Row],[حق اولاد]]+ج_ح_آذر[[#This Row],[حق و خواروبار]],"")</f>
        <v/>
      </c>
      <c r="P311"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11" s="89" t="str">
        <f>IFERROR(ج_ح_آذر[[#This Row],[حقوق پایه]]+ج_ح_آذر[[#This Row],[اضافه کاری]]+ج_ح_آذر[[#This Row],[حق مسکن]]+ج_ح_آذر[[#This Row],[حق و خواروبار]]+ج_ح_آذر[[#This Row],[حق اولاد]]-(2/7)*ج_ح_آذر[[#This Row],[بیمه پرداختنی]],"")</f>
        <v/>
      </c>
      <c r="R311" s="91"/>
      <c r="S311" s="91"/>
      <c r="T311" s="89" t="str">
        <f>IFERROR(ج_ح_آذر[[#This Row],[جمع ح و م م بیمه ]]*7%,"")</f>
        <v/>
      </c>
      <c r="U311"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11" s="89" t="str">
        <f>IFERROR(ج_ح_آذر[[#This Row],[وام]]+ج_ح_آذر[[#This Row],[مساعده]]+ج_ح_آذر[[#This Row],[بیمه پرداختنی]]+ج_ح_آذر[[#This Row],[مالیات پرداختنی]],"")</f>
        <v/>
      </c>
      <c r="W311" s="89" t="str">
        <f>IFERROR(ج_ح_آذر[[#This Row],[جمع ح و م]]-ج_ح_آذر[[#This Row],[جمع کسورات]],"")</f>
        <v/>
      </c>
      <c r="X311" s="108"/>
    </row>
    <row r="312" spans="2:24" ht="32.1" customHeight="1">
      <c r="B312" s="1">
        <f t="shared" si="7"/>
        <v>9</v>
      </c>
      <c r="C312" s="85" t="str">
        <f>IF(ج_ح_آذر[[#This Row],[نام]]&lt;&gt;"",ROW()-303+1,"")</f>
        <v/>
      </c>
      <c r="D312" s="86"/>
      <c r="E312" s="86"/>
      <c r="F312" s="87"/>
      <c r="G312" s="88" t="str">
        <f>IFERROR(IF(COUNT(ج_ح_آذر[[#This Row],[کارکرد]]),حداقل_حقوق_پایه_روزانه,""),"")</f>
        <v/>
      </c>
      <c r="H312" s="89" t="str">
        <f>IFERROR(IF(ج_ح_آذر[[#This Row],[کارکرد]]*ج_ح_آذر[[#This Row],[دستمزد روزانه ]]=0,"",ج_ح_آذر[[#This Row],[کارکرد]]*ج_ح_آذر[[#This Row],[دستمزد روزانه ]]),"")</f>
        <v/>
      </c>
      <c r="I312" s="91"/>
      <c r="J312" s="90" t="str">
        <f>IFERROR((ج_ح_آذر[[#This Row],[دستمزد روزانه ]]/7.33)*1.4*ج_ح_آذر[[#This Row],[مدت اضافه کاری ]],"")</f>
        <v/>
      </c>
      <c r="K312" s="89" t="str">
        <f>IF(ج_ح_آذر[[#This Row],[کارکرد]]="","",ج_ح_آذر[[#This Row],[کارکرد]]/30*حق_مسکن)</f>
        <v/>
      </c>
      <c r="L312" s="91"/>
      <c r="M312" s="89" t="str">
        <f>IF(ج_ح_آذر[[#This Row],[تعداد فرزندان]]="","",ج_ح_آذر[[#This Row],[کارکرد]]/30*3*ج_ح_آذر[[#This Row],[تعداد فرزندان]]*حداقل_حقوق_پایه_روزانه)</f>
        <v/>
      </c>
      <c r="N312" s="89" t="str">
        <f>IF(ج_ح_آذر[[#This Row],[کارکرد]]="","",ج_ح_آذر[[#This Row],[کارکرد]]/30*حق_خواربار)</f>
        <v/>
      </c>
      <c r="O312" s="89" t="str">
        <f>IFERROR(ج_ح_آذر[[#This Row],[حقوق پایه]]+ج_ح_آذر[[#This Row],[اضافه کاری]]+ج_ح_آذر[[#This Row],[حق مسکن]]+ج_ح_آذر[[#This Row],[حق اولاد]]+ج_ح_آذر[[#This Row],[حق و خواروبار]],"")</f>
        <v/>
      </c>
      <c r="P312"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12" s="89" t="str">
        <f>IFERROR(ج_ح_آذر[[#This Row],[حقوق پایه]]+ج_ح_آذر[[#This Row],[اضافه کاری]]+ج_ح_آذر[[#This Row],[حق مسکن]]+ج_ح_آذر[[#This Row],[حق و خواروبار]]+ج_ح_آذر[[#This Row],[حق اولاد]]-(2/7)*ج_ح_آذر[[#This Row],[بیمه پرداختنی]],"")</f>
        <v/>
      </c>
      <c r="R312" s="91"/>
      <c r="S312" s="91"/>
      <c r="T312" s="89" t="str">
        <f>IFERROR(ج_ح_آذر[[#This Row],[جمع ح و م م بیمه ]]*7%,"")</f>
        <v/>
      </c>
      <c r="U312"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12" s="89" t="str">
        <f>IFERROR(ج_ح_آذر[[#This Row],[وام]]+ج_ح_آذر[[#This Row],[مساعده]]+ج_ح_آذر[[#This Row],[بیمه پرداختنی]]+ج_ح_آذر[[#This Row],[مالیات پرداختنی]],"")</f>
        <v/>
      </c>
      <c r="W312" s="89" t="str">
        <f>IFERROR(ج_ح_آذر[[#This Row],[جمع ح و م]]-ج_ح_آذر[[#This Row],[جمع کسورات]],"")</f>
        <v/>
      </c>
      <c r="X312" s="108"/>
    </row>
    <row r="313" spans="2:24" ht="32.1" customHeight="1">
      <c r="B313" s="1">
        <f t="shared" si="7"/>
        <v>9</v>
      </c>
      <c r="C313" s="85" t="str">
        <f>IF(ج_ح_آذر[[#This Row],[نام]]&lt;&gt;"",ROW()-303+1,"")</f>
        <v/>
      </c>
      <c r="D313" s="86"/>
      <c r="E313" s="86"/>
      <c r="F313" s="87"/>
      <c r="G313" s="88" t="str">
        <f>IFERROR(IF(COUNT(ج_ح_آذر[[#This Row],[کارکرد]]),حداقل_حقوق_پایه_روزانه,""),"")</f>
        <v/>
      </c>
      <c r="H313" s="89" t="str">
        <f>IFERROR(IF(ج_ح_آذر[[#This Row],[کارکرد]]*ج_ح_آذر[[#This Row],[دستمزد روزانه ]]=0,"",ج_ح_آذر[[#This Row],[کارکرد]]*ج_ح_آذر[[#This Row],[دستمزد روزانه ]]),"")</f>
        <v/>
      </c>
      <c r="I313" s="91"/>
      <c r="J313" s="90" t="str">
        <f>IFERROR((ج_ح_آذر[[#This Row],[دستمزد روزانه ]]/7.33)*1.4*ج_ح_آذر[[#This Row],[مدت اضافه کاری ]],"")</f>
        <v/>
      </c>
      <c r="K313" s="89" t="str">
        <f>IF(ج_ح_آذر[[#This Row],[کارکرد]]="","",ج_ح_آذر[[#This Row],[کارکرد]]/30*حق_مسکن)</f>
        <v/>
      </c>
      <c r="L313" s="91"/>
      <c r="M313" s="89" t="str">
        <f>IF(ج_ح_آذر[[#This Row],[تعداد فرزندان]]="","",ج_ح_آذر[[#This Row],[کارکرد]]/30*3*ج_ح_آذر[[#This Row],[تعداد فرزندان]]*حداقل_حقوق_پایه_روزانه)</f>
        <v/>
      </c>
      <c r="N313" s="89" t="str">
        <f>IF(ج_ح_آذر[[#This Row],[کارکرد]]="","",ج_ح_آذر[[#This Row],[کارکرد]]/30*حق_خواربار)</f>
        <v/>
      </c>
      <c r="O313" s="89" t="str">
        <f>IFERROR(ج_ح_آذر[[#This Row],[حقوق پایه]]+ج_ح_آذر[[#This Row],[اضافه کاری]]+ج_ح_آذر[[#This Row],[حق مسکن]]+ج_ح_آذر[[#This Row],[حق اولاد]]+ج_ح_آذر[[#This Row],[حق و خواروبار]],"")</f>
        <v/>
      </c>
      <c r="P313"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13" s="89" t="str">
        <f>IFERROR(ج_ح_آذر[[#This Row],[حقوق پایه]]+ج_ح_آذر[[#This Row],[اضافه کاری]]+ج_ح_آذر[[#This Row],[حق مسکن]]+ج_ح_آذر[[#This Row],[حق و خواروبار]]+ج_ح_آذر[[#This Row],[حق اولاد]]-(2/7)*ج_ح_آذر[[#This Row],[بیمه پرداختنی]],"")</f>
        <v/>
      </c>
      <c r="R313" s="91"/>
      <c r="S313" s="91"/>
      <c r="T313" s="89" t="str">
        <f>IFERROR(ج_ح_آذر[[#This Row],[جمع ح و م م بیمه ]]*7%,"")</f>
        <v/>
      </c>
      <c r="U313"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13" s="89" t="str">
        <f>IFERROR(ج_ح_آذر[[#This Row],[وام]]+ج_ح_آذر[[#This Row],[مساعده]]+ج_ح_آذر[[#This Row],[بیمه پرداختنی]]+ج_ح_آذر[[#This Row],[مالیات پرداختنی]],"")</f>
        <v/>
      </c>
      <c r="W313" s="89" t="str">
        <f>IFERROR(ج_ح_آذر[[#This Row],[جمع ح و م]]-ج_ح_آذر[[#This Row],[جمع کسورات]],"")</f>
        <v/>
      </c>
      <c r="X313" s="108"/>
    </row>
    <row r="314" spans="2:24" ht="32.1" customHeight="1">
      <c r="B314" s="1">
        <f t="shared" si="7"/>
        <v>9</v>
      </c>
      <c r="C314" s="85" t="str">
        <f>IF(ج_ح_آذر[[#This Row],[نام]]&lt;&gt;"",ROW()-303+1,"")</f>
        <v/>
      </c>
      <c r="D314" s="86"/>
      <c r="E314" s="86"/>
      <c r="F314" s="87"/>
      <c r="G314" s="88" t="str">
        <f>IFERROR(IF(COUNT(ج_ح_آذر[[#This Row],[کارکرد]]),حداقل_حقوق_پایه_روزانه,""),"")</f>
        <v/>
      </c>
      <c r="H314" s="89" t="str">
        <f>IFERROR(IF(ج_ح_آذر[[#This Row],[کارکرد]]*ج_ح_آذر[[#This Row],[دستمزد روزانه ]]=0,"",ج_ح_آذر[[#This Row],[کارکرد]]*ج_ح_آذر[[#This Row],[دستمزد روزانه ]]),"")</f>
        <v/>
      </c>
      <c r="I314" s="91"/>
      <c r="J314" s="90" t="str">
        <f>IFERROR((ج_ح_آذر[[#This Row],[دستمزد روزانه ]]/7.33)*1.4*ج_ح_آذر[[#This Row],[مدت اضافه کاری ]],"")</f>
        <v/>
      </c>
      <c r="K314" s="89" t="str">
        <f>IF(ج_ح_آذر[[#This Row],[کارکرد]]="","",ج_ح_آذر[[#This Row],[کارکرد]]/30*حق_مسکن)</f>
        <v/>
      </c>
      <c r="L314" s="91"/>
      <c r="M314" s="89" t="str">
        <f>IF(ج_ح_آذر[[#This Row],[تعداد فرزندان]]="","",ج_ح_آذر[[#This Row],[کارکرد]]/30*3*ج_ح_آذر[[#This Row],[تعداد فرزندان]]*حداقل_حقوق_پایه_روزانه)</f>
        <v/>
      </c>
      <c r="N314" s="89" t="str">
        <f>IF(ج_ح_آذر[[#This Row],[کارکرد]]="","",ج_ح_آذر[[#This Row],[کارکرد]]/30*حق_خواربار)</f>
        <v/>
      </c>
      <c r="O314" s="89" t="str">
        <f>IFERROR(ج_ح_آذر[[#This Row],[حقوق پایه]]+ج_ح_آذر[[#This Row],[اضافه کاری]]+ج_ح_آذر[[#This Row],[حق مسکن]]+ج_ح_آذر[[#This Row],[حق اولاد]]+ج_ح_آذر[[#This Row],[حق و خواروبار]],"")</f>
        <v/>
      </c>
      <c r="P314"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14" s="89" t="str">
        <f>IFERROR(ج_ح_آذر[[#This Row],[حقوق پایه]]+ج_ح_آذر[[#This Row],[اضافه کاری]]+ج_ح_آذر[[#This Row],[حق مسکن]]+ج_ح_آذر[[#This Row],[حق و خواروبار]]+ج_ح_آذر[[#This Row],[حق اولاد]]-(2/7)*ج_ح_آذر[[#This Row],[بیمه پرداختنی]],"")</f>
        <v/>
      </c>
      <c r="R314" s="91"/>
      <c r="S314" s="91"/>
      <c r="T314" s="89" t="str">
        <f>IFERROR(ج_ح_آذر[[#This Row],[جمع ح و م م بیمه ]]*7%,"")</f>
        <v/>
      </c>
      <c r="U314"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14" s="89" t="str">
        <f>IFERROR(ج_ح_آذر[[#This Row],[وام]]+ج_ح_آذر[[#This Row],[مساعده]]+ج_ح_آذر[[#This Row],[بیمه پرداختنی]]+ج_ح_آذر[[#This Row],[مالیات پرداختنی]],"")</f>
        <v/>
      </c>
      <c r="W314" s="89" t="str">
        <f>IFERROR(ج_ح_آذر[[#This Row],[جمع ح و م]]-ج_ح_آذر[[#This Row],[جمع کسورات]],"")</f>
        <v/>
      </c>
      <c r="X314" s="108"/>
    </row>
    <row r="315" spans="2:24" ht="32.1" customHeight="1">
      <c r="B315" s="1">
        <f t="shared" si="7"/>
        <v>9</v>
      </c>
      <c r="C315" s="85" t="str">
        <f>IF(ج_ح_آذر[[#This Row],[نام]]&lt;&gt;"",ROW()-303+1,"")</f>
        <v/>
      </c>
      <c r="D315" s="86"/>
      <c r="E315" s="86"/>
      <c r="F315" s="87"/>
      <c r="G315" s="88" t="str">
        <f>IFERROR(IF(COUNT(ج_ح_آذر[[#This Row],[کارکرد]]),حداقل_حقوق_پایه_روزانه,""),"")</f>
        <v/>
      </c>
      <c r="H315" s="89" t="str">
        <f>IFERROR(IF(ج_ح_آذر[[#This Row],[کارکرد]]*ج_ح_آذر[[#This Row],[دستمزد روزانه ]]=0,"",ج_ح_آذر[[#This Row],[کارکرد]]*ج_ح_آذر[[#This Row],[دستمزد روزانه ]]),"")</f>
        <v/>
      </c>
      <c r="I315" s="91"/>
      <c r="J315" s="90" t="str">
        <f>IFERROR((ج_ح_آذر[[#This Row],[دستمزد روزانه ]]/7.33)*1.4*ج_ح_آذر[[#This Row],[مدت اضافه کاری ]],"")</f>
        <v/>
      </c>
      <c r="K315" s="89" t="str">
        <f>IF(ج_ح_آذر[[#This Row],[کارکرد]]="","",ج_ح_آذر[[#This Row],[کارکرد]]/30*حق_مسکن)</f>
        <v/>
      </c>
      <c r="L315" s="91"/>
      <c r="M315" s="89" t="str">
        <f>IF(ج_ح_آذر[[#This Row],[تعداد فرزندان]]="","",ج_ح_آذر[[#This Row],[کارکرد]]/30*3*ج_ح_آذر[[#This Row],[تعداد فرزندان]]*حداقل_حقوق_پایه_روزانه)</f>
        <v/>
      </c>
      <c r="N315" s="89" t="str">
        <f>IF(ج_ح_آذر[[#This Row],[کارکرد]]="","",ج_ح_آذر[[#This Row],[کارکرد]]/30*حق_خواربار)</f>
        <v/>
      </c>
      <c r="O315" s="89" t="str">
        <f>IFERROR(ج_ح_آذر[[#This Row],[حقوق پایه]]+ج_ح_آذر[[#This Row],[اضافه کاری]]+ج_ح_آذر[[#This Row],[حق مسکن]]+ج_ح_آذر[[#This Row],[حق اولاد]]+ج_ح_آذر[[#This Row],[حق و خواروبار]],"")</f>
        <v/>
      </c>
      <c r="P315"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15" s="89" t="str">
        <f>IFERROR(ج_ح_آذر[[#This Row],[حقوق پایه]]+ج_ح_آذر[[#This Row],[اضافه کاری]]+ج_ح_آذر[[#This Row],[حق مسکن]]+ج_ح_آذر[[#This Row],[حق و خواروبار]]+ج_ح_آذر[[#This Row],[حق اولاد]]-(2/7)*ج_ح_آذر[[#This Row],[بیمه پرداختنی]],"")</f>
        <v/>
      </c>
      <c r="R315" s="91"/>
      <c r="S315" s="91"/>
      <c r="T315" s="89" t="str">
        <f>IFERROR(ج_ح_آذر[[#This Row],[جمع ح و م م بیمه ]]*7%,"")</f>
        <v/>
      </c>
      <c r="U315"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15" s="89" t="str">
        <f>IFERROR(ج_ح_آذر[[#This Row],[وام]]+ج_ح_آذر[[#This Row],[مساعده]]+ج_ح_آذر[[#This Row],[بیمه پرداختنی]]+ج_ح_آذر[[#This Row],[مالیات پرداختنی]],"")</f>
        <v/>
      </c>
      <c r="W315" s="89" t="str">
        <f>IFERROR(ج_ح_آذر[[#This Row],[جمع ح و م]]-ج_ح_آذر[[#This Row],[جمع کسورات]],"")</f>
        <v/>
      </c>
      <c r="X315" s="108"/>
    </row>
    <row r="316" spans="2:24" ht="32.1" customHeight="1">
      <c r="B316" s="1">
        <f t="shared" si="7"/>
        <v>9</v>
      </c>
      <c r="C316" s="85" t="str">
        <f>IF(ج_ح_آذر[[#This Row],[نام]]&lt;&gt;"",ROW()-303+1,"")</f>
        <v/>
      </c>
      <c r="D316" s="86"/>
      <c r="E316" s="86"/>
      <c r="F316" s="87"/>
      <c r="G316" s="88" t="str">
        <f>IFERROR(IF(COUNT(ج_ح_آذر[[#This Row],[کارکرد]]),حداقل_حقوق_پایه_روزانه,""),"")</f>
        <v/>
      </c>
      <c r="H316" s="89" t="str">
        <f>IFERROR(IF(ج_ح_آذر[[#This Row],[کارکرد]]*ج_ح_آذر[[#This Row],[دستمزد روزانه ]]=0,"",ج_ح_آذر[[#This Row],[کارکرد]]*ج_ح_آذر[[#This Row],[دستمزد روزانه ]]),"")</f>
        <v/>
      </c>
      <c r="I316" s="91"/>
      <c r="J316" s="90" t="str">
        <f>IFERROR((ج_ح_آذر[[#This Row],[دستمزد روزانه ]]/7.33)*1.4*ج_ح_آذر[[#This Row],[مدت اضافه کاری ]],"")</f>
        <v/>
      </c>
      <c r="K316" s="89" t="str">
        <f>IF(ج_ح_آذر[[#This Row],[کارکرد]]="","",ج_ح_آذر[[#This Row],[کارکرد]]/30*حق_مسکن)</f>
        <v/>
      </c>
      <c r="L316" s="91"/>
      <c r="M316" s="89" t="str">
        <f>IF(ج_ح_آذر[[#This Row],[تعداد فرزندان]]="","",ج_ح_آذر[[#This Row],[کارکرد]]/30*3*ج_ح_آذر[[#This Row],[تعداد فرزندان]]*حداقل_حقوق_پایه_روزانه)</f>
        <v/>
      </c>
      <c r="N316" s="89" t="str">
        <f>IF(ج_ح_آذر[[#This Row],[کارکرد]]="","",ج_ح_آذر[[#This Row],[کارکرد]]/30*حق_خواربار)</f>
        <v/>
      </c>
      <c r="O316" s="89" t="str">
        <f>IFERROR(ج_ح_آذر[[#This Row],[حقوق پایه]]+ج_ح_آذر[[#This Row],[اضافه کاری]]+ج_ح_آذر[[#This Row],[حق مسکن]]+ج_ح_آذر[[#This Row],[حق اولاد]]+ج_ح_آذر[[#This Row],[حق و خواروبار]],"")</f>
        <v/>
      </c>
      <c r="P316"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16" s="89" t="str">
        <f>IFERROR(ج_ح_آذر[[#This Row],[حقوق پایه]]+ج_ح_آذر[[#This Row],[اضافه کاری]]+ج_ح_آذر[[#This Row],[حق مسکن]]+ج_ح_آذر[[#This Row],[حق و خواروبار]]+ج_ح_آذر[[#This Row],[حق اولاد]]-(2/7)*ج_ح_آذر[[#This Row],[بیمه پرداختنی]],"")</f>
        <v/>
      </c>
      <c r="R316" s="91"/>
      <c r="S316" s="91"/>
      <c r="T316" s="89" t="str">
        <f>IFERROR(ج_ح_آذر[[#This Row],[جمع ح و م م بیمه ]]*7%,"")</f>
        <v/>
      </c>
      <c r="U316"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16" s="89" t="str">
        <f>IFERROR(ج_ح_آذر[[#This Row],[وام]]+ج_ح_آذر[[#This Row],[مساعده]]+ج_ح_آذر[[#This Row],[بیمه پرداختنی]]+ج_ح_آذر[[#This Row],[مالیات پرداختنی]],"")</f>
        <v/>
      </c>
      <c r="W316" s="89" t="str">
        <f>IFERROR(ج_ح_آذر[[#This Row],[جمع ح و م]]-ج_ح_آذر[[#This Row],[جمع کسورات]],"")</f>
        <v/>
      </c>
      <c r="X316" s="108"/>
    </row>
    <row r="317" spans="2:24" ht="32.1" customHeight="1">
      <c r="B317" s="1">
        <f t="shared" si="7"/>
        <v>9</v>
      </c>
      <c r="C317" s="85" t="str">
        <f>IF(ج_ح_آذر[[#This Row],[نام]]&lt;&gt;"",ROW()-303+1,"")</f>
        <v/>
      </c>
      <c r="D317" s="86"/>
      <c r="E317" s="86"/>
      <c r="F317" s="87"/>
      <c r="G317" s="88" t="str">
        <f>IFERROR(IF(COUNT(ج_ح_آذر[[#This Row],[کارکرد]]),حداقل_حقوق_پایه_روزانه,""),"")</f>
        <v/>
      </c>
      <c r="H317" s="89" t="str">
        <f>IFERROR(IF(ج_ح_آذر[[#This Row],[کارکرد]]*ج_ح_آذر[[#This Row],[دستمزد روزانه ]]=0,"",ج_ح_آذر[[#This Row],[کارکرد]]*ج_ح_آذر[[#This Row],[دستمزد روزانه ]]),"")</f>
        <v/>
      </c>
      <c r="I317" s="91"/>
      <c r="J317" s="90" t="str">
        <f>IFERROR((ج_ح_آذر[[#This Row],[دستمزد روزانه ]]/7.33)*1.4*ج_ح_آذر[[#This Row],[مدت اضافه کاری ]],"")</f>
        <v/>
      </c>
      <c r="K317" s="89" t="str">
        <f>IF(ج_ح_آذر[[#This Row],[کارکرد]]="","",ج_ح_آذر[[#This Row],[کارکرد]]/30*حق_مسکن)</f>
        <v/>
      </c>
      <c r="L317" s="91"/>
      <c r="M317" s="89" t="str">
        <f>IF(ج_ح_آذر[[#This Row],[تعداد فرزندان]]="","",ج_ح_آذر[[#This Row],[کارکرد]]/30*3*ج_ح_آذر[[#This Row],[تعداد فرزندان]]*حداقل_حقوق_پایه_روزانه)</f>
        <v/>
      </c>
      <c r="N317" s="89" t="str">
        <f>IF(ج_ح_آذر[[#This Row],[کارکرد]]="","",ج_ح_آذر[[#This Row],[کارکرد]]/30*حق_خواربار)</f>
        <v/>
      </c>
      <c r="O317" s="89" t="str">
        <f>IFERROR(ج_ح_آذر[[#This Row],[حقوق پایه]]+ج_ح_آذر[[#This Row],[اضافه کاری]]+ج_ح_آذر[[#This Row],[حق مسکن]]+ج_ح_آذر[[#This Row],[حق اولاد]]+ج_ح_آذر[[#This Row],[حق و خواروبار]],"")</f>
        <v/>
      </c>
      <c r="P317"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17" s="89" t="str">
        <f>IFERROR(ج_ح_آذر[[#This Row],[حقوق پایه]]+ج_ح_آذر[[#This Row],[اضافه کاری]]+ج_ح_آذر[[#This Row],[حق مسکن]]+ج_ح_آذر[[#This Row],[حق و خواروبار]]+ج_ح_آذر[[#This Row],[حق اولاد]]-(2/7)*ج_ح_آذر[[#This Row],[بیمه پرداختنی]],"")</f>
        <v/>
      </c>
      <c r="R317" s="91"/>
      <c r="S317" s="91"/>
      <c r="T317" s="89" t="str">
        <f>IFERROR(ج_ح_آذر[[#This Row],[جمع ح و م م بیمه ]]*7%,"")</f>
        <v/>
      </c>
      <c r="U317"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17" s="89" t="str">
        <f>IFERROR(ج_ح_آذر[[#This Row],[وام]]+ج_ح_آذر[[#This Row],[مساعده]]+ج_ح_آذر[[#This Row],[بیمه پرداختنی]]+ج_ح_آذر[[#This Row],[مالیات پرداختنی]],"")</f>
        <v/>
      </c>
      <c r="W317" s="89" t="str">
        <f>IFERROR(ج_ح_آذر[[#This Row],[جمع ح و م]]-ج_ح_آذر[[#This Row],[جمع کسورات]],"")</f>
        <v/>
      </c>
      <c r="X317" s="108"/>
    </row>
    <row r="318" spans="2:24" ht="32.1" customHeight="1">
      <c r="B318" s="1">
        <f t="shared" si="7"/>
        <v>9</v>
      </c>
      <c r="C318" s="85" t="str">
        <f>IF(ج_ح_آذر[[#This Row],[نام]]&lt;&gt;"",ROW()-303+1,"")</f>
        <v/>
      </c>
      <c r="D318" s="86"/>
      <c r="E318" s="86"/>
      <c r="F318" s="87"/>
      <c r="G318" s="88" t="str">
        <f>IFERROR(IF(COUNT(ج_ح_آذر[[#This Row],[کارکرد]]),حداقل_حقوق_پایه_روزانه,""),"")</f>
        <v/>
      </c>
      <c r="H318" s="89" t="str">
        <f>IFERROR(IF(ج_ح_آذر[[#This Row],[کارکرد]]*ج_ح_آذر[[#This Row],[دستمزد روزانه ]]=0,"",ج_ح_آذر[[#This Row],[کارکرد]]*ج_ح_آذر[[#This Row],[دستمزد روزانه ]]),"")</f>
        <v/>
      </c>
      <c r="I318" s="91"/>
      <c r="J318" s="90" t="str">
        <f>IFERROR((ج_ح_آذر[[#This Row],[دستمزد روزانه ]]/7.33)*1.4*ج_ح_آذر[[#This Row],[مدت اضافه کاری ]],"")</f>
        <v/>
      </c>
      <c r="K318" s="89" t="str">
        <f>IF(ج_ح_آذر[[#This Row],[کارکرد]]="","",ج_ح_آذر[[#This Row],[کارکرد]]/30*حق_مسکن)</f>
        <v/>
      </c>
      <c r="L318" s="91"/>
      <c r="M318" s="89" t="str">
        <f>IF(ج_ح_آذر[[#This Row],[تعداد فرزندان]]="","",ج_ح_آذر[[#This Row],[کارکرد]]/30*3*ج_ح_آذر[[#This Row],[تعداد فرزندان]]*حداقل_حقوق_پایه_روزانه)</f>
        <v/>
      </c>
      <c r="N318" s="89" t="str">
        <f>IF(ج_ح_آذر[[#This Row],[کارکرد]]="","",ج_ح_آذر[[#This Row],[کارکرد]]/30*حق_خواربار)</f>
        <v/>
      </c>
      <c r="O318" s="89" t="str">
        <f>IFERROR(ج_ح_آذر[[#This Row],[حقوق پایه]]+ج_ح_آذر[[#This Row],[اضافه کاری]]+ج_ح_آذر[[#This Row],[حق مسکن]]+ج_ح_آذر[[#This Row],[حق اولاد]]+ج_ح_آذر[[#This Row],[حق و خواروبار]],"")</f>
        <v/>
      </c>
      <c r="P318"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18" s="89" t="str">
        <f>IFERROR(ج_ح_آذر[[#This Row],[حقوق پایه]]+ج_ح_آذر[[#This Row],[اضافه کاری]]+ج_ح_آذر[[#This Row],[حق مسکن]]+ج_ح_آذر[[#This Row],[حق و خواروبار]]+ج_ح_آذر[[#This Row],[حق اولاد]]-(2/7)*ج_ح_آذر[[#This Row],[بیمه پرداختنی]],"")</f>
        <v/>
      </c>
      <c r="R318" s="91"/>
      <c r="S318" s="91"/>
      <c r="T318" s="89" t="str">
        <f>IFERROR(ج_ح_آذر[[#This Row],[جمع ح و م م بیمه ]]*7%,"")</f>
        <v/>
      </c>
      <c r="U318"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18" s="89" t="str">
        <f>IFERROR(ج_ح_آذر[[#This Row],[وام]]+ج_ح_آذر[[#This Row],[مساعده]]+ج_ح_آذر[[#This Row],[بیمه پرداختنی]]+ج_ح_آذر[[#This Row],[مالیات پرداختنی]],"")</f>
        <v/>
      </c>
      <c r="W318" s="89" t="str">
        <f>IFERROR(ج_ح_آذر[[#This Row],[جمع ح و م]]-ج_ح_آذر[[#This Row],[جمع کسورات]],"")</f>
        <v/>
      </c>
      <c r="X318" s="108"/>
    </row>
    <row r="319" spans="2:24" ht="32.1" customHeight="1">
      <c r="B319" s="1">
        <f t="shared" si="7"/>
        <v>9</v>
      </c>
      <c r="C319" s="85" t="str">
        <f>IF(ج_ح_آذر[[#This Row],[نام]]&lt;&gt;"",ROW()-303+1,"")</f>
        <v/>
      </c>
      <c r="D319" s="86"/>
      <c r="E319" s="86"/>
      <c r="F319" s="87"/>
      <c r="G319" s="88" t="str">
        <f>IFERROR(IF(COUNT(ج_ح_آذر[[#This Row],[کارکرد]]),حداقل_حقوق_پایه_روزانه,""),"")</f>
        <v/>
      </c>
      <c r="H319" s="89" t="str">
        <f>IFERROR(IF(ج_ح_آذر[[#This Row],[کارکرد]]*ج_ح_آذر[[#This Row],[دستمزد روزانه ]]=0,"",ج_ح_آذر[[#This Row],[کارکرد]]*ج_ح_آذر[[#This Row],[دستمزد روزانه ]]),"")</f>
        <v/>
      </c>
      <c r="I319" s="91"/>
      <c r="J319" s="90" t="str">
        <f>IFERROR((ج_ح_آذر[[#This Row],[دستمزد روزانه ]]/7.33)*1.4*ج_ح_آذر[[#This Row],[مدت اضافه کاری ]],"")</f>
        <v/>
      </c>
      <c r="K319" s="89" t="str">
        <f>IF(ج_ح_آذر[[#This Row],[کارکرد]]="","",ج_ح_آذر[[#This Row],[کارکرد]]/30*حق_مسکن)</f>
        <v/>
      </c>
      <c r="L319" s="91"/>
      <c r="M319" s="89" t="str">
        <f>IF(ج_ح_آذر[[#This Row],[تعداد فرزندان]]="","",ج_ح_آذر[[#This Row],[کارکرد]]/30*3*ج_ح_آذر[[#This Row],[تعداد فرزندان]]*حداقل_حقوق_پایه_روزانه)</f>
        <v/>
      </c>
      <c r="N319" s="89" t="str">
        <f>IF(ج_ح_آذر[[#This Row],[کارکرد]]="","",ج_ح_آذر[[#This Row],[کارکرد]]/30*حق_خواربار)</f>
        <v/>
      </c>
      <c r="O319" s="89" t="str">
        <f>IFERROR(ج_ح_آذر[[#This Row],[حقوق پایه]]+ج_ح_آذر[[#This Row],[اضافه کاری]]+ج_ح_آذر[[#This Row],[حق مسکن]]+ج_ح_آذر[[#This Row],[حق اولاد]]+ج_ح_آذر[[#This Row],[حق و خواروبار]],"")</f>
        <v/>
      </c>
      <c r="P319"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19" s="89" t="str">
        <f>IFERROR(ج_ح_آذر[[#This Row],[حقوق پایه]]+ج_ح_آذر[[#This Row],[اضافه کاری]]+ج_ح_آذر[[#This Row],[حق مسکن]]+ج_ح_آذر[[#This Row],[حق و خواروبار]]+ج_ح_آذر[[#This Row],[حق اولاد]]-(2/7)*ج_ح_آذر[[#This Row],[بیمه پرداختنی]],"")</f>
        <v/>
      </c>
      <c r="R319" s="91"/>
      <c r="S319" s="91"/>
      <c r="T319" s="89" t="str">
        <f>IFERROR(ج_ح_آذر[[#This Row],[جمع ح و م م بیمه ]]*7%,"")</f>
        <v/>
      </c>
      <c r="U319"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19" s="89" t="str">
        <f>IFERROR(ج_ح_آذر[[#This Row],[وام]]+ج_ح_آذر[[#This Row],[مساعده]]+ج_ح_آذر[[#This Row],[بیمه پرداختنی]]+ج_ح_آذر[[#This Row],[مالیات پرداختنی]],"")</f>
        <v/>
      </c>
      <c r="W319" s="89" t="str">
        <f>IFERROR(ج_ح_آذر[[#This Row],[جمع ح و م]]-ج_ح_آذر[[#This Row],[جمع کسورات]],"")</f>
        <v/>
      </c>
      <c r="X319" s="108"/>
    </row>
    <row r="320" spans="2:24" ht="32.1" customHeight="1">
      <c r="B320" s="1">
        <f t="shared" si="7"/>
        <v>9</v>
      </c>
      <c r="C320" s="85" t="str">
        <f>IF(ج_ح_آذر[[#This Row],[نام]]&lt;&gt;"",ROW()-303+1,"")</f>
        <v/>
      </c>
      <c r="D320" s="86"/>
      <c r="E320" s="86"/>
      <c r="F320" s="87"/>
      <c r="G320" s="88" t="str">
        <f>IFERROR(IF(COUNT(ج_ح_آذر[[#This Row],[کارکرد]]),حداقل_حقوق_پایه_روزانه,""),"")</f>
        <v/>
      </c>
      <c r="H320" s="89" t="str">
        <f>IFERROR(IF(ج_ح_آذر[[#This Row],[کارکرد]]*ج_ح_آذر[[#This Row],[دستمزد روزانه ]]=0,"",ج_ح_آذر[[#This Row],[کارکرد]]*ج_ح_آذر[[#This Row],[دستمزد روزانه ]]),"")</f>
        <v/>
      </c>
      <c r="I320" s="91"/>
      <c r="J320" s="90" t="str">
        <f>IFERROR((ج_ح_آذر[[#This Row],[دستمزد روزانه ]]/7.33)*1.4*ج_ح_آذر[[#This Row],[مدت اضافه کاری ]],"")</f>
        <v/>
      </c>
      <c r="K320" s="89" t="str">
        <f>IF(ج_ح_آذر[[#This Row],[کارکرد]]="","",ج_ح_آذر[[#This Row],[کارکرد]]/30*حق_مسکن)</f>
        <v/>
      </c>
      <c r="L320" s="91"/>
      <c r="M320" s="89" t="str">
        <f>IF(ج_ح_آذر[[#This Row],[تعداد فرزندان]]="","",ج_ح_آذر[[#This Row],[کارکرد]]/30*3*ج_ح_آذر[[#This Row],[تعداد فرزندان]]*حداقل_حقوق_پایه_روزانه)</f>
        <v/>
      </c>
      <c r="N320" s="89" t="str">
        <f>IF(ج_ح_آذر[[#This Row],[کارکرد]]="","",ج_ح_آذر[[#This Row],[کارکرد]]/30*حق_خواربار)</f>
        <v/>
      </c>
      <c r="O320" s="89" t="str">
        <f>IFERROR(ج_ح_آذر[[#This Row],[حقوق پایه]]+ج_ح_آذر[[#This Row],[اضافه کاری]]+ج_ح_آذر[[#This Row],[حق مسکن]]+ج_ح_آذر[[#This Row],[حق اولاد]]+ج_ح_آذر[[#This Row],[حق و خواروبار]],"")</f>
        <v/>
      </c>
      <c r="P320"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20" s="89" t="str">
        <f>IFERROR(ج_ح_آذر[[#This Row],[حقوق پایه]]+ج_ح_آذر[[#This Row],[اضافه کاری]]+ج_ح_آذر[[#This Row],[حق مسکن]]+ج_ح_آذر[[#This Row],[حق و خواروبار]]+ج_ح_آذر[[#This Row],[حق اولاد]]-(2/7)*ج_ح_آذر[[#This Row],[بیمه پرداختنی]],"")</f>
        <v/>
      </c>
      <c r="R320" s="91"/>
      <c r="S320" s="91"/>
      <c r="T320" s="89" t="str">
        <f>IFERROR(ج_ح_آذر[[#This Row],[جمع ح و م م بیمه ]]*7%,"")</f>
        <v/>
      </c>
      <c r="U320"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20" s="89" t="str">
        <f>IFERROR(ج_ح_آذر[[#This Row],[وام]]+ج_ح_آذر[[#This Row],[مساعده]]+ج_ح_آذر[[#This Row],[بیمه پرداختنی]]+ج_ح_آذر[[#This Row],[مالیات پرداختنی]],"")</f>
        <v/>
      </c>
      <c r="W320" s="89" t="str">
        <f>IFERROR(ج_ح_آذر[[#This Row],[جمع ح و م]]-ج_ح_آذر[[#This Row],[جمع کسورات]],"")</f>
        <v/>
      </c>
      <c r="X320" s="108"/>
    </row>
    <row r="321" spans="1:24" ht="32.1" customHeight="1">
      <c r="B321" s="1">
        <f t="shared" si="7"/>
        <v>9</v>
      </c>
      <c r="C321" s="85" t="str">
        <f>IF(ج_ح_آذر[[#This Row],[نام]]&lt;&gt;"",ROW()-303+1,"")</f>
        <v/>
      </c>
      <c r="D321" s="86"/>
      <c r="E321" s="86"/>
      <c r="F321" s="87"/>
      <c r="G321" s="88" t="str">
        <f>IFERROR(IF(COUNT(ج_ح_آذر[[#This Row],[کارکرد]]),حداقل_حقوق_پایه_روزانه,""),"")</f>
        <v/>
      </c>
      <c r="H321" s="89" t="str">
        <f>IFERROR(IF(ج_ح_آذر[[#This Row],[کارکرد]]*ج_ح_آذر[[#This Row],[دستمزد روزانه ]]=0,"",ج_ح_آذر[[#This Row],[کارکرد]]*ج_ح_آذر[[#This Row],[دستمزد روزانه ]]),"")</f>
        <v/>
      </c>
      <c r="I321" s="91"/>
      <c r="J321" s="90" t="str">
        <f>IFERROR((ج_ح_آذر[[#This Row],[دستمزد روزانه ]]/7.33)*1.4*ج_ح_آذر[[#This Row],[مدت اضافه کاری ]],"")</f>
        <v/>
      </c>
      <c r="K321" s="89" t="str">
        <f>IF(ج_ح_آذر[[#This Row],[کارکرد]]="","",ج_ح_آذر[[#This Row],[کارکرد]]/30*حق_مسکن)</f>
        <v/>
      </c>
      <c r="L321" s="91"/>
      <c r="M321" s="89" t="str">
        <f>IF(ج_ح_آذر[[#This Row],[تعداد فرزندان]]="","",ج_ح_آذر[[#This Row],[کارکرد]]/30*3*ج_ح_آذر[[#This Row],[تعداد فرزندان]]*حداقل_حقوق_پایه_روزانه)</f>
        <v/>
      </c>
      <c r="N321" s="89" t="str">
        <f>IF(ج_ح_آذر[[#This Row],[کارکرد]]="","",ج_ح_آذر[[#This Row],[کارکرد]]/30*حق_خواربار)</f>
        <v/>
      </c>
      <c r="O321" s="89" t="str">
        <f>IFERROR(ج_ح_آذر[[#This Row],[حقوق پایه]]+ج_ح_آذر[[#This Row],[اضافه کاری]]+ج_ح_آذر[[#This Row],[حق مسکن]]+ج_ح_آذر[[#This Row],[حق اولاد]]+ج_ح_آذر[[#This Row],[حق و خواروبار]],"")</f>
        <v/>
      </c>
      <c r="P321"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21" s="89" t="str">
        <f>IFERROR(ج_ح_آذر[[#This Row],[حقوق پایه]]+ج_ح_آذر[[#This Row],[اضافه کاری]]+ج_ح_آذر[[#This Row],[حق مسکن]]+ج_ح_آذر[[#This Row],[حق و خواروبار]]+ج_ح_آذر[[#This Row],[حق اولاد]]-(2/7)*ج_ح_آذر[[#This Row],[بیمه پرداختنی]],"")</f>
        <v/>
      </c>
      <c r="R321" s="91"/>
      <c r="S321" s="91"/>
      <c r="T321" s="89" t="str">
        <f>IFERROR(ج_ح_آذر[[#This Row],[جمع ح و م م بیمه ]]*7%,"")</f>
        <v/>
      </c>
      <c r="U321"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21" s="89" t="str">
        <f>IFERROR(ج_ح_آذر[[#This Row],[وام]]+ج_ح_آذر[[#This Row],[مساعده]]+ج_ح_آذر[[#This Row],[بیمه پرداختنی]]+ج_ح_آذر[[#This Row],[مالیات پرداختنی]],"")</f>
        <v/>
      </c>
      <c r="W321" s="89" t="str">
        <f>IFERROR(ج_ح_آذر[[#This Row],[جمع ح و م]]-ج_ح_آذر[[#This Row],[جمع کسورات]],"")</f>
        <v/>
      </c>
      <c r="X321" s="108"/>
    </row>
    <row r="322" spans="1:24" ht="32.1" customHeight="1">
      <c r="B322" s="1">
        <f t="shared" si="7"/>
        <v>9</v>
      </c>
      <c r="C322" s="85" t="str">
        <f>IF(ج_ح_آذر[[#This Row],[نام]]&lt;&gt;"",ROW()-303+1,"")</f>
        <v/>
      </c>
      <c r="D322" s="86"/>
      <c r="E322" s="86"/>
      <c r="F322" s="87"/>
      <c r="G322" s="88" t="str">
        <f>IFERROR(IF(COUNT(ج_ح_آذر[[#This Row],[کارکرد]]),حداقل_حقوق_پایه_روزانه,""),"")</f>
        <v/>
      </c>
      <c r="H322" s="89" t="str">
        <f>IFERROR(IF(ج_ح_آذر[[#This Row],[کارکرد]]*ج_ح_آذر[[#This Row],[دستمزد روزانه ]]=0,"",ج_ح_آذر[[#This Row],[کارکرد]]*ج_ح_آذر[[#This Row],[دستمزد روزانه ]]),"")</f>
        <v/>
      </c>
      <c r="I322" s="91"/>
      <c r="J322" s="90" t="str">
        <f>IFERROR((ج_ح_آذر[[#This Row],[دستمزد روزانه ]]/7.33)*1.4*ج_ح_آذر[[#This Row],[مدت اضافه کاری ]],"")</f>
        <v/>
      </c>
      <c r="K322" s="89" t="str">
        <f>IF(ج_ح_آذر[[#This Row],[کارکرد]]="","",ج_ح_آذر[[#This Row],[کارکرد]]/30*حق_مسکن)</f>
        <v/>
      </c>
      <c r="L322" s="91"/>
      <c r="M322" s="89" t="str">
        <f>IF(ج_ح_آذر[[#This Row],[تعداد فرزندان]]="","",ج_ح_آذر[[#This Row],[کارکرد]]/30*3*ج_ح_آذر[[#This Row],[تعداد فرزندان]]*حداقل_حقوق_پایه_روزانه)</f>
        <v/>
      </c>
      <c r="N322" s="89" t="str">
        <f>IF(ج_ح_آذر[[#This Row],[کارکرد]]="","",ج_ح_آذر[[#This Row],[کارکرد]]/30*حق_خواربار)</f>
        <v/>
      </c>
      <c r="O322" s="89" t="str">
        <f>IFERROR(ج_ح_آذر[[#This Row],[حقوق پایه]]+ج_ح_آذر[[#This Row],[اضافه کاری]]+ج_ح_آذر[[#This Row],[حق مسکن]]+ج_ح_آذر[[#This Row],[حق اولاد]]+ج_ح_آذر[[#This Row],[حق و خواروبار]],"")</f>
        <v/>
      </c>
      <c r="P322"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22" s="89" t="str">
        <f>IFERROR(ج_ح_آذر[[#This Row],[حقوق پایه]]+ج_ح_آذر[[#This Row],[اضافه کاری]]+ج_ح_آذر[[#This Row],[حق مسکن]]+ج_ح_آذر[[#This Row],[حق و خواروبار]]+ج_ح_آذر[[#This Row],[حق اولاد]]-(2/7)*ج_ح_آذر[[#This Row],[بیمه پرداختنی]],"")</f>
        <v/>
      </c>
      <c r="R322" s="91"/>
      <c r="S322" s="91"/>
      <c r="T322" s="89" t="str">
        <f>IFERROR(ج_ح_آذر[[#This Row],[جمع ح و م م بیمه ]]*7%,"")</f>
        <v/>
      </c>
      <c r="U322"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22" s="89" t="str">
        <f>IFERROR(ج_ح_آذر[[#This Row],[وام]]+ج_ح_آذر[[#This Row],[مساعده]]+ج_ح_آذر[[#This Row],[بیمه پرداختنی]]+ج_ح_آذر[[#This Row],[مالیات پرداختنی]],"")</f>
        <v/>
      </c>
      <c r="W322" s="89" t="str">
        <f>IFERROR(ج_ح_آذر[[#This Row],[جمع ح و م]]-ج_ح_آذر[[#This Row],[جمع کسورات]],"")</f>
        <v/>
      </c>
      <c r="X322" s="108"/>
    </row>
    <row r="323" spans="1:24" ht="32.1" customHeight="1">
      <c r="B323" s="1">
        <f t="shared" si="7"/>
        <v>9</v>
      </c>
      <c r="C323" s="85" t="str">
        <f>IF(ج_ح_آذر[[#This Row],[نام]]&lt;&gt;"",ROW()-303+1,"")</f>
        <v/>
      </c>
      <c r="D323" s="86"/>
      <c r="E323" s="86"/>
      <c r="F323" s="87"/>
      <c r="G323" s="88" t="str">
        <f>IFERROR(IF(COUNT(ج_ح_آذر[[#This Row],[کارکرد]]),حداقل_حقوق_پایه_روزانه,""),"")</f>
        <v/>
      </c>
      <c r="H323" s="89" t="str">
        <f>IFERROR(IF(ج_ح_آذر[[#This Row],[کارکرد]]*ج_ح_آذر[[#This Row],[دستمزد روزانه ]]=0,"",ج_ح_آذر[[#This Row],[کارکرد]]*ج_ح_آذر[[#This Row],[دستمزد روزانه ]]),"")</f>
        <v/>
      </c>
      <c r="I323" s="91"/>
      <c r="J323" s="90" t="str">
        <f>IFERROR((ج_ح_آذر[[#This Row],[دستمزد روزانه ]]/7.33)*1.4*ج_ح_آذر[[#This Row],[مدت اضافه کاری ]],"")</f>
        <v/>
      </c>
      <c r="K323" s="89" t="str">
        <f>IF(ج_ح_آذر[[#This Row],[کارکرد]]="","",ج_ح_آذر[[#This Row],[کارکرد]]/30*حق_مسکن)</f>
        <v/>
      </c>
      <c r="L323" s="91"/>
      <c r="M323" s="89" t="str">
        <f>IF(ج_ح_آذر[[#This Row],[تعداد فرزندان]]="","",ج_ح_آذر[[#This Row],[کارکرد]]/30*3*ج_ح_آذر[[#This Row],[تعداد فرزندان]]*حداقل_حقوق_پایه_روزانه)</f>
        <v/>
      </c>
      <c r="N323" s="89" t="str">
        <f>IF(ج_ح_آذر[[#This Row],[کارکرد]]="","",ج_ح_آذر[[#This Row],[کارکرد]]/30*حق_خواربار)</f>
        <v/>
      </c>
      <c r="O323" s="89" t="str">
        <f>IFERROR(ج_ح_آذر[[#This Row],[حقوق پایه]]+ج_ح_آذر[[#This Row],[اضافه کاری]]+ج_ح_آذر[[#This Row],[حق مسکن]]+ج_ح_آذر[[#This Row],[حق اولاد]]+ج_ح_آذر[[#This Row],[حق و خواروبار]],"")</f>
        <v/>
      </c>
      <c r="P323"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23" s="89" t="str">
        <f>IFERROR(ج_ح_آذر[[#This Row],[حقوق پایه]]+ج_ح_آذر[[#This Row],[اضافه کاری]]+ج_ح_آذر[[#This Row],[حق مسکن]]+ج_ح_آذر[[#This Row],[حق و خواروبار]]+ج_ح_آذر[[#This Row],[حق اولاد]]-(2/7)*ج_ح_آذر[[#This Row],[بیمه پرداختنی]],"")</f>
        <v/>
      </c>
      <c r="R323" s="91"/>
      <c r="S323" s="91"/>
      <c r="T323" s="89" t="str">
        <f>IFERROR(ج_ح_آذر[[#This Row],[جمع ح و م م بیمه ]]*7%,"")</f>
        <v/>
      </c>
      <c r="U323"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23" s="89" t="str">
        <f>IFERROR(ج_ح_آذر[[#This Row],[وام]]+ج_ح_آذر[[#This Row],[مساعده]]+ج_ح_آذر[[#This Row],[بیمه پرداختنی]]+ج_ح_آذر[[#This Row],[مالیات پرداختنی]],"")</f>
        <v/>
      </c>
      <c r="W323" s="89" t="str">
        <f>IFERROR(ج_ح_آذر[[#This Row],[جمع ح و م]]-ج_ح_آذر[[#This Row],[جمع کسورات]],"")</f>
        <v/>
      </c>
      <c r="X323" s="108"/>
    </row>
    <row r="324" spans="1:24" ht="32.1" customHeight="1">
      <c r="B324" s="1">
        <f t="shared" si="7"/>
        <v>9</v>
      </c>
      <c r="C324" s="85" t="str">
        <f>IF(ج_ح_آذر[[#This Row],[نام]]&lt;&gt;"",ROW()-303+1,"")</f>
        <v/>
      </c>
      <c r="D324" s="86"/>
      <c r="E324" s="86"/>
      <c r="F324" s="87"/>
      <c r="G324" s="88" t="str">
        <f>IFERROR(IF(COUNT(ج_ح_آذر[[#This Row],[کارکرد]]),حداقل_حقوق_پایه_روزانه,""),"")</f>
        <v/>
      </c>
      <c r="H324" s="89" t="str">
        <f>IFERROR(IF(ج_ح_آذر[[#This Row],[کارکرد]]*ج_ح_آذر[[#This Row],[دستمزد روزانه ]]=0,"",ج_ح_آذر[[#This Row],[کارکرد]]*ج_ح_آذر[[#This Row],[دستمزد روزانه ]]),"")</f>
        <v/>
      </c>
      <c r="I324" s="91"/>
      <c r="J324" s="90" t="str">
        <f>IFERROR((ج_ح_آذر[[#This Row],[دستمزد روزانه ]]/7.33)*1.4*ج_ح_آذر[[#This Row],[مدت اضافه کاری ]],"")</f>
        <v/>
      </c>
      <c r="K324" s="89" t="str">
        <f>IF(ج_ح_آذر[[#This Row],[کارکرد]]="","",ج_ح_آذر[[#This Row],[کارکرد]]/30*حق_مسکن)</f>
        <v/>
      </c>
      <c r="L324" s="91"/>
      <c r="M324" s="89" t="str">
        <f>IF(ج_ح_آذر[[#This Row],[تعداد فرزندان]]="","",ج_ح_آذر[[#This Row],[کارکرد]]/30*3*ج_ح_آذر[[#This Row],[تعداد فرزندان]]*حداقل_حقوق_پایه_روزانه)</f>
        <v/>
      </c>
      <c r="N324" s="89" t="str">
        <f>IF(ج_ح_آذر[[#This Row],[کارکرد]]="","",ج_ح_آذر[[#This Row],[کارکرد]]/30*حق_خواربار)</f>
        <v/>
      </c>
      <c r="O324" s="89" t="str">
        <f>IFERROR(ج_ح_آذر[[#This Row],[حقوق پایه]]+ج_ح_آذر[[#This Row],[اضافه کاری]]+ج_ح_آذر[[#This Row],[حق مسکن]]+ج_ح_آذر[[#This Row],[حق اولاد]]+ج_ح_آذر[[#This Row],[حق و خواروبار]],"")</f>
        <v/>
      </c>
      <c r="P324"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24" s="89" t="str">
        <f>IFERROR(ج_ح_آذر[[#This Row],[حقوق پایه]]+ج_ح_آذر[[#This Row],[اضافه کاری]]+ج_ح_آذر[[#This Row],[حق مسکن]]+ج_ح_آذر[[#This Row],[حق و خواروبار]]+ج_ح_آذر[[#This Row],[حق اولاد]]-(2/7)*ج_ح_آذر[[#This Row],[بیمه پرداختنی]],"")</f>
        <v/>
      </c>
      <c r="R324" s="91"/>
      <c r="S324" s="91"/>
      <c r="T324" s="89" t="str">
        <f>IFERROR(ج_ح_آذر[[#This Row],[جمع ح و م م بیمه ]]*7%,"")</f>
        <v/>
      </c>
      <c r="U324"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24" s="89" t="str">
        <f>IFERROR(ج_ح_آذر[[#This Row],[وام]]+ج_ح_آذر[[#This Row],[مساعده]]+ج_ح_آذر[[#This Row],[بیمه پرداختنی]]+ج_ح_آذر[[#This Row],[مالیات پرداختنی]],"")</f>
        <v/>
      </c>
      <c r="W324" s="89" t="str">
        <f>IFERROR(ج_ح_آذر[[#This Row],[جمع ح و م]]-ج_ح_آذر[[#This Row],[جمع کسورات]],"")</f>
        <v/>
      </c>
      <c r="X324" s="108"/>
    </row>
    <row r="325" spans="1:24" ht="32.1" customHeight="1">
      <c r="B325" s="1">
        <f t="shared" si="7"/>
        <v>9</v>
      </c>
      <c r="C325" s="85" t="str">
        <f>IF(ج_ح_آذر[[#This Row],[نام]]&lt;&gt;"",ROW()-303+1,"")</f>
        <v/>
      </c>
      <c r="D325" s="86"/>
      <c r="E325" s="86"/>
      <c r="F325" s="87"/>
      <c r="G325" s="88" t="str">
        <f>IFERROR(IF(COUNT(ج_ح_آذر[[#This Row],[کارکرد]]),حداقل_حقوق_پایه_روزانه,""),"")</f>
        <v/>
      </c>
      <c r="H325" s="89" t="str">
        <f>IFERROR(IF(ج_ح_آذر[[#This Row],[کارکرد]]*ج_ح_آذر[[#This Row],[دستمزد روزانه ]]=0,"",ج_ح_آذر[[#This Row],[کارکرد]]*ج_ح_آذر[[#This Row],[دستمزد روزانه ]]),"")</f>
        <v/>
      </c>
      <c r="I325" s="91"/>
      <c r="J325" s="90" t="str">
        <f>IFERROR((ج_ح_آذر[[#This Row],[دستمزد روزانه ]]/7.33)*1.4*ج_ح_آذر[[#This Row],[مدت اضافه کاری ]],"")</f>
        <v/>
      </c>
      <c r="K325" s="89" t="str">
        <f>IF(ج_ح_آذر[[#This Row],[کارکرد]]="","",ج_ح_آذر[[#This Row],[کارکرد]]/30*حق_مسکن)</f>
        <v/>
      </c>
      <c r="L325" s="91"/>
      <c r="M325" s="89" t="str">
        <f>IF(ج_ح_آذر[[#This Row],[تعداد فرزندان]]="","",ج_ح_آذر[[#This Row],[کارکرد]]/30*3*ج_ح_آذر[[#This Row],[تعداد فرزندان]]*حداقل_حقوق_پایه_روزانه)</f>
        <v/>
      </c>
      <c r="N325" s="89" t="str">
        <f>IF(ج_ح_آذر[[#This Row],[کارکرد]]="","",ج_ح_آذر[[#This Row],[کارکرد]]/30*حق_خواربار)</f>
        <v/>
      </c>
      <c r="O325" s="89" t="str">
        <f>IFERROR(ج_ح_آذر[[#This Row],[حقوق پایه]]+ج_ح_آذر[[#This Row],[اضافه کاری]]+ج_ح_آذر[[#This Row],[حق مسکن]]+ج_ح_آذر[[#This Row],[حق اولاد]]+ج_ح_آذر[[#This Row],[حق و خواروبار]],"")</f>
        <v/>
      </c>
      <c r="P325"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25" s="89" t="str">
        <f>IFERROR(ج_ح_آذر[[#This Row],[حقوق پایه]]+ج_ح_آذر[[#This Row],[اضافه کاری]]+ج_ح_آذر[[#This Row],[حق مسکن]]+ج_ح_آذر[[#This Row],[حق و خواروبار]]+ج_ح_آذر[[#This Row],[حق اولاد]]-(2/7)*ج_ح_آذر[[#This Row],[بیمه پرداختنی]],"")</f>
        <v/>
      </c>
      <c r="R325" s="91"/>
      <c r="S325" s="91"/>
      <c r="T325" s="89" t="str">
        <f>IFERROR(ج_ح_آذر[[#This Row],[جمع ح و م م بیمه ]]*7%,"")</f>
        <v/>
      </c>
      <c r="U325"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25" s="89" t="str">
        <f>IFERROR(ج_ح_آذر[[#This Row],[وام]]+ج_ح_آذر[[#This Row],[مساعده]]+ج_ح_آذر[[#This Row],[بیمه پرداختنی]]+ج_ح_آذر[[#This Row],[مالیات پرداختنی]],"")</f>
        <v/>
      </c>
      <c r="W325" s="89" t="str">
        <f>IFERROR(ج_ح_آذر[[#This Row],[جمع ح و م]]-ج_ح_آذر[[#This Row],[جمع کسورات]],"")</f>
        <v/>
      </c>
      <c r="X325" s="108"/>
    </row>
    <row r="326" spans="1:24" ht="32.1" customHeight="1">
      <c r="B326" s="1">
        <f t="shared" si="7"/>
        <v>9</v>
      </c>
      <c r="C326" s="85" t="str">
        <f>IF(ج_ح_آذر[[#This Row],[نام]]&lt;&gt;"",ROW()-303+1,"")</f>
        <v/>
      </c>
      <c r="D326" s="86"/>
      <c r="E326" s="86"/>
      <c r="F326" s="87"/>
      <c r="G326" s="88" t="str">
        <f>IFERROR(IF(COUNT(ج_ح_آذر[[#This Row],[کارکرد]]),حداقل_حقوق_پایه_روزانه,""),"")</f>
        <v/>
      </c>
      <c r="H326" s="89" t="str">
        <f>IFERROR(IF(ج_ح_آذر[[#This Row],[کارکرد]]*ج_ح_آذر[[#This Row],[دستمزد روزانه ]]=0,"",ج_ح_آذر[[#This Row],[کارکرد]]*ج_ح_آذر[[#This Row],[دستمزد روزانه ]]),"")</f>
        <v/>
      </c>
      <c r="I326" s="91"/>
      <c r="J326" s="90" t="str">
        <f>IFERROR((ج_ح_آذر[[#This Row],[دستمزد روزانه ]]/7.33)*1.4*ج_ح_آذر[[#This Row],[مدت اضافه کاری ]],"")</f>
        <v/>
      </c>
      <c r="K326" s="89" t="str">
        <f>IF(ج_ح_آذر[[#This Row],[کارکرد]]="","",ج_ح_آذر[[#This Row],[کارکرد]]/30*حق_مسکن)</f>
        <v/>
      </c>
      <c r="L326" s="91"/>
      <c r="M326" s="89" t="str">
        <f>IF(ج_ح_آذر[[#This Row],[تعداد فرزندان]]="","",ج_ح_آذر[[#This Row],[کارکرد]]/30*3*ج_ح_آذر[[#This Row],[تعداد فرزندان]]*حداقل_حقوق_پایه_روزانه)</f>
        <v/>
      </c>
      <c r="N326" s="89" t="str">
        <f>IF(ج_ح_آذر[[#This Row],[کارکرد]]="","",ج_ح_آذر[[#This Row],[کارکرد]]/30*حق_خواربار)</f>
        <v/>
      </c>
      <c r="O326" s="89" t="str">
        <f>IFERROR(ج_ح_آذر[[#This Row],[حقوق پایه]]+ج_ح_آذر[[#This Row],[اضافه کاری]]+ج_ح_آذر[[#This Row],[حق مسکن]]+ج_ح_آذر[[#This Row],[حق اولاد]]+ج_ح_آذر[[#This Row],[حق و خواروبار]],"")</f>
        <v/>
      </c>
      <c r="P326"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26" s="89" t="str">
        <f>IFERROR(ج_ح_آذر[[#This Row],[حقوق پایه]]+ج_ح_آذر[[#This Row],[اضافه کاری]]+ج_ح_آذر[[#This Row],[حق مسکن]]+ج_ح_آذر[[#This Row],[حق و خواروبار]]+ج_ح_آذر[[#This Row],[حق اولاد]]-(2/7)*ج_ح_آذر[[#This Row],[بیمه پرداختنی]],"")</f>
        <v/>
      </c>
      <c r="R326" s="91"/>
      <c r="S326" s="91"/>
      <c r="T326" s="89" t="str">
        <f>IFERROR(ج_ح_آذر[[#This Row],[جمع ح و م م بیمه ]]*7%,"")</f>
        <v/>
      </c>
      <c r="U326"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26" s="89" t="str">
        <f>IFERROR(ج_ح_آذر[[#This Row],[وام]]+ج_ح_آذر[[#This Row],[مساعده]]+ج_ح_آذر[[#This Row],[بیمه پرداختنی]]+ج_ح_آذر[[#This Row],[مالیات پرداختنی]],"")</f>
        <v/>
      </c>
      <c r="W326" s="89" t="str">
        <f>IFERROR(ج_ح_آذر[[#This Row],[جمع ح و م]]-ج_ح_آذر[[#This Row],[جمع کسورات]],"")</f>
        <v/>
      </c>
      <c r="X326" s="108"/>
    </row>
    <row r="327" spans="1:24" ht="32.1" customHeight="1">
      <c r="B327" s="1">
        <f t="shared" si="7"/>
        <v>9</v>
      </c>
      <c r="C327" s="85" t="str">
        <f>IF(ج_ح_آذر[[#This Row],[نام]]&lt;&gt;"",ROW()-303+1,"")</f>
        <v/>
      </c>
      <c r="D327" s="86"/>
      <c r="E327" s="86"/>
      <c r="F327" s="87"/>
      <c r="G327" s="88" t="str">
        <f>IFERROR(IF(COUNT(ج_ح_آذر[[#This Row],[کارکرد]]),حداقل_حقوق_پایه_روزانه,""),"")</f>
        <v/>
      </c>
      <c r="H327" s="89" t="str">
        <f>IFERROR(IF(ج_ح_آذر[[#This Row],[کارکرد]]*ج_ح_آذر[[#This Row],[دستمزد روزانه ]]=0,"",ج_ح_آذر[[#This Row],[کارکرد]]*ج_ح_آذر[[#This Row],[دستمزد روزانه ]]),"")</f>
        <v/>
      </c>
      <c r="I327" s="91"/>
      <c r="J327" s="90" t="str">
        <f>IFERROR((ج_ح_آذر[[#This Row],[دستمزد روزانه ]]/7.33)*1.4*ج_ح_آذر[[#This Row],[مدت اضافه کاری ]],"")</f>
        <v/>
      </c>
      <c r="K327" s="89" t="str">
        <f>IF(ج_ح_آذر[[#This Row],[کارکرد]]="","",ج_ح_آذر[[#This Row],[کارکرد]]/30*حق_مسکن)</f>
        <v/>
      </c>
      <c r="L327" s="91"/>
      <c r="M327" s="89" t="str">
        <f>IF(ج_ح_آذر[[#This Row],[تعداد فرزندان]]="","",ج_ح_آذر[[#This Row],[کارکرد]]/30*3*ج_ح_آذر[[#This Row],[تعداد فرزندان]]*حداقل_حقوق_پایه_روزانه)</f>
        <v/>
      </c>
      <c r="N327" s="89" t="str">
        <f>IF(ج_ح_آذر[[#This Row],[کارکرد]]="","",ج_ح_آذر[[#This Row],[کارکرد]]/30*حق_خواربار)</f>
        <v/>
      </c>
      <c r="O327" s="89" t="str">
        <f>IFERROR(ج_ح_آذر[[#This Row],[حقوق پایه]]+ج_ح_آذر[[#This Row],[اضافه کاری]]+ج_ح_آذر[[#This Row],[حق مسکن]]+ج_ح_آذر[[#This Row],[حق اولاد]]+ج_ح_آذر[[#This Row],[حق و خواروبار]],"")</f>
        <v/>
      </c>
      <c r="P327"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27" s="89" t="str">
        <f>IFERROR(ج_ح_آذر[[#This Row],[حقوق پایه]]+ج_ح_آذر[[#This Row],[اضافه کاری]]+ج_ح_آذر[[#This Row],[حق مسکن]]+ج_ح_آذر[[#This Row],[حق و خواروبار]]+ج_ح_آذر[[#This Row],[حق اولاد]]-(2/7)*ج_ح_آذر[[#This Row],[بیمه پرداختنی]],"")</f>
        <v/>
      </c>
      <c r="R327" s="91"/>
      <c r="S327" s="91"/>
      <c r="T327" s="89" t="str">
        <f>IFERROR(ج_ح_آذر[[#This Row],[جمع ح و م م بیمه ]]*7%,"")</f>
        <v/>
      </c>
      <c r="U327"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27" s="89" t="str">
        <f>IFERROR(ج_ح_آذر[[#This Row],[وام]]+ج_ح_آذر[[#This Row],[مساعده]]+ج_ح_آذر[[#This Row],[بیمه پرداختنی]]+ج_ح_آذر[[#This Row],[مالیات پرداختنی]],"")</f>
        <v/>
      </c>
      <c r="W327" s="89" t="str">
        <f>IFERROR(ج_ح_آذر[[#This Row],[جمع ح و م]]-ج_ح_آذر[[#This Row],[جمع کسورات]],"")</f>
        <v/>
      </c>
      <c r="X327" s="108"/>
    </row>
    <row r="328" spans="1:24" ht="32.1" customHeight="1">
      <c r="B328" s="1">
        <f t="shared" si="7"/>
        <v>9</v>
      </c>
      <c r="C328" s="85" t="str">
        <f>IF(ج_ح_آذر[[#This Row],[نام]]&lt;&gt;"",ROW()-303+1,"")</f>
        <v/>
      </c>
      <c r="D328" s="86"/>
      <c r="E328" s="86"/>
      <c r="F328" s="87"/>
      <c r="G328" s="88" t="str">
        <f>IFERROR(IF(COUNT(ج_ح_آذر[[#This Row],[کارکرد]]),حداقل_حقوق_پایه_روزانه,""),"")</f>
        <v/>
      </c>
      <c r="H328" s="89" t="str">
        <f>IFERROR(IF(ج_ح_آذر[[#This Row],[کارکرد]]*ج_ح_آذر[[#This Row],[دستمزد روزانه ]]=0,"",ج_ح_آذر[[#This Row],[کارکرد]]*ج_ح_آذر[[#This Row],[دستمزد روزانه ]]),"")</f>
        <v/>
      </c>
      <c r="I328" s="91"/>
      <c r="J328" s="90" t="str">
        <f>IFERROR((ج_ح_آذر[[#This Row],[دستمزد روزانه ]]/7.33)*1.4*ج_ح_آذر[[#This Row],[مدت اضافه کاری ]],"")</f>
        <v/>
      </c>
      <c r="K328" s="89" t="str">
        <f>IF(ج_ح_آذر[[#This Row],[کارکرد]]="","",ج_ح_آذر[[#This Row],[کارکرد]]/30*حق_مسکن)</f>
        <v/>
      </c>
      <c r="L328" s="91"/>
      <c r="M328" s="89" t="str">
        <f>IF(ج_ح_آذر[[#This Row],[تعداد فرزندان]]="","",ج_ح_آذر[[#This Row],[کارکرد]]/30*3*ج_ح_آذر[[#This Row],[تعداد فرزندان]]*حداقل_حقوق_پایه_روزانه)</f>
        <v/>
      </c>
      <c r="N328" s="89" t="str">
        <f>IF(ج_ح_آذر[[#This Row],[کارکرد]]="","",ج_ح_آذر[[#This Row],[کارکرد]]/30*حق_خواربار)</f>
        <v/>
      </c>
      <c r="O328" s="89" t="str">
        <f>IFERROR(ج_ح_آذر[[#This Row],[حقوق پایه]]+ج_ح_آذر[[#This Row],[اضافه کاری]]+ج_ح_آذر[[#This Row],[حق مسکن]]+ج_ح_آذر[[#This Row],[حق اولاد]]+ج_ح_آذر[[#This Row],[حق و خواروبار]],"")</f>
        <v/>
      </c>
      <c r="P328"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28" s="89" t="str">
        <f>IFERROR(ج_ح_آذر[[#This Row],[حقوق پایه]]+ج_ح_آذر[[#This Row],[اضافه کاری]]+ج_ح_آذر[[#This Row],[حق مسکن]]+ج_ح_آذر[[#This Row],[حق و خواروبار]]+ج_ح_آذر[[#This Row],[حق اولاد]]-(2/7)*ج_ح_آذر[[#This Row],[بیمه پرداختنی]],"")</f>
        <v/>
      </c>
      <c r="R328" s="91"/>
      <c r="S328" s="91"/>
      <c r="T328" s="89" t="str">
        <f>IFERROR(ج_ح_آذر[[#This Row],[جمع ح و م م بیمه ]]*7%,"")</f>
        <v/>
      </c>
      <c r="U328"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28" s="89" t="str">
        <f>IFERROR(ج_ح_آذر[[#This Row],[وام]]+ج_ح_آذر[[#This Row],[مساعده]]+ج_ح_آذر[[#This Row],[بیمه پرداختنی]]+ج_ح_آذر[[#This Row],[مالیات پرداختنی]],"")</f>
        <v/>
      </c>
      <c r="W328" s="89" t="str">
        <f>IFERROR(ج_ح_آذر[[#This Row],[جمع ح و م]]-ج_ح_آذر[[#This Row],[جمع کسورات]],"")</f>
        <v/>
      </c>
      <c r="X328" s="108"/>
    </row>
    <row r="329" spans="1:24" ht="32.1" customHeight="1">
      <c r="B329" s="1">
        <f t="shared" si="7"/>
        <v>9</v>
      </c>
      <c r="C329" s="85" t="str">
        <f>IF(ج_ح_آذر[[#This Row],[نام]]&lt;&gt;"",ROW()-303+1,"")</f>
        <v/>
      </c>
      <c r="D329" s="86"/>
      <c r="E329" s="86"/>
      <c r="F329" s="87"/>
      <c r="G329" s="88" t="str">
        <f>IFERROR(IF(COUNT(ج_ح_آذر[[#This Row],[کارکرد]]),حداقل_حقوق_پایه_روزانه,""),"")</f>
        <v/>
      </c>
      <c r="H329" s="89" t="str">
        <f>IFERROR(IF(ج_ح_آذر[[#This Row],[کارکرد]]*ج_ح_آذر[[#This Row],[دستمزد روزانه ]]=0,"",ج_ح_آذر[[#This Row],[کارکرد]]*ج_ح_آذر[[#This Row],[دستمزد روزانه ]]),"")</f>
        <v/>
      </c>
      <c r="I329" s="91"/>
      <c r="J329" s="90" t="str">
        <f>IFERROR((ج_ح_آذر[[#This Row],[دستمزد روزانه ]]/7.33)*1.4*ج_ح_آذر[[#This Row],[مدت اضافه کاری ]],"")</f>
        <v/>
      </c>
      <c r="K329" s="89" t="str">
        <f>IF(ج_ح_آذر[[#This Row],[کارکرد]]="","",ج_ح_آذر[[#This Row],[کارکرد]]/30*حق_مسکن)</f>
        <v/>
      </c>
      <c r="L329" s="91"/>
      <c r="M329" s="89" t="str">
        <f>IF(ج_ح_آذر[[#This Row],[تعداد فرزندان]]="","",ج_ح_آذر[[#This Row],[کارکرد]]/30*3*ج_ح_آذر[[#This Row],[تعداد فرزندان]]*حداقل_حقوق_پایه_روزانه)</f>
        <v/>
      </c>
      <c r="N329" s="89" t="str">
        <f>IF(ج_ح_آذر[[#This Row],[کارکرد]]="","",ج_ح_آذر[[#This Row],[کارکرد]]/30*حق_خواربار)</f>
        <v/>
      </c>
      <c r="O329" s="89" t="str">
        <f>IFERROR(ج_ح_آذر[[#This Row],[حقوق پایه]]+ج_ح_آذر[[#This Row],[اضافه کاری]]+ج_ح_آذر[[#This Row],[حق مسکن]]+ج_ح_آذر[[#This Row],[حق اولاد]]+ج_ح_آذر[[#This Row],[حق و خواروبار]],"")</f>
        <v/>
      </c>
      <c r="P329"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29" s="89" t="str">
        <f>IFERROR(ج_ح_آذر[[#This Row],[حقوق پایه]]+ج_ح_آذر[[#This Row],[اضافه کاری]]+ج_ح_آذر[[#This Row],[حق مسکن]]+ج_ح_آذر[[#This Row],[حق و خواروبار]]+ج_ح_آذر[[#This Row],[حق اولاد]]-(2/7)*ج_ح_آذر[[#This Row],[بیمه پرداختنی]],"")</f>
        <v/>
      </c>
      <c r="R329" s="91"/>
      <c r="S329" s="91"/>
      <c r="T329" s="89" t="str">
        <f>IFERROR(ج_ح_آذر[[#This Row],[جمع ح و م م بیمه ]]*7%,"")</f>
        <v/>
      </c>
      <c r="U329"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29" s="89" t="str">
        <f>IFERROR(ج_ح_آذر[[#This Row],[وام]]+ج_ح_آذر[[#This Row],[مساعده]]+ج_ح_آذر[[#This Row],[بیمه پرداختنی]]+ج_ح_آذر[[#This Row],[مالیات پرداختنی]],"")</f>
        <v/>
      </c>
      <c r="W329" s="89" t="str">
        <f>IFERROR(ج_ح_آذر[[#This Row],[جمع ح و م]]-ج_ح_آذر[[#This Row],[جمع کسورات]],"")</f>
        <v/>
      </c>
      <c r="X329" s="108"/>
    </row>
    <row r="330" spans="1:24" ht="32.1" customHeight="1">
      <c r="B330" s="1">
        <f t="shared" si="7"/>
        <v>9</v>
      </c>
      <c r="C330" s="85" t="str">
        <f>IF(ج_ح_آذر[[#This Row],[نام]]&lt;&gt;"",ROW()-303+1,"")</f>
        <v/>
      </c>
      <c r="D330" s="86"/>
      <c r="E330" s="86"/>
      <c r="F330" s="87"/>
      <c r="G330" s="88" t="str">
        <f>IFERROR(IF(COUNT(ج_ح_آذر[[#This Row],[کارکرد]]),حداقل_حقوق_پایه_روزانه,""),"")</f>
        <v/>
      </c>
      <c r="H330" s="89" t="str">
        <f>IFERROR(IF(ج_ح_آذر[[#This Row],[کارکرد]]*ج_ح_آذر[[#This Row],[دستمزد روزانه ]]=0,"",ج_ح_آذر[[#This Row],[کارکرد]]*ج_ح_آذر[[#This Row],[دستمزد روزانه ]]),"")</f>
        <v/>
      </c>
      <c r="I330" s="91"/>
      <c r="J330" s="90" t="str">
        <f>IFERROR((ج_ح_آذر[[#This Row],[دستمزد روزانه ]]/7.33)*1.4*ج_ح_آذر[[#This Row],[مدت اضافه کاری ]],"")</f>
        <v/>
      </c>
      <c r="K330" s="89" t="str">
        <f>IF(ج_ح_آذر[[#This Row],[کارکرد]]="","",ج_ح_آذر[[#This Row],[کارکرد]]/30*حق_مسکن)</f>
        <v/>
      </c>
      <c r="L330" s="91"/>
      <c r="M330" s="89" t="str">
        <f>IF(ج_ح_آذر[[#This Row],[تعداد فرزندان]]="","",ج_ح_آذر[[#This Row],[کارکرد]]/30*3*ج_ح_آذر[[#This Row],[تعداد فرزندان]]*حداقل_حقوق_پایه_روزانه)</f>
        <v/>
      </c>
      <c r="N330" s="89" t="str">
        <f>IF(ج_ح_آذر[[#This Row],[کارکرد]]="","",ج_ح_آذر[[#This Row],[کارکرد]]/30*حق_خواربار)</f>
        <v/>
      </c>
      <c r="O330" s="89" t="str">
        <f>IFERROR(ج_ح_آذر[[#This Row],[حقوق پایه]]+ج_ح_آذر[[#This Row],[اضافه کاری]]+ج_ح_آذر[[#This Row],[حق مسکن]]+ج_ح_آذر[[#This Row],[حق اولاد]]+ج_ح_آذر[[#This Row],[حق و خواروبار]],"")</f>
        <v/>
      </c>
      <c r="P330"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30" s="89" t="str">
        <f>IFERROR(ج_ح_آذر[[#This Row],[حقوق پایه]]+ج_ح_آذر[[#This Row],[اضافه کاری]]+ج_ح_آذر[[#This Row],[حق مسکن]]+ج_ح_آذر[[#This Row],[حق و خواروبار]]+ج_ح_آذر[[#This Row],[حق اولاد]]-(2/7)*ج_ح_آذر[[#This Row],[بیمه پرداختنی]],"")</f>
        <v/>
      </c>
      <c r="R330" s="91"/>
      <c r="S330" s="91"/>
      <c r="T330" s="89" t="str">
        <f>IFERROR(ج_ح_آذر[[#This Row],[جمع ح و م م بیمه ]]*7%,"")</f>
        <v/>
      </c>
      <c r="U330"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30" s="89" t="str">
        <f>IFERROR(ج_ح_آذر[[#This Row],[وام]]+ج_ح_آذر[[#This Row],[مساعده]]+ج_ح_آذر[[#This Row],[بیمه پرداختنی]]+ج_ح_آذر[[#This Row],[مالیات پرداختنی]],"")</f>
        <v/>
      </c>
      <c r="W330" s="89" t="str">
        <f>IFERROR(ج_ح_آذر[[#This Row],[جمع ح و م]]-ج_ح_آذر[[#This Row],[جمع کسورات]],"")</f>
        <v/>
      </c>
      <c r="X330" s="108"/>
    </row>
    <row r="331" spans="1:24" ht="32.1" customHeight="1">
      <c r="B331" s="1">
        <f t="shared" si="7"/>
        <v>9</v>
      </c>
      <c r="C331" s="85" t="str">
        <f>IF(ج_ح_آذر[[#This Row],[نام]]&lt;&gt;"",ROW()-303+1,"")</f>
        <v/>
      </c>
      <c r="D331" s="86"/>
      <c r="E331" s="86"/>
      <c r="F331" s="87"/>
      <c r="G331" s="88" t="str">
        <f>IFERROR(IF(COUNT(ج_ح_آذر[[#This Row],[کارکرد]]),حداقل_حقوق_پایه_روزانه,""),"")</f>
        <v/>
      </c>
      <c r="H331" s="89" t="str">
        <f>IFERROR(IF(ج_ح_آذر[[#This Row],[کارکرد]]*ج_ح_آذر[[#This Row],[دستمزد روزانه ]]=0,"",ج_ح_آذر[[#This Row],[کارکرد]]*ج_ح_آذر[[#This Row],[دستمزد روزانه ]]),"")</f>
        <v/>
      </c>
      <c r="I331" s="91"/>
      <c r="J331" s="90" t="str">
        <f>IFERROR((ج_ح_آذر[[#This Row],[دستمزد روزانه ]]/7.33)*1.4*ج_ح_آذر[[#This Row],[مدت اضافه کاری ]],"")</f>
        <v/>
      </c>
      <c r="K331" s="89" t="str">
        <f>IF(ج_ح_آذر[[#This Row],[کارکرد]]="","",ج_ح_آذر[[#This Row],[کارکرد]]/30*حق_مسکن)</f>
        <v/>
      </c>
      <c r="L331" s="91"/>
      <c r="M331" s="89" t="str">
        <f>IF(ج_ح_آذر[[#This Row],[تعداد فرزندان]]="","",ج_ح_آذر[[#This Row],[کارکرد]]/30*3*ج_ح_آذر[[#This Row],[تعداد فرزندان]]*حداقل_حقوق_پایه_روزانه)</f>
        <v/>
      </c>
      <c r="N331" s="89" t="str">
        <f>IF(ج_ح_آذر[[#This Row],[کارکرد]]="","",ج_ح_آذر[[#This Row],[کارکرد]]/30*حق_خواربار)</f>
        <v/>
      </c>
      <c r="O331" s="89" t="str">
        <f>IFERROR(ج_ح_آذر[[#This Row],[حقوق پایه]]+ج_ح_آذر[[#This Row],[اضافه کاری]]+ج_ح_آذر[[#This Row],[حق مسکن]]+ج_ح_آذر[[#This Row],[حق اولاد]]+ج_ح_آذر[[#This Row],[حق و خواروبار]],"")</f>
        <v/>
      </c>
      <c r="P331"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31" s="89" t="str">
        <f>IFERROR(ج_ح_آذر[[#This Row],[حقوق پایه]]+ج_ح_آذر[[#This Row],[اضافه کاری]]+ج_ح_آذر[[#This Row],[حق مسکن]]+ج_ح_آذر[[#This Row],[حق و خواروبار]]+ج_ح_آذر[[#This Row],[حق اولاد]]-(2/7)*ج_ح_آذر[[#This Row],[بیمه پرداختنی]],"")</f>
        <v/>
      </c>
      <c r="R331" s="91"/>
      <c r="S331" s="91"/>
      <c r="T331" s="89" t="str">
        <f>IFERROR(ج_ح_آذر[[#This Row],[جمع ح و م م بیمه ]]*7%,"")</f>
        <v/>
      </c>
      <c r="U331"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31" s="89" t="str">
        <f>IFERROR(ج_ح_آذر[[#This Row],[وام]]+ج_ح_آذر[[#This Row],[مساعده]]+ج_ح_آذر[[#This Row],[بیمه پرداختنی]]+ج_ح_آذر[[#This Row],[مالیات پرداختنی]],"")</f>
        <v/>
      </c>
      <c r="W331" s="89" t="str">
        <f>IFERROR(ج_ح_آذر[[#This Row],[جمع ح و م]]-ج_ح_آذر[[#This Row],[جمع کسورات]],"")</f>
        <v/>
      </c>
      <c r="X331" s="108"/>
    </row>
    <row r="332" spans="1:24" ht="32.1" customHeight="1">
      <c r="B332" s="1">
        <f t="shared" si="7"/>
        <v>9</v>
      </c>
      <c r="C332" s="85" t="str">
        <f>IF(ج_ح_آذر[[#This Row],[نام]]&lt;&gt;"",ROW()-303+1,"")</f>
        <v/>
      </c>
      <c r="D332" s="86"/>
      <c r="E332" s="86"/>
      <c r="F332" s="87"/>
      <c r="G332" s="88" t="str">
        <f>IFERROR(IF(COUNT(ج_ح_آذر[[#This Row],[کارکرد]]),حداقل_حقوق_پایه_روزانه,""),"")</f>
        <v/>
      </c>
      <c r="H332" s="89" t="str">
        <f>IFERROR(IF(ج_ح_آذر[[#This Row],[کارکرد]]*ج_ح_آذر[[#This Row],[دستمزد روزانه ]]=0,"",ج_ح_آذر[[#This Row],[کارکرد]]*ج_ح_آذر[[#This Row],[دستمزد روزانه ]]),"")</f>
        <v/>
      </c>
      <c r="I332" s="91"/>
      <c r="J332" s="90" t="str">
        <f>IFERROR((ج_ح_آذر[[#This Row],[دستمزد روزانه ]]/7.33)*1.4*ج_ح_آذر[[#This Row],[مدت اضافه کاری ]],"")</f>
        <v/>
      </c>
      <c r="K332" s="89" t="str">
        <f>IF(ج_ح_آذر[[#This Row],[کارکرد]]="","",ج_ح_آذر[[#This Row],[کارکرد]]/30*حق_مسکن)</f>
        <v/>
      </c>
      <c r="L332" s="91"/>
      <c r="M332" s="89" t="str">
        <f>IF(ج_ح_آذر[[#This Row],[تعداد فرزندان]]="","",ج_ح_آذر[[#This Row],[کارکرد]]/30*3*ج_ح_آذر[[#This Row],[تعداد فرزندان]]*حداقل_حقوق_پایه_روزانه)</f>
        <v/>
      </c>
      <c r="N332" s="89" t="str">
        <f>IF(ج_ح_آذر[[#This Row],[کارکرد]]="","",ج_ح_آذر[[#This Row],[کارکرد]]/30*حق_خواربار)</f>
        <v/>
      </c>
      <c r="O332" s="89" t="str">
        <f>IFERROR(ج_ح_آذر[[#This Row],[حقوق پایه]]+ج_ح_آذر[[#This Row],[اضافه کاری]]+ج_ح_آذر[[#This Row],[حق مسکن]]+ج_ح_آذر[[#This Row],[حق اولاد]]+ج_ح_آذر[[#This Row],[حق و خواروبار]],"")</f>
        <v/>
      </c>
      <c r="P332" s="89" t="str">
        <f>IFERROR(IF(ج_ح_آذر[[#This Row],[حقوق پایه]]+ج_ح_آذر[[#This Row],[اضافه کاری]]+ج_ح_آذر[[#This Row],[حق مسکن]]+ج_ح_آذر[[#This Row],[حق و خواروبار]]&gt;حداکثر_حقوق_مشمول_بیمه_ماهانه,حداکثر_حقوق_مشمول_بیمه_ماهانه,ج_ح_آذر[[#This Row],[حقوق پایه]]+ج_ح_آذر[[#This Row],[اضافه کاری]]+ج_ح_آذر[[#This Row],[حق مسکن]]+ج_ح_آذر[[#This Row],[حق و خواروبار]]),"")</f>
        <v/>
      </c>
      <c r="Q332" s="89" t="str">
        <f>IFERROR(ج_ح_آذر[[#This Row],[حقوق پایه]]+ج_ح_آذر[[#This Row],[اضافه کاری]]+ج_ح_آذر[[#This Row],[حق مسکن]]+ج_ح_آذر[[#This Row],[حق و خواروبار]]+ج_ح_آذر[[#This Row],[حق اولاد]]-(2/7)*ج_ح_آذر[[#This Row],[بیمه پرداختنی]],"")</f>
        <v/>
      </c>
      <c r="R332" s="91"/>
      <c r="S332" s="91"/>
      <c r="T332" s="89" t="str">
        <f>IFERROR(ج_ح_آذر[[#This Row],[جمع ح و م م بیمه ]]*7%,"")</f>
        <v/>
      </c>
      <c r="U332" s="92" t="str">
        <f>IFERROR(IF(ج_ح_آذر[[#This Row],[جمع ح و م م مالیات]]&gt;=400000000,(ج_ح_آذر[[#This Row],[جمع ح و م م مالیات]]-400000000)*30%+26000000,IF(ج_ح_آذر[[#This Row],[جمع ح و م م مالیات]]&gt;=270000000,(ج_ح_آذر[[#This Row],[جمع ح و م م مالیات]]-270000000)*20%+15750000,IF(ج_ح_آذر[[#This Row],[جمع ح و م م مالیات]]&gt;=165000000,(ج_ح_آذر[[#This Row],[جمع ح و م م مالیات]]-165000000)*15%+4500000,IF(ج_ح_آذر[[#This Row],[جمع ح و م م مالیات]]&gt;=120000000,(ج_ح_آذر[[#This Row],[جمع ح و م م مالیات]]-120000000)*10%,0)))),"")</f>
        <v/>
      </c>
      <c r="V332" s="89" t="str">
        <f>IFERROR(ج_ح_آذر[[#This Row],[وام]]+ج_ح_آذر[[#This Row],[مساعده]]+ج_ح_آذر[[#This Row],[بیمه پرداختنی]]+ج_ح_آذر[[#This Row],[مالیات پرداختنی]],"")</f>
        <v/>
      </c>
      <c r="W332" s="89" t="str">
        <f>IFERROR(ج_ح_آذر[[#This Row],[جمع ح و م]]-ج_ح_آذر[[#This Row],[جمع کسورات]],"")</f>
        <v/>
      </c>
      <c r="X332" s="108"/>
    </row>
    <row r="333" spans="1:24" ht="32.1" customHeight="1">
      <c r="B333" s="1">
        <f t="shared" si="7"/>
        <v>9</v>
      </c>
      <c r="C333" s="23"/>
      <c r="D333" s="24"/>
      <c r="E333" s="24" t="s">
        <v>35</v>
      </c>
      <c r="F333" s="33">
        <f>SUBTOTAL(109,ج_ح_آذر[کارکرد])</f>
        <v>0</v>
      </c>
      <c r="G333" s="25">
        <f>SUBTOTAL(109,ج_ح_آذر[[دستمزد روزانه ]])</f>
        <v>0</v>
      </c>
      <c r="H333" s="25">
        <f>SUBTOTAL(109,ج_ح_آذر[حقوق پایه])</f>
        <v>0</v>
      </c>
      <c r="I333" s="34">
        <f>SUBTOTAL(109,ج_ح_آذر[[مدت اضافه کاری ]])</f>
        <v>0</v>
      </c>
      <c r="J333" s="35">
        <f>SUBTOTAL(109,ج_ح_آذر[اضافه کاری])</f>
        <v>0</v>
      </c>
      <c r="K333" s="25">
        <f>SUBTOTAL(109,ج_ح_آذر[حق مسکن])</f>
        <v>0</v>
      </c>
      <c r="L333" s="36">
        <f>SUBTOTAL(109,ج_ح_آذر[تعداد فرزندان])</f>
        <v>0</v>
      </c>
      <c r="M333" s="25">
        <f>SUBTOTAL(109,ج_ح_آذر[حق اولاد])</f>
        <v>0</v>
      </c>
      <c r="N333" s="25">
        <f>SUBTOTAL(109,ج_ح_آذر[حق و خواروبار])</f>
        <v>0</v>
      </c>
      <c r="O333" s="25">
        <f>SUBTOTAL(109,ج_ح_آذر[جمع ح و م])</f>
        <v>0</v>
      </c>
      <c r="P333" s="25">
        <f>SUBTOTAL(109,ج_ح_آذر[[جمع ح و م م بیمه ]])</f>
        <v>0</v>
      </c>
      <c r="Q333" s="25">
        <f>SUBTOTAL(109,ج_ح_آذر[جمع ح و م م مالیات])</f>
        <v>0</v>
      </c>
      <c r="R333" s="25">
        <f>SUBTOTAL(109,ج_ح_آذر[وام])</f>
        <v>0</v>
      </c>
      <c r="S333" s="25">
        <f>SUBTOTAL(109,ج_ح_آذر[مساعده])</f>
        <v>0</v>
      </c>
      <c r="T333" s="25">
        <f>SUBTOTAL(109,ج_ح_آذر[بیمه پرداختنی])</f>
        <v>0</v>
      </c>
      <c r="U333" s="25">
        <f>SUBTOTAL(109,ج_ح_آذر[مالیات پرداختنی])</f>
        <v>0</v>
      </c>
      <c r="V333" s="25">
        <f>SUBTOTAL(109,ج_ح_آذر[جمع کسورات])</f>
        <v>0</v>
      </c>
      <c r="W333" s="25">
        <f>SUBTOTAL(109,ج_ح_آذر[خالص قابل پرداخت])</f>
        <v>0</v>
      </c>
      <c r="X333" s="109"/>
    </row>
    <row r="334" spans="1:24" ht="8.1" customHeight="1"/>
    <row r="335" spans="1:24" s="7" customFormat="1" ht="39.950000000000003" customHeight="1">
      <c r="A335" s="15"/>
      <c r="B335" s="15"/>
      <c r="C335" s="128" t="str">
        <f>CONCATENATE("شرکت"," ",'اطلاعات شرکت'!$B$1)</f>
        <v>شرکت پندار حساب شهسوار</v>
      </c>
      <c r="D335" s="128"/>
      <c r="E335" s="128"/>
      <c r="F335" s="128"/>
      <c r="G335" s="128"/>
      <c r="H335" s="128"/>
      <c r="I335" s="128"/>
      <c r="J335" s="128"/>
      <c r="K335" s="128"/>
      <c r="L335" s="128"/>
      <c r="M335" s="128"/>
      <c r="N335" s="128"/>
      <c r="O335" s="128"/>
      <c r="P335" s="128"/>
      <c r="Q335" s="128"/>
      <c r="R335" s="128"/>
      <c r="S335" s="128"/>
      <c r="T335" s="128"/>
      <c r="U335" s="128"/>
      <c r="V335" s="128"/>
      <c r="W335" s="128"/>
      <c r="X335" s="105"/>
    </row>
    <row r="336" spans="1:24" s="7" customFormat="1" ht="50.1" customHeight="1">
      <c r="C336" s="127" t="str">
        <f>CONCATENATE("جدول حقوق و دستمزد دی ماه سال"," ",'اطلاعات شرکت'!$B$2)</f>
        <v>جدول حقوق و دستمزد دی ماه سال 1402</v>
      </c>
      <c r="D336" s="127"/>
      <c r="E336" s="127"/>
      <c r="F336" s="127"/>
      <c r="G336" s="127"/>
      <c r="H336" s="127"/>
      <c r="I336" s="127"/>
      <c r="J336" s="127"/>
      <c r="K336" s="127"/>
      <c r="L336" s="127"/>
      <c r="M336" s="127"/>
      <c r="N336" s="127"/>
      <c r="O336" s="127"/>
      <c r="P336" s="127"/>
      <c r="Q336" s="127"/>
      <c r="R336" s="127"/>
      <c r="S336" s="127"/>
      <c r="T336" s="127"/>
      <c r="U336" s="127"/>
      <c r="V336" s="127"/>
      <c r="W336" s="127"/>
      <c r="X336" s="105"/>
    </row>
    <row r="337" spans="2:24" s="12" customFormat="1" ht="50.1" customHeight="1">
      <c r="C337" s="129" t="s">
        <v>1</v>
      </c>
      <c r="D337" s="28" t="s">
        <v>23</v>
      </c>
      <c r="E337" s="28" t="s">
        <v>56</v>
      </c>
      <c r="F337" s="28" t="s">
        <v>11</v>
      </c>
      <c r="G337" s="28" t="s">
        <v>12</v>
      </c>
      <c r="H337" s="28" t="s">
        <v>37</v>
      </c>
      <c r="I337" s="28" t="s">
        <v>51</v>
      </c>
      <c r="J337" s="28" t="s">
        <v>47</v>
      </c>
      <c r="K337" s="28" t="s">
        <v>4</v>
      </c>
      <c r="L337" s="28" t="s">
        <v>48</v>
      </c>
      <c r="M337" s="28" t="s">
        <v>14</v>
      </c>
      <c r="N337" s="28" t="s">
        <v>5</v>
      </c>
      <c r="O337" s="28" t="s">
        <v>17</v>
      </c>
      <c r="P337" s="28" t="s">
        <v>49</v>
      </c>
      <c r="Q337" s="28" t="s">
        <v>50</v>
      </c>
      <c r="R337" s="28" t="s">
        <v>15</v>
      </c>
      <c r="S337" s="28" t="s">
        <v>16</v>
      </c>
      <c r="T337" s="28" t="s">
        <v>59</v>
      </c>
      <c r="U337" s="28" t="s">
        <v>58</v>
      </c>
      <c r="V337" s="28" t="s">
        <v>21</v>
      </c>
      <c r="W337" s="28" t="s">
        <v>57</v>
      </c>
      <c r="X337" s="106"/>
    </row>
    <row r="338" spans="2:24" s="7" customFormat="1" ht="32.1" customHeight="1">
      <c r="C338" s="129"/>
      <c r="D338" s="29">
        <v>1</v>
      </c>
      <c r="E338" s="29">
        <v>2</v>
      </c>
      <c r="F338" s="29">
        <v>3</v>
      </c>
      <c r="G338" s="29">
        <v>4</v>
      </c>
      <c r="H338" s="29">
        <v>5</v>
      </c>
      <c r="I338" s="29">
        <v>6</v>
      </c>
      <c r="J338" s="29">
        <v>7</v>
      </c>
      <c r="K338" s="29">
        <v>8</v>
      </c>
      <c r="L338" s="29">
        <v>9</v>
      </c>
      <c r="M338" s="29">
        <v>10</v>
      </c>
      <c r="N338" s="29">
        <v>11</v>
      </c>
      <c r="O338" s="29">
        <v>12</v>
      </c>
      <c r="P338" s="29">
        <v>13</v>
      </c>
      <c r="Q338" s="29">
        <v>14</v>
      </c>
      <c r="R338" s="29">
        <v>15</v>
      </c>
      <c r="S338" s="29">
        <v>16</v>
      </c>
      <c r="T338" s="29">
        <v>17</v>
      </c>
      <c r="U338" s="29">
        <v>18</v>
      </c>
      <c r="V338" s="29">
        <v>19</v>
      </c>
      <c r="W338" s="30">
        <v>20</v>
      </c>
      <c r="X338" s="105"/>
    </row>
    <row r="339" spans="2:24" s="7" customFormat="1" ht="20.100000000000001" customHeight="1">
      <c r="C339" s="16" t="s">
        <v>1</v>
      </c>
      <c r="D339" s="16" t="s">
        <v>23</v>
      </c>
      <c r="E339" s="16" t="s">
        <v>56</v>
      </c>
      <c r="F339" s="16" t="s">
        <v>11</v>
      </c>
      <c r="G339" s="16" t="s">
        <v>12</v>
      </c>
      <c r="H339" s="16" t="s">
        <v>37</v>
      </c>
      <c r="I339" s="16" t="s">
        <v>46</v>
      </c>
      <c r="J339" s="16" t="s">
        <v>47</v>
      </c>
      <c r="K339" s="16" t="s">
        <v>4</v>
      </c>
      <c r="L339" s="16" t="s">
        <v>13</v>
      </c>
      <c r="M339" s="16" t="s">
        <v>14</v>
      </c>
      <c r="N339" s="16" t="s">
        <v>79</v>
      </c>
      <c r="O339" s="16" t="s">
        <v>53</v>
      </c>
      <c r="P339" s="16" t="s">
        <v>54</v>
      </c>
      <c r="Q339" s="31" t="s">
        <v>55</v>
      </c>
      <c r="R339" s="16" t="s">
        <v>15</v>
      </c>
      <c r="S339" s="16" t="s">
        <v>16</v>
      </c>
      <c r="T339" s="31" t="s">
        <v>19</v>
      </c>
      <c r="U339" s="31" t="s">
        <v>20</v>
      </c>
      <c r="V339" s="16" t="s">
        <v>21</v>
      </c>
      <c r="W339" s="16" t="s">
        <v>22</v>
      </c>
      <c r="X339" s="110" t="s">
        <v>133</v>
      </c>
    </row>
    <row r="340" spans="2:24" ht="32.1" customHeight="1">
      <c r="B340" s="1">
        <f>B333+1</f>
        <v>10</v>
      </c>
      <c r="C340" s="85" t="str">
        <f>IF(ج_ح_دی[[#This Row],[نام]]&lt;&gt;"",ROW()-340+1,"")</f>
        <v/>
      </c>
      <c r="D340" s="86"/>
      <c r="E340" s="86"/>
      <c r="F340" s="87"/>
      <c r="G340" s="88" t="str">
        <f>IFERROR(IF(COUNT(ج_ح_دی[[#This Row],[کارکرد]]),حداقل_حقوق_پایه_روزانه,""),"")</f>
        <v/>
      </c>
      <c r="H340" s="89" t="str">
        <f>IFERROR(IF(ج_ح_دی[[#This Row],[کارکرد]]*ج_ح_دی[[#This Row],[دستمزد روزانه ]]=0,"",ج_ح_دی[[#This Row],[کارکرد]]*ج_ح_دی[[#This Row],[دستمزد روزانه ]]),"")</f>
        <v/>
      </c>
      <c r="I340" s="91">
        <v>0</v>
      </c>
      <c r="J340" s="90" t="str">
        <f>IFERROR((ج_ح_دی[[#This Row],[دستمزد روزانه ]]/7.33)*1.4*ج_ح_دی[[#This Row],[مدت اضافه کاری ]],"")</f>
        <v/>
      </c>
      <c r="K340" s="89" t="str">
        <f>IF(ج_ح_دی[[#This Row],[کارکرد]]="","",ج_ح_دی[[#This Row],[کارکرد]]/30*حق_مسکن)</f>
        <v/>
      </c>
      <c r="L340" s="91">
        <v>0</v>
      </c>
      <c r="M340" s="89">
        <f>IF(ج_ح_دی[[#This Row],[تعداد فرزندان]]="","",ج_ح_دی[[#This Row],[کارکرد]]/30*3*ج_ح_دی[[#This Row],[تعداد فرزندان]]*حداقل_حقوق_پایه_روزانه)</f>
        <v>0</v>
      </c>
      <c r="N340" s="89" t="str">
        <f>IF(ج_ح_دی[[#This Row],[کارکرد]]="","",ج_ح_دی[[#This Row],[کارکرد]]/30*حق_خواربار)</f>
        <v/>
      </c>
      <c r="O340" s="89" t="str">
        <f>IFERROR(ج_ح_دی[[#This Row],[حقوق پایه]]+ج_ح_دی[[#This Row],[اضافه کاری]]+ج_ح_دی[[#This Row],[حق مسکن]]+ج_ح_دی[[#This Row],[حق اولاد]]+ج_ح_دی[[#This Row],[حق و خواروبار]],"")</f>
        <v/>
      </c>
      <c r="P340"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40" s="89" t="str">
        <f>IFERROR(ج_ح_دی[[#This Row],[حقوق پایه]]+ج_ح_دی[[#This Row],[اضافه کاری]]+ج_ح_دی[[#This Row],[حق مسکن]]+ج_ح_دی[[#This Row],[حق و خواروبار]]+ج_ح_دی[[#This Row],[حق اولاد]]-(2/7)*ج_ح_دی[[#This Row],[بیمه پرداختنی]],"")</f>
        <v/>
      </c>
      <c r="R340" s="91">
        <v>0</v>
      </c>
      <c r="S340" s="91">
        <v>0</v>
      </c>
      <c r="T340" s="89" t="str">
        <f>IFERROR(ج_ح_دی[[#This Row],[جمع ح و م م بیمه ]]*7%,"")</f>
        <v/>
      </c>
      <c r="U340"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40" s="89" t="str">
        <f>IFERROR(ج_ح_دی[[#This Row],[وام]]+ج_ح_دی[[#This Row],[مساعده]]+ج_ح_دی[[#This Row],[بیمه پرداختنی]]+ج_ح_دی[[#This Row],[مالیات پرداختنی]],"")</f>
        <v/>
      </c>
      <c r="W340" s="89" t="str">
        <f>IFERROR(ج_ح_دی[[#This Row],[جمع ح و م]]-ج_ح_دی[[#This Row],[جمع کسورات]],"")</f>
        <v/>
      </c>
      <c r="X340" s="108" t="e">
        <f>100000000-ج_ح_دی[[#This Row],[جمع ح و م م مالیات]]</f>
        <v>#VALUE!</v>
      </c>
    </row>
    <row r="341" spans="2:24" ht="32.1" customHeight="1">
      <c r="B341" s="1">
        <f>B340</f>
        <v>10</v>
      </c>
      <c r="C341" s="85" t="str">
        <f>IF(ج_ح_دی[[#This Row],[نام]]&lt;&gt;"",ROW()-340+1,"")</f>
        <v/>
      </c>
      <c r="D341" s="86"/>
      <c r="E341" s="86"/>
      <c r="F341" s="87"/>
      <c r="G341" s="88" t="str">
        <f>IFERROR(IF(COUNT(ج_ح_دی[[#This Row],[کارکرد]]),حداقل_حقوق_پایه_روزانه,""),"")</f>
        <v/>
      </c>
      <c r="H341" s="89" t="str">
        <f>IFERROR(IF(ج_ح_دی[[#This Row],[کارکرد]]*ج_ح_دی[[#This Row],[دستمزد روزانه ]]=0,"",ج_ح_دی[[#This Row],[کارکرد]]*ج_ح_دی[[#This Row],[دستمزد روزانه ]]),"")</f>
        <v/>
      </c>
      <c r="I341" s="91">
        <v>0</v>
      </c>
      <c r="J341" s="90" t="str">
        <f>IFERROR((ج_ح_دی[[#This Row],[دستمزد روزانه ]]/7.33)*1.4*ج_ح_دی[[#This Row],[مدت اضافه کاری ]],"")</f>
        <v/>
      </c>
      <c r="K341" s="89" t="str">
        <f>IF(ج_ح_دی[[#This Row],[کارکرد]]="","",ج_ح_دی[[#This Row],[کارکرد]]/30*حق_مسکن)</f>
        <v/>
      </c>
      <c r="L341" s="91">
        <v>0</v>
      </c>
      <c r="M341" s="89">
        <f>IF(ج_ح_دی[[#This Row],[تعداد فرزندان]]="","",ج_ح_دی[[#This Row],[کارکرد]]/30*3*ج_ح_دی[[#This Row],[تعداد فرزندان]]*حداقل_حقوق_پایه_روزانه)</f>
        <v>0</v>
      </c>
      <c r="N341" s="89" t="str">
        <f>IF(ج_ح_دی[[#This Row],[کارکرد]]="","",ج_ح_دی[[#This Row],[کارکرد]]/30*حق_خواربار)</f>
        <v/>
      </c>
      <c r="O341" s="89" t="str">
        <f>IFERROR(ج_ح_دی[[#This Row],[حقوق پایه]]+ج_ح_دی[[#This Row],[اضافه کاری]]+ج_ح_دی[[#This Row],[حق مسکن]]+ج_ح_دی[[#This Row],[حق اولاد]]+ج_ح_دی[[#This Row],[حق و خواروبار]],"")</f>
        <v/>
      </c>
      <c r="P341"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41" s="89" t="str">
        <f>IFERROR(ج_ح_دی[[#This Row],[حقوق پایه]]+ج_ح_دی[[#This Row],[اضافه کاری]]+ج_ح_دی[[#This Row],[حق مسکن]]+ج_ح_دی[[#This Row],[حق و خواروبار]]+ج_ح_دی[[#This Row],[حق اولاد]]-(2/7)*ج_ح_دی[[#This Row],[بیمه پرداختنی]],"")</f>
        <v/>
      </c>
      <c r="R341" s="91">
        <v>0</v>
      </c>
      <c r="S341" s="91">
        <v>0</v>
      </c>
      <c r="T341" s="89" t="str">
        <f>IFERROR(ج_ح_دی[[#This Row],[جمع ح و م م بیمه ]]*7%,"")</f>
        <v/>
      </c>
      <c r="U341"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41" s="89" t="str">
        <f>IFERROR(ج_ح_دی[[#This Row],[وام]]+ج_ح_دی[[#This Row],[مساعده]]+ج_ح_دی[[#This Row],[بیمه پرداختنی]]+ج_ح_دی[[#This Row],[مالیات پرداختنی]],"")</f>
        <v/>
      </c>
      <c r="W341" s="89" t="str">
        <f>IFERROR(ج_ح_دی[[#This Row],[جمع ح و م]]-ج_ح_دی[[#This Row],[جمع کسورات]],"")</f>
        <v/>
      </c>
      <c r="X341" s="108" t="e">
        <f>100000000-ج_ح_دی[[#This Row],[جمع ح و م م مالیات]]</f>
        <v>#VALUE!</v>
      </c>
    </row>
    <row r="342" spans="2:24" ht="32.1" customHeight="1">
      <c r="B342" s="1">
        <f t="shared" ref="B342:B370" si="8">B341</f>
        <v>10</v>
      </c>
      <c r="C342" s="85" t="str">
        <f>IF(ج_ح_دی[[#This Row],[نام]]&lt;&gt;"",ROW()-340+1,"")</f>
        <v/>
      </c>
      <c r="D342" s="86"/>
      <c r="E342" s="86"/>
      <c r="F342" s="87"/>
      <c r="G342" s="88" t="str">
        <f>IFERROR(IF(COUNT(ج_ح_دی[[#This Row],[کارکرد]]),حداقل_حقوق_پایه_روزانه,""),"")</f>
        <v/>
      </c>
      <c r="H342" s="89" t="str">
        <f>IFERROR(IF(ج_ح_دی[[#This Row],[کارکرد]]*ج_ح_دی[[#This Row],[دستمزد روزانه ]]=0,"",ج_ح_دی[[#This Row],[کارکرد]]*ج_ح_دی[[#This Row],[دستمزد روزانه ]]),"")</f>
        <v/>
      </c>
      <c r="I342" s="91">
        <v>0</v>
      </c>
      <c r="J342" s="90" t="str">
        <f>IFERROR((ج_ح_دی[[#This Row],[دستمزد روزانه ]]/7.33)*1.4*ج_ح_دی[[#This Row],[مدت اضافه کاری ]],"")</f>
        <v/>
      </c>
      <c r="K342" s="89" t="str">
        <f>IF(ج_ح_دی[[#This Row],[کارکرد]]="","",ج_ح_دی[[#This Row],[کارکرد]]/30*حق_مسکن)</f>
        <v/>
      </c>
      <c r="L342" s="91">
        <v>0</v>
      </c>
      <c r="M342" s="89">
        <f>IF(ج_ح_دی[[#This Row],[تعداد فرزندان]]="","",ج_ح_دی[[#This Row],[کارکرد]]/30*3*ج_ح_دی[[#This Row],[تعداد فرزندان]]*حداقل_حقوق_پایه_روزانه)</f>
        <v>0</v>
      </c>
      <c r="N342" s="89" t="str">
        <f>IF(ج_ح_دی[[#This Row],[کارکرد]]="","",ج_ح_دی[[#This Row],[کارکرد]]/30*حق_خواربار)</f>
        <v/>
      </c>
      <c r="O342" s="89" t="str">
        <f>IFERROR(ج_ح_دی[[#This Row],[حقوق پایه]]+ج_ح_دی[[#This Row],[اضافه کاری]]+ج_ح_دی[[#This Row],[حق مسکن]]+ج_ح_دی[[#This Row],[حق اولاد]]+ج_ح_دی[[#This Row],[حق و خواروبار]],"")</f>
        <v/>
      </c>
      <c r="P342"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42" s="89" t="str">
        <f>IFERROR(ج_ح_دی[[#This Row],[حقوق پایه]]+ج_ح_دی[[#This Row],[اضافه کاری]]+ج_ح_دی[[#This Row],[حق مسکن]]+ج_ح_دی[[#This Row],[حق و خواروبار]]+ج_ح_دی[[#This Row],[حق اولاد]]-(2/7)*ج_ح_دی[[#This Row],[بیمه پرداختنی]],"")</f>
        <v/>
      </c>
      <c r="R342" s="91">
        <v>0</v>
      </c>
      <c r="S342" s="91">
        <v>0</v>
      </c>
      <c r="T342" s="89" t="str">
        <f>IFERROR(ج_ح_دی[[#This Row],[جمع ح و م م بیمه ]]*7%,"")</f>
        <v/>
      </c>
      <c r="U342"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42" s="89" t="str">
        <f>IFERROR(ج_ح_دی[[#This Row],[وام]]+ج_ح_دی[[#This Row],[مساعده]]+ج_ح_دی[[#This Row],[بیمه پرداختنی]]+ج_ح_دی[[#This Row],[مالیات پرداختنی]],"")</f>
        <v/>
      </c>
      <c r="W342" s="89" t="str">
        <f>IFERROR(ج_ح_دی[[#This Row],[جمع ح و م]]-ج_ح_دی[[#This Row],[جمع کسورات]],"")</f>
        <v/>
      </c>
      <c r="X342" s="108" t="e">
        <f>100000000-ج_ح_دی[[#This Row],[جمع ح و م م مالیات]]</f>
        <v>#VALUE!</v>
      </c>
    </row>
    <row r="343" spans="2:24" ht="32.1" customHeight="1">
      <c r="B343" s="1">
        <f t="shared" si="8"/>
        <v>10</v>
      </c>
      <c r="C343" s="85" t="str">
        <f>IF(ج_ح_دی[[#This Row],[نام]]&lt;&gt;"",ROW()-340+1,"")</f>
        <v/>
      </c>
      <c r="D343" s="86"/>
      <c r="E343" s="86"/>
      <c r="F343" s="87"/>
      <c r="G343" s="88" t="str">
        <f>IFERROR(IF(COUNT(ج_ح_دی[[#This Row],[کارکرد]]),حداقل_حقوق_پایه_روزانه,""),"")</f>
        <v/>
      </c>
      <c r="H343" s="89" t="str">
        <f>IFERROR(IF(ج_ح_دی[[#This Row],[کارکرد]]*ج_ح_دی[[#This Row],[دستمزد روزانه ]]=0,"",ج_ح_دی[[#This Row],[کارکرد]]*ج_ح_دی[[#This Row],[دستمزد روزانه ]]),"")</f>
        <v/>
      </c>
      <c r="I343" s="91">
        <v>0</v>
      </c>
      <c r="J343" s="90" t="str">
        <f>IFERROR((ج_ح_دی[[#This Row],[دستمزد روزانه ]]/7.33)*1.4*ج_ح_دی[[#This Row],[مدت اضافه کاری ]],"")</f>
        <v/>
      </c>
      <c r="K343" s="89" t="str">
        <f>IF(ج_ح_دی[[#This Row],[کارکرد]]="","",ج_ح_دی[[#This Row],[کارکرد]]/30*حق_مسکن)</f>
        <v/>
      </c>
      <c r="L343" s="91">
        <v>0</v>
      </c>
      <c r="M343" s="89">
        <f>IF(ج_ح_دی[[#This Row],[تعداد فرزندان]]="","",ج_ح_دی[[#This Row],[کارکرد]]/30*3*ج_ح_دی[[#This Row],[تعداد فرزندان]]*حداقل_حقوق_پایه_روزانه)</f>
        <v>0</v>
      </c>
      <c r="N343" s="89" t="str">
        <f>IF(ج_ح_دی[[#This Row],[کارکرد]]="","",ج_ح_دی[[#This Row],[کارکرد]]/30*حق_خواربار)</f>
        <v/>
      </c>
      <c r="O343" s="89" t="str">
        <f>IFERROR(ج_ح_دی[[#This Row],[حقوق پایه]]+ج_ح_دی[[#This Row],[اضافه کاری]]+ج_ح_دی[[#This Row],[حق مسکن]]+ج_ح_دی[[#This Row],[حق اولاد]]+ج_ح_دی[[#This Row],[حق و خواروبار]],"")</f>
        <v/>
      </c>
      <c r="P343"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43" s="89" t="str">
        <f>IFERROR(ج_ح_دی[[#This Row],[حقوق پایه]]+ج_ح_دی[[#This Row],[اضافه کاری]]+ج_ح_دی[[#This Row],[حق مسکن]]+ج_ح_دی[[#This Row],[حق و خواروبار]]+ج_ح_دی[[#This Row],[حق اولاد]]-(2/7)*ج_ح_دی[[#This Row],[بیمه پرداختنی]],"")</f>
        <v/>
      </c>
      <c r="R343" s="91">
        <v>0</v>
      </c>
      <c r="S343" s="91">
        <v>0</v>
      </c>
      <c r="T343" s="89" t="str">
        <f>IFERROR(ج_ح_دی[[#This Row],[جمع ح و م م بیمه ]]*7%,"")</f>
        <v/>
      </c>
      <c r="U343"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43" s="89" t="str">
        <f>IFERROR(ج_ح_دی[[#This Row],[وام]]+ج_ح_دی[[#This Row],[مساعده]]+ج_ح_دی[[#This Row],[بیمه پرداختنی]]+ج_ح_دی[[#This Row],[مالیات پرداختنی]],"")</f>
        <v/>
      </c>
      <c r="W343" s="89" t="str">
        <f>IFERROR(ج_ح_دی[[#This Row],[جمع ح و م]]-ج_ح_دی[[#This Row],[جمع کسورات]],"")</f>
        <v/>
      </c>
      <c r="X343" s="108" t="e">
        <f>100000000-ج_ح_دی[[#This Row],[جمع ح و م م مالیات]]</f>
        <v>#VALUE!</v>
      </c>
    </row>
    <row r="344" spans="2:24" ht="32.1" customHeight="1">
      <c r="B344" s="1">
        <f t="shared" si="8"/>
        <v>10</v>
      </c>
      <c r="C344" s="85" t="str">
        <f>IF(ج_ح_دی[[#This Row],[نام]]&lt;&gt;"",ROW()-340+1,"")</f>
        <v/>
      </c>
      <c r="D344" s="86"/>
      <c r="E344" s="86"/>
      <c r="F344" s="87"/>
      <c r="G344" s="88" t="str">
        <f>IFERROR(IF(COUNT(ج_ح_دی[[#This Row],[کارکرد]]),حداقل_حقوق_پایه_روزانه,""),"")</f>
        <v/>
      </c>
      <c r="H344" s="89" t="str">
        <f>IFERROR(IF(ج_ح_دی[[#This Row],[کارکرد]]*ج_ح_دی[[#This Row],[دستمزد روزانه ]]=0,"",ج_ح_دی[[#This Row],[کارکرد]]*ج_ح_دی[[#This Row],[دستمزد روزانه ]]),"")</f>
        <v/>
      </c>
      <c r="I344" s="91"/>
      <c r="J344" s="90" t="str">
        <f>IFERROR((ج_ح_دی[[#This Row],[دستمزد روزانه ]]/7.33)*1.4*ج_ح_دی[[#This Row],[مدت اضافه کاری ]],"")</f>
        <v/>
      </c>
      <c r="K344" s="89" t="str">
        <f>IF(ج_ح_دی[[#This Row],[کارکرد]]="","",ج_ح_دی[[#This Row],[کارکرد]]/30*حق_مسکن)</f>
        <v/>
      </c>
      <c r="L344" s="91"/>
      <c r="M344" s="89" t="str">
        <f>IF(ج_ح_دی[[#This Row],[تعداد فرزندان]]="","",ج_ح_دی[[#This Row],[کارکرد]]/30*3*ج_ح_دی[[#This Row],[تعداد فرزندان]]*حداقل_حقوق_پایه_روزانه)</f>
        <v/>
      </c>
      <c r="N344" s="89" t="str">
        <f>IF(ج_ح_دی[[#This Row],[کارکرد]]="","",ج_ح_دی[[#This Row],[کارکرد]]/30*حق_خواربار)</f>
        <v/>
      </c>
      <c r="O344" s="89" t="str">
        <f>IFERROR(ج_ح_دی[[#This Row],[حقوق پایه]]+ج_ح_دی[[#This Row],[اضافه کاری]]+ج_ح_دی[[#This Row],[حق مسکن]]+ج_ح_دی[[#This Row],[حق اولاد]]+ج_ح_دی[[#This Row],[حق و خواروبار]],"")</f>
        <v/>
      </c>
      <c r="P344"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44" s="89" t="str">
        <f>IFERROR(ج_ح_دی[[#This Row],[حقوق پایه]]+ج_ح_دی[[#This Row],[اضافه کاری]]+ج_ح_دی[[#This Row],[حق مسکن]]+ج_ح_دی[[#This Row],[حق و خواروبار]]+ج_ح_دی[[#This Row],[حق اولاد]]-(2/7)*ج_ح_دی[[#This Row],[بیمه پرداختنی]],"")</f>
        <v/>
      </c>
      <c r="R344" s="91"/>
      <c r="S344" s="91"/>
      <c r="T344" s="89" t="str">
        <f>IFERROR(ج_ح_دی[[#This Row],[جمع ح و م م بیمه ]]*7%,"")</f>
        <v/>
      </c>
      <c r="U344"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44" s="89" t="str">
        <f>IFERROR(ج_ح_دی[[#This Row],[وام]]+ج_ح_دی[[#This Row],[مساعده]]+ج_ح_دی[[#This Row],[بیمه پرداختنی]]+ج_ح_دی[[#This Row],[مالیات پرداختنی]],"")</f>
        <v/>
      </c>
      <c r="W344" s="89" t="str">
        <f>IFERROR(ج_ح_دی[[#This Row],[جمع ح و م]]-ج_ح_دی[[#This Row],[جمع کسورات]],"")</f>
        <v/>
      </c>
      <c r="X344" s="108"/>
    </row>
    <row r="345" spans="2:24" ht="32.1" customHeight="1">
      <c r="B345" s="1">
        <f t="shared" si="8"/>
        <v>10</v>
      </c>
      <c r="C345" s="85" t="str">
        <f>IF(ج_ح_دی[[#This Row],[نام]]&lt;&gt;"",ROW()-340+1,"")</f>
        <v/>
      </c>
      <c r="D345" s="86"/>
      <c r="E345" s="86"/>
      <c r="F345" s="87"/>
      <c r="G345" s="88" t="str">
        <f>IFERROR(IF(COUNT(ج_ح_دی[[#This Row],[کارکرد]]),حداقل_حقوق_پایه_روزانه,""),"")</f>
        <v/>
      </c>
      <c r="H345" s="89" t="str">
        <f>IFERROR(IF(ج_ح_دی[[#This Row],[کارکرد]]*ج_ح_دی[[#This Row],[دستمزد روزانه ]]=0,"",ج_ح_دی[[#This Row],[کارکرد]]*ج_ح_دی[[#This Row],[دستمزد روزانه ]]),"")</f>
        <v/>
      </c>
      <c r="I345" s="91"/>
      <c r="J345" s="90" t="str">
        <f>IFERROR((ج_ح_دی[[#This Row],[دستمزد روزانه ]]/7.33)*1.4*ج_ح_دی[[#This Row],[مدت اضافه کاری ]],"")</f>
        <v/>
      </c>
      <c r="K345" s="89" t="str">
        <f>IF(ج_ح_دی[[#This Row],[کارکرد]]="","",ج_ح_دی[[#This Row],[کارکرد]]/30*حق_مسکن)</f>
        <v/>
      </c>
      <c r="L345" s="91"/>
      <c r="M345" s="89" t="str">
        <f>IF(ج_ح_دی[[#This Row],[تعداد فرزندان]]="","",ج_ح_دی[[#This Row],[کارکرد]]/30*3*ج_ح_دی[[#This Row],[تعداد فرزندان]]*حداقل_حقوق_پایه_روزانه)</f>
        <v/>
      </c>
      <c r="N345" s="89" t="str">
        <f>IF(ج_ح_دی[[#This Row],[کارکرد]]="","",ج_ح_دی[[#This Row],[کارکرد]]/30*حق_خواربار)</f>
        <v/>
      </c>
      <c r="O345" s="89" t="str">
        <f>IFERROR(ج_ح_دی[[#This Row],[حقوق پایه]]+ج_ح_دی[[#This Row],[اضافه کاری]]+ج_ح_دی[[#This Row],[حق مسکن]]+ج_ح_دی[[#This Row],[حق اولاد]]+ج_ح_دی[[#This Row],[حق و خواروبار]],"")</f>
        <v/>
      </c>
      <c r="P345"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45" s="89" t="str">
        <f>IFERROR(ج_ح_دی[[#This Row],[حقوق پایه]]+ج_ح_دی[[#This Row],[اضافه کاری]]+ج_ح_دی[[#This Row],[حق مسکن]]+ج_ح_دی[[#This Row],[حق و خواروبار]]+ج_ح_دی[[#This Row],[حق اولاد]]-(2/7)*ج_ح_دی[[#This Row],[بیمه پرداختنی]],"")</f>
        <v/>
      </c>
      <c r="R345" s="91"/>
      <c r="S345" s="91"/>
      <c r="T345" s="89" t="str">
        <f>IFERROR(ج_ح_دی[[#This Row],[جمع ح و م م بیمه ]]*7%,"")</f>
        <v/>
      </c>
      <c r="U345"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45" s="89" t="str">
        <f>IFERROR(ج_ح_دی[[#This Row],[وام]]+ج_ح_دی[[#This Row],[مساعده]]+ج_ح_دی[[#This Row],[بیمه پرداختنی]]+ج_ح_دی[[#This Row],[مالیات پرداختنی]],"")</f>
        <v/>
      </c>
      <c r="W345" s="89" t="str">
        <f>IFERROR(ج_ح_دی[[#This Row],[جمع ح و م]]-ج_ح_دی[[#This Row],[جمع کسورات]],"")</f>
        <v/>
      </c>
      <c r="X345" s="108"/>
    </row>
    <row r="346" spans="2:24" ht="32.1" customHeight="1">
      <c r="B346" s="1">
        <f t="shared" si="8"/>
        <v>10</v>
      </c>
      <c r="C346" s="85" t="str">
        <f>IF(ج_ح_دی[[#This Row],[نام]]&lt;&gt;"",ROW()-340+1,"")</f>
        <v/>
      </c>
      <c r="D346" s="86"/>
      <c r="E346" s="86"/>
      <c r="F346" s="87"/>
      <c r="G346" s="88" t="str">
        <f>IFERROR(IF(COUNT(ج_ح_دی[[#This Row],[کارکرد]]),حداقل_حقوق_پایه_روزانه,""),"")</f>
        <v/>
      </c>
      <c r="H346" s="89" t="str">
        <f>IFERROR(IF(ج_ح_دی[[#This Row],[کارکرد]]*ج_ح_دی[[#This Row],[دستمزد روزانه ]]=0,"",ج_ح_دی[[#This Row],[کارکرد]]*ج_ح_دی[[#This Row],[دستمزد روزانه ]]),"")</f>
        <v/>
      </c>
      <c r="I346" s="91"/>
      <c r="J346" s="90" t="str">
        <f>IFERROR((ج_ح_دی[[#This Row],[دستمزد روزانه ]]/7.33)*1.4*ج_ح_دی[[#This Row],[مدت اضافه کاری ]],"")</f>
        <v/>
      </c>
      <c r="K346" s="89" t="str">
        <f>IF(ج_ح_دی[[#This Row],[کارکرد]]="","",ج_ح_دی[[#This Row],[کارکرد]]/30*حق_مسکن)</f>
        <v/>
      </c>
      <c r="L346" s="91"/>
      <c r="M346" s="89" t="str">
        <f>IF(ج_ح_دی[[#This Row],[تعداد فرزندان]]="","",ج_ح_دی[[#This Row],[کارکرد]]/30*3*ج_ح_دی[[#This Row],[تعداد فرزندان]]*حداقل_حقوق_پایه_روزانه)</f>
        <v/>
      </c>
      <c r="N346" s="89" t="str">
        <f>IF(ج_ح_دی[[#This Row],[کارکرد]]="","",ج_ح_دی[[#This Row],[کارکرد]]/30*حق_خواربار)</f>
        <v/>
      </c>
      <c r="O346" s="89" t="str">
        <f>IFERROR(ج_ح_دی[[#This Row],[حقوق پایه]]+ج_ح_دی[[#This Row],[اضافه کاری]]+ج_ح_دی[[#This Row],[حق مسکن]]+ج_ح_دی[[#This Row],[حق اولاد]]+ج_ح_دی[[#This Row],[حق و خواروبار]],"")</f>
        <v/>
      </c>
      <c r="P346"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46" s="89" t="str">
        <f>IFERROR(ج_ح_دی[[#This Row],[حقوق پایه]]+ج_ح_دی[[#This Row],[اضافه کاری]]+ج_ح_دی[[#This Row],[حق مسکن]]+ج_ح_دی[[#This Row],[حق و خواروبار]]+ج_ح_دی[[#This Row],[حق اولاد]]-(2/7)*ج_ح_دی[[#This Row],[بیمه پرداختنی]],"")</f>
        <v/>
      </c>
      <c r="R346" s="91"/>
      <c r="S346" s="91"/>
      <c r="T346" s="89" t="str">
        <f>IFERROR(ج_ح_دی[[#This Row],[جمع ح و م م بیمه ]]*7%,"")</f>
        <v/>
      </c>
      <c r="U346"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46" s="89" t="str">
        <f>IFERROR(ج_ح_دی[[#This Row],[وام]]+ج_ح_دی[[#This Row],[مساعده]]+ج_ح_دی[[#This Row],[بیمه پرداختنی]]+ج_ح_دی[[#This Row],[مالیات پرداختنی]],"")</f>
        <v/>
      </c>
      <c r="W346" s="89" t="str">
        <f>IFERROR(ج_ح_دی[[#This Row],[جمع ح و م]]-ج_ح_دی[[#This Row],[جمع کسورات]],"")</f>
        <v/>
      </c>
      <c r="X346" s="108"/>
    </row>
    <row r="347" spans="2:24" ht="32.1" customHeight="1">
      <c r="B347" s="1">
        <f t="shared" si="8"/>
        <v>10</v>
      </c>
      <c r="C347" s="85" t="str">
        <f>IF(ج_ح_دی[[#This Row],[نام]]&lt;&gt;"",ROW()-340+1,"")</f>
        <v/>
      </c>
      <c r="D347" s="86"/>
      <c r="E347" s="86"/>
      <c r="F347" s="87"/>
      <c r="G347" s="88" t="str">
        <f>IFERROR(IF(COUNT(ج_ح_دی[[#This Row],[کارکرد]]),حداقل_حقوق_پایه_روزانه,""),"")</f>
        <v/>
      </c>
      <c r="H347" s="89" t="str">
        <f>IFERROR(IF(ج_ح_دی[[#This Row],[کارکرد]]*ج_ح_دی[[#This Row],[دستمزد روزانه ]]=0,"",ج_ح_دی[[#This Row],[کارکرد]]*ج_ح_دی[[#This Row],[دستمزد روزانه ]]),"")</f>
        <v/>
      </c>
      <c r="I347" s="91"/>
      <c r="J347" s="90" t="str">
        <f>IFERROR((ج_ح_دی[[#This Row],[دستمزد روزانه ]]/7.33)*1.4*ج_ح_دی[[#This Row],[مدت اضافه کاری ]],"")</f>
        <v/>
      </c>
      <c r="K347" s="89" t="str">
        <f>IF(ج_ح_دی[[#This Row],[کارکرد]]="","",ج_ح_دی[[#This Row],[کارکرد]]/30*حق_مسکن)</f>
        <v/>
      </c>
      <c r="L347" s="91"/>
      <c r="M347" s="89" t="str">
        <f>IF(ج_ح_دی[[#This Row],[تعداد فرزندان]]="","",ج_ح_دی[[#This Row],[کارکرد]]/30*3*ج_ح_دی[[#This Row],[تعداد فرزندان]]*حداقل_حقوق_پایه_روزانه)</f>
        <v/>
      </c>
      <c r="N347" s="89" t="str">
        <f>IF(ج_ح_دی[[#This Row],[کارکرد]]="","",ج_ح_دی[[#This Row],[کارکرد]]/30*حق_خواربار)</f>
        <v/>
      </c>
      <c r="O347" s="89" t="str">
        <f>IFERROR(ج_ح_دی[[#This Row],[حقوق پایه]]+ج_ح_دی[[#This Row],[اضافه کاری]]+ج_ح_دی[[#This Row],[حق مسکن]]+ج_ح_دی[[#This Row],[حق اولاد]]+ج_ح_دی[[#This Row],[حق و خواروبار]],"")</f>
        <v/>
      </c>
      <c r="P347"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47" s="89" t="str">
        <f>IFERROR(ج_ح_دی[[#This Row],[حقوق پایه]]+ج_ح_دی[[#This Row],[اضافه کاری]]+ج_ح_دی[[#This Row],[حق مسکن]]+ج_ح_دی[[#This Row],[حق و خواروبار]]+ج_ح_دی[[#This Row],[حق اولاد]]-(2/7)*ج_ح_دی[[#This Row],[بیمه پرداختنی]],"")</f>
        <v/>
      </c>
      <c r="R347" s="91"/>
      <c r="S347" s="91"/>
      <c r="T347" s="89" t="str">
        <f>IFERROR(ج_ح_دی[[#This Row],[جمع ح و م م بیمه ]]*7%,"")</f>
        <v/>
      </c>
      <c r="U347"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47" s="89" t="str">
        <f>IFERROR(ج_ح_دی[[#This Row],[وام]]+ج_ح_دی[[#This Row],[مساعده]]+ج_ح_دی[[#This Row],[بیمه پرداختنی]]+ج_ح_دی[[#This Row],[مالیات پرداختنی]],"")</f>
        <v/>
      </c>
      <c r="W347" s="89" t="str">
        <f>IFERROR(ج_ح_دی[[#This Row],[جمع ح و م]]-ج_ح_دی[[#This Row],[جمع کسورات]],"")</f>
        <v/>
      </c>
      <c r="X347" s="108"/>
    </row>
    <row r="348" spans="2:24" ht="32.1" customHeight="1">
      <c r="B348" s="1">
        <f t="shared" si="8"/>
        <v>10</v>
      </c>
      <c r="C348" s="85" t="str">
        <f>IF(ج_ح_دی[[#This Row],[نام]]&lt;&gt;"",ROW()-340+1,"")</f>
        <v/>
      </c>
      <c r="D348" s="86"/>
      <c r="E348" s="86"/>
      <c r="F348" s="87"/>
      <c r="G348" s="88" t="str">
        <f>IFERROR(IF(COUNT(ج_ح_دی[[#This Row],[کارکرد]]),حداقل_حقوق_پایه_روزانه,""),"")</f>
        <v/>
      </c>
      <c r="H348" s="89" t="str">
        <f>IFERROR(IF(ج_ح_دی[[#This Row],[کارکرد]]*ج_ح_دی[[#This Row],[دستمزد روزانه ]]=0,"",ج_ح_دی[[#This Row],[کارکرد]]*ج_ح_دی[[#This Row],[دستمزد روزانه ]]),"")</f>
        <v/>
      </c>
      <c r="I348" s="91"/>
      <c r="J348" s="90" t="str">
        <f>IFERROR((ج_ح_دی[[#This Row],[دستمزد روزانه ]]/7.33)*1.4*ج_ح_دی[[#This Row],[مدت اضافه کاری ]],"")</f>
        <v/>
      </c>
      <c r="K348" s="89" t="str">
        <f>IF(ج_ح_دی[[#This Row],[کارکرد]]="","",ج_ح_دی[[#This Row],[کارکرد]]/30*حق_مسکن)</f>
        <v/>
      </c>
      <c r="L348" s="91"/>
      <c r="M348" s="89" t="str">
        <f>IF(ج_ح_دی[[#This Row],[تعداد فرزندان]]="","",ج_ح_دی[[#This Row],[کارکرد]]/30*3*ج_ح_دی[[#This Row],[تعداد فرزندان]]*حداقل_حقوق_پایه_روزانه)</f>
        <v/>
      </c>
      <c r="N348" s="89" t="str">
        <f>IF(ج_ح_دی[[#This Row],[کارکرد]]="","",ج_ح_دی[[#This Row],[کارکرد]]/30*حق_خواربار)</f>
        <v/>
      </c>
      <c r="O348" s="89" t="str">
        <f>IFERROR(ج_ح_دی[[#This Row],[حقوق پایه]]+ج_ح_دی[[#This Row],[اضافه کاری]]+ج_ح_دی[[#This Row],[حق مسکن]]+ج_ح_دی[[#This Row],[حق اولاد]]+ج_ح_دی[[#This Row],[حق و خواروبار]],"")</f>
        <v/>
      </c>
      <c r="P348"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48" s="89" t="str">
        <f>IFERROR(ج_ح_دی[[#This Row],[حقوق پایه]]+ج_ح_دی[[#This Row],[اضافه کاری]]+ج_ح_دی[[#This Row],[حق مسکن]]+ج_ح_دی[[#This Row],[حق و خواروبار]]+ج_ح_دی[[#This Row],[حق اولاد]]-(2/7)*ج_ح_دی[[#This Row],[بیمه پرداختنی]],"")</f>
        <v/>
      </c>
      <c r="R348" s="91"/>
      <c r="S348" s="91"/>
      <c r="T348" s="89" t="str">
        <f>IFERROR(ج_ح_دی[[#This Row],[جمع ح و م م بیمه ]]*7%,"")</f>
        <v/>
      </c>
      <c r="U348"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48" s="89" t="str">
        <f>IFERROR(ج_ح_دی[[#This Row],[وام]]+ج_ح_دی[[#This Row],[مساعده]]+ج_ح_دی[[#This Row],[بیمه پرداختنی]]+ج_ح_دی[[#This Row],[مالیات پرداختنی]],"")</f>
        <v/>
      </c>
      <c r="W348" s="89" t="str">
        <f>IFERROR(ج_ح_دی[[#This Row],[جمع ح و م]]-ج_ح_دی[[#This Row],[جمع کسورات]],"")</f>
        <v/>
      </c>
      <c r="X348" s="108"/>
    </row>
    <row r="349" spans="2:24" ht="32.1" customHeight="1">
      <c r="B349" s="1">
        <f t="shared" si="8"/>
        <v>10</v>
      </c>
      <c r="C349" s="85" t="str">
        <f>IF(ج_ح_دی[[#This Row],[نام]]&lt;&gt;"",ROW()-340+1,"")</f>
        <v/>
      </c>
      <c r="D349" s="86"/>
      <c r="E349" s="86"/>
      <c r="F349" s="87"/>
      <c r="G349" s="88" t="str">
        <f>IFERROR(IF(COUNT(ج_ح_دی[[#This Row],[کارکرد]]),حداقل_حقوق_پایه_روزانه,""),"")</f>
        <v/>
      </c>
      <c r="H349" s="89" t="str">
        <f>IFERROR(IF(ج_ح_دی[[#This Row],[کارکرد]]*ج_ح_دی[[#This Row],[دستمزد روزانه ]]=0,"",ج_ح_دی[[#This Row],[کارکرد]]*ج_ح_دی[[#This Row],[دستمزد روزانه ]]),"")</f>
        <v/>
      </c>
      <c r="I349" s="91"/>
      <c r="J349" s="90" t="str">
        <f>IFERROR((ج_ح_دی[[#This Row],[دستمزد روزانه ]]/7.33)*1.4*ج_ح_دی[[#This Row],[مدت اضافه کاری ]],"")</f>
        <v/>
      </c>
      <c r="K349" s="89" t="str">
        <f>IF(ج_ح_دی[[#This Row],[کارکرد]]="","",ج_ح_دی[[#This Row],[کارکرد]]/30*حق_مسکن)</f>
        <v/>
      </c>
      <c r="L349" s="91"/>
      <c r="M349" s="89" t="str">
        <f>IF(ج_ح_دی[[#This Row],[تعداد فرزندان]]="","",ج_ح_دی[[#This Row],[کارکرد]]/30*3*ج_ح_دی[[#This Row],[تعداد فرزندان]]*حداقل_حقوق_پایه_روزانه)</f>
        <v/>
      </c>
      <c r="N349" s="89" t="str">
        <f>IF(ج_ح_دی[[#This Row],[کارکرد]]="","",ج_ح_دی[[#This Row],[کارکرد]]/30*حق_خواربار)</f>
        <v/>
      </c>
      <c r="O349" s="89" t="str">
        <f>IFERROR(ج_ح_دی[[#This Row],[حقوق پایه]]+ج_ح_دی[[#This Row],[اضافه کاری]]+ج_ح_دی[[#This Row],[حق مسکن]]+ج_ح_دی[[#This Row],[حق اولاد]]+ج_ح_دی[[#This Row],[حق و خواروبار]],"")</f>
        <v/>
      </c>
      <c r="P349"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49" s="89" t="str">
        <f>IFERROR(ج_ح_دی[[#This Row],[حقوق پایه]]+ج_ح_دی[[#This Row],[اضافه کاری]]+ج_ح_دی[[#This Row],[حق مسکن]]+ج_ح_دی[[#This Row],[حق و خواروبار]]+ج_ح_دی[[#This Row],[حق اولاد]]-(2/7)*ج_ح_دی[[#This Row],[بیمه پرداختنی]],"")</f>
        <v/>
      </c>
      <c r="R349" s="91"/>
      <c r="S349" s="91"/>
      <c r="T349" s="89" t="str">
        <f>IFERROR(ج_ح_دی[[#This Row],[جمع ح و م م بیمه ]]*7%,"")</f>
        <v/>
      </c>
      <c r="U349"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49" s="89" t="str">
        <f>IFERROR(ج_ح_دی[[#This Row],[وام]]+ج_ح_دی[[#This Row],[مساعده]]+ج_ح_دی[[#This Row],[بیمه پرداختنی]]+ج_ح_دی[[#This Row],[مالیات پرداختنی]],"")</f>
        <v/>
      </c>
      <c r="W349" s="89" t="str">
        <f>IFERROR(ج_ح_دی[[#This Row],[جمع ح و م]]-ج_ح_دی[[#This Row],[جمع کسورات]],"")</f>
        <v/>
      </c>
      <c r="X349" s="108"/>
    </row>
    <row r="350" spans="2:24" ht="32.1" customHeight="1">
      <c r="B350" s="1">
        <f t="shared" si="8"/>
        <v>10</v>
      </c>
      <c r="C350" s="85" t="str">
        <f>IF(ج_ح_دی[[#This Row],[نام]]&lt;&gt;"",ROW()-340+1,"")</f>
        <v/>
      </c>
      <c r="D350" s="86"/>
      <c r="E350" s="86"/>
      <c r="F350" s="87"/>
      <c r="G350" s="88" t="str">
        <f>IFERROR(IF(COUNT(ج_ح_دی[[#This Row],[کارکرد]]),حداقل_حقوق_پایه_روزانه,""),"")</f>
        <v/>
      </c>
      <c r="H350" s="89" t="str">
        <f>IFERROR(IF(ج_ح_دی[[#This Row],[کارکرد]]*ج_ح_دی[[#This Row],[دستمزد روزانه ]]=0,"",ج_ح_دی[[#This Row],[کارکرد]]*ج_ح_دی[[#This Row],[دستمزد روزانه ]]),"")</f>
        <v/>
      </c>
      <c r="I350" s="91"/>
      <c r="J350" s="90" t="str">
        <f>IFERROR((ج_ح_دی[[#This Row],[دستمزد روزانه ]]/7.33)*1.4*ج_ح_دی[[#This Row],[مدت اضافه کاری ]],"")</f>
        <v/>
      </c>
      <c r="K350" s="89" t="str">
        <f>IF(ج_ح_دی[[#This Row],[کارکرد]]="","",ج_ح_دی[[#This Row],[کارکرد]]/30*حق_مسکن)</f>
        <v/>
      </c>
      <c r="L350" s="91"/>
      <c r="M350" s="89" t="str">
        <f>IF(ج_ح_دی[[#This Row],[تعداد فرزندان]]="","",ج_ح_دی[[#This Row],[کارکرد]]/30*3*ج_ح_دی[[#This Row],[تعداد فرزندان]]*حداقل_حقوق_پایه_روزانه)</f>
        <v/>
      </c>
      <c r="N350" s="89" t="str">
        <f>IF(ج_ح_دی[[#This Row],[کارکرد]]="","",ج_ح_دی[[#This Row],[کارکرد]]/30*حق_خواربار)</f>
        <v/>
      </c>
      <c r="O350" s="89" t="str">
        <f>IFERROR(ج_ح_دی[[#This Row],[حقوق پایه]]+ج_ح_دی[[#This Row],[اضافه کاری]]+ج_ح_دی[[#This Row],[حق مسکن]]+ج_ح_دی[[#This Row],[حق اولاد]]+ج_ح_دی[[#This Row],[حق و خواروبار]],"")</f>
        <v/>
      </c>
      <c r="P350"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50" s="89" t="str">
        <f>IFERROR(ج_ح_دی[[#This Row],[حقوق پایه]]+ج_ح_دی[[#This Row],[اضافه کاری]]+ج_ح_دی[[#This Row],[حق مسکن]]+ج_ح_دی[[#This Row],[حق و خواروبار]]+ج_ح_دی[[#This Row],[حق اولاد]]-(2/7)*ج_ح_دی[[#This Row],[بیمه پرداختنی]],"")</f>
        <v/>
      </c>
      <c r="R350" s="91"/>
      <c r="S350" s="91"/>
      <c r="T350" s="89" t="str">
        <f>IFERROR(ج_ح_دی[[#This Row],[جمع ح و م م بیمه ]]*7%,"")</f>
        <v/>
      </c>
      <c r="U350"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50" s="89" t="str">
        <f>IFERROR(ج_ح_دی[[#This Row],[وام]]+ج_ح_دی[[#This Row],[مساعده]]+ج_ح_دی[[#This Row],[بیمه پرداختنی]]+ج_ح_دی[[#This Row],[مالیات پرداختنی]],"")</f>
        <v/>
      </c>
      <c r="W350" s="89" t="str">
        <f>IFERROR(ج_ح_دی[[#This Row],[جمع ح و م]]-ج_ح_دی[[#This Row],[جمع کسورات]],"")</f>
        <v/>
      </c>
      <c r="X350" s="108"/>
    </row>
    <row r="351" spans="2:24" ht="32.1" customHeight="1">
      <c r="B351" s="1">
        <f t="shared" si="8"/>
        <v>10</v>
      </c>
      <c r="C351" s="85" t="str">
        <f>IF(ج_ح_دی[[#This Row],[نام]]&lt;&gt;"",ROW()-340+1,"")</f>
        <v/>
      </c>
      <c r="D351" s="86"/>
      <c r="E351" s="86"/>
      <c r="F351" s="87"/>
      <c r="G351" s="88" t="str">
        <f>IFERROR(IF(COUNT(ج_ح_دی[[#This Row],[کارکرد]]),حداقل_حقوق_پایه_روزانه,""),"")</f>
        <v/>
      </c>
      <c r="H351" s="89" t="str">
        <f>IFERROR(IF(ج_ح_دی[[#This Row],[کارکرد]]*ج_ح_دی[[#This Row],[دستمزد روزانه ]]=0,"",ج_ح_دی[[#This Row],[کارکرد]]*ج_ح_دی[[#This Row],[دستمزد روزانه ]]),"")</f>
        <v/>
      </c>
      <c r="I351" s="91"/>
      <c r="J351" s="90" t="str">
        <f>IFERROR((ج_ح_دی[[#This Row],[دستمزد روزانه ]]/7.33)*1.4*ج_ح_دی[[#This Row],[مدت اضافه کاری ]],"")</f>
        <v/>
      </c>
      <c r="K351" s="89" t="str">
        <f>IF(ج_ح_دی[[#This Row],[کارکرد]]="","",ج_ح_دی[[#This Row],[کارکرد]]/30*حق_مسکن)</f>
        <v/>
      </c>
      <c r="L351" s="91"/>
      <c r="M351" s="89" t="str">
        <f>IF(ج_ح_دی[[#This Row],[تعداد فرزندان]]="","",ج_ح_دی[[#This Row],[کارکرد]]/30*3*ج_ح_دی[[#This Row],[تعداد فرزندان]]*حداقل_حقوق_پایه_روزانه)</f>
        <v/>
      </c>
      <c r="N351" s="89" t="str">
        <f>IF(ج_ح_دی[[#This Row],[کارکرد]]="","",ج_ح_دی[[#This Row],[کارکرد]]/30*حق_خواربار)</f>
        <v/>
      </c>
      <c r="O351" s="89" t="str">
        <f>IFERROR(ج_ح_دی[[#This Row],[حقوق پایه]]+ج_ح_دی[[#This Row],[اضافه کاری]]+ج_ح_دی[[#This Row],[حق مسکن]]+ج_ح_دی[[#This Row],[حق اولاد]]+ج_ح_دی[[#This Row],[حق و خواروبار]],"")</f>
        <v/>
      </c>
      <c r="P351"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51" s="89" t="str">
        <f>IFERROR(ج_ح_دی[[#This Row],[حقوق پایه]]+ج_ح_دی[[#This Row],[اضافه کاری]]+ج_ح_دی[[#This Row],[حق مسکن]]+ج_ح_دی[[#This Row],[حق و خواروبار]]+ج_ح_دی[[#This Row],[حق اولاد]]-(2/7)*ج_ح_دی[[#This Row],[بیمه پرداختنی]],"")</f>
        <v/>
      </c>
      <c r="R351" s="91"/>
      <c r="S351" s="91"/>
      <c r="T351" s="89" t="str">
        <f>IFERROR(ج_ح_دی[[#This Row],[جمع ح و م م بیمه ]]*7%,"")</f>
        <v/>
      </c>
      <c r="U351"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51" s="89" t="str">
        <f>IFERROR(ج_ح_دی[[#This Row],[وام]]+ج_ح_دی[[#This Row],[مساعده]]+ج_ح_دی[[#This Row],[بیمه پرداختنی]]+ج_ح_دی[[#This Row],[مالیات پرداختنی]],"")</f>
        <v/>
      </c>
      <c r="W351" s="89" t="str">
        <f>IFERROR(ج_ح_دی[[#This Row],[جمع ح و م]]-ج_ح_دی[[#This Row],[جمع کسورات]],"")</f>
        <v/>
      </c>
      <c r="X351" s="108"/>
    </row>
    <row r="352" spans="2:24" ht="32.1" customHeight="1">
      <c r="B352" s="1">
        <f t="shared" si="8"/>
        <v>10</v>
      </c>
      <c r="C352" s="85" t="str">
        <f>IF(ج_ح_دی[[#This Row],[نام]]&lt;&gt;"",ROW()-340+1,"")</f>
        <v/>
      </c>
      <c r="D352" s="86"/>
      <c r="E352" s="86"/>
      <c r="F352" s="87"/>
      <c r="G352" s="88" t="str">
        <f>IFERROR(IF(COUNT(ج_ح_دی[[#This Row],[کارکرد]]),حداقل_حقوق_پایه_روزانه,""),"")</f>
        <v/>
      </c>
      <c r="H352" s="89" t="str">
        <f>IFERROR(IF(ج_ح_دی[[#This Row],[کارکرد]]*ج_ح_دی[[#This Row],[دستمزد روزانه ]]=0,"",ج_ح_دی[[#This Row],[کارکرد]]*ج_ح_دی[[#This Row],[دستمزد روزانه ]]),"")</f>
        <v/>
      </c>
      <c r="I352" s="91"/>
      <c r="J352" s="90" t="str">
        <f>IFERROR((ج_ح_دی[[#This Row],[دستمزد روزانه ]]/7.33)*1.4*ج_ح_دی[[#This Row],[مدت اضافه کاری ]],"")</f>
        <v/>
      </c>
      <c r="K352" s="89" t="str">
        <f>IF(ج_ح_دی[[#This Row],[کارکرد]]="","",ج_ح_دی[[#This Row],[کارکرد]]/30*حق_مسکن)</f>
        <v/>
      </c>
      <c r="L352" s="91"/>
      <c r="M352" s="89" t="str">
        <f>IF(ج_ح_دی[[#This Row],[تعداد فرزندان]]="","",ج_ح_دی[[#This Row],[کارکرد]]/30*3*ج_ح_دی[[#This Row],[تعداد فرزندان]]*حداقل_حقوق_پایه_روزانه)</f>
        <v/>
      </c>
      <c r="N352" s="89" t="str">
        <f>IF(ج_ح_دی[[#This Row],[کارکرد]]="","",ج_ح_دی[[#This Row],[کارکرد]]/30*حق_خواربار)</f>
        <v/>
      </c>
      <c r="O352" s="89" t="str">
        <f>IFERROR(ج_ح_دی[[#This Row],[حقوق پایه]]+ج_ح_دی[[#This Row],[اضافه کاری]]+ج_ح_دی[[#This Row],[حق مسکن]]+ج_ح_دی[[#This Row],[حق اولاد]]+ج_ح_دی[[#This Row],[حق و خواروبار]],"")</f>
        <v/>
      </c>
      <c r="P352"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52" s="89" t="str">
        <f>IFERROR(ج_ح_دی[[#This Row],[حقوق پایه]]+ج_ح_دی[[#This Row],[اضافه کاری]]+ج_ح_دی[[#This Row],[حق مسکن]]+ج_ح_دی[[#This Row],[حق و خواروبار]]+ج_ح_دی[[#This Row],[حق اولاد]]-(2/7)*ج_ح_دی[[#This Row],[بیمه پرداختنی]],"")</f>
        <v/>
      </c>
      <c r="R352" s="91"/>
      <c r="S352" s="91"/>
      <c r="T352" s="89" t="str">
        <f>IFERROR(ج_ح_دی[[#This Row],[جمع ح و م م بیمه ]]*7%,"")</f>
        <v/>
      </c>
      <c r="U352"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52" s="89" t="str">
        <f>IFERROR(ج_ح_دی[[#This Row],[وام]]+ج_ح_دی[[#This Row],[مساعده]]+ج_ح_دی[[#This Row],[بیمه پرداختنی]]+ج_ح_دی[[#This Row],[مالیات پرداختنی]],"")</f>
        <v/>
      </c>
      <c r="W352" s="89" t="str">
        <f>IFERROR(ج_ح_دی[[#This Row],[جمع ح و م]]-ج_ح_دی[[#This Row],[جمع کسورات]],"")</f>
        <v/>
      </c>
      <c r="X352" s="108"/>
    </row>
    <row r="353" spans="2:24" ht="32.1" customHeight="1">
      <c r="B353" s="1">
        <f t="shared" si="8"/>
        <v>10</v>
      </c>
      <c r="C353" s="85" t="str">
        <f>IF(ج_ح_دی[[#This Row],[نام]]&lt;&gt;"",ROW()-340+1,"")</f>
        <v/>
      </c>
      <c r="D353" s="86"/>
      <c r="E353" s="86"/>
      <c r="F353" s="87"/>
      <c r="G353" s="88" t="str">
        <f>IFERROR(IF(COUNT(ج_ح_دی[[#This Row],[کارکرد]]),حداقل_حقوق_پایه_روزانه,""),"")</f>
        <v/>
      </c>
      <c r="H353" s="89" t="str">
        <f>IFERROR(IF(ج_ح_دی[[#This Row],[کارکرد]]*ج_ح_دی[[#This Row],[دستمزد روزانه ]]=0,"",ج_ح_دی[[#This Row],[کارکرد]]*ج_ح_دی[[#This Row],[دستمزد روزانه ]]),"")</f>
        <v/>
      </c>
      <c r="I353" s="91"/>
      <c r="J353" s="90" t="str">
        <f>IFERROR((ج_ح_دی[[#This Row],[دستمزد روزانه ]]/7.33)*1.4*ج_ح_دی[[#This Row],[مدت اضافه کاری ]],"")</f>
        <v/>
      </c>
      <c r="K353" s="89" t="str">
        <f>IF(ج_ح_دی[[#This Row],[کارکرد]]="","",ج_ح_دی[[#This Row],[کارکرد]]/30*حق_مسکن)</f>
        <v/>
      </c>
      <c r="L353" s="91"/>
      <c r="M353" s="89" t="str">
        <f>IF(ج_ح_دی[[#This Row],[تعداد فرزندان]]="","",ج_ح_دی[[#This Row],[کارکرد]]/30*3*ج_ح_دی[[#This Row],[تعداد فرزندان]]*حداقل_حقوق_پایه_روزانه)</f>
        <v/>
      </c>
      <c r="N353" s="89" t="str">
        <f>IF(ج_ح_دی[[#This Row],[کارکرد]]="","",ج_ح_دی[[#This Row],[کارکرد]]/30*حق_خواربار)</f>
        <v/>
      </c>
      <c r="O353" s="89" t="str">
        <f>IFERROR(ج_ح_دی[[#This Row],[حقوق پایه]]+ج_ح_دی[[#This Row],[اضافه کاری]]+ج_ح_دی[[#This Row],[حق مسکن]]+ج_ح_دی[[#This Row],[حق اولاد]]+ج_ح_دی[[#This Row],[حق و خواروبار]],"")</f>
        <v/>
      </c>
      <c r="P353"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53" s="89" t="str">
        <f>IFERROR(ج_ح_دی[[#This Row],[حقوق پایه]]+ج_ح_دی[[#This Row],[اضافه کاری]]+ج_ح_دی[[#This Row],[حق مسکن]]+ج_ح_دی[[#This Row],[حق و خواروبار]]+ج_ح_دی[[#This Row],[حق اولاد]]-(2/7)*ج_ح_دی[[#This Row],[بیمه پرداختنی]],"")</f>
        <v/>
      </c>
      <c r="R353" s="91"/>
      <c r="S353" s="91"/>
      <c r="T353" s="89" t="str">
        <f>IFERROR(ج_ح_دی[[#This Row],[جمع ح و م م بیمه ]]*7%,"")</f>
        <v/>
      </c>
      <c r="U353"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53" s="89" t="str">
        <f>IFERROR(ج_ح_دی[[#This Row],[وام]]+ج_ح_دی[[#This Row],[مساعده]]+ج_ح_دی[[#This Row],[بیمه پرداختنی]]+ج_ح_دی[[#This Row],[مالیات پرداختنی]],"")</f>
        <v/>
      </c>
      <c r="W353" s="89" t="str">
        <f>IFERROR(ج_ح_دی[[#This Row],[جمع ح و م]]-ج_ح_دی[[#This Row],[جمع کسورات]],"")</f>
        <v/>
      </c>
      <c r="X353" s="108"/>
    </row>
    <row r="354" spans="2:24" ht="32.1" customHeight="1">
      <c r="B354" s="1">
        <f t="shared" si="8"/>
        <v>10</v>
      </c>
      <c r="C354" s="85" t="str">
        <f>IF(ج_ح_دی[[#This Row],[نام]]&lt;&gt;"",ROW()-340+1,"")</f>
        <v/>
      </c>
      <c r="D354" s="86"/>
      <c r="E354" s="86"/>
      <c r="F354" s="87"/>
      <c r="G354" s="88" t="str">
        <f>IFERROR(IF(COUNT(ج_ح_دی[[#This Row],[کارکرد]]),حداقل_حقوق_پایه_روزانه,""),"")</f>
        <v/>
      </c>
      <c r="H354" s="89" t="str">
        <f>IFERROR(IF(ج_ح_دی[[#This Row],[کارکرد]]*ج_ح_دی[[#This Row],[دستمزد روزانه ]]=0,"",ج_ح_دی[[#This Row],[کارکرد]]*ج_ح_دی[[#This Row],[دستمزد روزانه ]]),"")</f>
        <v/>
      </c>
      <c r="I354" s="91"/>
      <c r="J354" s="90" t="str">
        <f>IFERROR((ج_ح_دی[[#This Row],[دستمزد روزانه ]]/7.33)*1.4*ج_ح_دی[[#This Row],[مدت اضافه کاری ]],"")</f>
        <v/>
      </c>
      <c r="K354" s="89" t="str">
        <f>IF(ج_ح_دی[[#This Row],[کارکرد]]="","",ج_ح_دی[[#This Row],[کارکرد]]/30*حق_مسکن)</f>
        <v/>
      </c>
      <c r="L354" s="91"/>
      <c r="M354" s="89" t="str">
        <f>IF(ج_ح_دی[[#This Row],[تعداد فرزندان]]="","",ج_ح_دی[[#This Row],[کارکرد]]/30*3*ج_ح_دی[[#This Row],[تعداد فرزندان]]*حداقل_حقوق_پایه_روزانه)</f>
        <v/>
      </c>
      <c r="N354" s="89" t="str">
        <f>IF(ج_ح_دی[[#This Row],[کارکرد]]="","",ج_ح_دی[[#This Row],[کارکرد]]/30*حق_خواربار)</f>
        <v/>
      </c>
      <c r="O354" s="89" t="str">
        <f>IFERROR(ج_ح_دی[[#This Row],[حقوق پایه]]+ج_ح_دی[[#This Row],[اضافه کاری]]+ج_ح_دی[[#This Row],[حق مسکن]]+ج_ح_دی[[#This Row],[حق اولاد]]+ج_ح_دی[[#This Row],[حق و خواروبار]],"")</f>
        <v/>
      </c>
      <c r="P354"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54" s="89" t="str">
        <f>IFERROR(ج_ح_دی[[#This Row],[حقوق پایه]]+ج_ح_دی[[#This Row],[اضافه کاری]]+ج_ح_دی[[#This Row],[حق مسکن]]+ج_ح_دی[[#This Row],[حق و خواروبار]]+ج_ح_دی[[#This Row],[حق اولاد]]-(2/7)*ج_ح_دی[[#This Row],[بیمه پرداختنی]],"")</f>
        <v/>
      </c>
      <c r="R354" s="91"/>
      <c r="S354" s="91"/>
      <c r="T354" s="89" t="str">
        <f>IFERROR(ج_ح_دی[[#This Row],[جمع ح و م م بیمه ]]*7%,"")</f>
        <v/>
      </c>
      <c r="U354"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54" s="89" t="str">
        <f>IFERROR(ج_ح_دی[[#This Row],[وام]]+ج_ح_دی[[#This Row],[مساعده]]+ج_ح_دی[[#This Row],[بیمه پرداختنی]]+ج_ح_دی[[#This Row],[مالیات پرداختنی]],"")</f>
        <v/>
      </c>
      <c r="W354" s="89" t="str">
        <f>IFERROR(ج_ح_دی[[#This Row],[جمع ح و م]]-ج_ح_دی[[#This Row],[جمع کسورات]],"")</f>
        <v/>
      </c>
      <c r="X354" s="108"/>
    </row>
    <row r="355" spans="2:24" ht="32.1" customHeight="1">
      <c r="B355" s="1">
        <f t="shared" si="8"/>
        <v>10</v>
      </c>
      <c r="C355" s="85" t="str">
        <f>IF(ج_ح_دی[[#This Row],[نام]]&lt;&gt;"",ROW()-340+1,"")</f>
        <v/>
      </c>
      <c r="D355" s="86"/>
      <c r="E355" s="86"/>
      <c r="F355" s="87"/>
      <c r="G355" s="88" t="str">
        <f>IFERROR(IF(COUNT(ج_ح_دی[[#This Row],[کارکرد]]),حداقل_حقوق_پایه_روزانه,""),"")</f>
        <v/>
      </c>
      <c r="H355" s="89" t="str">
        <f>IFERROR(IF(ج_ح_دی[[#This Row],[کارکرد]]*ج_ح_دی[[#This Row],[دستمزد روزانه ]]=0,"",ج_ح_دی[[#This Row],[کارکرد]]*ج_ح_دی[[#This Row],[دستمزد روزانه ]]),"")</f>
        <v/>
      </c>
      <c r="I355" s="91"/>
      <c r="J355" s="90" t="str">
        <f>IFERROR((ج_ح_دی[[#This Row],[دستمزد روزانه ]]/7.33)*1.4*ج_ح_دی[[#This Row],[مدت اضافه کاری ]],"")</f>
        <v/>
      </c>
      <c r="K355" s="89" t="str">
        <f>IF(ج_ح_دی[[#This Row],[کارکرد]]="","",ج_ح_دی[[#This Row],[کارکرد]]/30*حق_مسکن)</f>
        <v/>
      </c>
      <c r="L355" s="91"/>
      <c r="M355" s="89" t="str">
        <f>IF(ج_ح_دی[[#This Row],[تعداد فرزندان]]="","",ج_ح_دی[[#This Row],[کارکرد]]/30*3*ج_ح_دی[[#This Row],[تعداد فرزندان]]*حداقل_حقوق_پایه_روزانه)</f>
        <v/>
      </c>
      <c r="N355" s="89" t="str">
        <f>IF(ج_ح_دی[[#This Row],[کارکرد]]="","",ج_ح_دی[[#This Row],[کارکرد]]/30*حق_خواربار)</f>
        <v/>
      </c>
      <c r="O355" s="89" t="str">
        <f>IFERROR(ج_ح_دی[[#This Row],[حقوق پایه]]+ج_ح_دی[[#This Row],[اضافه کاری]]+ج_ح_دی[[#This Row],[حق مسکن]]+ج_ح_دی[[#This Row],[حق اولاد]]+ج_ح_دی[[#This Row],[حق و خواروبار]],"")</f>
        <v/>
      </c>
      <c r="P355"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55" s="89" t="str">
        <f>IFERROR(ج_ح_دی[[#This Row],[حقوق پایه]]+ج_ح_دی[[#This Row],[اضافه کاری]]+ج_ح_دی[[#This Row],[حق مسکن]]+ج_ح_دی[[#This Row],[حق و خواروبار]]+ج_ح_دی[[#This Row],[حق اولاد]]-(2/7)*ج_ح_دی[[#This Row],[بیمه پرداختنی]],"")</f>
        <v/>
      </c>
      <c r="R355" s="91"/>
      <c r="S355" s="91"/>
      <c r="T355" s="89" t="str">
        <f>IFERROR(ج_ح_دی[[#This Row],[جمع ح و م م بیمه ]]*7%,"")</f>
        <v/>
      </c>
      <c r="U355"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55" s="89" t="str">
        <f>IFERROR(ج_ح_دی[[#This Row],[وام]]+ج_ح_دی[[#This Row],[مساعده]]+ج_ح_دی[[#This Row],[بیمه پرداختنی]]+ج_ح_دی[[#This Row],[مالیات پرداختنی]],"")</f>
        <v/>
      </c>
      <c r="W355" s="89" t="str">
        <f>IFERROR(ج_ح_دی[[#This Row],[جمع ح و م]]-ج_ح_دی[[#This Row],[جمع کسورات]],"")</f>
        <v/>
      </c>
      <c r="X355" s="108"/>
    </row>
    <row r="356" spans="2:24" ht="32.1" customHeight="1">
      <c r="B356" s="1">
        <f t="shared" si="8"/>
        <v>10</v>
      </c>
      <c r="C356" s="85" t="str">
        <f>IF(ج_ح_دی[[#This Row],[نام]]&lt;&gt;"",ROW()-340+1,"")</f>
        <v/>
      </c>
      <c r="D356" s="86"/>
      <c r="E356" s="86"/>
      <c r="F356" s="87"/>
      <c r="G356" s="88" t="str">
        <f>IFERROR(IF(COUNT(ج_ح_دی[[#This Row],[کارکرد]]),حداقل_حقوق_پایه_روزانه,""),"")</f>
        <v/>
      </c>
      <c r="H356" s="89" t="str">
        <f>IFERROR(IF(ج_ح_دی[[#This Row],[کارکرد]]*ج_ح_دی[[#This Row],[دستمزد روزانه ]]=0,"",ج_ح_دی[[#This Row],[کارکرد]]*ج_ح_دی[[#This Row],[دستمزد روزانه ]]),"")</f>
        <v/>
      </c>
      <c r="I356" s="91"/>
      <c r="J356" s="90" t="str">
        <f>IFERROR((ج_ح_دی[[#This Row],[دستمزد روزانه ]]/7.33)*1.4*ج_ح_دی[[#This Row],[مدت اضافه کاری ]],"")</f>
        <v/>
      </c>
      <c r="K356" s="89" t="str">
        <f>IF(ج_ح_دی[[#This Row],[کارکرد]]="","",ج_ح_دی[[#This Row],[کارکرد]]/30*حق_مسکن)</f>
        <v/>
      </c>
      <c r="L356" s="91"/>
      <c r="M356" s="89" t="str">
        <f>IF(ج_ح_دی[[#This Row],[تعداد فرزندان]]="","",ج_ح_دی[[#This Row],[کارکرد]]/30*3*ج_ح_دی[[#This Row],[تعداد فرزندان]]*حداقل_حقوق_پایه_روزانه)</f>
        <v/>
      </c>
      <c r="N356" s="89" t="str">
        <f>IF(ج_ح_دی[[#This Row],[کارکرد]]="","",ج_ح_دی[[#This Row],[کارکرد]]/30*حق_خواربار)</f>
        <v/>
      </c>
      <c r="O356" s="89" t="str">
        <f>IFERROR(ج_ح_دی[[#This Row],[حقوق پایه]]+ج_ح_دی[[#This Row],[اضافه کاری]]+ج_ح_دی[[#This Row],[حق مسکن]]+ج_ح_دی[[#This Row],[حق اولاد]]+ج_ح_دی[[#This Row],[حق و خواروبار]],"")</f>
        <v/>
      </c>
      <c r="P356"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56" s="89" t="str">
        <f>IFERROR(ج_ح_دی[[#This Row],[حقوق پایه]]+ج_ح_دی[[#This Row],[اضافه کاری]]+ج_ح_دی[[#This Row],[حق مسکن]]+ج_ح_دی[[#This Row],[حق و خواروبار]]+ج_ح_دی[[#This Row],[حق اولاد]]-(2/7)*ج_ح_دی[[#This Row],[بیمه پرداختنی]],"")</f>
        <v/>
      </c>
      <c r="R356" s="91"/>
      <c r="S356" s="91"/>
      <c r="T356" s="89" t="str">
        <f>IFERROR(ج_ح_دی[[#This Row],[جمع ح و م م بیمه ]]*7%,"")</f>
        <v/>
      </c>
      <c r="U356"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56" s="89" t="str">
        <f>IFERROR(ج_ح_دی[[#This Row],[وام]]+ج_ح_دی[[#This Row],[مساعده]]+ج_ح_دی[[#This Row],[بیمه پرداختنی]]+ج_ح_دی[[#This Row],[مالیات پرداختنی]],"")</f>
        <v/>
      </c>
      <c r="W356" s="89" t="str">
        <f>IFERROR(ج_ح_دی[[#This Row],[جمع ح و م]]-ج_ح_دی[[#This Row],[جمع کسورات]],"")</f>
        <v/>
      </c>
      <c r="X356" s="108"/>
    </row>
    <row r="357" spans="2:24" ht="32.1" customHeight="1">
      <c r="B357" s="1">
        <f t="shared" si="8"/>
        <v>10</v>
      </c>
      <c r="C357" s="85" t="str">
        <f>IF(ج_ح_دی[[#This Row],[نام]]&lt;&gt;"",ROW()-340+1,"")</f>
        <v/>
      </c>
      <c r="D357" s="86"/>
      <c r="E357" s="86"/>
      <c r="F357" s="87"/>
      <c r="G357" s="88" t="str">
        <f>IFERROR(IF(COUNT(ج_ح_دی[[#This Row],[کارکرد]]),حداقل_حقوق_پایه_روزانه,""),"")</f>
        <v/>
      </c>
      <c r="H357" s="89" t="str">
        <f>IFERROR(IF(ج_ح_دی[[#This Row],[کارکرد]]*ج_ح_دی[[#This Row],[دستمزد روزانه ]]=0,"",ج_ح_دی[[#This Row],[کارکرد]]*ج_ح_دی[[#This Row],[دستمزد روزانه ]]),"")</f>
        <v/>
      </c>
      <c r="I357" s="91"/>
      <c r="J357" s="90" t="str">
        <f>IFERROR((ج_ح_دی[[#This Row],[دستمزد روزانه ]]/7.33)*1.4*ج_ح_دی[[#This Row],[مدت اضافه کاری ]],"")</f>
        <v/>
      </c>
      <c r="K357" s="89" t="str">
        <f>IF(ج_ح_دی[[#This Row],[کارکرد]]="","",ج_ح_دی[[#This Row],[کارکرد]]/30*حق_مسکن)</f>
        <v/>
      </c>
      <c r="L357" s="91"/>
      <c r="M357" s="89" t="str">
        <f>IF(ج_ح_دی[[#This Row],[تعداد فرزندان]]="","",ج_ح_دی[[#This Row],[کارکرد]]/30*3*ج_ح_دی[[#This Row],[تعداد فرزندان]]*حداقل_حقوق_پایه_روزانه)</f>
        <v/>
      </c>
      <c r="N357" s="89" t="str">
        <f>IF(ج_ح_دی[[#This Row],[کارکرد]]="","",ج_ح_دی[[#This Row],[کارکرد]]/30*حق_خواربار)</f>
        <v/>
      </c>
      <c r="O357" s="89" t="str">
        <f>IFERROR(ج_ح_دی[[#This Row],[حقوق پایه]]+ج_ح_دی[[#This Row],[اضافه کاری]]+ج_ح_دی[[#This Row],[حق مسکن]]+ج_ح_دی[[#This Row],[حق اولاد]]+ج_ح_دی[[#This Row],[حق و خواروبار]],"")</f>
        <v/>
      </c>
      <c r="P357"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57" s="89" t="str">
        <f>IFERROR(ج_ح_دی[[#This Row],[حقوق پایه]]+ج_ح_دی[[#This Row],[اضافه کاری]]+ج_ح_دی[[#This Row],[حق مسکن]]+ج_ح_دی[[#This Row],[حق و خواروبار]]+ج_ح_دی[[#This Row],[حق اولاد]]-(2/7)*ج_ح_دی[[#This Row],[بیمه پرداختنی]],"")</f>
        <v/>
      </c>
      <c r="R357" s="91"/>
      <c r="S357" s="91"/>
      <c r="T357" s="89" t="str">
        <f>IFERROR(ج_ح_دی[[#This Row],[جمع ح و م م بیمه ]]*7%,"")</f>
        <v/>
      </c>
      <c r="U357"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57" s="89" t="str">
        <f>IFERROR(ج_ح_دی[[#This Row],[وام]]+ج_ح_دی[[#This Row],[مساعده]]+ج_ح_دی[[#This Row],[بیمه پرداختنی]]+ج_ح_دی[[#This Row],[مالیات پرداختنی]],"")</f>
        <v/>
      </c>
      <c r="W357" s="89" t="str">
        <f>IFERROR(ج_ح_دی[[#This Row],[جمع ح و م]]-ج_ح_دی[[#This Row],[جمع کسورات]],"")</f>
        <v/>
      </c>
      <c r="X357" s="108"/>
    </row>
    <row r="358" spans="2:24" ht="32.1" customHeight="1">
      <c r="B358" s="1">
        <f t="shared" si="8"/>
        <v>10</v>
      </c>
      <c r="C358" s="85" t="str">
        <f>IF(ج_ح_دی[[#This Row],[نام]]&lt;&gt;"",ROW()-340+1,"")</f>
        <v/>
      </c>
      <c r="D358" s="86"/>
      <c r="E358" s="86"/>
      <c r="F358" s="87"/>
      <c r="G358" s="88" t="str">
        <f>IFERROR(IF(COUNT(ج_ح_دی[[#This Row],[کارکرد]]),حداقل_حقوق_پایه_روزانه,""),"")</f>
        <v/>
      </c>
      <c r="H358" s="89" t="str">
        <f>IFERROR(IF(ج_ح_دی[[#This Row],[کارکرد]]*ج_ح_دی[[#This Row],[دستمزد روزانه ]]=0,"",ج_ح_دی[[#This Row],[کارکرد]]*ج_ح_دی[[#This Row],[دستمزد روزانه ]]),"")</f>
        <v/>
      </c>
      <c r="I358" s="91"/>
      <c r="J358" s="90" t="str">
        <f>IFERROR((ج_ح_دی[[#This Row],[دستمزد روزانه ]]/7.33)*1.4*ج_ح_دی[[#This Row],[مدت اضافه کاری ]],"")</f>
        <v/>
      </c>
      <c r="K358" s="89" t="str">
        <f>IF(ج_ح_دی[[#This Row],[کارکرد]]="","",ج_ح_دی[[#This Row],[کارکرد]]/30*حق_مسکن)</f>
        <v/>
      </c>
      <c r="L358" s="91"/>
      <c r="M358" s="89" t="str">
        <f>IF(ج_ح_دی[[#This Row],[تعداد فرزندان]]="","",ج_ح_دی[[#This Row],[کارکرد]]/30*3*ج_ح_دی[[#This Row],[تعداد فرزندان]]*حداقل_حقوق_پایه_روزانه)</f>
        <v/>
      </c>
      <c r="N358" s="89" t="str">
        <f>IF(ج_ح_دی[[#This Row],[کارکرد]]="","",ج_ح_دی[[#This Row],[کارکرد]]/30*حق_خواربار)</f>
        <v/>
      </c>
      <c r="O358" s="89" t="str">
        <f>IFERROR(ج_ح_دی[[#This Row],[حقوق پایه]]+ج_ح_دی[[#This Row],[اضافه کاری]]+ج_ح_دی[[#This Row],[حق مسکن]]+ج_ح_دی[[#This Row],[حق اولاد]]+ج_ح_دی[[#This Row],[حق و خواروبار]],"")</f>
        <v/>
      </c>
      <c r="P358"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58" s="89" t="str">
        <f>IFERROR(ج_ح_دی[[#This Row],[حقوق پایه]]+ج_ح_دی[[#This Row],[اضافه کاری]]+ج_ح_دی[[#This Row],[حق مسکن]]+ج_ح_دی[[#This Row],[حق و خواروبار]]+ج_ح_دی[[#This Row],[حق اولاد]]-(2/7)*ج_ح_دی[[#This Row],[بیمه پرداختنی]],"")</f>
        <v/>
      </c>
      <c r="R358" s="91"/>
      <c r="S358" s="91"/>
      <c r="T358" s="89" t="str">
        <f>IFERROR(ج_ح_دی[[#This Row],[جمع ح و م م بیمه ]]*7%,"")</f>
        <v/>
      </c>
      <c r="U358"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58" s="89" t="str">
        <f>IFERROR(ج_ح_دی[[#This Row],[وام]]+ج_ح_دی[[#This Row],[مساعده]]+ج_ح_دی[[#This Row],[بیمه پرداختنی]]+ج_ح_دی[[#This Row],[مالیات پرداختنی]],"")</f>
        <v/>
      </c>
      <c r="W358" s="89" t="str">
        <f>IFERROR(ج_ح_دی[[#This Row],[جمع ح و م]]-ج_ح_دی[[#This Row],[جمع کسورات]],"")</f>
        <v/>
      </c>
      <c r="X358" s="108"/>
    </row>
    <row r="359" spans="2:24" ht="32.1" customHeight="1">
      <c r="B359" s="1">
        <f t="shared" si="8"/>
        <v>10</v>
      </c>
      <c r="C359" s="85" t="str">
        <f>IF(ج_ح_دی[[#This Row],[نام]]&lt;&gt;"",ROW()-340+1,"")</f>
        <v/>
      </c>
      <c r="D359" s="86"/>
      <c r="E359" s="86"/>
      <c r="F359" s="87"/>
      <c r="G359" s="88" t="str">
        <f>IFERROR(IF(COUNT(ج_ح_دی[[#This Row],[کارکرد]]),حداقل_حقوق_پایه_روزانه,""),"")</f>
        <v/>
      </c>
      <c r="H359" s="89" t="str">
        <f>IFERROR(IF(ج_ح_دی[[#This Row],[کارکرد]]*ج_ح_دی[[#This Row],[دستمزد روزانه ]]=0,"",ج_ح_دی[[#This Row],[کارکرد]]*ج_ح_دی[[#This Row],[دستمزد روزانه ]]),"")</f>
        <v/>
      </c>
      <c r="I359" s="91"/>
      <c r="J359" s="90" t="str">
        <f>IFERROR((ج_ح_دی[[#This Row],[دستمزد روزانه ]]/7.33)*1.4*ج_ح_دی[[#This Row],[مدت اضافه کاری ]],"")</f>
        <v/>
      </c>
      <c r="K359" s="89" t="str">
        <f>IF(ج_ح_دی[[#This Row],[کارکرد]]="","",ج_ح_دی[[#This Row],[کارکرد]]/30*حق_مسکن)</f>
        <v/>
      </c>
      <c r="L359" s="91"/>
      <c r="M359" s="89" t="str">
        <f>IF(ج_ح_دی[[#This Row],[تعداد فرزندان]]="","",ج_ح_دی[[#This Row],[کارکرد]]/30*3*ج_ح_دی[[#This Row],[تعداد فرزندان]]*حداقل_حقوق_پایه_روزانه)</f>
        <v/>
      </c>
      <c r="N359" s="89" t="str">
        <f>IF(ج_ح_دی[[#This Row],[کارکرد]]="","",ج_ح_دی[[#This Row],[کارکرد]]/30*حق_خواربار)</f>
        <v/>
      </c>
      <c r="O359" s="89" t="str">
        <f>IFERROR(ج_ح_دی[[#This Row],[حقوق پایه]]+ج_ح_دی[[#This Row],[اضافه کاری]]+ج_ح_دی[[#This Row],[حق مسکن]]+ج_ح_دی[[#This Row],[حق اولاد]]+ج_ح_دی[[#This Row],[حق و خواروبار]],"")</f>
        <v/>
      </c>
      <c r="P359"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59" s="89" t="str">
        <f>IFERROR(ج_ح_دی[[#This Row],[حقوق پایه]]+ج_ح_دی[[#This Row],[اضافه کاری]]+ج_ح_دی[[#This Row],[حق مسکن]]+ج_ح_دی[[#This Row],[حق و خواروبار]]+ج_ح_دی[[#This Row],[حق اولاد]]-(2/7)*ج_ح_دی[[#This Row],[بیمه پرداختنی]],"")</f>
        <v/>
      </c>
      <c r="R359" s="91"/>
      <c r="S359" s="91"/>
      <c r="T359" s="89" t="str">
        <f>IFERROR(ج_ح_دی[[#This Row],[جمع ح و م م بیمه ]]*7%,"")</f>
        <v/>
      </c>
      <c r="U359"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59" s="89" t="str">
        <f>IFERROR(ج_ح_دی[[#This Row],[وام]]+ج_ح_دی[[#This Row],[مساعده]]+ج_ح_دی[[#This Row],[بیمه پرداختنی]]+ج_ح_دی[[#This Row],[مالیات پرداختنی]],"")</f>
        <v/>
      </c>
      <c r="W359" s="89" t="str">
        <f>IFERROR(ج_ح_دی[[#This Row],[جمع ح و م]]-ج_ح_دی[[#This Row],[جمع کسورات]],"")</f>
        <v/>
      </c>
      <c r="X359" s="108"/>
    </row>
    <row r="360" spans="2:24" ht="32.1" customHeight="1">
      <c r="B360" s="1">
        <f t="shared" si="8"/>
        <v>10</v>
      </c>
      <c r="C360" s="85" t="str">
        <f>IF(ج_ح_دی[[#This Row],[نام]]&lt;&gt;"",ROW()-340+1,"")</f>
        <v/>
      </c>
      <c r="D360" s="86"/>
      <c r="E360" s="86"/>
      <c r="F360" s="87"/>
      <c r="G360" s="88" t="str">
        <f>IFERROR(IF(COUNT(ج_ح_دی[[#This Row],[کارکرد]]),حداقل_حقوق_پایه_روزانه,""),"")</f>
        <v/>
      </c>
      <c r="H360" s="89" t="str">
        <f>IFERROR(IF(ج_ح_دی[[#This Row],[کارکرد]]*ج_ح_دی[[#This Row],[دستمزد روزانه ]]=0,"",ج_ح_دی[[#This Row],[کارکرد]]*ج_ح_دی[[#This Row],[دستمزد روزانه ]]),"")</f>
        <v/>
      </c>
      <c r="I360" s="91"/>
      <c r="J360" s="90" t="str">
        <f>IFERROR((ج_ح_دی[[#This Row],[دستمزد روزانه ]]/7.33)*1.4*ج_ح_دی[[#This Row],[مدت اضافه کاری ]],"")</f>
        <v/>
      </c>
      <c r="K360" s="89" t="str">
        <f>IF(ج_ح_دی[[#This Row],[کارکرد]]="","",ج_ح_دی[[#This Row],[کارکرد]]/30*حق_مسکن)</f>
        <v/>
      </c>
      <c r="L360" s="91"/>
      <c r="M360" s="89" t="str">
        <f>IF(ج_ح_دی[[#This Row],[تعداد فرزندان]]="","",ج_ح_دی[[#This Row],[کارکرد]]/30*3*ج_ح_دی[[#This Row],[تعداد فرزندان]]*حداقل_حقوق_پایه_روزانه)</f>
        <v/>
      </c>
      <c r="N360" s="89" t="str">
        <f>IF(ج_ح_دی[[#This Row],[کارکرد]]="","",ج_ح_دی[[#This Row],[کارکرد]]/30*حق_خواربار)</f>
        <v/>
      </c>
      <c r="O360" s="89" t="str">
        <f>IFERROR(ج_ح_دی[[#This Row],[حقوق پایه]]+ج_ح_دی[[#This Row],[اضافه کاری]]+ج_ح_دی[[#This Row],[حق مسکن]]+ج_ح_دی[[#This Row],[حق اولاد]]+ج_ح_دی[[#This Row],[حق و خواروبار]],"")</f>
        <v/>
      </c>
      <c r="P360"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60" s="89" t="str">
        <f>IFERROR(ج_ح_دی[[#This Row],[حقوق پایه]]+ج_ح_دی[[#This Row],[اضافه کاری]]+ج_ح_دی[[#This Row],[حق مسکن]]+ج_ح_دی[[#This Row],[حق و خواروبار]]+ج_ح_دی[[#This Row],[حق اولاد]]-(2/7)*ج_ح_دی[[#This Row],[بیمه پرداختنی]],"")</f>
        <v/>
      </c>
      <c r="R360" s="91"/>
      <c r="S360" s="91"/>
      <c r="T360" s="89" t="str">
        <f>IFERROR(ج_ح_دی[[#This Row],[جمع ح و م م بیمه ]]*7%,"")</f>
        <v/>
      </c>
      <c r="U360"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60" s="89" t="str">
        <f>IFERROR(ج_ح_دی[[#This Row],[وام]]+ج_ح_دی[[#This Row],[مساعده]]+ج_ح_دی[[#This Row],[بیمه پرداختنی]]+ج_ح_دی[[#This Row],[مالیات پرداختنی]],"")</f>
        <v/>
      </c>
      <c r="W360" s="89" t="str">
        <f>IFERROR(ج_ح_دی[[#This Row],[جمع ح و م]]-ج_ح_دی[[#This Row],[جمع کسورات]],"")</f>
        <v/>
      </c>
      <c r="X360" s="108"/>
    </row>
    <row r="361" spans="2:24" ht="32.1" customHeight="1">
      <c r="B361" s="1">
        <f t="shared" si="8"/>
        <v>10</v>
      </c>
      <c r="C361" s="85" t="str">
        <f>IF(ج_ح_دی[[#This Row],[نام]]&lt;&gt;"",ROW()-340+1,"")</f>
        <v/>
      </c>
      <c r="D361" s="86"/>
      <c r="E361" s="86"/>
      <c r="F361" s="87"/>
      <c r="G361" s="88" t="str">
        <f>IFERROR(IF(COUNT(ج_ح_دی[[#This Row],[کارکرد]]),حداقل_حقوق_پایه_روزانه,""),"")</f>
        <v/>
      </c>
      <c r="H361" s="89" t="str">
        <f>IFERROR(IF(ج_ح_دی[[#This Row],[کارکرد]]*ج_ح_دی[[#This Row],[دستمزد روزانه ]]=0,"",ج_ح_دی[[#This Row],[کارکرد]]*ج_ح_دی[[#This Row],[دستمزد روزانه ]]),"")</f>
        <v/>
      </c>
      <c r="I361" s="91"/>
      <c r="J361" s="90" t="str">
        <f>IFERROR((ج_ح_دی[[#This Row],[دستمزد روزانه ]]/7.33)*1.4*ج_ح_دی[[#This Row],[مدت اضافه کاری ]],"")</f>
        <v/>
      </c>
      <c r="K361" s="89" t="str">
        <f>IF(ج_ح_دی[[#This Row],[کارکرد]]="","",ج_ح_دی[[#This Row],[کارکرد]]/30*حق_مسکن)</f>
        <v/>
      </c>
      <c r="L361" s="91"/>
      <c r="M361" s="89" t="str">
        <f>IF(ج_ح_دی[[#This Row],[تعداد فرزندان]]="","",ج_ح_دی[[#This Row],[کارکرد]]/30*3*ج_ح_دی[[#This Row],[تعداد فرزندان]]*حداقل_حقوق_پایه_روزانه)</f>
        <v/>
      </c>
      <c r="N361" s="89" t="str">
        <f>IF(ج_ح_دی[[#This Row],[کارکرد]]="","",ج_ح_دی[[#This Row],[کارکرد]]/30*حق_خواربار)</f>
        <v/>
      </c>
      <c r="O361" s="89" t="str">
        <f>IFERROR(ج_ح_دی[[#This Row],[حقوق پایه]]+ج_ح_دی[[#This Row],[اضافه کاری]]+ج_ح_دی[[#This Row],[حق مسکن]]+ج_ح_دی[[#This Row],[حق اولاد]]+ج_ح_دی[[#This Row],[حق و خواروبار]],"")</f>
        <v/>
      </c>
      <c r="P361"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61" s="89" t="str">
        <f>IFERROR(ج_ح_دی[[#This Row],[حقوق پایه]]+ج_ح_دی[[#This Row],[اضافه کاری]]+ج_ح_دی[[#This Row],[حق مسکن]]+ج_ح_دی[[#This Row],[حق و خواروبار]]+ج_ح_دی[[#This Row],[حق اولاد]]-(2/7)*ج_ح_دی[[#This Row],[بیمه پرداختنی]],"")</f>
        <v/>
      </c>
      <c r="R361" s="91"/>
      <c r="S361" s="91"/>
      <c r="T361" s="89" t="str">
        <f>IFERROR(ج_ح_دی[[#This Row],[جمع ح و م م بیمه ]]*7%,"")</f>
        <v/>
      </c>
      <c r="U361"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61" s="89" t="str">
        <f>IFERROR(ج_ح_دی[[#This Row],[وام]]+ج_ح_دی[[#This Row],[مساعده]]+ج_ح_دی[[#This Row],[بیمه پرداختنی]]+ج_ح_دی[[#This Row],[مالیات پرداختنی]],"")</f>
        <v/>
      </c>
      <c r="W361" s="89" t="str">
        <f>IFERROR(ج_ح_دی[[#This Row],[جمع ح و م]]-ج_ح_دی[[#This Row],[جمع کسورات]],"")</f>
        <v/>
      </c>
      <c r="X361" s="108"/>
    </row>
    <row r="362" spans="2:24" ht="32.1" customHeight="1">
      <c r="B362" s="1">
        <f t="shared" si="8"/>
        <v>10</v>
      </c>
      <c r="C362" s="85" t="str">
        <f>IF(ج_ح_دی[[#This Row],[نام]]&lt;&gt;"",ROW()-340+1,"")</f>
        <v/>
      </c>
      <c r="D362" s="86"/>
      <c r="E362" s="86"/>
      <c r="F362" s="87"/>
      <c r="G362" s="88" t="str">
        <f>IFERROR(IF(COUNT(ج_ح_دی[[#This Row],[کارکرد]]),حداقل_حقوق_پایه_روزانه,""),"")</f>
        <v/>
      </c>
      <c r="H362" s="89" t="str">
        <f>IFERROR(IF(ج_ح_دی[[#This Row],[کارکرد]]*ج_ح_دی[[#This Row],[دستمزد روزانه ]]=0,"",ج_ح_دی[[#This Row],[کارکرد]]*ج_ح_دی[[#This Row],[دستمزد روزانه ]]),"")</f>
        <v/>
      </c>
      <c r="I362" s="91"/>
      <c r="J362" s="90" t="str">
        <f>IFERROR((ج_ح_دی[[#This Row],[دستمزد روزانه ]]/7.33)*1.4*ج_ح_دی[[#This Row],[مدت اضافه کاری ]],"")</f>
        <v/>
      </c>
      <c r="K362" s="89" t="str">
        <f>IF(ج_ح_دی[[#This Row],[کارکرد]]="","",ج_ح_دی[[#This Row],[کارکرد]]/30*حق_مسکن)</f>
        <v/>
      </c>
      <c r="L362" s="91"/>
      <c r="M362" s="89" t="str">
        <f>IF(ج_ح_دی[[#This Row],[تعداد فرزندان]]="","",ج_ح_دی[[#This Row],[کارکرد]]/30*3*ج_ح_دی[[#This Row],[تعداد فرزندان]]*حداقل_حقوق_پایه_روزانه)</f>
        <v/>
      </c>
      <c r="N362" s="89" t="str">
        <f>IF(ج_ح_دی[[#This Row],[کارکرد]]="","",ج_ح_دی[[#This Row],[کارکرد]]/30*حق_خواربار)</f>
        <v/>
      </c>
      <c r="O362" s="89" t="str">
        <f>IFERROR(ج_ح_دی[[#This Row],[حقوق پایه]]+ج_ح_دی[[#This Row],[اضافه کاری]]+ج_ح_دی[[#This Row],[حق مسکن]]+ج_ح_دی[[#This Row],[حق اولاد]]+ج_ح_دی[[#This Row],[حق و خواروبار]],"")</f>
        <v/>
      </c>
      <c r="P362"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62" s="89" t="str">
        <f>IFERROR(ج_ح_دی[[#This Row],[حقوق پایه]]+ج_ح_دی[[#This Row],[اضافه کاری]]+ج_ح_دی[[#This Row],[حق مسکن]]+ج_ح_دی[[#This Row],[حق و خواروبار]]+ج_ح_دی[[#This Row],[حق اولاد]]-(2/7)*ج_ح_دی[[#This Row],[بیمه پرداختنی]],"")</f>
        <v/>
      </c>
      <c r="R362" s="91"/>
      <c r="S362" s="91"/>
      <c r="T362" s="89" t="str">
        <f>IFERROR(ج_ح_دی[[#This Row],[جمع ح و م م بیمه ]]*7%,"")</f>
        <v/>
      </c>
      <c r="U362"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62" s="89" t="str">
        <f>IFERROR(ج_ح_دی[[#This Row],[وام]]+ج_ح_دی[[#This Row],[مساعده]]+ج_ح_دی[[#This Row],[بیمه پرداختنی]]+ج_ح_دی[[#This Row],[مالیات پرداختنی]],"")</f>
        <v/>
      </c>
      <c r="W362" s="89" t="str">
        <f>IFERROR(ج_ح_دی[[#This Row],[جمع ح و م]]-ج_ح_دی[[#This Row],[جمع کسورات]],"")</f>
        <v/>
      </c>
      <c r="X362" s="108"/>
    </row>
    <row r="363" spans="2:24" ht="32.1" customHeight="1">
      <c r="B363" s="1">
        <f t="shared" si="8"/>
        <v>10</v>
      </c>
      <c r="C363" s="85" t="str">
        <f>IF(ج_ح_دی[[#This Row],[نام]]&lt;&gt;"",ROW()-340+1,"")</f>
        <v/>
      </c>
      <c r="D363" s="86"/>
      <c r="E363" s="86"/>
      <c r="F363" s="87"/>
      <c r="G363" s="88" t="str">
        <f>IFERROR(IF(COUNT(ج_ح_دی[[#This Row],[کارکرد]]),حداقل_حقوق_پایه_روزانه,""),"")</f>
        <v/>
      </c>
      <c r="H363" s="89" t="str">
        <f>IFERROR(IF(ج_ح_دی[[#This Row],[کارکرد]]*ج_ح_دی[[#This Row],[دستمزد روزانه ]]=0,"",ج_ح_دی[[#This Row],[کارکرد]]*ج_ح_دی[[#This Row],[دستمزد روزانه ]]),"")</f>
        <v/>
      </c>
      <c r="I363" s="91"/>
      <c r="J363" s="90" t="str">
        <f>IFERROR((ج_ح_دی[[#This Row],[دستمزد روزانه ]]/7.33)*1.4*ج_ح_دی[[#This Row],[مدت اضافه کاری ]],"")</f>
        <v/>
      </c>
      <c r="K363" s="89" t="str">
        <f>IF(ج_ح_دی[[#This Row],[کارکرد]]="","",ج_ح_دی[[#This Row],[کارکرد]]/30*حق_مسکن)</f>
        <v/>
      </c>
      <c r="L363" s="91"/>
      <c r="M363" s="89" t="str">
        <f>IF(ج_ح_دی[[#This Row],[تعداد فرزندان]]="","",ج_ح_دی[[#This Row],[کارکرد]]/30*3*ج_ح_دی[[#This Row],[تعداد فرزندان]]*حداقل_حقوق_پایه_روزانه)</f>
        <v/>
      </c>
      <c r="N363" s="89" t="str">
        <f>IF(ج_ح_دی[[#This Row],[کارکرد]]="","",ج_ح_دی[[#This Row],[کارکرد]]/30*حق_خواربار)</f>
        <v/>
      </c>
      <c r="O363" s="89" t="str">
        <f>IFERROR(ج_ح_دی[[#This Row],[حقوق پایه]]+ج_ح_دی[[#This Row],[اضافه کاری]]+ج_ح_دی[[#This Row],[حق مسکن]]+ج_ح_دی[[#This Row],[حق اولاد]]+ج_ح_دی[[#This Row],[حق و خواروبار]],"")</f>
        <v/>
      </c>
      <c r="P363"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63" s="89" t="str">
        <f>IFERROR(ج_ح_دی[[#This Row],[حقوق پایه]]+ج_ح_دی[[#This Row],[اضافه کاری]]+ج_ح_دی[[#This Row],[حق مسکن]]+ج_ح_دی[[#This Row],[حق و خواروبار]]+ج_ح_دی[[#This Row],[حق اولاد]]-(2/7)*ج_ح_دی[[#This Row],[بیمه پرداختنی]],"")</f>
        <v/>
      </c>
      <c r="R363" s="91"/>
      <c r="S363" s="91"/>
      <c r="T363" s="89" t="str">
        <f>IFERROR(ج_ح_دی[[#This Row],[جمع ح و م م بیمه ]]*7%,"")</f>
        <v/>
      </c>
      <c r="U363"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63" s="89" t="str">
        <f>IFERROR(ج_ح_دی[[#This Row],[وام]]+ج_ح_دی[[#This Row],[مساعده]]+ج_ح_دی[[#This Row],[بیمه پرداختنی]]+ج_ح_دی[[#This Row],[مالیات پرداختنی]],"")</f>
        <v/>
      </c>
      <c r="W363" s="89" t="str">
        <f>IFERROR(ج_ح_دی[[#This Row],[جمع ح و م]]-ج_ح_دی[[#This Row],[جمع کسورات]],"")</f>
        <v/>
      </c>
      <c r="X363" s="108"/>
    </row>
    <row r="364" spans="2:24" ht="32.1" customHeight="1">
      <c r="B364" s="1">
        <f t="shared" si="8"/>
        <v>10</v>
      </c>
      <c r="C364" s="85" t="str">
        <f>IF(ج_ح_دی[[#This Row],[نام]]&lt;&gt;"",ROW()-340+1,"")</f>
        <v/>
      </c>
      <c r="D364" s="86"/>
      <c r="E364" s="86"/>
      <c r="F364" s="87"/>
      <c r="G364" s="88" t="str">
        <f>IFERROR(IF(COUNT(ج_ح_دی[[#This Row],[کارکرد]]),حداقل_حقوق_پایه_روزانه,""),"")</f>
        <v/>
      </c>
      <c r="H364" s="89" t="str">
        <f>IFERROR(IF(ج_ح_دی[[#This Row],[کارکرد]]*ج_ح_دی[[#This Row],[دستمزد روزانه ]]=0,"",ج_ح_دی[[#This Row],[کارکرد]]*ج_ح_دی[[#This Row],[دستمزد روزانه ]]),"")</f>
        <v/>
      </c>
      <c r="I364" s="91"/>
      <c r="J364" s="90" t="str">
        <f>IFERROR((ج_ح_دی[[#This Row],[دستمزد روزانه ]]/7.33)*1.4*ج_ح_دی[[#This Row],[مدت اضافه کاری ]],"")</f>
        <v/>
      </c>
      <c r="K364" s="89" t="str">
        <f>IF(ج_ح_دی[[#This Row],[کارکرد]]="","",ج_ح_دی[[#This Row],[کارکرد]]/30*حق_مسکن)</f>
        <v/>
      </c>
      <c r="L364" s="91"/>
      <c r="M364" s="89" t="str">
        <f>IF(ج_ح_دی[[#This Row],[تعداد فرزندان]]="","",ج_ح_دی[[#This Row],[کارکرد]]/30*3*ج_ح_دی[[#This Row],[تعداد فرزندان]]*حداقل_حقوق_پایه_روزانه)</f>
        <v/>
      </c>
      <c r="N364" s="89" t="str">
        <f>IF(ج_ح_دی[[#This Row],[کارکرد]]="","",ج_ح_دی[[#This Row],[کارکرد]]/30*حق_خواربار)</f>
        <v/>
      </c>
      <c r="O364" s="89" t="str">
        <f>IFERROR(ج_ح_دی[[#This Row],[حقوق پایه]]+ج_ح_دی[[#This Row],[اضافه کاری]]+ج_ح_دی[[#This Row],[حق مسکن]]+ج_ح_دی[[#This Row],[حق اولاد]]+ج_ح_دی[[#This Row],[حق و خواروبار]],"")</f>
        <v/>
      </c>
      <c r="P364"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64" s="89" t="str">
        <f>IFERROR(ج_ح_دی[[#This Row],[حقوق پایه]]+ج_ح_دی[[#This Row],[اضافه کاری]]+ج_ح_دی[[#This Row],[حق مسکن]]+ج_ح_دی[[#This Row],[حق و خواروبار]]+ج_ح_دی[[#This Row],[حق اولاد]]-(2/7)*ج_ح_دی[[#This Row],[بیمه پرداختنی]],"")</f>
        <v/>
      </c>
      <c r="R364" s="91"/>
      <c r="S364" s="91"/>
      <c r="T364" s="89" t="str">
        <f>IFERROR(ج_ح_دی[[#This Row],[جمع ح و م م بیمه ]]*7%,"")</f>
        <v/>
      </c>
      <c r="U364"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64" s="89" t="str">
        <f>IFERROR(ج_ح_دی[[#This Row],[وام]]+ج_ح_دی[[#This Row],[مساعده]]+ج_ح_دی[[#This Row],[بیمه پرداختنی]]+ج_ح_دی[[#This Row],[مالیات پرداختنی]],"")</f>
        <v/>
      </c>
      <c r="W364" s="89" t="str">
        <f>IFERROR(ج_ح_دی[[#This Row],[جمع ح و م]]-ج_ح_دی[[#This Row],[جمع کسورات]],"")</f>
        <v/>
      </c>
      <c r="X364" s="108"/>
    </row>
    <row r="365" spans="2:24" ht="32.1" customHeight="1">
      <c r="B365" s="1">
        <f t="shared" si="8"/>
        <v>10</v>
      </c>
      <c r="C365" s="85" t="str">
        <f>IF(ج_ح_دی[[#This Row],[نام]]&lt;&gt;"",ROW()-340+1,"")</f>
        <v/>
      </c>
      <c r="D365" s="86"/>
      <c r="E365" s="86"/>
      <c r="F365" s="87"/>
      <c r="G365" s="88" t="str">
        <f>IFERROR(IF(COUNT(ج_ح_دی[[#This Row],[کارکرد]]),حداقل_حقوق_پایه_روزانه,""),"")</f>
        <v/>
      </c>
      <c r="H365" s="89" t="str">
        <f>IFERROR(IF(ج_ح_دی[[#This Row],[کارکرد]]*ج_ح_دی[[#This Row],[دستمزد روزانه ]]=0,"",ج_ح_دی[[#This Row],[کارکرد]]*ج_ح_دی[[#This Row],[دستمزد روزانه ]]),"")</f>
        <v/>
      </c>
      <c r="I365" s="91"/>
      <c r="J365" s="90" t="str">
        <f>IFERROR((ج_ح_دی[[#This Row],[دستمزد روزانه ]]/7.33)*1.4*ج_ح_دی[[#This Row],[مدت اضافه کاری ]],"")</f>
        <v/>
      </c>
      <c r="K365" s="89" t="str">
        <f>IF(ج_ح_دی[[#This Row],[کارکرد]]="","",ج_ح_دی[[#This Row],[کارکرد]]/30*حق_مسکن)</f>
        <v/>
      </c>
      <c r="L365" s="91"/>
      <c r="M365" s="89" t="str">
        <f>IF(ج_ح_دی[[#This Row],[تعداد فرزندان]]="","",ج_ح_دی[[#This Row],[کارکرد]]/30*3*ج_ح_دی[[#This Row],[تعداد فرزندان]]*حداقل_حقوق_پایه_روزانه)</f>
        <v/>
      </c>
      <c r="N365" s="89" t="str">
        <f>IF(ج_ح_دی[[#This Row],[کارکرد]]="","",ج_ح_دی[[#This Row],[کارکرد]]/30*حق_خواربار)</f>
        <v/>
      </c>
      <c r="O365" s="89" t="str">
        <f>IFERROR(ج_ح_دی[[#This Row],[حقوق پایه]]+ج_ح_دی[[#This Row],[اضافه کاری]]+ج_ح_دی[[#This Row],[حق مسکن]]+ج_ح_دی[[#This Row],[حق اولاد]]+ج_ح_دی[[#This Row],[حق و خواروبار]],"")</f>
        <v/>
      </c>
      <c r="P365"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65" s="89" t="str">
        <f>IFERROR(ج_ح_دی[[#This Row],[حقوق پایه]]+ج_ح_دی[[#This Row],[اضافه کاری]]+ج_ح_دی[[#This Row],[حق مسکن]]+ج_ح_دی[[#This Row],[حق و خواروبار]]+ج_ح_دی[[#This Row],[حق اولاد]]-(2/7)*ج_ح_دی[[#This Row],[بیمه پرداختنی]],"")</f>
        <v/>
      </c>
      <c r="R365" s="91"/>
      <c r="S365" s="91"/>
      <c r="T365" s="89" t="str">
        <f>IFERROR(ج_ح_دی[[#This Row],[جمع ح و م م بیمه ]]*7%,"")</f>
        <v/>
      </c>
      <c r="U365"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65" s="89" t="str">
        <f>IFERROR(ج_ح_دی[[#This Row],[وام]]+ج_ح_دی[[#This Row],[مساعده]]+ج_ح_دی[[#This Row],[بیمه پرداختنی]]+ج_ح_دی[[#This Row],[مالیات پرداختنی]],"")</f>
        <v/>
      </c>
      <c r="W365" s="89" t="str">
        <f>IFERROR(ج_ح_دی[[#This Row],[جمع ح و م]]-ج_ح_دی[[#This Row],[جمع کسورات]],"")</f>
        <v/>
      </c>
      <c r="X365" s="108"/>
    </row>
    <row r="366" spans="2:24" ht="32.1" customHeight="1">
      <c r="B366" s="1">
        <f t="shared" si="8"/>
        <v>10</v>
      </c>
      <c r="C366" s="85" t="str">
        <f>IF(ج_ح_دی[[#This Row],[نام]]&lt;&gt;"",ROW()-340+1,"")</f>
        <v/>
      </c>
      <c r="D366" s="86"/>
      <c r="E366" s="86"/>
      <c r="F366" s="87"/>
      <c r="G366" s="88" t="str">
        <f>IFERROR(IF(COUNT(ج_ح_دی[[#This Row],[کارکرد]]),حداقل_حقوق_پایه_روزانه,""),"")</f>
        <v/>
      </c>
      <c r="H366" s="89" t="str">
        <f>IFERROR(IF(ج_ح_دی[[#This Row],[کارکرد]]*ج_ح_دی[[#This Row],[دستمزد روزانه ]]=0,"",ج_ح_دی[[#This Row],[کارکرد]]*ج_ح_دی[[#This Row],[دستمزد روزانه ]]),"")</f>
        <v/>
      </c>
      <c r="I366" s="91"/>
      <c r="J366" s="90" t="str">
        <f>IFERROR((ج_ح_دی[[#This Row],[دستمزد روزانه ]]/7.33)*1.4*ج_ح_دی[[#This Row],[مدت اضافه کاری ]],"")</f>
        <v/>
      </c>
      <c r="K366" s="89" t="str">
        <f>IF(ج_ح_دی[[#This Row],[کارکرد]]="","",ج_ح_دی[[#This Row],[کارکرد]]/30*حق_مسکن)</f>
        <v/>
      </c>
      <c r="L366" s="91"/>
      <c r="M366" s="89" t="str">
        <f>IF(ج_ح_دی[[#This Row],[تعداد فرزندان]]="","",ج_ح_دی[[#This Row],[کارکرد]]/30*3*ج_ح_دی[[#This Row],[تعداد فرزندان]]*حداقل_حقوق_پایه_روزانه)</f>
        <v/>
      </c>
      <c r="N366" s="89" t="str">
        <f>IF(ج_ح_دی[[#This Row],[کارکرد]]="","",ج_ح_دی[[#This Row],[کارکرد]]/30*حق_خواربار)</f>
        <v/>
      </c>
      <c r="O366" s="89" t="str">
        <f>IFERROR(ج_ح_دی[[#This Row],[حقوق پایه]]+ج_ح_دی[[#This Row],[اضافه کاری]]+ج_ح_دی[[#This Row],[حق مسکن]]+ج_ح_دی[[#This Row],[حق اولاد]]+ج_ح_دی[[#This Row],[حق و خواروبار]],"")</f>
        <v/>
      </c>
      <c r="P366"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66" s="89" t="str">
        <f>IFERROR(ج_ح_دی[[#This Row],[حقوق پایه]]+ج_ح_دی[[#This Row],[اضافه کاری]]+ج_ح_دی[[#This Row],[حق مسکن]]+ج_ح_دی[[#This Row],[حق و خواروبار]]+ج_ح_دی[[#This Row],[حق اولاد]]-(2/7)*ج_ح_دی[[#This Row],[بیمه پرداختنی]],"")</f>
        <v/>
      </c>
      <c r="R366" s="91"/>
      <c r="S366" s="91"/>
      <c r="T366" s="89" t="str">
        <f>IFERROR(ج_ح_دی[[#This Row],[جمع ح و م م بیمه ]]*7%,"")</f>
        <v/>
      </c>
      <c r="U366"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66" s="89" t="str">
        <f>IFERROR(ج_ح_دی[[#This Row],[وام]]+ج_ح_دی[[#This Row],[مساعده]]+ج_ح_دی[[#This Row],[بیمه پرداختنی]]+ج_ح_دی[[#This Row],[مالیات پرداختنی]],"")</f>
        <v/>
      </c>
      <c r="W366" s="89" t="str">
        <f>IFERROR(ج_ح_دی[[#This Row],[جمع ح و م]]-ج_ح_دی[[#This Row],[جمع کسورات]],"")</f>
        <v/>
      </c>
      <c r="X366" s="108"/>
    </row>
    <row r="367" spans="2:24" ht="32.1" customHeight="1">
      <c r="B367" s="1">
        <f t="shared" si="8"/>
        <v>10</v>
      </c>
      <c r="C367" s="85" t="str">
        <f>IF(ج_ح_دی[[#This Row],[نام]]&lt;&gt;"",ROW()-340+1,"")</f>
        <v/>
      </c>
      <c r="D367" s="86"/>
      <c r="E367" s="86"/>
      <c r="F367" s="87"/>
      <c r="G367" s="88" t="str">
        <f>IFERROR(IF(COUNT(ج_ح_دی[[#This Row],[کارکرد]]),حداقل_حقوق_پایه_روزانه,""),"")</f>
        <v/>
      </c>
      <c r="H367" s="89" t="str">
        <f>IFERROR(IF(ج_ح_دی[[#This Row],[کارکرد]]*ج_ح_دی[[#This Row],[دستمزد روزانه ]]=0,"",ج_ح_دی[[#This Row],[کارکرد]]*ج_ح_دی[[#This Row],[دستمزد روزانه ]]),"")</f>
        <v/>
      </c>
      <c r="I367" s="91"/>
      <c r="J367" s="90" t="str">
        <f>IFERROR((ج_ح_دی[[#This Row],[دستمزد روزانه ]]/7.33)*1.4*ج_ح_دی[[#This Row],[مدت اضافه کاری ]],"")</f>
        <v/>
      </c>
      <c r="K367" s="89" t="str">
        <f>IF(ج_ح_دی[[#This Row],[کارکرد]]="","",ج_ح_دی[[#This Row],[کارکرد]]/30*حق_مسکن)</f>
        <v/>
      </c>
      <c r="L367" s="91"/>
      <c r="M367" s="89" t="str">
        <f>IF(ج_ح_دی[[#This Row],[تعداد فرزندان]]="","",ج_ح_دی[[#This Row],[کارکرد]]/30*3*ج_ح_دی[[#This Row],[تعداد فرزندان]]*حداقل_حقوق_پایه_روزانه)</f>
        <v/>
      </c>
      <c r="N367" s="89" t="str">
        <f>IF(ج_ح_دی[[#This Row],[کارکرد]]="","",ج_ح_دی[[#This Row],[کارکرد]]/30*حق_خواربار)</f>
        <v/>
      </c>
      <c r="O367" s="89" t="str">
        <f>IFERROR(ج_ح_دی[[#This Row],[حقوق پایه]]+ج_ح_دی[[#This Row],[اضافه کاری]]+ج_ح_دی[[#This Row],[حق مسکن]]+ج_ح_دی[[#This Row],[حق اولاد]]+ج_ح_دی[[#This Row],[حق و خواروبار]],"")</f>
        <v/>
      </c>
      <c r="P367"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67" s="89" t="str">
        <f>IFERROR(ج_ح_دی[[#This Row],[حقوق پایه]]+ج_ح_دی[[#This Row],[اضافه کاری]]+ج_ح_دی[[#This Row],[حق مسکن]]+ج_ح_دی[[#This Row],[حق و خواروبار]]+ج_ح_دی[[#This Row],[حق اولاد]]-(2/7)*ج_ح_دی[[#This Row],[بیمه پرداختنی]],"")</f>
        <v/>
      </c>
      <c r="R367" s="91"/>
      <c r="S367" s="91"/>
      <c r="T367" s="89" t="str">
        <f>IFERROR(ج_ح_دی[[#This Row],[جمع ح و م م بیمه ]]*7%,"")</f>
        <v/>
      </c>
      <c r="U367"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67" s="89" t="str">
        <f>IFERROR(ج_ح_دی[[#This Row],[وام]]+ج_ح_دی[[#This Row],[مساعده]]+ج_ح_دی[[#This Row],[بیمه پرداختنی]]+ج_ح_دی[[#This Row],[مالیات پرداختنی]],"")</f>
        <v/>
      </c>
      <c r="W367" s="89" t="str">
        <f>IFERROR(ج_ح_دی[[#This Row],[جمع ح و م]]-ج_ح_دی[[#This Row],[جمع کسورات]],"")</f>
        <v/>
      </c>
      <c r="X367" s="108"/>
    </row>
    <row r="368" spans="2:24" ht="32.1" customHeight="1">
      <c r="B368" s="1">
        <f t="shared" si="8"/>
        <v>10</v>
      </c>
      <c r="C368" s="85" t="str">
        <f>IF(ج_ح_دی[[#This Row],[نام]]&lt;&gt;"",ROW()-340+1,"")</f>
        <v/>
      </c>
      <c r="D368" s="86"/>
      <c r="E368" s="86"/>
      <c r="F368" s="87"/>
      <c r="G368" s="88" t="str">
        <f>IFERROR(IF(COUNT(ج_ح_دی[[#This Row],[کارکرد]]),حداقل_حقوق_پایه_روزانه,""),"")</f>
        <v/>
      </c>
      <c r="H368" s="89" t="str">
        <f>IFERROR(IF(ج_ح_دی[[#This Row],[کارکرد]]*ج_ح_دی[[#This Row],[دستمزد روزانه ]]=0,"",ج_ح_دی[[#This Row],[کارکرد]]*ج_ح_دی[[#This Row],[دستمزد روزانه ]]),"")</f>
        <v/>
      </c>
      <c r="I368" s="91"/>
      <c r="J368" s="90" t="str">
        <f>IFERROR((ج_ح_دی[[#This Row],[دستمزد روزانه ]]/7.33)*1.4*ج_ح_دی[[#This Row],[مدت اضافه کاری ]],"")</f>
        <v/>
      </c>
      <c r="K368" s="89" t="str">
        <f>IF(ج_ح_دی[[#This Row],[کارکرد]]="","",ج_ح_دی[[#This Row],[کارکرد]]/30*حق_مسکن)</f>
        <v/>
      </c>
      <c r="L368" s="91"/>
      <c r="M368" s="89" t="str">
        <f>IF(ج_ح_دی[[#This Row],[تعداد فرزندان]]="","",ج_ح_دی[[#This Row],[کارکرد]]/30*3*ج_ح_دی[[#This Row],[تعداد فرزندان]]*حداقل_حقوق_پایه_روزانه)</f>
        <v/>
      </c>
      <c r="N368" s="89" t="str">
        <f>IF(ج_ح_دی[[#This Row],[کارکرد]]="","",ج_ح_دی[[#This Row],[کارکرد]]/30*حق_خواربار)</f>
        <v/>
      </c>
      <c r="O368" s="89" t="str">
        <f>IFERROR(ج_ح_دی[[#This Row],[حقوق پایه]]+ج_ح_دی[[#This Row],[اضافه کاری]]+ج_ح_دی[[#This Row],[حق مسکن]]+ج_ح_دی[[#This Row],[حق اولاد]]+ج_ح_دی[[#This Row],[حق و خواروبار]],"")</f>
        <v/>
      </c>
      <c r="P368"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68" s="89" t="str">
        <f>IFERROR(ج_ح_دی[[#This Row],[حقوق پایه]]+ج_ح_دی[[#This Row],[اضافه کاری]]+ج_ح_دی[[#This Row],[حق مسکن]]+ج_ح_دی[[#This Row],[حق و خواروبار]]+ج_ح_دی[[#This Row],[حق اولاد]]-(2/7)*ج_ح_دی[[#This Row],[بیمه پرداختنی]],"")</f>
        <v/>
      </c>
      <c r="R368" s="91"/>
      <c r="S368" s="91"/>
      <c r="T368" s="89" t="str">
        <f>IFERROR(ج_ح_دی[[#This Row],[جمع ح و م م بیمه ]]*7%,"")</f>
        <v/>
      </c>
      <c r="U368"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68" s="89" t="str">
        <f>IFERROR(ج_ح_دی[[#This Row],[وام]]+ج_ح_دی[[#This Row],[مساعده]]+ج_ح_دی[[#This Row],[بیمه پرداختنی]]+ج_ح_دی[[#This Row],[مالیات پرداختنی]],"")</f>
        <v/>
      </c>
      <c r="W368" s="89" t="str">
        <f>IFERROR(ج_ح_دی[[#This Row],[جمع ح و م]]-ج_ح_دی[[#This Row],[جمع کسورات]],"")</f>
        <v/>
      </c>
      <c r="X368" s="108"/>
    </row>
    <row r="369" spans="1:24" ht="32.1" customHeight="1">
      <c r="B369" s="1">
        <f t="shared" si="8"/>
        <v>10</v>
      </c>
      <c r="C369" s="85" t="str">
        <f>IF(ج_ح_دی[[#This Row],[نام]]&lt;&gt;"",ROW()-340+1,"")</f>
        <v/>
      </c>
      <c r="D369" s="86"/>
      <c r="E369" s="86"/>
      <c r="F369" s="87"/>
      <c r="G369" s="88" t="str">
        <f>IFERROR(IF(COUNT(ج_ح_دی[[#This Row],[کارکرد]]),حداقل_حقوق_پایه_روزانه,""),"")</f>
        <v/>
      </c>
      <c r="H369" s="89" t="str">
        <f>IFERROR(IF(ج_ح_دی[[#This Row],[کارکرد]]*ج_ح_دی[[#This Row],[دستمزد روزانه ]]=0,"",ج_ح_دی[[#This Row],[کارکرد]]*ج_ح_دی[[#This Row],[دستمزد روزانه ]]),"")</f>
        <v/>
      </c>
      <c r="I369" s="91"/>
      <c r="J369" s="90" t="str">
        <f>IFERROR((ج_ح_دی[[#This Row],[دستمزد روزانه ]]/7.33)*1.4*ج_ح_دی[[#This Row],[مدت اضافه کاری ]],"")</f>
        <v/>
      </c>
      <c r="K369" s="89" t="str">
        <f>IF(ج_ح_دی[[#This Row],[کارکرد]]="","",ج_ح_دی[[#This Row],[کارکرد]]/30*حق_مسکن)</f>
        <v/>
      </c>
      <c r="L369" s="91"/>
      <c r="M369" s="89" t="str">
        <f>IF(ج_ح_دی[[#This Row],[تعداد فرزندان]]="","",ج_ح_دی[[#This Row],[کارکرد]]/30*3*ج_ح_دی[[#This Row],[تعداد فرزندان]]*حداقل_حقوق_پایه_روزانه)</f>
        <v/>
      </c>
      <c r="N369" s="89" t="str">
        <f>IF(ج_ح_دی[[#This Row],[کارکرد]]="","",ج_ح_دی[[#This Row],[کارکرد]]/30*حق_خواربار)</f>
        <v/>
      </c>
      <c r="O369" s="89" t="str">
        <f>IFERROR(ج_ح_دی[[#This Row],[حقوق پایه]]+ج_ح_دی[[#This Row],[اضافه کاری]]+ج_ح_دی[[#This Row],[حق مسکن]]+ج_ح_دی[[#This Row],[حق اولاد]]+ج_ح_دی[[#This Row],[حق و خواروبار]],"")</f>
        <v/>
      </c>
      <c r="P369" s="89" t="str">
        <f>IFERROR(IF(ج_ح_دی[[#This Row],[حقوق پایه]]+ج_ح_دی[[#This Row],[اضافه کاری]]+ج_ح_دی[[#This Row],[حق مسکن]]+ج_ح_دی[[#This Row],[حق و خواروبار]]&gt;حداکثر_حقوق_مشمول_بیمه_ماهانه,حداکثر_حقوق_مشمول_بیمه_ماهانه,ج_ح_دی[[#This Row],[حقوق پایه]]+ج_ح_دی[[#This Row],[اضافه کاری]]+ج_ح_دی[[#This Row],[حق مسکن]]+ج_ح_دی[[#This Row],[حق و خواروبار]]),"")</f>
        <v/>
      </c>
      <c r="Q369" s="89" t="str">
        <f>IFERROR(ج_ح_دی[[#This Row],[حقوق پایه]]+ج_ح_دی[[#This Row],[اضافه کاری]]+ج_ح_دی[[#This Row],[حق مسکن]]+ج_ح_دی[[#This Row],[حق و خواروبار]]+ج_ح_دی[[#This Row],[حق اولاد]]-(2/7)*ج_ح_دی[[#This Row],[بیمه پرداختنی]],"")</f>
        <v/>
      </c>
      <c r="R369" s="91"/>
      <c r="S369" s="91"/>
      <c r="T369" s="89" t="str">
        <f>IFERROR(ج_ح_دی[[#This Row],[جمع ح و م م بیمه ]]*7%,"")</f>
        <v/>
      </c>
      <c r="U369" s="92" t="str">
        <f>IFERROR(IF(ج_ح_دی[[#This Row],[جمع ح و م م مالیات]]&gt;=400000000,(ج_ح_دی[[#This Row],[جمع ح و م م مالیات]]-400000000)*30%+26000000,IF(ج_ح_دی[[#This Row],[جمع ح و م م مالیات]]&gt;=270000000,(ج_ح_دی[[#This Row],[جمع ح و م م مالیات]]-270000000)*20%+15750000,IF(ج_ح_دی[[#This Row],[جمع ح و م م مالیات]]&gt;=165000000,(ج_ح_دی[[#This Row],[جمع ح و م م مالیات]]-165000000)*15%+4500000,IF(ج_ح_دی[[#This Row],[جمع ح و م م مالیات]]&gt;=120000000,(ج_ح_دی[[#This Row],[جمع ح و م م مالیات]]-120000000)*10%,0)))),"")</f>
        <v/>
      </c>
      <c r="V369" s="89" t="str">
        <f>IFERROR(ج_ح_دی[[#This Row],[وام]]+ج_ح_دی[[#This Row],[مساعده]]+ج_ح_دی[[#This Row],[بیمه پرداختنی]]+ج_ح_دی[[#This Row],[مالیات پرداختنی]],"")</f>
        <v/>
      </c>
      <c r="W369" s="89" t="str">
        <f>IFERROR(ج_ح_دی[[#This Row],[جمع ح و م]]-ج_ح_دی[[#This Row],[جمع کسورات]],"")</f>
        <v/>
      </c>
      <c r="X369" s="108"/>
    </row>
    <row r="370" spans="1:24" ht="32.1" customHeight="1">
      <c r="B370" s="1">
        <f t="shared" si="8"/>
        <v>10</v>
      </c>
      <c r="C370" s="23"/>
      <c r="D370" s="24"/>
      <c r="E370" s="24" t="s">
        <v>35</v>
      </c>
      <c r="F370" s="33">
        <f>SUBTOTAL(109,ج_ح_دی[کارکرد])</f>
        <v>0</v>
      </c>
      <c r="G370" s="25">
        <f>SUBTOTAL(109,ج_ح_دی[[دستمزد روزانه ]])</f>
        <v>0</v>
      </c>
      <c r="H370" s="25">
        <f>SUBTOTAL(109,ج_ح_دی[حقوق پایه])</f>
        <v>0</v>
      </c>
      <c r="I370" s="34">
        <f>SUBTOTAL(109,ج_ح_دی[[مدت اضافه کاری ]])</f>
        <v>0</v>
      </c>
      <c r="J370" s="35">
        <f>SUBTOTAL(109,ج_ح_دی[اضافه کاری])</f>
        <v>0</v>
      </c>
      <c r="K370" s="25">
        <f>SUBTOTAL(109,ج_ح_دی[حق مسکن])</f>
        <v>0</v>
      </c>
      <c r="L370" s="36">
        <f>SUBTOTAL(109,ج_ح_دی[تعداد فرزندان])</f>
        <v>0</v>
      </c>
      <c r="M370" s="25">
        <f>SUBTOTAL(109,ج_ح_دی[حق اولاد])</f>
        <v>0</v>
      </c>
      <c r="N370" s="25">
        <f>SUBTOTAL(109,ج_ح_دی[حق و خواروبار])</f>
        <v>0</v>
      </c>
      <c r="O370" s="25">
        <f>SUBTOTAL(109,ج_ح_دی[جمع ح و م])</f>
        <v>0</v>
      </c>
      <c r="P370" s="25">
        <f>SUBTOTAL(109,ج_ح_دی[[جمع ح و م م بیمه ]])</f>
        <v>0</v>
      </c>
      <c r="Q370" s="25">
        <f>SUBTOTAL(109,ج_ح_دی[جمع ح و م م مالیات])</f>
        <v>0</v>
      </c>
      <c r="R370" s="25">
        <f>SUBTOTAL(109,ج_ح_دی[وام])</f>
        <v>0</v>
      </c>
      <c r="S370" s="25">
        <f>SUBTOTAL(109,ج_ح_دی[مساعده])</f>
        <v>0</v>
      </c>
      <c r="T370" s="25">
        <f>SUBTOTAL(109,ج_ح_دی[بیمه پرداختنی])</f>
        <v>0</v>
      </c>
      <c r="U370" s="25">
        <f>SUBTOTAL(109,ج_ح_دی[مالیات پرداختنی])</f>
        <v>0</v>
      </c>
      <c r="V370" s="25">
        <f>SUBTOTAL(109,ج_ح_دی[جمع کسورات])</f>
        <v>0</v>
      </c>
      <c r="W370" s="25">
        <f>SUBTOTAL(109,ج_ح_دی[خالص قابل پرداخت])</f>
        <v>0</v>
      </c>
      <c r="X370" s="109"/>
    </row>
    <row r="371" spans="1:24" ht="8.1" customHeight="1"/>
    <row r="372" spans="1:24" s="7" customFormat="1" ht="39.950000000000003" customHeight="1">
      <c r="A372" s="15"/>
      <c r="B372" s="15"/>
      <c r="C372" s="128" t="str">
        <f>CONCATENATE("شرکت"," ",'اطلاعات شرکت'!$B$1)</f>
        <v>شرکت پندار حساب شهسوار</v>
      </c>
      <c r="D372" s="128"/>
      <c r="E372" s="128"/>
      <c r="F372" s="128"/>
      <c r="G372" s="128"/>
      <c r="H372" s="128"/>
      <c r="I372" s="128"/>
      <c r="J372" s="128"/>
      <c r="K372" s="128"/>
      <c r="L372" s="128"/>
      <c r="M372" s="128"/>
      <c r="N372" s="128"/>
      <c r="O372" s="128"/>
      <c r="P372" s="128"/>
      <c r="Q372" s="128"/>
      <c r="R372" s="128"/>
      <c r="S372" s="128"/>
      <c r="T372" s="128"/>
      <c r="U372" s="128"/>
      <c r="V372" s="128"/>
      <c r="W372" s="128"/>
      <c r="X372" s="105"/>
    </row>
    <row r="373" spans="1:24" s="7" customFormat="1" ht="50.1" customHeight="1">
      <c r="C373" s="127" t="str">
        <f>CONCATENATE("جدول حقوق و دستمزد بهمن ماه سال"," ",'اطلاعات شرکت'!$B$2)</f>
        <v>جدول حقوق و دستمزد بهمن ماه سال 1402</v>
      </c>
      <c r="D373" s="127"/>
      <c r="E373" s="127"/>
      <c r="F373" s="127"/>
      <c r="G373" s="127"/>
      <c r="H373" s="127"/>
      <c r="I373" s="127"/>
      <c r="J373" s="127"/>
      <c r="K373" s="127"/>
      <c r="L373" s="127"/>
      <c r="M373" s="127"/>
      <c r="N373" s="127"/>
      <c r="O373" s="127"/>
      <c r="P373" s="127"/>
      <c r="Q373" s="127"/>
      <c r="R373" s="127"/>
      <c r="S373" s="127"/>
      <c r="T373" s="127"/>
      <c r="U373" s="127"/>
      <c r="V373" s="127"/>
      <c r="W373" s="127"/>
      <c r="X373" s="105"/>
    </row>
    <row r="374" spans="1:24" s="12" customFormat="1" ht="50.1" customHeight="1">
      <c r="C374" s="129" t="s">
        <v>1</v>
      </c>
      <c r="D374" s="28" t="s">
        <v>23</v>
      </c>
      <c r="E374" s="28" t="s">
        <v>56</v>
      </c>
      <c r="F374" s="28" t="s">
        <v>11</v>
      </c>
      <c r="G374" s="28" t="s">
        <v>12</v>
      </c>
      <c r="H374" s="28" t="s">
        <v>37</v>
      </c>
      <c r="I374" s="28" t="s">
        <v>51</v>
      </c>
      <c r="J374" s="28" t="s">
        <v>47</v>
      </c>
      <c r="K374" s="28" t="s">
        <v>4</v>
      </c>
      <c r="L374" s="28" t="s">
        <v>48</v>
      </c>
      <c r="M374" s="28" t="s">
        <v>14</v>
      </c>
      <c r="N374" s="28" t="s">
        <v>5</v>
      </c>
      <c r="O374" s="28" t="s">
        <v>17</v>
      </c>
      <c r="P374" s="28" t="s">
        <v>49</v>
      </c>
      <c r="Q374" s="28" t="s">
        <v>50</v>
      </c>
      <c r="R374" s="28" t="s">
        <v>15</v>
      </c>
      <c r="S374" s="28" t="s">
        <v>16</v>
      </c>
      <c r="T374" s="28" t="s">
        <v>59</v>
      </c>
      <c r="U374" s="28" t="s">
        <v>58</v>
      </c>
      <c r="V374" s="28" t="s">
        <v>21</v>
      </c>
      <c r="W374" s="28" t="s">
        <v>57</v>
      </c>
      <c r="X374" s="106"/>
    </row>
    <row r="375" spans="1:24" s="7" customFormat="1" ht="32.1" customHeight="1">
      <c r="C375" s="129"/>
      <c r="D375" s="29">
        <v>1</v>
      </c>
      <c r="E375" s="29">
        <v>2</v>
      </c>
      <c r="F375" s="29">
        <v>3</v>
      </c>
      <c r="G375" s="29">
        <v>4</v>
      </c>
      <c r="H375" s="29">
        <v>5</v>
      </c>
      <c r="I375" s="29">
        <v>6</v>
      </c>
      <c r="J375" s="29">
        <v>7</v>
      </c>
      <c r="K375" s="29">
        <v>8</v>
      </c>
      <c r="L375" s="29">
        <v>9</v>
      </c>
      <c r="M375" s="29">
        <v>10</v>
      </c>
      <c r="N375" s="29">
        <v>11</v>
      </c>
      <c r="O375" s="29">
        <v>12</v>
      </c>
      <c r="P375" s="29">
        <v>13</v>
      </c>
      <c r="Q375" s="29">
        <v>14</v>
      </c>
      <c r="R375" s="29">
        <v>15</v>
      </c>
      <c r="S375" s="29">
        <v>16</v>
      </c>
      <c r="T375" s="29">
        <v>17</v>
      </c>
      <c r="U375" s="29">
        <v>18</v>
      </c>
      <c r="V375" s="29">
        <v>19</v>
      </c>
      <c r="W375" s="30">
        <v>20</v>
      </c>
      <c r="X375" s="105"/>
    </row>
    <row r="376" spans="1:24" s="7" customFormat="1" ht="20.100000000000001" customHeight="1">
      <c r="C376" s="16" t="s">
        <v>1</v>
      </c>
      <c r="D376" s="16" t="s">
        <v>23</v>
      </c>
      <c r="E376" s="16" t="s">
        <v>56</v>
      </c>
      <c r="F376" s="16" t="s">
        <v>11</v>
      </c>
      <c r="G376" s="16" t="s">
        <v>12</v>
      </c>
      <c r="H376" s="16" t="s">
        <v>37</v>
      </c>
      <c r="I376" s="16" t="s">
        <v>46</v>
      </c>
      <c r="J376" s="16" t="s">
        <v>47</v>
      </c>
      <c r="K376" s="16" t="s">
        <v>4</v>
      </c>
      <c r="L376" s="16" t="s">
        <v>13</v>
      </c>
      <c r="M376" s="16" t="s">
        <v>14</v>
      </c>
      <c r="N376" s="16" t="s">
        <v>79</v>
      </c>
      <c r="O376" s="16" t="s">
        <v>53</v>
      </c>
      <c r="P376" s="16" t="s">
        <v>54</v>
      </c>
      <c r="Q376" s="31" t="s">
        <v>55</v>
      </c>
      <c r="R376" s="16" t="s">
        <v>15</v>
      </c>
      <c r="S376" s="16" t="s">
        <v>16</v>
      </c>
      <c r="T376" s="31" t="s">
        <v>19</v>
      </c>
      <c r="U376" s="31" t="s">
        <v>20</v>
      </c>
      <c r="V376" s="16" t="s">
        <v>21</v>
      </c>
      <c r="W376" s="16" t="s">
        <v>22</v>
      </c>
      <c r="X376" s="110" t="s">
        <v>133</v>
      </c>
    </row>
    <row r="377" spans="1:24" ht="32.1" customHeight="1">
      <c r="B377" s="1">
        <f>B370+1</f>
        <v>11</v>
      </c>
      <c r="C377" s="85" t="str">
        <f>IF(ج_ح_بهمن[[#This Row],[نام]]&lt;&gt;"",ROW()-377+1,"")</f>
        <v/>
      </c>
      <c r="D377" s="86"/>
      <c r="E377" s="86"/>
      <c r="F377" s="87"/>
      <c r="G377" s="88" t="str">
        <f>IFERROR(IF(COUNT(ج_ح_بهمن[[#This Row],[کارکرد]]),حداقل_حقوق_پایه_روزانه,""),"")</f>
        <v/>
      </c>
      <c r="H377" s="89" t="str">
        <f>IFERROR(IF(ج_ح_بهمن[[#This Row],[کارکرد]]*ج_ح_بهمن[[#This Row],[دستمزد روزانه ]]=0,"",ج_ح_بهمن[[#This Row],[کارکرد]]*ج_ح_بهمن[[#This Row],[دستمزد روزانه ]]),"")</f>
        <v/>
      </c>
      <c r="I377" s="91">
        <v>0</v>
      </c>
      <c r="J377" s="90" t="str">
        <f>IFERROR((ج_ح_بهمن[[#This Row],[دستمزد روزانه ]]/7.33)*1.4*ج_ح_بهمن[[#This Row],[مدت اضافه کاری ]],"")</f>
        <v/>
      </c>
      <c r="K377" s="89" t="str">
        <f>IF(ج_ح_بهمن[[#This Row],[کارکرد]]="","",ج_ح_بهمن[[#This Row],[کارکرد]]/30*حق_مسکن)</f>
        <v/>
      </c>
      <c r="L377" s="91">
        <v>0</v>
      </c>
      <c r="M377" s="89">
        <f>IF(ج_ح_بهمن[[#This Row],[تعداد فرزندان]]="","",ج_ح_بهمن[[#This Row],[کارکرد]]/30*3*ج_ح_بهمن[[#This Row],[تعداد فرزندان]]*حداقل_حقوق_پایه_روزانه)</f>
        <v>0</v>
      </c>
      <c r="N377" s="89" t="str">
        <f>IF(ج_ح_بهمن[[#This Row],[کارکرد]]="","",ج_ح_بهمن[[#This Row],[کارکرد]]/30*حق_خواربار)</f>
        <v/>
      </c>
      <c r="O377" s="89" t="str">
        <f>IFERROR(ج_ح_بهمن[[#This Row],[حقوق پایه]]+ج_ح_بهمن[[#This Row],[اضافه کاری]]+ج_ح_بهمن[[#This Row],[حق مسکن]]+ج_ح_بهمن[[#This Row],[حق اولاد]]+ج_ح_بهمن[[#This Row],[حق و خواروبار]],"")</f>
        <v/>
      </c>
      <c r="P377"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77" s="89" t="str">
        <f>IFERROR(ج_ح_بهمن[[#This Row],[حقوق پایه]]+ج_ح_بهمن[[#This Row],[اضافه کاری]]+ج_ح_بهمن[[#This Row],[حق مسکن]]+ج_ح_بهمن[[#This Row],[حق و خواروبار]]+ج_ح_بهمن[[#This Row],[حق اولاد]]-(2/7)*ج_ح_بهمن[[#This Row],[بیمه پرداختنی]],"")</f>
        <v/>
      </c>
      <c r="R377" s="91">
        <v>0</v>
      </c>
      <c r="S377" s="91">
        <v>0</v>
      </c>
      <c r="T377" s="89" t="str">
        <f>IFERROR(ج_ح_بهمن[[#This Row],[جمع ح و م م بیمه ]]*7%,"")</f>
        <v/>
      </c>
      <c r="U377"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77" s="89" t="str">
        <f>IFERROR(ج_ح_بهمن[[#This Row],[وام]]+ج_ح_بهمن[[#This Row],[مساعده]]+ج_ح_بهمن[[#This Row],[بیمه پرداختنی]]+ج_ح_بهمن[[#This Row],[مالیات پرداختنی]],"")</f>
        <v/>
      </c>
      <c r="W377" s="89" t="str">
        <f>IFERROR(ج_ح_بهمن[[#This Row],[جمع ح و م]]-ج_ح_بهمن[[#This Row],[جمع کسورات]],"")</f>
        <v/>
      </c>
      <c r="X377" s="108" t="e">
        <f>100000000-ج_ح_بهمن[[#This Row],[جمع ح و م م مالیات]]</f>
        <v>#VALUE!</v>
      </c>
    </row>
    <row r="378" spans="1:24" ht="32.1" customHeight="1">
      <c r="B378" s="1">
        <f>B377</f>
        <v>11</v>
      </c>
      <c r="C378" s="85" t="str">
        <f>IF(ج_ح_بهمن[[#This Row],[نام]]&lt;&gt;"",ROW()-377+1,"")</f>
        <v/>
      </c>
      <c r="D378" s="86"/>
      <c r="E378" s="86"/>
      <c r="F378" s="87"/>
      <c r="G378" s="88" t="str">
        <f>IFERROR(IF(COUNT(ج_ح_بهمن[[#This Row],[کارکرد]]),حداقل_حقوق_پایه_روزانه,""),"")</f>
        <v/>
      </c>
      <c r="H378" s="89" t="str">
        <f>IFERROR(IF(ج_ح_بهمن[[#This Row],[کارکرد]]*ج_ح_بهمن[[#This Row],[دستمزد روزانه ]]=0,"",ج_ح_بهمن[[#This Row],[کارکرد]]*ج_ح_بهمن[[#This Row],[دستمزد روزانه ]]),"")</f>
        <v/>
      </c>
      <c r="I378" s="91">
        <v>0</v>
      </c>
      <c r="J378" s="90" t="str">
        <f>IFERROR((ج_ح_بهمن[[#This Row],[دستمزد روزانه ]]/7.33)*1.4*ج_ح_بهمن[[#This Row],[مدت اضافه کاری ]],"")</f>
        <v/>
      </c>
      <c r="K378" s="89" t="str">
        <f>IF(ج_ح_بهمن[[#This Row],[کارکرد]]="","",ج_ح_بهمن[[#This Row],[کارکرد]]/30*حق_مسکن)</f>
        <v/>
      </c>
      <c r="L378" s="91">
        <v>0</v>
      </c>
      <c r="M378" s="89">
        <f>IF(ج_ح_بهمن[[#This Row],[تعداد فرزندان]]="","",ج_ح_بهمن[[#This Row],[کارکرد]]/30*3*ج_ح_بهمن[[#This Row],[تعداد فرزندان]]*حداقل_حقوق_پایه_روزانه)</f>
        <v>0</v>
      </c>
      <c r="N378" s="89" t="str">
        <f>IF(ج_ح_بهمن[[#This Row],[کارکرد]]="","",ج_ح_بهمن[[#This Row],[کارکرد]]/30*حق_خواربار)</f>
        <v/>
      </c>
      <c r="O378" s="89" t="str">
        <f>IFERROR(ج_ح_بهمن[[#This Row],[حقوق پایه]]+ج_ح_بهمن[[#This Row],[اضافه کاری]]+ج_ح_بهمن[[#This Row],[حق مسکن]]+ج_ح_بهمن[[#This Row],[حق اولاد]]+ج_ح_بهمن[[#This Row],[حق و خواروبار]],"")</f>
        <v/>
      </c>
      <c r="P378"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78" s="89" t="str">
        <f>IFERROR(ج_ح_بهمن[[#This Row],[حقوق پایه]]+ج_ح_بهمن[[#This Row],[اضافه کاری]]+ج_ح_بهمن[[#This Row],[حق مسکن]]+ج_ح_بهمن[[#This Row],[حق و خواروبار]]+ج_ح_بهمن[[#This Row],[حق اولاد]]-(2/7)*ج_ح_بهمن[[#This Row],[بیمه پرداختنی]],"")</f>
        <v/>
      </c>
      <c r="R378" s="91">
        <v>0</v>
      </c>
      <c r="S378" s="91">
        <v>0</v>
      </c>
      <c r="T378" s="89" t="str">
        <f>IFERROR(ج_ح_بهمن[[#This Row],[جمع ح و م م بیمه ]]*7%,"")</f>
        <v/>
      </c>
      <c r="U378"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78" s="89" t="str">
        <f>IFERROR(ج_ح_بهمن[[#This Row],[وام]]+ج_ح_بهمن[[#This Row],[مساعده]]+ج_ح_بهمن[[#This Row],[بیمه پرداختنی]]+ج_ح_بهمن[[#This Row],[مالیات پرداختنی]],"")</f>
        <v/>
      </c>
      <c r="W378" s="89" t="str">
        <f>IFERROR(ج_ح_بهمن[[#This Row],[جمع ح و م]]-ج_ح_بهمن[[#This Row],[جمع کسورات]],"")</f>
        <v/>
      </c>
      <c r="X378" s="108" t="e">
        <f>100000000-ج_ح_بهمن[[#This Row],[جمع ح و م م مالیات]]</f>
        <v>#VALUE!</v>
      </c>
    </row>
    <row r="379" spans="1:24" ht="32.1" customHeight="1">
      <c r="B379" s="1">
        <f t="shared" ref="B379:B407" si="9">B378</f>
        <v>11</v>
      </c>
      <c r="C379" s="85" t="str">
        <f>IF(ج_ح_بهمن[[#This Row],[نام]]&lt;&gt;"",ROW()-377+1,"")</f>
        <v/>
      </c>
      <c r="D379" s="86"/>
      <c r="E379" s="86"/>
      <c r="F379" s="87"/>
      <c r="G379" s="88" t="str">
        <f>IFERROR(IF(COUNT(ج_ح_بهمن[[#This Row],[کارکرد]]),حداقل_حقوق_پایه_روزانه,""),"")</f>
        <v/>
      </c>
      <c r="H379" s="89" t="str">
        <f>IFERROR(IF(ج_ح_بهمن[[#This Row],[کارکرد]]*ج_ح_بهمن[[#This Row],[دستمزد روزانه ]]=0,"",ج_ح_بهمن[[#This Row],[کارکرد]]*ج_ح_بهمن[[#This Row],[دستمزد روزانه ]]),"")</f>
        <v/>
      </c>
      <c r="I379" s="91">
        <v>0</v>
      </c>
      <c r="J379" s="90" t="str">
        <f>IFERROR((ج_ح_بهمن[[#This Row],[دستمزد روزانه ]]/7.33)*1.4*ج_ح_بهمن[[#This Row],[مدت اضافه کاری ]],"")</f>
        <v/>
      </c>
      <c r="K379" s="89" t="str">
        <f>IF(ج_ح_بهمن[[#This Row],[کارکرد]]="","",ج_ح_بهمن[[#This Row],[کارکرد]]/30*حق_مسکن)</f>
        <v/>
      </c>
      <c r="L379" s="91">
        <v>0</v>
      </c>
      <c r="M379" s="89">
        <f>IF(ج_ح_بهمن[[#This Row],[تعداد فرزندان]]="","",ج_ح_بهمن[[#This Row],[کارکرد]]/30*3*ج_ح_بهمن[[#This Row],[تعداد فرزندان]]*حداقل_حقوق_پایه_روزانه)</f>
        <v>0</v>
      </c>
      <c r="N379" s="89" t="str">
        <f>IF(ج_ح_بهمن[[#This Row],[کارکرد]]="","",ج_ح_بهمن[[#This Row],[کارکرد]]/30*حق_خواربار)</f>
        <v/>
      </c>
      <c r="O379" s="89" t="str">
        <f>IFERROR(ج_ح_بهمن[[#This Row],[حقوق پایه]]+ج_ح_بهمن[[#This Row],[اضافه کاری]]+ج_ح_بهمن[[#This Row],[حق مسکن]]+ج_ح_بهمن[[#This Row],[حق اولاد]]+ج_ح_بهمن[[#This Row],[حق و خواروبار]],"")</f>
        <v/>
      </c>
      <c r="P379"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79" s="89" t="str">
        <f>IFERROR(ج_ح_بهمن[[#This Row],[حقوق پایه]]+ج_ح_بهمن[[#This Row],[اضافه کاری]]+ج_ح_بهمن[[#This Row],[حق مسکن]]+ج_ح_بهمن[[#This Row],[حق و خواروبار]]+ج_ح_بهمن[[#This Row],[حق اولاد]]-(2/7)*ج_ح_بهمن[[#This Row],[بیمه پرداختنی]],"")</f>
        <v/>
      </c>
      <c r="R379" s="91">
        <v>0</v>
      </c>
      <c r="S379" s="91">
        <v>0</v>
      </c>
      <c r="T379" s="89" t="str">
        <f>IFERROR(ج_ح_بهمن[[#This Row],[جمع ح و م م بیمه ]]*7%,"")</f>
        <v/>
      </c>
      <c r="U379"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79" s="89" t="str">
        <f>IFERROR(ج_ح_بهمن[[#This Row],[وام]]+ج_ح_بهمن[[#This Row],[مساعده]]+ج_ح_بهمن[[#This Row],[بیمه پرداختنی]]+ج_ح_بهمن[[#This Row],[مالیات پرداختنی]],"")</f>
        <v/>
      </c>
      <c r="W379" s="89" t="str">
        <f>IFERROR(ج_ح_بهمن[[#This Row],[جمع ح و م]]-ج_ح_بهمن[[#This Row],[جمع کسورات]],"")</f>
        <v/>
      </c>
      <c r="X379" s="108" t="e">
        <f>100000000-ج_ح_بهمن[[#This Row],[جمع ح و م م مالیات]]</f>
        <v>#VALUE!</v>
      </c>
    </row>
    <row r="380" spans="1:24" ht="32.1" customHeight="1">
      <c r="B380" s="1">
        <f t="shared" si="9"/>
        <v>11</v>
      </c>
      <c r="C380" s="85" t="str">
        <f>IF(ج_ح_بهمن[[#This Row],[نام]]&lt;&gt;"",ROW()-377+1,"")</f>
        <v/>
      </c>
      <c r="D380" s="86"/>
      <c r="E380" s="86"/>
      <c r="F380" s="87"/>
      <c r="G380" s="88" t="str">
        <f>IFERROR(IF(COUNT(ج_ح_بهمن[[#This Row],[کارکرد]]),حداقل_حقوق_پایه_روزانه,""),"")</f>
        <v/>
      </c>
      <c r="H380" s="89" t="str">
        <f>IFERROR(IF(ج_ح_بهمن[[#This Row],[کارکرد]]*ج_ح_بهمن[[#This Row],[دستمزد روزانه ]]=0,"",ج_ح_بهمن[[#This Row],[کارکرد]]*ج_ح_بهمن[[#This Row],[دستمزد روزانه ]]),"")</f>
        <v/>
      </c>
      <c r="I380" s="91">
        <v>0</v>
      </c>
      <c r="J380" s="90" t="str">
        <f>IFERROR((ج_ح_بهمن[[#This Row],[دستمزد روزانه ]]/7.33)*1.4*ج_ح_بهمن[[#This Row],[مدت اضافه کاری ]],"")</f>
        <v/>
      </c>
      <c r="K380" s="89" t="str">
        <f>IF(ج_ح_بهمن[[#This Row],[کارکرد]]="","",ج_ح_بهمن[[#This Row],[کارکرد]]/30*حق_مسکن)</f>
        <v/>
      </c>
      <c r="L380" s="91">
        <v>0</v>
      </c>
      <c r="M380" s="89">
        <f>IF(ج_ح_بهمن[[#This Row],[تعداد فرزندان]]="","",ج_ح_بهمن[[#This Row],[کارکرد]]/30*3*ج_ح_بهمن[[#This Row],[تعداد فرزندان]]*حداقل_حقوق_پایه_روزانه)</f>
        <v>0</v>
      </c>
      <c r="N380" s="89" t="str">
        <f>IF(ج_ح_بهمن[[#This Row],[کارکرد]]="","",ج_ح_بهمن[[#This Row],[کارکرد]]/30*حق_خواربار)</f>
        <v/>
      </c>
      <c r="O380" s="89" t="str">
        <f>IFERROR(ج_ح_بهمن[[#This Row],[حقوق پایه]]+ج_ح_بهمن[[#This Row],[اضافه کاری]]+ج_ح_بهمن[[#This Row],[حق مسکن]]+ج_ح_بهمن[[#This Row],[حق اولاد]]+ج_ح_بهمن[[#This Row],[حق و خواروبار]],"")</f>
        <v/>
      </c>
      <c r="P380"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80" s="89" t="str">
        <f>IFERROR(ج_ح_بهمن[[#This Row],[حقوق پایه]]+ج_ح_بهمن[[#This Row],[اضافه کاری]]+ج_ح_بهمن[[#This Row],[حق مسکن]]+ج_ح_بهمن[[#This Row],[حق و خواروبار]]+ج_ح_بهمن[[#This Row],[حق اولاد]]-(2/7)*ج_ح_بهمن[[#This Row],[بیمه پرداختنی]],"")</f>
        <v/>
      </c>
      <c r="R380" s="91">
        <v>0</v>
      </c>
      <c r="S380" s="91">
        <v>0</v>
      </c>
      <c r="T380" s="89" t="str">
        <f>IFERROR(ج_ح_بهمن[[#This Row],[جمع ح و م م بیمه ]]*7%,"")</f>
        <v/>
      </c>
      <c r="U380"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80" s="89" t="str">
        <f>IFERROR(ج_ح_بهمن[[#This Row],[وام]]+ج_ح_بهمن[[#This Row],[مساعده]]+ج_ح_بهمن[[#This Row],[بیمه پرداختنی]]+ج_ح_بهمن[[#This Row],[مالیات پرداختنی]],"")</f>
        <v/>
      </c>
      <c r="W380" s="89" t="str">
        <f>IFERROR(ج_ح_بهمن[[#This Row],[جمع ح و م]]-ج_ح_بهمن[[#This Row],[جمع کسورات]],"")</f>
        <v/>
      </c>
      <c r="X380" s="108" t="e">
        <f>100000000-ج_ح_بهمن[[#This Row],[جمع ح و م م مالیات]]</f>
        <v>#VALUE!</v>
      </c>
    </row>
    <row r="381" spans="1:24" ht="32.1" customHeight="1">
      <c r="B381" s="1">
        <f t="shared" si="9"/>
        <v>11</v>
      </c>
      <c r="C381" s="85" t="str">
        <f>IF(ج_ح_بهمن[[#This Row],[نام]]&lt;&gt;"",ROW()-377+1,"")</f>
        <v/>
      </c>
      <c r="D381" s="86"/>
      <c r="E381" s="86"/>
      <c r="F381" s="87"/>
      <c r="G381" s="88" t="str">
        <f>IFERROR(IF(COUNT(ج_ح_بهمن[[#This Row],[کارکرد]]),حداقل_حقوق_پایه_روزانه,""),"")</f>
        <v/>
      </c>
      <c r="H381" s="89" t="str">
        <f>IFERROR(IF(ج_ح_بهمن[[#This Row],[کارکرد]]*ج_ح_بهمن[[#This Row],[دستمزد روزانه ]]=0,"",ج_ح_بهمن[[#This Row],[کارکرد]]*ج_ح_بهمن[[#This Row],[دستمزد روزانه ]]),"")</f>
        <v/>
      </c>
      <c r="I381" s="91"/>
      <c r="J381" s="90" t="str">
        <f>IFERROR((ج_ح_بهمن[[#This Row],[دستمزد روزانه ]]/7.33)*1.4*ج_ح_بهمن[[#This Row],[مدت اضافه کاری ]],"")</f>
        <v/>
      </c>
      <c r="K381" s="89" t="str">
        <f>IF(ج_ح_بهمن[[#This Row],[کارکرد]]="","",ج_ح_بهمن[[#This Row],[کارکرد]]/30*حق_مسکن)</f>
        <v/>
      </c>
      <c r="L381" s="91"/>
      <c r="M381" s="89" t="str">
        <f>IF(ج_ح_بهمن[[#This Row],[تعداد فرزندان]]="","",ج_ح_بهمن[[#This Row],[کارکرد]]/30*3*ج_ح_بهمن[[#This Row],[تعداد فرزندان]]*حداقل_حقوق_پایه_روزانه)</f>
        <v/>
      </c>
      <c r="N381" s="89" t="str">
        <f>IF(ج_ح_بهمن[[#This Row],[کارکرد]]="","",ج_ح_بهمن[[#This Row],[کارکرد]]/30*حق_خواربار)</f>
        <v/>
      </c>
      <c r="O381" s="89" t="str">
        <f>IFERROR(ج_ح_بهمن[[#This Row],[حقوق پایه]]+ج_ح_بهمن[[#This Row],[اضافه کاری]]+ج_ح_بهمن[[#This Row],[حق مسکن]]+ج_ح_بهمن[[#This Row],[حق اولاد]]+ج_ح_بهمن[[#This Row],[حق و خواروبار]],"")</f>
        <v/>
      </c>
      <c r="P381"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81" s="89" t="str">
        <f>IFERROR(ج_ح_بهمن[[#This Row],[حقوق پایه]]+ج_ح_بهمن[[#This Row],[اضافه کاری]]+ج_ح_بهمن[[#This Row],[حق مسکن]]+ج_ح_بهمن[[#This Row],[حق و خواروبار]]+ج_ح_بهمن[[#This Row],[حق اولاد]]-(2/7)*ج_ح_بهمن[[#This Row],[بیمه پرداختنی]],"")</f>
        <v/>
      </c>
      <c r="R381" s="91"/>
      <c r="S381" s="91"/>
      <c r="T381" s="89" t="str">
        <f>IFERROR(ج_ح_بهمن[[#This Row],[جمع ح و م م بیمه ]]*7%,"")</f>
        <v/>
      </c>
      <c r="U381"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81" s="89" t="str">
        <f>IFERROR(ج_ح_بهمن[[#This Row],[وام]]+ج_ح_بهمن[[#This Row],[مساعده]]+ج_ح_بهمن[[#This Row],[بیمه پرداختنی]]+ج_ح_بهمن[[#This Row],[مالیات پرداختنی]],"")</f>
        <v/>
      </c>
      <c r="W381" s="89" t="str">
        <f>IFERROR(ج_ح_بهمن[[#This Row],[جمع ح و م]]-ج_ح_بهمن[[#This Row],[جمع کسورات]],"")</f>
        <v/>
      </c>
      <c r="X381" s="108"/>
    </row>
    <row r="382" spans="1:24" ht="32.1" customHeight="1">
      <c r="B382" s="1">
        <f t="shared" si="9"/>
        <v>11</v>
      </c>
      <c r="C382" s="85" t="str">
        <f>IF(ج_ح_بهمن[[#This Row],[نام]]&lt;&gt;"",ROW()-377+1,"")</f>
        <v/>
      </c>
      <c r="D382" s="86"/>
      <c r="E382" s="86"/>
      <c r="F382" s="87"/>
      <c r="G382" s="88" t="str">
        <f>IFERROR(IF(COUNT(ج_ح_بهمن[[#This Row],[کارکرد]]),حداقل_حقوق_پایه_روزانه,""),"")</f>
        <v/>
      </c>
      <c r="H382" s="89" t="str">
        <f>IFERROR(IF(ج_ح_بهمن[[#This Row],[کارکرد]]*ج_ح_بهمن[[#This Row],[دستمزد روزانه ]]=0,"",ج_ح_بهمن[[#This Row],[کارکرد]]*ج_ح_بهمن[[#This Row],[دستمزد روزانه ]]),"")</f>
        <v/>
      </c>
      <c r="I382" s="91"/>
      <c r="J382" s="90" t="str">
        <f>IFERROR((ج_ح_بهمن[[#This Row],[دستمزد روزانه ]]/7.33)*1.4*ج_ح_بهمن[[#This Row],[مدت اضافه کاری ]],"")</f>
        <v/>
      </c>
      <c r="K382" s="89" t="str">
        <f>IF(ج_ح_بهمن[[#This Row],[کارکرد]]="","",ج_ح_بهمن[[#This Row],[کارکرد]]/30*حق_مسکن)</f>
        <v/>
      </c>
      <c r="L382" s="91"/>
      <c r="M382" s="89" t="str">
        <f>IF(ج_ح_بهمن[[#This Row],[تعداد فرزندان]]="","",ج_ح_بهمن[[#This Row],[کارکرد]]/30*3*ج_ح_بهمن[[#This Row],[تعداد فرزندان]]*حداقل_حقوق_پایه_روزانه)</f>
        <v/>
      </c>
      <c r="N382" s="89" t="str">
        <f>IF(ج_ح_بهمن[[#This Row],[کارکرد]]="","",ج_ح_بهمن[[#This Row],[کارکرد]]/30*حق_خواربار)</f>
        <v/>
      </c>
      <c r="O382" s="89" t="str">
        <f>IFERROR(ج_ح_بهمن[[#This Row],[حقوق پایه]]+ج_ح_بهمن[[#This Row],[اضافه کاری]]+ج_ح_بهمن[[#This Row],[حق مسکن]]+ج_ح_بهمن[[#This Row],[حق اولاد]]+ج_ح_بهمن[[#This Row],[حق و خواروبار]],"")</f>
        <v/>
      </c>
      <c r="P382"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82" s="89" t="str">
        <f>IFERROR(ج_ح_بهمن[[#This Row],[حقوق پایه]]+ج_ح_بهمن[[#This Row],[اضافه کاری]]+ج_ح_بهمن[[#This Row],[حق مسکن]]+ج_ح_بهمن[[#This Row],[حق و خواروبار]]+ج_ح_بهمن[[#This Row],[حق اولاد]]-(2/7)*ج_ح_بهمن[[#This Row],[بیمه پرداختنی]],"")</f>
        <v/>
      </c>
      <c r="R382" s="91"/>
      <c r="S382" s="91"/>
      <c r="T382" s="89" t="str">
        <f>IFERROR(ج_ح_بهمن[[#This Row],[جمع ح و م م بیمه ]]*7%,"")</f>
        <v/>
      </c>
      <c r="U382"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82" s="89" t="str">
        <f>IFERROR(ج_ح_بهمن[[#This Row],[وام]]+ج_ح_بهمن[[#This Row],[مساعده]]+ج_ح_بهمن[[#This Row],[بیمه پرداختنی]]+ج_ح_بهمن[[#This Row],[مالیات پرداختنی]],"")</f>
        <v/>
      </c>
      <c r="W382" s="89" t="str">
        <f>IFERROR(ج_ح_بهمن[[#This Row],[جمع ح و م]]-ج_ح_بهمن[[#This Row],[جمع کسورات]],"")</f>
        <v/>
      </c>
      <c r="X382" s="108"/>
    </row>
    <row r="383" spans="1:24" ht="32.1" customHeight="1">
      <c r="B383" s="1">
        <f t="shared" si="9"/>
        <v>11</v>
      </c>
      <c r="C383" s="85" t="str">
        <f>IF(ج_ح_بهمن[[#This Row],[نام]]&lt;&gt;"",ROW()-377+1,"")</f>
        <v/>
      </c>
      <c r="D383" s="86"/>
      <c r="E383" s="86"/>
      <c r="F383" s="87"/>
      <c r="G383" s="88" t="str">
        <f>IFERROR(IF(COUNT(ج_ح_بهمن[[#This Row],[کارکرد]]),حداقل_حقوق_پایه_روزانه,""),"")</f>
        <v/>
      </c>
      <c r="H383" s="89" t="str">
        <f>IFERROR(IF(ج_ح_بهمن[[#This Row],[کارکرد]]*ج_ح_بهمن[[#This Row],[دستمزد روزانه ]]=0,"",ج_ح_بهمن[[#This Row],[کارکرد]]*ج_ح_بهمن[[#This Row],[دستمزد روزانه ]]),"")</f>
        <v/>
      </c>
      <c r="I383" s="91"/>
      <c r="J383" s="90" t="str">
        <f>IFERROR((ج_ح_بهمن[[#This Row],[دستمزد روزانه ]]/7.33)*1.4*ج_ح_بهمن[[#This Row],[مدت اضافه کاری ]],"")</f>
        <v/>
      </c>
      <c r="K383" s="89" t="str">
        <f>IF(ج_ح_بهمن[[#This Row],[کارکرد]]="","",ج_ح_بهمن[[#This Row],[کارکرد]]/30*حق_مسکن)</f>
        <v/>
      </c>
      <c r="L383" s="91"/>
      <c r="M383" s="89" t="str">
        <f>IF(ج_ح_بهمن[[#This Row],[تعداد فرزندان]]="","",ج_ح_بهمن[[#This Row],[کارکرد]]/30*3*ج_ح_بهمن[[#This Row],[تعداد فرزندان]]*حداقل_حقوق_پایه_روزانه)</f>
        <v/>
      </c>
      <c r="N383" s="89" t="str">
        <f>IF(ج_ح_بهمن[[#This Row],[کارکرد]]="","",ج_ح_بهمن[[#This Row],[کارکرد]]/30*حق_خواربار)</f>
        <v/>
      </c>
      <c r="O383" s="89" t="str">
        <f>IFERROR(ج_ح_بهمن[[#This Row],[حقوق پایه]]+ج_ح_بهمن[[#This Row],[اضافه کاری]]+ج_ح_بهمن[[#This Row],[حق مسکن]]+ج_ح_بهمن[[#This Row],[حق اولاد]]+ج_ح_بهمن[[#This Row],[حق و خواروبار]],"")</f>
        <v/>
      </c>
      <c r="P383"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83" s="89" t="str">
        <f>IFERROR(ج_ح_بهمن[[#This Row],[حقوق پایه]]+ج_ح_بهمن[[#This Row],[اضافه کاری]]+ج_ح_بهمن[[#This Row],[حق مسکن]]+ج_ح_بهمن[[#This Row],[حق و خواروبار]]+ج_ح_بهمن[[#This Row],[حق اولاد]]-(2/7)*ج_ح_بهمن[[#This Row],[بیمه پرداختنی]],"")</f>
        <v/>
      </c>
      <c r="R383" s="91"/>
      <c r="S383" s="91"/>
      <c r="T383" s="89" t="str">
        <f>IFERROR(ج_ح_بهمن[[#This Row],[جمع ح و م م بیمه ]]*7%,"")</f>
        <v/>
      </c>
      <c r="U383"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83" s="89" t="str">
        <f>IFERROR(ج_ح_بهمن[[#This Row],[وام]]+ج_ح_بهمن[[#This Row],[مساعده]]+ج_ح_بهمن[[#This Row],[بیمه پرداختنی]]+ج_ح_بهمن[[#This Row],[مالیات پرداختنی]],"")</f>
        <v/>
      </c>
      <c r="W383" s="89" t="str">
        <f>IFERROR(ج_ح_بهمن[[#This Row],[جمع ح و م]]-ج_ح_بهمن[[#This Row],[جمع کسورات]],"")</f>
        <v/>
      </c>
      <c r="X383" s="108"/>
    </row>
    <row r="384" spans="1:24" ht="32.1" customHeight="1">
      <c r="B384" s="1">
        <f t="shared" si="9"/>
        <v>11</v>
      </c>
      <c r="C384" s="85" t="str">
        <f>IF(ج_ح_بهمن[[#This Row],[نام]]&lt;&gt;"",ROW()-377+1,"")</f>
        <v/>
      </c>
      <c r="D384" s="86"/>
      <c r="E384" s="86"/>
      <c r="F384" s="87"/>
      <c r="G384" s="88" t="str">
        <f>IFERROR(IF(COUNT(ج_ح_بهمن[[#This Row],[کارکرد]]),حداقل_حقوق_پایه_روزانه,""),"")</f>
        <v/>
      </c>
      <c r="H384" s="89" t="str">
        <f>IFERROR(IF(ج_ح_بهمن[[#This Row],[کارکرد]]*ج_ح_بهمن[[#This Row],[دستمزد روزانه ]]=0,"",ج_ح_بهمن[[#This Row],[کارکرد]]*ج_ح_بهمن[[#This Row],[دستمزد روزانه ]]),"")</f>
        <v/>
      </c>
      <c r="I384" s="91"/>
      <c r="J384" s="90" t="str">
        <f>IFERROR((ج_ح_بهمن[[#This Row],[دستمزد روزانه ]]/7.33)*1.4*ج_ح_بهمن[[#This Row],[مدت اضافه کاری ]],"")</f>
        <v/>
      </c>
      <c r="K384" s="89" t="str">
        <f>IF(ج_ح_بهمن[[#This Row],[کارکرد]]="","",ج_ح_بهمن[[#This Row],[کارکرد]]/30*حق_مسکن)</f>
        <v/>
      </c>
      <c r="L384" s="91"/>
      <c r="M384" s="89" t="str">
        <f>IF(ج_ح_بهمن[[#This Row],[تعداد فرزندان]]="","",ج_ح_بهمن[[#This Row],[کارکرد]]/30*3*ج_ح_بهمن[[#This Row],[تعداد فرزندان]]*حداقل_حقوق_پایه_روزانه)</f>
        <v/>
      </c>
      <c r="N384" s="89" t="str">
        <f>IF(ج_ح_بهمن[[#This Row],[کارکرد]]="","",ج_ح_بهمن[[#This Row],[کارکرد]]/30*حق_خواربار)</f>
        <v/>
      </c>
      <c r="O384" s="89" t="str">
        <f>IFERROR(ج_ح_بهمن[[#This Row],[حقوق پایه]]+ج_ح_بهمن[[#This Row],[اضافه کاری]]+ج_ح_بهمن[[#This Row],[حق مسکن]]+ج_ح_بهمن[[#This Row],[حق اولاد]]+ج_ح_بهمن[[#This Row],[حق و خواروبار]],"")</f>
        <v/>
      </c>
      <c r="P384"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84" s="89" t="str">
        <f>IFERROR(ج_ح_بهمن[[#This Row],[حقوق پایه]]+ج_ح_بهمن[[#This Row],[اضافه کاری]]+ج_ح_بهمن[[#This Row],[حق مسکن]]+ج_ح_بهمن[[#This Row],[حق و خواروبار]]+ج_ح_بهمن[[#This Row],[حق اولاد]]-(2/7)*ج_ح_بهمن[[#This Row],[بیمه پرداختنی]],"")</f>
        <v/>
      </c>
      <c r="R384" s="91"/>
      <c r="S384" s="91"/>
      <c r="T384" s="89" t="str">
        <f>IFERROR(ج_ح_بهمن[[#This Row],[جمع ح و م م بیمه ]]*7%,"")</f>
        <v/>
      </c>
      <c r="U384"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84" s="89" t="str">
        <f>IFERROR(ج_ح_بهمن[[#This Row],[وام]]+ج_ح_بهمن[[#This Row],[مساعده]]+ج_ح_بهمن[[#This Row],[بیمه پرداختنی]]+ج_ح_بهمن[[#This Row],[مالیات پرداختنی]],"")</f>
        <v/>
      </c>
      <c r="W384" s="89" t="str">
        <f>IFERROR(ج_ح_بهمن[[#This Row],[جمع ح و م]]-ج_ح_بهمن[[#This Row],[جمع کسورات]],"")</f>
        <v/>
      </c>
      <c r="X384" s="108"/>
    </row>
    <row r="385" spans="2:24" ht="32.1" customHeight="1">
      <c r="B385" s="1">
        <f t="shared" si="9"/>
        <v>11</v>
      </c>
      <c r="C385" s="85" t="str">
        <f>IF(ج_ح_بهمن[[#This Row],[نام]]&lt;&gt;"",ROW()-377+1,"")</f>
        <v/>
      </c>
      <c r="D385" s="86"/>
      <c r="E385" s="86"/>
      <c r="F385" s="87"/>
      <c r="G385" s="88" t="str">
        <f>IFERROR(IF(COUNT(ج_ح_بهمن[[#This Row],[کارکرد]]),حداقل_حقوق_پایه_روزانه,""),"")</f>
        <v/>
      </c>
      <c r="H385" s="89" t="str">
        <f>IFERROR(IF(ج_ح_بهمن[[#This Row],[کارکرد]]*ج_ح_بهمن[[#This Row],[دستمزد روزانه ]]=0,"",ج_ح_بهمن[[#This Row],[کارکرد]]*ج_ح_بهمن[[#This Row],[دستمزد روزانه ]]),"")</f>
        <v/>
      </c>
      <c r="I385" s="91"/>
      <c r="J385" s="90" t="str">
        <f>IFERROR((ج_ح_بهمن[[#This Row],[دستمزد روزانه ]]/7.33)*1.4*ج_ح_بهمن[[#This Row],[مدت اضافه کاری ]],"")</f>
        <v/>
      </c>
      <c r="K385" s="89" t="str">
        <f>IF(ج_ح_بهمن[[#This Row],[کارکرد]]="","",ج_ح_بهمن[[#This Row],[کارکرد]]/30*حق_مسکن)</f>
        <v/>
      </c>
      <c r="L385" s="91"/>
      <c r="M385" s="89" t="str">
        <f>IF(ج_ح_بهمن[[#This Row],[تعداد فرزندان]]="","",ج_ح_بهمن[[#This Row],[کارکرد]]/30*3*ج_ح_بهمن[[#This Row],[تعداد فرزندان]]*حداقل_حقوق_پایه_روزانه)</f>
        <v/>
      </c>
      <c r="N385" s="89" t="str">
        <f>IF(ج_ح_بهمن[[#This Row],[کارکرد]]="","",ج_ح_بهمن[[#This Row],[کارکرد]]/30*حق_خواربار)</f>
        <v/>
      </c>
      <c r="O385" s="89" t="str">
        <f>IFERROR(ج_ح_بهمن[[#This Row],[حقوق پایه]]+ج_ح_بهمن[[#This Row],[اضافه کاری]]+ج_ح_بهمن[[#This Row],[حق مسکن]]+ج_ح_بهمن[[#This Row],[حق اولاد]]+ج_ح_بهمن[[#This Row],[حق و خواروبار]],"")</f>
        <v/>
      </c>
      <c r="P385"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85" s="89" t="str">
        <f>IFERROR(ج_ح_بهمن[[#This Row],[حقوق پایه]]+ج_ح_بهمن[[#This Row],[اضافه کاری]]+ج_ح_بهمن[[#This Row],[حق مسکن]]+ج_ح_بهمن[[#This Row],[حق و خواروبار]]+ج_ح_بهمن[[#This Row],[حق اولاد]]-(2/7)*ج_ح_بهمن[[#This Row],[بیمه پرداختنی]],"")</f>
        <v/>
      </c>
      <c r="R385" s="91"/>
      <c r="S385" s="91"/>
      <c r="T385" s="89" t="str">
        <f>IFERROR(ج_ح_بهمن[[#This Row],[جمع ح و م م بیمه ]]*7%,"")</f>
        <v/>
      </c>
      <c r="U385"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85" s="89" t="str">
        <f>IFERROR(ج_ح_بهمن[[#This Row],[وام]]+ج_ح_بهمن[[#This Row],[مساعده]]+ج_ح_بهمن[[#This Row],[بیمه پرداختنی]]+ج_ح_بهمن[[#This Row],[مالیات پرداختنی]],"")</f>
        <v/>
      </c>
      <c r="W385" s="89" t="str">
        <f>IFERROR(ج_ح_بهمن[[#This Row],[جمع ح و م]]-ج_ح_بهمن[[#This Row],[جمع کسورات]],"")</f>
        <v/>
      </c>
      <c r="X385" s="108"/>
    </row>
    <row r="386" spans="2:24" ht="32.1" customHeight="1">
      <c r="B386" s="1">
        <f t="shared" si="9"/>
        <v>11</v>
      </c>
      <c r="C386" s="85" t="str">
        <f>IF(ج_ح_بهمن[[#This Row],[نام]]&lt;&gt;"",ROW()-377+1,"")</f>
        <v/>
      </c>
      <c r="D386" s="86"/>
      <c r="E386" s="86"/>
      <c r="F386" s="87"/>
      <c r="G386" s="88" t="str">
        <f>IFERROR(IF(COUNT(ج_ح_بهمن[[#This Row],[کارکرد]]),حداقل_حقوق_پایه_روزانه,""),"")</f>
        <v/>
      </c>
      <c r="H386" s="89" t="str">
        <f>IFERROR(IF(ج_ح_بهمن[[#This Row],[کارکرد]]*ج_ح_بهمن[[#This Row],[دستمزد روزانه ]]=0,"",ج_ح_بهمن[[#This Row],[کارکرد]]*ج_ح_بهمن[[#This Row],[دستمزد روزانه ]]),"")</f>
        <v/>
      </c>
      <c r="I386" s="91"/>
      <c r="J386" s="90" t="str">
        <f>IFERROR((ج_ح_بهمن[[#This Row],[دستمزد روزانه ]]/7.33)*1.4*ج_ح_بهمن[[#This Row],[مدت اضافه کاری ]],"")</f>
        <v/>
      </c>
      <c r="K386" s="89" t="str">
        <f>IF(ج_ح_بهمن[[#This Row],[کارکرد]]="","",ج_ح_بهمن[[#This Row],[کارکرد]]/30*حق_مسکن)</f>
        <v/>
      </c>
      <c r="L386" s="91"/>
      <c r="M386" s="89" t="str">
        <f>IF(ج_ح_بهمن[[#This Row],[تعداد فرزندان]]="","",ج_ح_بهمن[[#This Row],[کارکرد]]/30*3*ج_ح_بهمن[[#This Row],[تعداد فرزندان]]*حداقل_حقوق_پایه_روزانه)</f>
        <v/>
      </c>
      <c r="N386" s="89" t="str">
        <f>IF(ج_ح_بهمن[[#This Row],[کارکرد]]="","",ج_ح_بهمن[[#This Row],[کارکرد]]/30*حق_خواربار)</f>
        <v/>
      </c>
      <c r="O386" s="89" t="str">
        <f>IFERROR(ج_ح_بهمن[[#This Row],[حقوق پایه]]+ج_ح_بهمن[[#This Row],[اضافه کاری]]+ج_ح_بهمن[[#This Row],[حق مسکن]]+ج_ح_بهمن[[#This Row],[حق اولاد]]+ج_ح_بهمن[[#This Row],[حق و خواروبار]],"")</f>
        <v/>
      </c>
      <c r="P386"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86" s="89" t="str">
        <f>IFERROR(ج_ح_بهمن[[#This Row],[حقوق پایه]]+ج_ح_بهمن[[#This Row],[اضافه کاری]]+ج_ح_بهمن[[#This Row],[حق مسکن]]+ج_ح_بهمن[[#This Row],[حق و خواروبار]]+ج_ح_بهمن[[#This Row],[حق اولاد]]-(2/7)*ج_ح_بهمن[[#This Row],[بیمه پرداختنی]],"")</f>
        <v/>
      </c>
      <c r="R386" s="91"/>
      <c r="S386" s="91"/>
      <c r="T386" s="89" t="str">
        <f>IFERROR(ج_ح_بهمن[[#This Row],[جمع ح و م م بیمه ]]*7%,"")</f>
        <v/>
      </c>
      <c r="U386"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86" s="89" t="str">
        <f>IFERROR(ج_ح_بهمن[[#This Row],[وام]]+ج_ح_بهمن[[#This Row],[مساعده]]+ج_ح_بهمن[[#This Row],[بیمه پرداختنی]]+ج_ح_بهمن[[#This Row],[مالیات پرداختنی]],"")</f>
        <v/>
      </c>
      <c r="W386" s="89" t="str">
        <f>IFERROR(ج_ح_بهمن[[#This Row],[جمع ح و م]]-ج_ح_بهمن[[#This Row],[جمع کسورات]],"")</f>
        <v/>
      </c>
      <c r="X386" s="108"/>
    </row>
    <row r="387" spans="2:24" ht="32.1" customHeight="1">
      <c r="B387" s="1">
        <f t="shared" si="9"/>
        <v>11</v>
      </c>
      <c r="C387" s="85" t="str">
        <f>IF(ج_ح_بهمن[[#This Row],[نام]]&lt;&gt;"",ROW()-377+1,"")</f>
        <v/>
      </c>
      <c r="D387" s="86"/>
      <c r="E387" s="86"/>
      <c r="F387" s="87"/>
      <c r="G387" s="88" t="str">
        <f>IFERROR(IF(COUNT(ج_ح_بهمن[[#This Row],[کارکرد]]),حداقل_حقوق_پایه_روزانه,""),"")</f>
        <v/>
      </c>
      <c r="H387" s="89" t="str">
        <f>IFERROR(IF(ج_ح_بهمن[[#This Row],[کارکرد]]*ج_ح_بهمن[[#This Row],[دستمزد روزانه ]]=0,"",ج_ح_بهمن[[#This Row],[کارکرد]]*ج_ح_بهمن[[#This Row],[دستمزد روزانه ]]),"")</f>
        <v/>
      </c>
      <c r="I387" s="91"/>
      <c r="J387" s="90" t="str">
        <f>IFERROR((ج_ح_بهمن[[#This Row],[دستمزد روزانه ]]/7.33)*1.4*ج_ح_بهمن[[#This Row],[مدت اضافه کاری ]],"")</f>
        <v/>
      </c>
      <c r="K387" s="89" t="str">
        <f>IF(ج_ح_بهمن[[#This Row],[کارکرد]]="","",ج_ح_بهمن[[#This Row],[کارکرد]]/30*حق_مسکن)</f>
        <v/>
      </c>
      <c r="L387" s="91"/>
      <c r="M387" s="89" t="str">
        <f>IF(ج_ح_بهمن[[#This Row],[تعداد فرزندان]]="","",ج_ح_بهمن[[#This Row],[کارکرد]]/30*3*ج_ح_بهمن[[#This Row],[تعداد فرزندان]]*حداقل_حقوق_پایه_روزانه)</f>
        <v/>
      </c>
      <c r="N387" s="89" t="str">
        <f>IF(ج_ح_بهمن[[#This Row],[کارکرد]]="","",ج_ح_بهمن[[#This Row],[کارکرد]]/30*حق_خواربار)</f>
        <v/>
      </c>
      <c r="O387" s="89" t="str">
        <f>IFERROR(ج_ح_بهمن[[#This Row],[حقوق پایه]]+ج_ح_بهمن[[#This Row],[اضافه کاری]]+ج_ح_بهمن[[#This Row],[حق مسکن]]+ج_ح_بهمن[[#This Row],[حق اولاد]]+ج_ح_بهمن[[#This Row],[حق و خواروبار]],"")</f>
        <v/>
      </c>
      <c r="P387"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87" s="89" t="str">
        <f>IFERROR(ج_ح_بهمن[[#This Row],[حقوق پایه]]+ج_ح_بهمن[[#This Row],[اضافه کاری]]+ج_ح_بهمن[[#This Row],[حق مسکن]]+ج_ح_بهمن[[#This Row],[حق و خواروبار]]+ج_ح_بهمن[[#This Row],[حق اولاد]]-(2/7)*ج_ح_بهمن[[#This Row],[بیمه پرداختنی]],"")</f>
        <v/>
      </c>
      <c r="R387" s="91"/>
      <c r="S387" s="91"/>
      <c r="T387" s="89" t="str">
        <f>IFERROR(ج_ح_بهمن[[#This Row],[جمع ح و م م بیمه ]]*7%,"")</f>
        <v/>
      </c>
      <c r="U387"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87" s="89" t="str">
        <f>IFERROR(ج_ح_بهمن[[#This Row],[وام]]+ج_ح_بهمن[[#This Row],[مساعده]]+ج_ح_بهمن[[#This Row],[بیمه پرداختنی]]+ج_ح_بهمن[[#This Row],[مالیات پرداختنی]],"")</f>
        <v/>
      </c>
      <c r="W387" s="89" t="str">
        <f>IFERROR(ج_ح_بهمن[[#This Row],[جمع ح و م]]-ج_ح_بهمن[[#This Row],[جمع کسورات]],"")</f>
        <v/>
      </c>
      <c r="X387" s="108"/>
    </row>
    <row r="388" spans="2:24" ht="32.1" customHeight="1">
      <c r="B388" s="1">
        <f t="shared" si="9"/>
        <v>11</v>
      </c>
      <c r="C388" s="85" t="str">
        <f>IF(ج_ح_بهمن[[#This Row],[نام]]&lt;&gt;"",ROW()-377+1,"")</f>
        <v/>
      </c>
      <c r="D388" s="86"/>
      <c r="E388" s="86"/>
      <c r="F388" s="87"/>
      <c r="G388" s="88" t="str">
        <f>IFERROR(IF(COUNT(ج_ح_بهمن[[#This Row],[کارکرد]]),حداقل_حقوق_پایه_روزانه,""),"")</f>
        <v/>
      </c>
      <c r="H388" s="89" t="str">
        <f>IFERROR(IF(ج_ح_بهمن[[#This Row],[کارکرد]]*ج_ح_بهمن[[#This Row],[دستمزد روزانه ]]=0,"",ج_ح_بهمن[[#This Row],[کارکرد]]*ج_ح_بهمن[[#This Row],[دستمزد روزانه ]]),"")</f>
        <v/>
      </c>
      <c r="I388" s="91"/>
      <c r="J388" s="90" t="str">
        <f>IFERROR((ج_ح_بهمن[[#This Row],[دستمزد روزانه ]]/7.33)*1.4*ج_ح_بهمن[[#This Row],[مدت اضافه کاری ]],"")</f>
        <v/>
      </c>
      <c r="K388" s="89" t="str">
        <f>IF(ج_ح_بهمن[[#This Row],[کارکرد]]="","",ج_ح_بهمن[[#This Row],[کارکرد]]/30*حق_مسکن)</f>
        <v/>
      </c>
      <c r="L388" s="91"/>
      <c r="M388" s="89" t="str">
        <f>IF(ج_ح_بهمن[[#This Row],[تعداد فرزندان]]="","",ج_ح_بهمن[[#This Row],[کارکرد]]/30*3*ج_ح_بهمن[[#This Row],[تعداد فرزندان]]*حداقل_حقوق_پایه_روزانه)</f>
        <v/>
      </c>
      <c r="N388" s="89" t="str">
        <f>IF(ج_ح_بهمن[[#This Row],[کارکرد]]="","",ج_ح_بهمن[[#This Row],[کارکرد]]/30*حق_خواربار)</f>
        <v/>
      </c>
      <c r="O388" s="89" t="str">
        <f>IFERROR(ج_ح_بهمن[[#This Row],[حقوق پایه]]+ج_ح_بهمن[[#This Row],[اضافه کاری]]+ج_ح_بهمن[[#This Row],[حق مسکن]]+ج_ح_بهمن[[#This Row],[حق اولاد]]+ج_ح_بهمن[[#This Row],[حق و خواروبار]],"")</f>
        <v/>
      </c>
      <c r="P388"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88" s="89" t="str">
        <f>IFERROR(ج_ح_بهمن[[#This Row],[حقوق پایه]]+ج_ح_بهمن[[#This Row],[اضافه کاری]]+ج_ح_بهمن[[#This Row],[حق مسکن]]+ج_ح_بهمن[[#This Row],[حق و خواروبار]]+ج_ح_بهمن[[#This Row],[حق اولاد]]-(2/7)*ج_ح_بهمن[[#This Row],[بیمه پرداختنی]],"")</f>
        <v/>
      </c>
      <c r="R388" s="91"/>
      <c r="S388" s="91"/>
      <c r="T388" s="89" t="str">
        <f>IFERROR(ج_ح_بهمن[[#This Row],[جمع ح و م م بیمه ]]*7%,"")</f>
        <v/>
      </c>
      <c r="U388"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88" s="89" t="str">
        <f>IFERROR(ج_ح_بهمن[[#This Row],[وام]]+ج_ح_بهمن[[#This Row],[مساعده]]+ج_ح_بهمن[[#This Row],[بیمه پرداختنی]]+ج_ح_بهمن[[#This Row],[مالیات پرداختنی]],"")</f>
        <v/>
      </c>
      <c r="W388" s="89" t="str">
        <f>IFERROR(ج_ح_بهمن[[#This Row],[جمع ح و م]]-ج_ح_بهمن[[#This Row],[جمع کسورات]],"")</f>
        <v/>
      </c>
      <c r="X388" s="108"/>
    </row>
    <row r="389" spans="2:24" ht="32.1" customHeight="1">
      <c r="B389" s="1">
        <f t="shared" si="9"/>
        <v>11</v>
      </c>
      <c r="C389" s="85" t="str">
        <f>IF(ج_ح_بهمن[[#This Row],[نام]]&lt;&gt;"",ROW()-377+1,"")</f>
        <v/>
      </c>
      <c r="D389" s="86"/>
      <c r="E389" s="86"/>
      <c r="F389" s="87"/>
      <c r="G389" s="88" t="str">
        <f>IFERROR(IF(COUNT(ج_ح_بهمن[[#This Row],[کارکرد]]),حداقل_حقوق_پایه_روزانه,""),"")</f>
        <v/>
      </c>
      <c r="H389" s="89" t="str">
        <f>IFERROR(IF(ج_ح_بهمن[[#This Row],[کارکرد]]*ج_ح_بهمن[[#This Row],[دستمزد روزانه ]]=0,"",ج_ح_بهمن[[#This Row],[کارکرد]]*ج_ح_بهمن[[#This Row],[دستمزد روزانه ]]),"")</f>
        <v/>
      </c>
      <c r="I389" s="91"/>
      <c r="J389" s="90" t="str">
        <f>IFERROR((ج_ح_بهمن[[#This Row],[دستمزد روزانه ]]/7.33)*1.4*ج_ح_بهمن[[#This Row],[مدت اضافه کاری ]],"")</f>
        <v/>
      </c>
      <c r="K389" s="89" t="str">
        <f>IF(ج_ح_بهمن[[#This Row],[کارکرد]]="","",ج_ح_بهمن[[#This Row],[کارکرد]]/30*حق_مسکن)</f>
        <v/>
      </c>
      <c r="L389" s="91"/>
      <c r="M389" s="89" t="str">
        <f>IF(ج_ح_بهمن[[#This Row],[تعداد فرزندان]]="","",ج_ح_بهمن[[#This Row],[کارکرد]]/30*3*ج_ح_بهمن[[#This Row],[تعداد فرزندان]]*حداقل_حقوق_پایه_روزانه)</f>
        <v/>
      </c>
      <c r="N389" s="89" t="str">
        <f>IF(ج_ح_بهمن[[#This Row],[کارکرد]]="","",ج_ح_بهمن[[#This Row],[کارکرد]]/30*حق_خواربار)</f>
        <v/>
      </c>
      <c r="O389" s="89" t="str">
        <f>IFERROR(ج_ح_بهمن[[#This Row],[حقوق پایه]]+ج_ح_بهمن[[#This Row],[اضافه کاری]]+ج_ح_بهمن[[#This Row],[حق مسکن]]+ج_ح_بهمن[[#This Row],[حق اولاد]]+ج_ح_بهمن[[#This Row],[حق و خواروبار]],"")</f>
        <v/>
      </c>
      <c r="P389"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89" s="89" t="str">
        <f>IFERROR(ج_ح_بهمن[[#This Row],[حقوق پایه]]+ج_ح_بهمن[[#This Row],[اضافه کاری]]+ج_ح_بهمن[[#This Row],[حق مسکن]]+ج_ح_بهمن[[#This Row],[حق و خواروبار]]+ج_ح_بهمن[[#This Row],[حق اولاد]]-(2/7)*ج_ح_بهمن[[#This Row],[بیمه پرداختنی]],"")</f>
        <v/>
      </c>
      <c r="R389" s="91"/>
      <c r="S389" s="91"/>
      <c r="T389" s="89" t="str">
        <f>IFERROR(ج_ح_بهمن[[#This Row],[جمع ح و م م بیمه ]]*7%,"")</f>
        <v/>
      </c>
      <c r="U389"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89" s="89" t="str">
        <f>IFERROR(ج_ح_بهمن[[#This Row],[وام]]+ج_ح_بهمن[[#This Row],[مساعده]]+ج_ح_بهمن[[#This Row],[بیمه پرداختنی]]+ج_ح_بهمن[[#This Row],[مالیات پرداختنی]],"")</f>
        <v/>
      </c>
      <c r="W389" s="89" t="str">
        <f>IFERROR(ج_ح_بهمن[[#This Row],[جمع ح و م]]-ج_ح_بهمن[[#This Row],[جمع کسورات]],"")</f>
        <v/>
      </c>
      <c r="X389" s="108"/>
    </row>
    <row r="390" spans="2:24" ht="32.1" customHeight="1">
      <c r="B390" s="1">
        <f t="shared" si="9"/>
        <v>11</v>
      </c>
      <c r="C390" s="85" t="str">
        <f>IF(ج_ح_بهمن[[#This Row],[نام]]&lt;&gt;"",ROW()-377+1,"")</f>
        <v/>
      </c>
      <c r="D390" s="86"/>
      <c r="E390" s="86"/>
      <c r="F390" s="87"/>
      <c r="G390" s="88" t="str">
        <f>IFERROR(IF(COUNT(ج_ح_بهمن[[#This Row],[کارکرد]]),حداقل_حقوق_پایه_روزانه,""),"")</f>
        <v/>
      </c>
      <c r="H390" s="89" t="str">
        <f>IFERROR(IF(ج_ح_بهمن[[#This Row],[کارکرد]]*ج_ح_بهمن[[#This Row],[دستمزد روزانه ]]=0,"",ج_ح_بهمن[[#This Row],[کارکرد]]*ج_ح_بهمن[[#This Row],[دستمزد روزانه ]]),"")</f>
        <v/>
      </c>
      <c r="I390" s="91"/>
      <c r="J390" s="90" t="str">
        <f>IFERROR((ج_ح_بهمن[[#This Row],[دستمزد روزانه ]]/7.33)*1.4*ج_ح_بهمن[[#This Row],[مدت اضافه کاری ]],"")</f>
        <v/>
      </c>
      <c r="K390" s="89" t="str">
        <f>IF(ج_ح_بهمن[[#This Row],[کارکرد]]="","",ج_ح_بهمن[[#This Row],[کارکرد]]/30*حق_مسکن)</f>
        <v/>
      </c>
      <c r="L390" s="91"/>
      <c r="M390" s="89" t="str">
        <f>IF(ج_ح_بهمن[[#This Row],[تعداد فرزندان]]="","",ج_ح_بهمن[[#This Row],[کارکرد]]/30*3*ج_ح_بهمن[[#This Row],[تعداد فرزندان]]*حداقل_حقوق_پایه_روزانه)</f>
        <v/>
      </c>
      <c r="N390" s="89" t="str">
        <f>IF(ج_ح_بهمن[[#This Row],[کارکرد]]="","",ج_ح_بهمن[[#This Row],[کارکرد]]/30*حق_خواربار)</f>
        <v/>
      </c>
      <c r="O390" s="89" t="str">
        <f>IFERROR(ج_ح_بهمن[[#This Row],[حقوق پایه]]+ج_ح_بهمن[[#This Row],[اضافه کاری]]+ج_ح_بهمن[[#This Row],[حق مسکن]]+ج_ح_بهمن[[#This Row],[حق اولاد]]+ج_ح_بهمن[[#This Row],[حق و خواروبار]],"")</f>
        <v/>
      </c>
      <c r="P390"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90" s="89" t="str">
        <f>IFERROR(ج_ح_بهمن[[#This Row],[حقوق پایه]]+ج_ح_بهمن[[#This Row],[اضافه کاری]]+ج_ح_بهمن[[#This Row],[حق مسکن]]+ج_ح_بهمن[[#This Row],[حق و خواروبار]]+ج_ح_بهمن[[#This Row],[حق اولاد]]-(2/7)*ج_ح_بهمن[[#This Row],[بیمه پرداختنی]],"")</f>
        <v/>
      </c>
      <c r="R390" s="91"/>
      <c r="S390" s="91"/>
      <c r="T390" s="89" t="str">
        <f>IFERROR(ج_ح_بهمن[[#This Row],[جمع ح و م م بیمه ]]*7%,"")</f>
        <v/>
      </c>
      <c r="U390"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90" s="89" t="str">
        <f>IFERROR(ج_ح_بهمن[[#This Row],[وام]]+ج_ح_بهمن[[#This Row],[مساعده]]+ج_ح_بهمن[[#This Row],[بیمه پرداختنی]]+ج_ح_بهمن[[#This Row],[مالیات پرداختنی]],"")</f>
        <v/>
      </c>
      <c r="W390" s="89" t="str">
        <f>IFERROR(ج_ح_بهمن[[#This Row],[جمع ح و م]]-ج_ح_بهمن[[#This Row],[جمع کسورات]],"")</f>
        <v/>
      </c>
      <c r="X390" s="108"/>
    </row>
    <row r="391" spans="2:24" ht="32.1" customHeight="1">
      <c r="B391" s="1">
        <f t="shared" si="9"/>
        <v>11</v>
      </c>
      <c r="C391" s="85" t="str">
        <f>IF(ج_ح_بهمن[[#This Row],[نام]]&lt;&gt;"",ROW()-377+1,"")</f>
        <v/>
      </c>
      <c r="D391" s="86"/>
      <c r="E391" s="86"/>
      <c r="F391" s="87"/>
      <c r="G391" s="88" t="str">
        <f>IFERROR(IF(COUNT(ج_ح_بهمن[[#This Row],[کارکرد]]),حداقل_حقوق_پایه_روزانه,""),"")</f>
        <v/>
      </c>
      <c r="H391" s="89" t="str">
        <f>IFERROR(IF(ج_ح_بهمن[[#This Row],[کارکرد]]*ج_ح_بهمن[[#This Row],[دستمزد روزانه ]]=0,"",ج_ح_بهمن[[#This Row],[کارکرد]]*ج_ح_بهمن[[#This Row],[دستمزد روزانه ]]),"")</f>
        <v/>
      </c>
      <c r="I391" s="91"/>
      <c r="J391" s="90" t="str">
        <f>IFERROR((ج_ح_بهمن[[#This Row],[دستمزد روزانه ]]/7.33)*1.4*ج_ح_بهمن[[#This Row],[مدت اضافه کاری ]],"")</f>
        <v/>
      </c>
      <c r="K391" s="89" t="str">
        <f>IF(ج_ح_بهمن[[#This Row],[کارکرد]]="","",ج_ح_بهمن[[#This Row],[کارکرد]]/30*حق_مسکن)</f>
        <v/>
      </c>
      <c r="L391" s="91"/>
      <c r="M391" s="89" t="str">
        <f>IF(ج_ح_بهمن[[#This Row],[تعداد فرزندان]]="","",ج_ح_بهمن[[#This Row],[کارکرد]]/30*3*ج_ح_بهمن[[#This Row],[تعداد فرزندان]]*حداقل_حقوق_پایه_روزانه)</f>
        <v/>
      </c>
      <c r="N391" s="89" t="str">
        <f>IF(ج_ح_بهمن[[#This Row],[کارکرد]]="","",ج_ح_بهمن[[#This Row],[کارکرد]]/30*حق_خواربار)</f>
        <v/>
      </c>
      <c r="O391" s="89" t="str">
        <f>IFERROR(ج_ح_بهمن[[#This Row],[حقوق پایه]]+ج_ح_بهمن[[#This Row],[اضافه کاری]]+ج_ح_بهمن[[#This Row],[حق مسکن]]+ج_ح_بهمن[[#This Row],[حق اولاد]]+ج_ح_بهمن[[#This Row],[حق و خواروبار]],"")</f>
        <v/>
      </c>
      <c r="P391"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91" s="89" t="str">
        <f>IFERROR(ج_ح_بهمن[[#This Row],[حقوق پایه]]+ج_ح_بهمن[[#This Row],[اضافه کاری]]+ج_ح_بهمن[[#This Row],[حق مسکن]]+ج_ح_بهمن[[#This Row],[حق و خواروبار]]+ج_ح_بهمن[[#This Row],[حق اولاد]]-(2/7)*ج_ح_بهمن[[#This Row],[بیمه پرداختنی]],"")</f>
        <v/>
      </c>
      <c r="R391" s="91"/>
      <c r="S391" s="91"/>
      <c r="T391" s="89" t="str">
        <f>IFERROR(ج_ح_بهمن[[#This Row],[جمع ح و م م بیمه ]]*7%,"")</f>
        <v/>
      </c>
      <c r="U391"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91" s="89" t="str">
        <f>IFERROR(ج_ح_بهمن[[#This Row],[وام]]+ج_ح_بهمن[[#This Row],[مساعده]]+ج_ح_بهمن[[#This Row],[بیمه پرداختنی]]+ج_ح_بهمن[[#This Row],[مالیات پرداختنی]],"")</f>
        <v/>
      </c>
      <c r="W391" s="89" t="str">
        <f>IFERROR(ج_ح_بهمن[[#This Row],[جمع ح و م]]-ج_ح_بهمن[[#This Row],[جمع کسورات]],"")</f>
        <v/>
      </c>
      <c r="X391" s="108"/>
    </row>
    <row r="392" spans="2:24" ht="32.1" customHeight="1">
      <c r="B392" s="1">
        <f t="shared" si="9"/>
        <v>11</v>
      </c>
      <c r="C392" s="85" t="str">
        <f>IF(ج_ح_بهمن[[#This Row],[نام]]&lt;&gt;"",ROW()-377+1,"")</f>
        <v/>
      </c>
      <c r="D392" s="86"/>
      <c r="E392" s="86"/>
      <c r="F392" s="87"/>
      <c r="G392" s="88" t="str">
        <f>IFERROR(IF(COUNT(ج_ح_بهمن[[#This Row],[کارکرد]]),حداقل_حقوق_پایه_روزانه,""),"")</f>
        <v/>
      </c>
      <c r="H392" s="89" t="str">
        <f>IFERROR(IF(ج_ح_بهمن[[#This Row],[کارکرد]]*ج_ح_بهمن[[#This Row],[دستمزد روزانه ]]=0,"",ج_ح_بهمن[[#This Row],[کارکرد]]*ج_ح_بهمن[[#This Row],[دستمزد روزانه ]]),"")</f>
        <v/>
      </c>
      <c r="I392" s="91"/>
      <c r="J392" s="90" t="str">
        <f>IFERROR((ج_ح_بهمن[[#This Row],[دستمزد روزانه ]]/7.33)*1.4*ج_ح_بهمن[[#This Row],[مدت اضافه کاری ]],"")</f>
        <v/>
      </c>
      <c r="K392" s="89" t="str">
        <f>IF(ج_ح_بهمن[[#This Row],[کارکرد]]="","",ج_ح_بهمن[[#This Row],[کارکرد]]/30*حق_مسکن)</f>
        <v/>
      </c>
      <c r="L392" s="91"/>
      <c r="M392" s="89" t="str">
        <f>IF(ج_ح_بهمن[[#This Row],[تعداد فرزندان]]="","",ج_ح_بهمن[[#This Row],[کارکرد]]/30*3*ج_ح_بهمن[[#This Row],[تعداد فرزندان]]*حداقل_حقوق_پایه_روزانه)</f>
        <v/>
      </c>
      <c r="N392" s="89" t="str">
        <f>IF(ج_ح_بهمن[[#This Row],[کارکرد]]="","",ج_ح_بهمن[[#This Row],[کارکرد]]/30*حق_خواربار)</f>
        <v/>
      </c>
      <c r="O392" s="89" t="str">
        <f>IFERROR(ج_ح_بهمن[[#This Row],[حقوق پایه]]+ج_ح_بهمن[[#This Row],[اضافه کاری]]+ج_ح_بهمن[[#This Row],[حق مسکن]]+ج_ح_بهمن[[#This Row],[حق اولاد]]+ج_ح_بهمن[[#This Row],[حق و خواروبار]],"")</f>
        <v/>
      </c>
      <c r="P392"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92" s="89" t="str">
        <f>IFERROR(ج_ح_بهمن[[#This Row],[حقوق پایه]]+ج_ح_بهمن[[#This Row],[اضافه کاری]]+ج_ح_بهمن[[#This Row],[حق مسکن]]+ج_ح_بهمن[[#This Row],[حق و خواروبار]]+ج_ح_بهمن[[#This Row],[حق اولاد]]-(2/7)*ج_ح_بهمن[[#This Row],[بیمه پرداختنی]],"")</f>
        <v/>
      </c>
      <c r="R392" s="91"/>
      <c r="S392" s="91"/>
      <c r="T392" s="89" t="str">
        <f>IFERROR(ج_ح_بهمن[[#This Row],[جمع ح و م م بیمه ]]*7%,"")</f>
        <v/>
      </c>
      <c r="U392"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92" s="89" t="str">
        <f>IFERROR(ج_ح_بهمن[[#This Row],[وام]]+ج_ح_بهمن[[#This Row],[مساعده]]+ج_ح_بهمن[[#This Row],[بیمه پرداختنی]]+ج_ح_بهمن[[#This Row],[مالیات پرداختنی]],"")</f>
        <v/>
      </c>
      <c r="W392" s="89" t="str">
        <f>IFERROR(ج_ح_بهمن[[#This Row],[جمع ح و م]]-ج_ح_بهمن[[#This Row],[جمع کسورات]],"")</f>
        <v/>
      </c>
      <c r="X392" s="108"/>
    </row>
    <row r="393" spans="2:24" ht="32.1" customHeight="1">
      <c r="B393" s="1">
        <f t="shared" si="9"/>
        <v>11</v>
      </c>
      <c r="C393" s="85" t="str">
        <f>IF(ج_ح_بهمن[[#This Row],[نام]]&lt;&gt;"",ROW()-377+1,"")</f>
        <v/>
      </c>
      <c r="D393" s="86"/>
      <c r="E393" s="86"/>
      <c r="F393" s="87"/>
      <c r="G393" s="88" t="str">
        <f>IFERROR(IF(COUNT(ج_ح_بهمن[[#This Row],[کارکرد]]),حداقل_حقوق_پایه_روزانه,""),"")</f>
        <v/>
      </c>
      <c r="H393" s="89" t="str">
        <f>IFERROR(IF(ج_ح_بهمن[[#This Row],[کارکرد]]*ج_ح_بهمن[[#This Row],[دستمزد روزانه ]]=0,"",ج_ح_بهمن[[#This Row],[کارکرد]]*ج_ح_بهمن[[#This Row],[دستمزد روزانه ]]),"")</f>
        <v/>
      </c>
      <c r="I393" s="91"/>
      <c r="J393" s="90" t="str">
        <f>IFERROR((ج_ح_بهمن[[#This Row],[دستمزد روزانه ]]/7.33)*1.4*ج_ح_بهمن[[#This Row],[مدت اضافه کاری ]],"")</f>
        <v/>
      </c>
      <c r="K393" s="89" t="str">
        <f>IF(ج_ح_بهمن[[#This Row],[کارکرد]]="","",ج_ح_بهمن[[#This Row],[کارکرد]]/30*حق_مسکن)</f>
        <v/>
      </c>
      <c r="L393" s="91"/>
      <c r="M393" s="89" t="str">
        <f>IF(ج_ح_بهمن[[#This Row],[تعداد فرزندان]]="","",ج_ح_بهمن[[#This Row],[کارکرد]]/30*3*ج_ح_بهمن[[#This Row],[تعداد فرزندان]]*حداقل_حقوق_پایه_روزانه)</f>
        <v/>
      </c>
      <c r="N393" s="89" t="str">
        <f>IF(ج_ح_بهمن[[#This Row],[کارکرد]]="","",ج_ح_بهمن[[#This Row],[کارکرد]]/30*حق_خواربار)</f>
        <v/>
      </c>
      <c r="O393" s="89" t="str">
        <f>IFERROR(ج_ح_بهمن[[#This Row],[حقوق پایه]]+ج_ح_بهمن[[#This Row],[اضافه کاری]]+ج_ح_بهمن[[#This Row],[حق مسکن]]+ج_ح_بهمن[[#This Row],[حق اولاد]]+ج_ح_بهمن[[#This Row],[حق و خواروبار]],"")</f>
        <v/>
      </c>
      <c r="P393"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93" s="89" t="str">
        <f>IFERROR(ج_ح_بهمن[[#This Row],[حقوق پایه]]+ج_ح_بهمن[[#This Row],[اضافه کاری]]+ج_ح_بهمن[[#This Row],[حق مسکن]]+ج_ح_بهمن[[#This Row],[حق و خواروبار]]+ج_ح_بهمن[[#This Row],[حق اولاد]]-(2/7)*ج_ح_بهمن[[#This Row],[بیمه پرداختنی]],"")</f>
        <v/>
      </c>
      <c r="R393" s="91"/>
      <c r="S393" s="91"/>
      <c r="T393" s="89" t="str">
        <f>IFERROR(ج_ح_بهمن[[#This Row],[جمع ح و م م بیمه ]]*7%,"")</f>
        <v/>
      </c>
      <c r="U393"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93" s="89" t="str">
        <f>IFERROR(ج_ح_بهمن[[#This Row],[وام]]+ج_ح_بهمن[[#This Row],[مساعده]]+ج_ح_بهمن[[#This Row],[بیمه پرداختنی]]+ج_ح_بهمن[[#This Row],[مالیات پرداختنی]],"")</f>
        <v/>
      </c>
      <c r="W393" s="89" t="str">
        <f>IFERROR(ج_ح_بهمن[[#This Row],[جمع ح و م]]-ج_ح_بهمن[[#This Row],[جمع کسورات]],"")</f>
        <v/>
      </c>
      <c r="X393" s="108"/>
    </row>
    <row r="394" spans="2:24" ht="32.1" customHeight="1">
      <c r="B394" s="1">
        <f t="shared" si="9"/>
        <v>11</v>
      </c>
      <c r="C394" s="85" t="str">
        <f>IF(ج_ح_بهمن[[#This Row],[نام]]&lt;&gt;"",ROW()-377+1,"")</f>
        <v/>
      </c>
      <c r="D394" s="86"/>
      <c r="E394" s="86"/>
      <c r="F394" s="87"/>
      <c r="G394" s="88" t="str">
        <f>IFERROR(IF(COUNT(ج_ح_بهمن[[#This Row],[کارکرد]]),حداقل_حقوق_پایه_روزانه,""),"")</f>
        <v/>
      </c>
      <c r="H394" s="89" t="str">
        <f>IFERROR(IF(ج_ح_بهمن[[#This Row],[کارکرد]]*ج_ح_بهمن[[#This Row],[دستمزد روزانه ]]=0,"",ج_ح_بهمن[[#This Row],[کارکرد]]*ج_ح_بهمن[[#This Row],[دستمزد روزانه ]]),"")</f>
        <v/>
      </c>
      <c r="I394" s="91"/>
      <c r="J394" s="90" t="str">
        <f>IFERROR((ج_ح_بهمن[[#This Row],[دستمزد روزانه ]]/7.33)*1.4*ج_ح_بهمن[[#This Row],[مدت اضافه کاری ]],"")</f>
        <v/>
      </c>
      <c r="K394" s="89" t="str">
        <f>IF(ج_ح_بهمن[[#This Row],[کارکرد]]="","",ج_ح_بهمن[[#This Row],[کارکرد]]/30*حق_مسکن)</f>
        <v/>
      </c>
      <c r="L394" s="91"/>
      <c r="M394" s="89" t="str">
        <f>IF(ج_ح_بهمن[[#This Row],[تعداد فرزندان]]="","",ج_ح_بهمن[[#This Row],[کارکرد]]/30*3*ج_ح_بهمن[[#This Row],[تعداد فرزندان]]*حداقل_حقوق_پایه_روزانه)</f>
        <v/>
      </c>
      <c r="N394" s="89" t="str">
        <f>IF(ج_ح_بهمن[[#This Row],[کارکرد]]="","",ج_ح_بهمن[[#This Row],[کارکرد]]/30*حق_خواربار)</f>
        <v/>
      </c>
      <c r="O394" s="89" t="str">
        <f>IFERROR(ج_ح_بهمن[[#This Row],[حقوق پایه]]+ج_ح_بهمن[[#This Row],[اضافه کاری]]+ج_ح_بهمن[[#This Row],[حق مسکن]]+ج_ح_بهمن[[#This Row],[حق اولاد]]+ج_ح_بهمن[[#This Row],[حق و خواروبار]],"")</f>
        <v/>
      </c>
      <c r="P394"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94" s="89" t="str">
        <f>IFERROR(ج_ح_بهمن[[#This Row],[حقوق پایه]]+ج_ح_بهمن[[#This Row],[اضافه کاری]]+ج_ح_بهمن[[#This Row],[حق مسکن]]+ج_ح_بهمن[[#This Row],[حق و خواروبار]]+ج_ح_بهمن[[#This Row],[حق اولاد]]-(2/7)*ج_ح_بهمن[[#This Row],[بیمه پرداختنی]],"")</f>
        <v/>
      </c>
      <c r="R394" s="91"/>
      <c r="S394" s="91"/>
      <c r="T394" s="89" t="str">
        <f>IFERROR(ج_ح_بهمن[[#This Row],[جمع ح و م م بیمه ]]*7%,"")</f>
        <v/>
      </c>
      <c r="U394"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94" s="89" t="str">
        <f>IFERROR(ج_ح_بهمن[[#This Row],[وام]]+ج_ح_بهمن[[#This Row],[مساعده]]+ج_ح_بهمن[[#This Row],[بیمه پرداختنی]]+ج_ح_بهمن[[#This Row],[مالیات پرداختنی]],"")</f>
        <v/>
      </c>
      <c r="W394" s="89" t="str">
        <f>IFERROR(ج_ح_بهمن[[#This Row],[جمع ح و م]]-ج_ح_بهمن[[#This Row],[جمع کسورات]],"")</f>
        <v/>
      </c>
      <c r="X394" s="108"/>
    </row>
    <row r="395" spans="2:24" ht="32.1" customHeight="1">
      <c r="B395" s="1">
        <f t="shared" si="9"/>
        <v>11</v>
      </c>
      <c r="C395" s="85" t="str">
        <f>IF(ج_ح_بهمن[[#This Row],[نام]]&lt;&gt;"",ROW()-377+1,"")</f>
        <v/>
      </c>
      <c r="D395" s="86"/>
      <c r="E395" s="86"/>
      <c r="F395" s="87"/>
      <c r="G395" s="88" t="str">
        <f>IFERROR(IF(COUNT(ج_ح_بهمن[[#This Row],[کارکرد]]),حداقل_حقوق_پایه_روزانه,""),"")</f>
        <v/>
      </c>
      <c r="H395" s="89" t="str">
        <f>IFERROR(IF(ج_ح_بهمن[[#This Row],[کارکرد]]*ج_ح_بهمن[[#This Row],[دستمزد روزانه ]]=0,"",ج_ح_بهمن[[#This Row],[کارکرد]]*ج_ح_بهمن[[#This Row],[دستمزد روزانه ]]),"")</f>
        <v/>
      </c>
      <c r="I395" s="91"/>
      <c r="J395" s="90" t="str">
        <f>IFERROR((ج_ح_بهمن[[#This Row],[دستمزد روزانه ]]/7.33)*1.4*ج_ح_بهمن[[#This Row],[مدت اضافه کاری ]],"")</f>
        <v/>
      </c>
      <c r="K395" s="89" t="str">
        <f>IF(ج_ح_بهمن[[#This Row],[کارکرد]]="","",ج_ح_بهمن[[#This Row],[کارکرد]]/30*حق_مسکن)</f>
        <v/>
      </c>
      <c r="L395" s="91"/>
      <c r="M395" s="89" t="str">
        <f>IF(ج_ح_بهمن[[#This Row],[تعداد فرزندان]]="","",ج_ح_بهمن[[#This Row],[کارکرد]]/30*3*ج_ح_بهمن[[#This Row],[تعداد فرزندان]]*حداقل_حقوق_پایه_روزانه)</f>
        <v/>
      </c>
      <c r="N395" s="89" t="str">
        <f>IF(ج_ح_بهمن[[#This Row],[کارکرد]]="","",ج_ح_بهمن[[#This Row],[کارکرد]]/30*حق_خواربار)</f>
        <v/>
      </c>
      <c r="O395" s="89" t="str">
        <f>IFERROR(ج_ح_بهمن[[#This Row],[حقوق پایه]]+ج_ح_بهمن[[#This Row],[اضافه کاری]]+ج_ح_بهمن[[#This Row],[حق مسکن]]+ج_ح_بهمن[[#This Row],[حق اولاد]]+ج_ح_بهمن[[#This Row],[حق و خواروبار]],"")</f>
        <v/>
      </c>
      <c r="P395"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95" s="89" t="str">
        <f>IFERROR(ج_ح_بهمن[[#This Row],[حقوق پایه]]+ج_ح_بهمن[[#This Row],[اضافه کاری]]+ج_ح_بهمن[[#This Row],[حق مسکن]]+ج_ح_بهمن[[#This Row],[حق و خواروبار]]+ج_ح_بهمن[[#This Row],[حق اولاد]]-(2/7)*ج_ح_بهمن[[#This Row],[بیمه پرداختنی]],"")</f>
        <v/>
      </c>
      <c r="R395" s="91"/>
      <c r="S395" s="91"/>
      <c r="T395" s="89" t="str">
        <f>IFERROR(ج_ح_بهمن[[#This Row],[جمع ح و م م بیمه ]]*7%,"")</f>
        <v/>
      </c>
      <c r="U395"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95" s="89" t="str">
        <f>IFERROR(ج_ح_بهمن[[#This Row],[وام]]+ج_ح_بهمن[[#This Row],[مساعده]]+ج_ح_بهمن[[#This Row],[بیمه پرداختنی]]+ج_ح_بهمن[[#This Row],[مالیات پرداختنی]],"")</f>
        <v/>
      </c>
      <c r="W395" s="89" t="str">
        <f>IFERROR(ج_ح_بهمن[[#This Row],[جمع ح و م]]-ج_ح_بهمن[[#This Row],[جمع کسورات]],"")</f>
        <v/>
      </c>
      <c r="X395" s="108"/>
    </row>
    <row r="396" spans="2:24" ht="32.1" customHeight="1">
      <c r="B396" s="1">
        <f t="shared" si="9"/>
        <v>11</v>
      </c>
      <c r="C396" s="85" t="str">
        <f>IF(ج_ح_بهمن[[#This Row],[نام]]&lt;&gt;"",ROW()-377+1,"")</f>
        <v/>
      </c>
      <c r="D396" s="86"/>
      <c r="E396" s="86"/>
      <c r="F396" s="87"/>
      <c r="G396" s="88" t="str">
        <f>IFERROR(IF(COUNT(ج_ح_بهمن[[#This Row],[کارکرد]]),حداقل_حقوق_پایه_روزانه,""),"")</f>
        <v/>
      </c>
      <c r="H396" s="89" t="str">
        <f>IFERROR(IF(ج_ح_بهمن[[#This Row],[کارکرد]]*ج_ح_بهمن[[#This Row],[دستمزد روزانه ]]=0,"",ج_ح_بهمن[[#This Row],[کارکرد]]*ج_ح_بهمن[[#This Row],[دستمزد روزانه ]]),"")</f>
        <v/>
      </c>
      <c r="I396" s="91"/>
      <c r="J396" s="90" t="str">
        <f>IFERROR((ج_ح_بهمن[[#This Row],[دستمزد روزانه ]]/7.33)*1.4*ج_ح_بهمن[[#This Row],[مدت اضافه کاری ]],"")</f>
        <v/>
      </c>
      <c r="K396" s="89" t="str">
        <f>IF(ج_ح_بهمن[[#This Row],[کارکرد]]="","",ج_ح_بهمن[[#This Row],[کارکرد]]/30*حق_مسکن)</f>
        <v/>
      </c>
      <c r="L396" s="91"/>
      <c r="M396" s="89" t="str">
        <f>IF(ج_ح_بهمن[[#This Row],[تعداد فرزندان]]="","",ج_ح_بهمن[[#This Row],[کارکرد]]/30*3*ج_ح_بهمن[[#This Row],[تعداد فرزندان]]*حداقل_حقوق_پایه_روزانه)</f>
        <v/>
      </c>
      <c r="N396" s="89" t="str">
        <f>IF(ج_ح_بهمن[[#This Row],[کارکرد]]="","",ج_ح_بهمن[[#This Row],[کارکرد]]/30*حق_خواربار)</f>
        <v/>
      </c>
      <c r="O396" s="89" t="str">
        <f>IFERROR(ج_ح_بهمن[[#This Row],[حقوق پایه]]+ج_ح_بهمن[[#This Row],[اضافه کاری]]+ج_ح_بهمن[[#This Row],[حق مسکن]]+ج_ح_بهمن[[#This Row],[حق اولاد]]+ج_ح_بهمن[[#This Row],[حق و خواروبار]],"")</f>
        <v/>
      </c>
      <c r="P396"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96" s="89" t="str">
        <f>IFERROR(ج_ح_بهمن[[#This Row],[حقوق پایه]]+ج_ح_بهمن[[#This Row],[اضافه کاری]]+ج_ح_بهمن[[#This Row],[حق مسکن]]+ج_ح_بهمن[[#This Row],[حق و خواروبار]]+ج_ح_بهمن[[#This Row],[حق اولاد]]-(2/7)*ج_ح_بهمن[[#This Row],[بیمه پرداختنی]],"")</f>
        <v/>
      </c>
      <c r="R396" s="91"/>
      <c r="S396" s="91"/>
      <c r="T396" s="89" t="str">
        <f>IFERROR(ج_ح_بهمن[[#This Row],[جمع ح و م م بیمه ]]*7%,"")</f>
        <v/>
      </c>
      <c r="U396"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96" s="89" t="str">
        <f>IFERROR(ج_ح_بهمن[[#This Row],[وام]]+ج_ح_بهمن[[#This Row],[مساعده]]+ج_ح_بهمن[[#This Row],[بیمه پرداختنی]]+ج_ح_بهمن[[#This Row],[مالیات پرداختنی]],"")</f>
        <v/>
      </c>
      <c r="W396" s="89" t="str">
        <f>IFERROR(ج_ح_بهمن[[#This Row],[جمع ح و م]]-ج_ح_بهمن[[#This Row],[جمع کسورات]],"")</f>
        <v/>
      </c>
      <c r="X396" s="108"/>
    </row>
    <row r="397" spans="2:24" ht="32.1" customHeight="1">
      <c r="B397" s="1">
        <f t="shared" si="9"/>
        <v>11</v>
      </c>
      <c r="C397" s="85" t="str">
        <f>IF(ج_ح_بهمن[[#This Row],[نام]]&lt;&gt;"",ROW()-377+1,"")</f>
        <v/>
      </c>
      <c r="D397" s="86"/>
      <c r="E397" s="86"/>
      <c r="F397" s="87"/>
      <c r="G397" s="88" t="str">
        <f>IFERROR(IF(COUNT(ج_ح_بهمن[[#This Row],[کارکرد]]),حداقل_حقوق_پایه_روزانه,""),"")</f>
        <v/>
      </c>
      <c r="H397" s="89" t="str">
        <f>IFERROR(IF(ج_ح_بهمن[[#This Row],[کارکرد]]*ج_ح_بهمن[[#This Row],[دستمزد روزانه ]]=0,"",ج_ح_بهمن[[#This Row],[کارکرد]]*ج_ح_بهمن[[#This Row],[دستمزد روزانه ]]),"")</f>
        <v/>
      </c>
      <c r="I397" s="91"/>
      <c r="J397" s="90" t="str">
        <f>IFERROR((ج_ح_بهمن[[#This Row],[دستمزد روزانه ]]/7.33)*1.4*ج_ح_بهمن[[#This Row],[مدت اضافه کاری ]],"")</f>
        <v/>
      </c>
      <c r="K397" s="89" t="str">
        <f>IF(ج_ح_بهمن[[#This Row],[کارکرد]]="","",ج_ح_بهمن[[#This Row],[کارکرد]]/30*حق_مسکن)</f>
        <v/>
      </c>
      <c r="L397" s="91"/>
      <c r="M397" s="89" t="str">
        <f>IF(ج_ح_بهمن[[#This Row],[تعداد فرزندان]]="","",ج_ح_بهمن[[#This Row],[کارکرد]]/30*3*ج_ح_بهمن[[#This Row],[تعداد فرزندان]]*حداقل_حقوق_پایه_روزانه)</f>
        <v/>
      </c>
      <c r="N397" s="89" t="str">
        <f>IF(ج_ح_بهمن[[#This Row],[کارکرد]]="","",ج_ح_بهمن[[#This Row],[کارکرد]]/30*حق_خواربار)</f>
        <v/>
      </c>
      <c r="O397" s="89" t="str">
        <f>IFERROR(ج_ح_بهمن[[#This Row],[حقوق پایه]]+ج_ح_بهمن[[#This Row],[اضافه کاری]]+ج_ح_بهمن[[#This Row],[حق مسکن]]+ج_ح_بهمن[[#This Row],[حق اولاد]]+ج_ح_بهمن[[#This Row],[حق و خواروبار]],"")</f>
        <v/>
      </c>
      <c r="P397"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97" s="89" t="str">
        <f>IFERROR(ج_ح_بهمن[[#This Row],[حقوق پایه]]+ج_ح_بهمن[[#This Row],[اضافه کاری]]+ج_ح_بهمن[[#This Row],[حق مسکن]]+ج_ح_بهمن[[#This Row],[حق و خواروبار]]+ج_ح_بهمن[[#This Row],[حق اولاد]]-(2/7)*ج_ح_بهمن[[#This Row],[بیمه پرداختنی]],"")</f>
        <v/>
      </c>
      <c r="R397" s="91"/>
      <c r="S397" s="91"/>
      <c r="T397" s="89" t="str">
        <f>IFERROR(ج_ح_بهمن[[#This Row],[جمع ح و م م بیمه ]]*7%,"")</f>
        <v/>
      </c>
      <c r="U397"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97" s="89" t="str">
        <f>IFERROR(ج_ح_بهمن[[#This Row],[وام]]+ج_ح_بهمن[[#This Row],[مساعده]]+ج_ح_بهمن[[#This Row],[بیمه پرداختنی]]+ج_ح_بهمن[[#This Row],[مالیات پرداختنی]],"")</f>
        <v/>
      </c>
      <c r="W397" s="89" t="str">
        <f>IFERROR(ج_ح_بهمن[[#This Row],[جمع ح و م]]-ج_ح_بهمن[[#This Row],[جمع کسورات]],"")</f>
        <v/>
      </c>
      <c r="X397" s="108"/>
    </row>
    <row r="398" spans="2:24" ht="32.1" customHeight="1">
      <c r="B398" s="1">
        <f t="shared" si="9"/>
        <v>11</v>
      </c>
      <c r="C398" s="85" t="str">
        <f>IF(ج_ح_بهمن[[#This Row],[نام]]&lt;&gt;"",ROW()-377+1,"")</f>
        <v/>
      </c>
      <c r="D398" s="86"/>
      <c r="E398" s="86"/>
      <c r="F398" s="87"/>
      <c r="G398" s="88" t="str">
        <f>IFERROR(IF(COUNT(ج_ح_بهمن[[#This Row],[کارکرد]]),حداقل_حقوق_پایه_روزانه,""),"")</f>
        <v/>
      </c>
      <c r="H398" s="89" t="str">
        <f>IFERROR(IF(ج_ح_بهمن[[#This Row],[کارکرد]]*ج_ح_بهمن[[#This Row],[دستمزد روزانه ]]=0,"",ج_ح_بهمن[[#This Row],[کارکرد]]*ج_ح_بهمن[[#This Row],[دستمزد روزانه ]]),"")</f>
        <v/>
      </c>
      <c r="I398" s="91"/>
      <c r="J398" s="90" t="str">
        <f>IFERROR((ج_ح_بهمن[[#This Row],[دستمزد روزانه ]]/7.33)*1.4*ج_ح_بهمن[[#This Row],[مدت اضافه کاری ]],"")</f>
        <v/>
      </c>
      <c r="K398" s="89" t="str">
        <f>IF(ج_ح_بهمن[[#This Row],[کارکرد]]="","",ج_ح_بهمن[[#This Row],[کارکرد]]/30*حق_مسکن)</f>
        <v/>
      </c>
      <c r="L398" s="91"/>
      <c r="M398" s="89" t="str">
        <f>IF(ج_ح_بهمن[[#This Row],[تعداد فرزندان]]="","",ج_ح_بهمن[[#This Row],[کارکرد]]/30*3*ج_ح_بهمن[[#This Row],[تعداد فرزندان]]*حداقل_حقوق_پایه_روزانه)</f>
        <v/>
      </c>
      <c r="N398" s="89" t="str">
        <f>IF(ج_ح_بهمن[[#This Row],[کارکرد]]="","",ج_ح_بهمن[[#This Row],[کارکرد]]/30*حق_خواربار)</f>
        <v/>
      </c>
      <c r="O398" s="89" t="str">
        <f>IFERROR(ج_ح_بهمن[[#This Row],[حقوق پایه]]+ج_ح_بهمن[[#This Row],[اضافه کاری]]+ج_ح_بهمن[[#This Row],[حق مسکن]]+ج_ح_بهمن[[#This Row],[حق اولاد]]+ج_ح_بهمن[[#This Row],[حق و خواروبار]],"")</f>
        <v/>
      </c>
      <c r="P398"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98" s="89" t="str">
        <f>IFERROR(ج_ح_بهمن[[#This Row],[حقوق پایه]]+ج_ح_بهمن[[#This Row],[اضافه کاری]]+ج_ح_بهمن[[#This Row],[حق مسکن]]+ج_ح_بهمن[[#This Row],[حق و خواروبار]]+ج_ح_بهمن[[#This Row],[حق اولاد]]-(2/7)*ج_ح_بهمن[[#This Row],[بیمه پرداختنی]],"")</f>
        <v/>
      </c>
      <c r="R398" s="91"/>
      <c r="S398" s="91"/>
      <c r="T398" s="89" t="str">
        <f>IFERROR(ج_ح_بهمن[[#This Row],[جمع ح و م م بیمه ]]*7%,"")</f>
        <v/>
      </c>
      <c r="U398"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98" s="89" t="str">
        <f>IFERROR(ج_ح_بهمن[[#This Row],[وام]]+ج_ح_بهمن[[#This Row],[مساعده]]+ج_ح_بهمن[[#This Row],[بیمه پرداختنی]]+ج_ح_بهمن[[#This Row],[مالیات پرداختنی]],"")</f>
        <v/>
      </c>
      <c r="W398" s="89" t="str">
        <f>IFERROR(ج_ح_بهمن[[#This Row],[جمع ح و م]]-ج_ح_بهمن[[#This Row],[جمع کسورات]],"")</f>
        <v/>
      </c>
      <c r="X398" s="108"/>
    </row>
    <row r="399" spans="2:24" ht="32.1" customHeight="1">
      <c r="B399" s="1">
        <f t="shared" si="9"/>
        <v>11</v>
      </c>
      <c r="C399" s="85" t="str">
        <f>IF(ج_ح_بهمن[[#This Row],[نام]]&lt;&gt;"",ROW()-377+1,"")</f>
        <v/>
      </c>
      <c r="D399" s="86"/>
      <c r="E399" s="86"/>
      <c r="F399" s="87"/>
      <c r="G399" s="88" t="str">
        <f>IFERROR(IF(COUNT(ج_ح_بهمن[[#This Row],[کارکرد]]),حداقل_حقوق_پایه_روزانه,""),"")</f>
        <v/>
      </c>
      <c r="H399" s="89" t="str">
        <f>IFERROR(IF(ج_ح_بهمن[[#This Row],[کارکرد]]*ج_ح_بهمن[[#This Row],[دستمزد روزانه ]]=0,"",ج_ح_بهمن[[#This Row],[کارکرد]]*ج_ح_بهمن[[#This Row],[دستمزد روزانه ]]),"")</f>
        <v/>
      </c>
      <c r="I399" s="91"/>
      <c r="J399" s="90" t="str">
        <f>IFERROR((ج_ح_بهمن[[#This Row],[دستمزد روزانه ]]/7.33)*1.4*ج_ح_بهمن[[#This Row],[مدت اضافه کاری ]],"")</f>
        <v/>
      </c>
      <c r="K399" s="89" t="str">
        <f>IF(ج_ح_بهمن[[#This Row],[کارکرد]]="","",ج_ح_بهمن[[#This Row],[کارکرد]]/30*حق_مسکن)</f>
        <v/>
      </c>
      <c r="L399" s="91"/>
      <c r="M399" s="89" t="str">
        <f>IF(ج_ح_بهمن[[#This Row],[تعداد فرزندان]]="","",ج_ح_بهمن[[#This Row],[کارکرد]]/30*3*ج_ح_بهمن[[#This Row],[تعداد فرزندان]]*حداقل_حقوق_پایه_روزانه)</f>
        <v/>
      </c>
      <c r="N399" s="89" t="str">
        <f>IF(ج_ح_بهمن[[#This Row],[کارکرد]]="","",ج_ح_بهمن[[#This Row],[کارکرد]]/30*حق_خواربار)</f>
        <v/>
      </c>
      <c r="O399" s="89" t="str">
        <f>IFERROR(ج_ح_بهمن[[#This Row],[حقوق پایه]]+ج_ح_بهمن[[#This Row],[اضافه کاری]]+ج_ح_بهمن[[#This Row],[حق مسکن]]+ج_ح_بهمن[[#This Row],[حق اولاد]]+ج_ح_بهمن[[#This Row],[حق و خواروبار]],"")</f>
        <v/>
      </c>
      <c r="P399"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399" s="89" t="str">
        <f>IFERROR(ج_ح_بهمن[[#This Row],[حقوق پایه]]+ج_ح_بهمن[[#This Row],[اضافه کاری]]+ج_ح_بهمن[[#This Row],[حق مسکن]]+ج_ح_بهمن[[#This Row],[حق و خواروبار]]+ج_ح_بهمن[[#This Row],[حق اولاد]]-(2/7)*ج_ح_بهمن[[#This Row],[بیمه پرداختنی]],"")</f>
        <v/>
      </c>
      <c r="R399" s="91"/>
      <c r="S399" s="91"/>
      <c r="T399" s="89" t="str">
        <f>IFERROR(ج_ح_بهمن[[#This Row],[جمع ح و م م بیمه ]]*7%,"")</f>
        <v/>
      </c>
      <c r="U399"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399" s="89" t="str">
        <f>IFERROR(ج_ح_بهمن[[#This Row],[وام]]+ج_ح_بهمن[[#This Row],[مساعده]]+ج_ح_بهمن[[#This Row],[بیمه پرداختنی]]+ج_ح_بهمن[[#This Row],[مالیات پرداختنی]],"")</f>
        <v/>
      </c>
      <c r="W399" s="89" t="str">
        <f>IFERROR(ج_ح_بهمن[[#This Row],[جمع ح و م]]-ج_ح_بهمن[[#This Row],[جمع کسورات]],"")</f>
        <v/>
      </c>
      <c r="X399" s="108"/>
    </row>
    <row r="400" spans="2:24" ht="32.1" customHeight="1">
      <c r="B400" s="1">
        <f t="shared" si="9"/>
        <v>11</v>
      </c>
      <c r="C400" s="85" t="str">
        <f>IF(ج_ح_بهمن[[#This Row],[نام]]&lt;&gt;"",ROW()-377+1,"")</f>
        <v/>
      </c>
      <c r="D400" s="86"/>
      <c r="E400" s="86"/>
      <c r="F400" s="87"/>
      <c r="G400" s="88" t="str">
        <f>IFERROR(IF(COUNT(ج_ح_بهمن[[#This Row],[کارکرد]]),حداقل_حقوق_پایه_روزانه,""),"")</f>
        <v/>
      </c>
      <c r="H400" s="89" t="str">
        <f>IFERROR(IF(ج_ح_بهمن[[#This Row],[کارکرد]]*ج_ح_بهمن[[#This Row],[دستمزد روزانه ]]=0,"",ج_ح_بهمن[[#This Row],[کارکرد]]*ج_ح_بهمن[[#This Row],[دستمزد روزانه ]]),"")</f>
        <v/>
      </c>
      <c r="I400" s="91"/>
      <c r="J400" s="90" t="str">
        <f>IFERROR((ج_ح_بهمن[[#This Row],[دستمزد روزانه ]]/7.33)*1.4*ج_ح_بهمن[[#This Row],[مدت اضافه کاری ]],"")</f>
        <v/>
      </c>
      <c r="K400" s="89" t="str">
        <f>IF(ج_ح_بهمن[[#This Row],[کارکرد]]="","",ج_ح_بهمن[[#This Row],[کارکرد]]/30*حق_مسکن)</f>
        <v/>
      </c>
      <c r="L400" s="91"/>
      <c r="M400" s="89" t="str">
        <f>IF(ج_ح_بهمن[[#This Row],[تعداد فرزندان]]="","",ج_ح_بهمن[[#This Row],[کارکرد]]/30*3*ج_ح_بهمن[[#This Row],[تعداد فرزندان]]*حداقل_حقوق_پایه_روزانه)</f>
        <v/>
      </c>
      <c r="N400" s="89" t="str">
        <f>IF(ج_ح_بهمن[[#This Row],[کارکرد]]="","",ج_ح_بهمن[[#This Row],[کارکرد]]/30*حق_خواربار)</f>
        <v/>
      </c>
      <c r="O400" s="89" t="str">
        <f>IFERROR(ج_ح_بهمن[[#This Row],[حقوق پایه]]+ج_ح_بهمن[[#This Row],[اضافه کاری]]+ج_ح_بهمن[[#This Row],[حق مسکن]]+ج_ح_بهمن[[#This Row],[حق اولاد]]+ج_ح_بهمن[[#This Row],[حق و خواروبار]],"")</f>
        <v/>
      </c>
      <c r="P400"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400" s="89" t="str">
        <f>IFERROR(ج_ح_بهمن[[#This Row],[حقوق پایه]]+ج_ح_بهمن[[#This Row],[اضافه کاری]]+ج_ح_بهمن[[#This Row],[حق مسکن]]+ج_ح_بهمن[[#This Row],[حق و خواروبار]]+ج_ح_بهمن[[#This Row],[حق اولاد]]-(2/7)*ج_ح_بهمن[[#This Row],[بیمه پرداختنی]],"")</f>
        <v/>
      </c>
      <c r="R400" s="91"/>
      <c r="S400" s="91"/>
      <c r="T400" s="89" t="str">
        <f>IFERROR(ج_ح_بهمن[[#This Row],[جمع ح و م م بیمه ]]*7%,"")</f>
        <v/>
      </c>
      <c r="U400"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400" s="89" t="str">
        <f>IFERROR(ج_ح_بهمن[[#This Row],[وام]]+ج_ح_بهمن[[#This Row],[مساعده]]+ج_ح_بهمن[[#This Row],[بیمه پرداختنی]]+ج_ح_بهمن[[#This Row],[مالیات پرداختنی]],"")</f>
        <v/>
      </c>
      <c r="W400" s="89" t="str">
        <f>IFERROR(ج_ح_بهمن[[#This Row],[جمع ح و م]]-ج_ح_بهمن[[#This Row],[جمع کسورات]],"")</f>
        <v/>
      </c>
      <c r="X400" s="108"/>
    </row>
    <row r="401" spans="1:24" ht="32.1" customHeight="1">
      <c r="B401" s="1">
        <f t="shared" si="9"/>
        <v>11</v>
      </c>
      <c r="C401" s="85" t="str">
        <f>IF(ج_ح_بهمن[[#This Row],[نام]]&lt;&gt;"",ROW()-377+1,"")</f>
        <v/>
      </c>
      <c r="D401" s="86"/>
      <c r="E401" s="86"/>
      <c r="F401" s="87"/>
      <c r="G401" s="88" t="str">
        <f>IFERROR(IF(COUNT(ج_ح_بهمن[[#This Row],[کارکرد]]),حداقل_حقوق_پایه_روزانه,""),"")</f>
        <v/>
      </c>
      <c r="H401" s="89" t="str">
        <f>IFERROR(IF(ج_ح_بهمن[[#This Row],[کارکرد]]*ج_ح_بهمن[[#This Row],[دستمزد روزانه ]]=0,"",ج_ح_بهمن[[#This Row],[کارکرد]]*ج_ح_بهمن[[#This Row],[دستمزد روزانه ]]),"")</f>
        <v/>
      </c>
      <c r="I401" s="91"/>
      <c r="J401" s="90" t="str">
        <f>IFERROR((ج_ح_بهمن[[#This Row],[دستمزد روزانه ]]/7.33)*1.4*ج_ح_بهمن[[#This Row],[مدت اضافه کاری ]],"")</f>
        <v/>
      </c>
      <c r="K401" s="89" t="str">
        <f>IF(ج_ح_بهمن[[#This Row],[کارکرد]]="","",ج_ح_بهمن[[#This Row],[کارکرد]]/30*حق_مسکن)</f>
        <v/>
      </c>
      <c r="L401" s="91"/>
      <c r="M401" s="89" t="str">
        <f>IF(ج_ح_بهمن[[#This Row],[تعداد فرزندان]]="","",ج_ح_بهمن[[#This Row],[کارکرد]]/30*3*ج_ح_بهمن[[#This Row],[تعداد فرزندان]]*حداقل_حقوق_پایه_روزانه)</f>
        <v/>
      </c>
      <c r="N401" s="89" t="str">
        <f>IF(ج_ح_بهمن[[#This Row],[کارکرد]]="","",ج_ح_بهمن[[#This Row],[کارکرد]]/30*حق_خواربار)</f>
        <v/>
      </c>
      <c r="O401" s="89" t="str">
        <f>IFERROR(ج_ح_بهمن[[#This Row],[حقوق پایه]]+ج_ح_بهمن[[#This Row],[اضافه کاری]]+ج_ح_بهمن[[#This Row],[حق مسکن]]+ج_ح_بهمن[[#This Row],[حق اولاد]]+ج_ح_بهمن[[#This Row],[حق و خواروبار]],"")</f>
        <v/>
      </c>
      <c r="P401"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401" s="89" t="str">
        <f>IFERROR(ج_ح_بهمن[[#This Row],[حقوق پایه]]+ج_ح_بهمن[[#This Row],[اضافه کاری]]+ج_ح_بهمن[[#This Row],[حق مسکن]]+ج_ح_بهمن[[#This Row],[حق و خواروبار]]+ج_ح_بهمن[[#This Row],[حق اولاد]]-(2/7)*ج_ح_بهمن[[#This Row],[بیمه پرداختنی]],"")</f>
        <v/>
      </c>
      <c r="R401" s="91"/>
      <c r="S401" s="91"/>
      <c r="T401" s="89" t="str">
        <f>IFERROR(ج_ح_بهمن[[#This Row],[جمع ح و م م بیمه ]]*7%,"")</f>
        <v/>
      </c>
      <c r="U401"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401" s="89" t="str">
        <f>IFERROR(ج_ح_بهمن[[#This Row],[وام]]+ج_ح_بهمن[[#This Row],[مساعده]]+ج_ح_بهمن[[#This Row],[بیمه پرداختنی]]+ج_ح_بهمن[[#This Row],[مالیات پرداختنی]],"")</f>
        <v/>
      </c>
      <c r="W401" s="89" t="str">
        <f>IFERROR(ج_ح_بهمن[[#This Row],[جمع ح و م]]-ج_ح_بهمن[[#This Row],[جمع کسورات]],"")</f>
        <v/>
      </c>
      <c r="X401" s="108"/>
    </row>
    <row r="402" spans="1:24" ht="32.1" customHeight="1">
      <c r="B402" s="1">
        <f t="shared" si="9"/>
        <v>11</v>
      </c>
      <c r="C402" s="85" t="str">
        <f>IF(ج_ح_بهمن[[#This Row],[نام]]&lt;&gt;"",ROW()-377+1,"")</f>
        <v/>
      </c>
      <c r="D402" s="86"/>
      <c r="E402" s="86"/>
      <c r="F402" s="87"/>
      <c r="G402" s="88" t="str">
        <f>IFERROR(IF(COUNT(ج_ح_بهمن[[#This Row],[کارکرد]]),حداقل_حقوق_پایه_روزانه,""),"")</f>
        <v/>
      </c>
      <c r="H402" s="89" t="str">
        <f>IFERROR(IF(ج_ح_بهمن[[#This Row],[کارکرد]]*ج_ح_بهمن[[#This Row],[دستمزد روزانه ]]=0,"",ج_ح_بهمن[[#This Row],[کارکرد]]*ج_ح_بهمن[[#This Row],[دستمزد روزانه ]]),"")</f>
        <v/>
      </c>
      <c r="I402" s="91"/>
      <c r="J402" s="90" t="str">
        <f>IFERROR((ج_ح_بهمن[[#This Row],[دستمزد روزانه ]]/7.33)*1.4*ج_ح_بهمن[[#This Row],[مدت اضافه کاری ]],"")</f>
        <v/>
      </c>
      <c r="K402" s="89" t="str">
        <f>IF(ج_ح_بهمن[[#This Row],[کارکرد]]="","",ج_ح_بهمن[[#This Row],[کارکرد]]/30*حق_مسکن)</f>
        <v/>
      </c>
      <c r="L402" s="91"/>
      <c r="M402" s="89" t="str">
        <f>IF(ج_ح_بهمن[[#This Row],[تعداد فرزندان]]="","",ج_ح_بهمن[[#This Row],[کارکرد]]/30*3*ج_ح_بهمن[[#This Row],[تعداد فرزندان]]*حداقل_حقوق_پایه_روزانه)</f>
        <v/>
      </c>
      <c r="N402" s="89" t="str">
        <f>IF(ج_ح_بهمن[[#This Row],[کارکرد]]="","",ج_ح_بهمن[[#This Row],[کارکرد]]/30*حق_خواربار)</f>
        <v/>
      </c>
      <c r="O402" s="89" t="str">
        <f>IFERROR(ج_ح_بهمن[[#This Row],[حقوق پایه]]+ج_ح_بهمن[[#This Row],[اضافه کاری]]+ج_ح_بهمن[[#This Row],[حق مسکن]]+ج_ح_بهمن[[#This Row],[حق اولاد]]+ج_ح_بهمن[[#This Row],[حق و خواروبار]],"")</f>
        <v/>
      </c>
      <c r="P402"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402" s="89" t="str">
        <f>IFERROR(ج_ح_بهمن[[#This Row],[حقوق پایه]]+ج_ح_بهمن[[#This Row],[اضافه کاری]]+ج_ح_بهمن[[#This Row],[حق مسکن]]+ج_ح_بهمن[[#This Row],[حق و خواروبار]]+ج_ح_بهمن[[#This Row],[حق اولاد]]-(2/7)*ج_ح_بهمن[[#This Row],[بیمه پرداختنی]],"")</f>
        <v/>
      </c>
      <c r="R402" s="91"/>
      <c r="S402" s="91"/>
      <c r="T402" s="89" t="str">
        <f>IFERROR(ج_ح_بهمن[[#This Row],[جمع ح و م م بیمه ]]*7%,"")</f>
        <v/>
      </c>
      <c r="U402"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402" s="89" t="str">
        <f>IFERROR(ج_ح_بهمن[[#This Row],[وام]]+ج_ح_بهمن[[#This Row],[مساعده]]+ج_ح_بهمن[[#This Row],[بیمه پرداختنی]]+ج_ح_بهمن[[#This Row],[مالیات پرداختنی]],"")</f>
        <v/>
      </c>
      <c r="W402" s="89" t="str">
        <f>IFERROR(ج_ح_بهمن[[#This Row],[جمع ح و م]]-ج_ح_بهمن[[#This Row],[جمع کسورات]],"")</f>
        <v/>
      </c>
      <c r="X402" s="108"/>
    </row>
    <row r="403" spans="1:24" ht="32.1" customHeight="1">
      <c r="B403" s="1">
        <f t="shared" si="9"/>
        <v>11</v>
      </c>
      <c r="C403" s="85" t="str">
        <f>IF(ج_ح_بهمن[[#This Row],[نام]]&lt;&gt;"",ROW()-377+1,"")</f>
        <v/>
      </c>
      <c r="D403" s="86"/>
      <c r="E403" s="86"/>
      <c r="F403" s="87"/>
      <c r="G403" s="88" t="str">
        <f>IFERROR(IF(COUNT(ج_ح_بهمن[[#This Row],[کارکرد]]),حداقل_حقوق_پایه_روزانه,""),"")</f>
        <v/>
      </c>
      <c r="H403" s="89" t="str">
        <f>IFERROR(IF(ج_ح_بهمن[[#This Row],[کارکرد]]*ج_ح_بهمن[[#This Row],[دستمزد روزانه ]]=0,"",ج_ح_بهمن[[#This Row],[کارکرد]]*ج_ح_بهمن[[#This Row],[دستمزد روزانه ]]),"")</f>
        <v/>
      </c>
      <c r="I403" s="91"/>
      <c r="J403" s="90" t="str">
        <f>IFERROR((ج_ح_بهمن[[#This Row],[دستمزد روزانه ]]/7.33)*1.4*ج_ح_بهمن[[#This Row],[مدت اضافه کاری ]],"")</f>
        <v/>
      </c>
      <c r="K403" s="89" t="str">
        <f>IF(ج_ح_بهمن[[#This Row],[کارکرد]]="","",ج_ح_بهمن[[#This Row],[کارکرد]]/30*حق_مسکن)</f>
        <v/>
      </c>
      <c r="L403" s="91"/>
      <c r="M403" s="89" t="str">
        <f>IF(ج_ح_بهمن[[#This Row],[تعداد فرزندان]]="","",ج_ح_بهمن[[#This Row],[کارکرد]]/30*3*ج_ح_بهمن[[#This Row],[تعداد فرزندان]]*حداقل_حقوق_پایه_روزانه)</f>
        <v/>
      </c>
      <c r="N403" s="89" t="str">
        <f>IF(ج_ح_بهمن[[#This Row],[کارکرد]]="","",ج_ح_بهمن[[#This Row],[کارکرد]]/30*حق_خواربار)</f>
        <v/>
      </c>
      <c r="O403" s="89" t="str">
        <f>IFERROR(ج_ح_بهمن[[#This Row],[حقوق پایه]]+ج_ح_بهمن[[#This Row],[اضافه کاری]]+ج_ح_بهمن[[#This Row],[حق مسکن]]+ج_ح_بهمن[[#This Row],[حق اولاد]]+ج_ح_بهمن[[#This Row],[حق و خواروبار]],"")</f>
        <v/>
      </c>
      <c r="P403"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403" s="89" t="str">
        <f>IFERROR(ج_ح_بهمن[[#This Row],[حقوق پایه]]+ج_ح_بهمن[[#This Row],[اضافه کاری]]+ج_ح_بهمن[[#This Row],[حق مسکن]]+ج_ح_بهمن[[#This Row],[حق و خواروبار]]+ج_ح_بهمن[[#This Row],[حق اولاد]]-(2/7)*ج_ح_بهمن[[#This Row],[بیمه پرداختنی]],"")</f>
        <v/>
      </c>
      <c r="R403" s="91"/>
      <c r="S403" s="91"/>
      <c r="T403" s="89" t="str">
        <f>IFERROR(ج_ح_بهمن[[#This Row],[جمع ح و م م بیمه ]]*7%,"")</f>
        <v/>
      </c>
      <c r="U403"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403" s="89" t="str">
        <f>IFERROR(ج_ح_بهمن[[#This Row],[وام]]+ج_ح_بهمن[[#This Row],[مساعده]]+ج_ح_بهمن[[#This Row],[بیمه پرداختنی]]+ج_ح_بهمن[[#This Row],[مالیات پرداختنی]],"")</f>
        <v/>
      </c>
      <c r="W403" s="89" t="str">
        <f>IFERROR(ج_ح_بهمن[[#This Row],[جمع ح و م]]-ج_ح_بهمن[[#This Row],[جمع کسورات]],"")</f>
        <v/>
      </c>
      <c r="X403" s="108"/>
    </row>
    <row r="404" spans="1:24" ht="32.1" customHeight="1">
      <c r="B404" s="1">
        <f t="shared" si="9"/>
        <v>11</v>
      </c>
      <c r="C404" s="85" t="str">
        <f>IF(ج_ح_بهمن[[#This Row],[نام]]&lt;&gt;"",ROW()-377+1,"")</f>
        <v/>
      </c>
      <c r="D404" s="86"/>
      <c r="E404" s="86"/>
      <c r="F404" s="87"/>
      <c r="G404" s="88" t="str">
        <f>IFERROR(IF(COUNT(ج_ح_بهمن[[#This Row],[کارکرد]]),حداقل_حقوق_پایه_روزانه,""),"")</f>
        <v/>
      </c>
      <c r="H404" s="89" t="str">
        <f>IFERROR(IF(ج_ح_بهمن[[#This Row],[کارکرد]]*ج_ح_بهمن[[#This Row],[دستمزد روزانه ]]=0,"",ج_ح_بهمن[[#This Row],[کارکرد]]*ج_ح_بهمن[[#This Row],[دستمزد روزانه ]]),"")</f>
        <v/>
      </c>
      <c r="I404" s="91"/>
      <c r="J404" s="90" t="str">
        <f>IFERROR((ج_ح_بهمن[[#This Row],[دستمزد روزانه ]]/7.33)*1.4*ج_ح_بهمن[[#This Row],[مدت اضافه کاری ]],"")</f>
        <v/>
      </c>
      <c r="K404" s="89" t="str">
        <f>IF(ج_ح_بهمن[[#This Row],[کارکرد]]="","",ج_ح_بهمن[[#This Row],[کارکرد]]/30*حق_مسکن)</f>
        <v/>
      </c>
      <c r="L404" s="91"/>
      <c r="M404" s="89" t="str">
        <f>IF(ج_ح_بهمن[[#This Row],[تعداد فرزندان]]="","",ج_ح_بهمن[[#This Row],[کارکرد]]/30*3*ج_ح_بهمن[[#This Row],[تعداد فرزندان]]*حداقل_حقوق_پایه_روزانه)</f>
        <v/>
      </c>
      <c r="N404" s="89" t="str">
        <f>IF(ج_ح_بهمن[[#This Row],[کارکرد]]="","",ج_ح_بهمن[[#This Row],[کارکرد]]/30*حق_خواربار)</f>
        <v/>
      </c>
      <c r="O404" s="89" t="str">
        <f>IFERROR(ج_ح_بهمن[[#This Row],[حقوق پایه]]+ج_ح_بهمن[[#This Row],[اضافه کاری]]+ج_ح_بهمن[[#This Row],[حق مسکن]]+ج_ح_بهمن[[#This Row],[حق اولاد]]+ج_ح_بهمن[[#This Row],[حق و خواروبار]],"")</f>
        <v/>
      </c>
      <c r="P404"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404" s="89" t="str">
        <f>IFERROR(ج_ح_بهمن[[#This Row],[حقوق پایه]]+ج_ح_بهمن[[#This Row],[اضافه کاری]]+ج_ح_بهمن[[#This Row],[حق مسکن]]+ج_ح_بهمن[[#This Row],[حق و خواروبار]]+ج_ح_بهمن[[#This Row],[حق اولاد]]-(2/7)*ج_ح_بهمن[[#This Row],[بیمه پرداختنی]],"")</f>
        <v/>
      </c>
      <c r="R404" s="91"/>
      <c r="S404" s="91"/>
      <c r="T404" s="89" t="str">
        <f>IFERROR(ج_ح_بهمن[[#This Row],[جمع ح و م م بیمه ]]*7%,"")</f>
        <v/>
      </c>
      <c r="U404"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404" s="89" t="str">
        <f>IFERROR(ج_ح_بهمن[[#This Row],[وام]]+ج_ح_بهمن[[#This Row],[مساعده]]+ج_ح_بهمن[[#This Row],[بیمه پرداختنی]]+ج_ح_بهمن[[#This Row],[مالیات پرداختنی]],"")</f>
        <v/>
      </c>
      <c r="W404" s="89" t="str">
        <f>IFERROR(ج_ح_بهمن[[#This Row],[جمع ح و م]]-ج_ح_بهمن[[#This Row],[جمع کسورات]],"")</f>
        <v/>
      </c>
      <c r="X404" s="108"/>
    </row>
    <row r="405" spans="1:24" ht="32.1" customHeight="1">
      <c r="B405" s="1">
        <f t="shared" si="9"/>
        <v>11</v>
      </c>
      <c r="C405" s="85" t="str">
        <f>IF(ج_ح_بهمن[[#This Row],[نام]]&lt;&gt;"",ROW()-377+1,"")</f>
        <v/>
      </c>
      <c r="D405" s="86"/>
      <c r="E405" s="86"/>
      <c r="F405" s="87"/>
      <c r="G405" s="88" t="str">
        <f>IFERROR(IF(COUNT(ج_ح_بهمن[[#This Row],[کارکرد]]),حداقل_حقوق_پایه_روزانه,""),"")</f>
        <v/>
      </c>
      <c r="H405" s="89" t="str">
        <f>IFERROR(IF(ج_ح_بهمن[[#This Row],[کارکرد]]*ج_ح_بهمن[[#This Row],[دستمزد روزانه ]]=0,"",ج_ح_بهمن[[#This Row],[کارکرد]]*ج_ح_بهمن[[#This Row],[دستمزد روزانه ]]),"")</f>
        <v/>
      </c>
      <c r="I405" s="91"/>
      <c r="J405" s="90" t="str">
        <f>IFERROR((ج_ح_بهمن[[#This Row],[دستمزد روزانه ]]/7.33)*1.4*ج_ح_بهمن[[#This Row],[مدت اضافه کاری ]],"")</f>
        <v/>
      </c>
      <c r="K405" s="89" t="str">
        <f>IF(ج_ح_بهمن[[#This Row],[کارکرد]]="","",ج_ح_بهمن[[#This Row],[کارکرد]]/30*حق_مسکن)</f>
        <v/>
      </c>
      <c r="L405" s="91"/>
      <c r="M405" s="89" t="str">
        <f>IF(ج_ح_بهمن[[#This Row],[تعداد فرزندان]]="","",ج_ح_بهمن[[#This Row],[کارکرد]]/30*3*ج_ح_بهمن[[#This Row],[تعداد فرزندان]]*حداقل_حقوق_پایه_روزانه)</f>
        <v/>
      </c>
      <c r="N405" s="89" t="str">
        <f>IF(ج_ح_بهمن[[#This Row],[کارکرد]]="","",ج_ح_بهمن[[#This Row],[کارکرد]]/30*حق_خواربار)</f>
        <v/>
      </c>
      <c r="O405" s="89" t="str">
        <f>IFERROR(ج_ح_بهمن[[#This Row],[حقوق پایه]]+ج_ح_بهمن[[#This Row],[اضافه کاری]]+ج_ح_بهمن[[#This Row],[حق مسکن]]+ج_ح_بهمن[[#This Row],[حق اولاد]]+ج_ح_بهمن[[#This Row],[حق و خواروبار]],"")</f>
        <v/>
      </c>
      <c r="P405"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405" s="89" t="str">
        <f>IFERROR(ج_ح_بهمن[[#This Row],[حقوق پایه]]+ج_ح_بهمن[[#This Row],[اضافه کاری]]+ج_ح_بهمن[[#This Row],[حق مسکن]]+ج_ح_بهمن[[#This Row],[حق و خواروبار]]+ج_ح_بهمن[[#This Row],[حق اولاد]]-(2/7)*ج_ح_بهمن[[#This Row],[بیمه پرداختنی]],"")</f>
        <v/>
      </c>
      <c r="R405" s="91"/>
      <c r="S405" s="91"/>
      <c r="T405" s="89" t="str">
        <f>IFERROR(ج_ح_بهمن[[#This Row],[جمع ح و م م بیمه ]]*7%,"")</f>
        <v/>
      </c>
      <c r="U405"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405" s="89" t="str">
        <f>IFERROR(ج_ح_بهمن[[#This Row],[وام]]+ج_ح_بهمن[[#This Row],[مساعده]]+ج_ح_بهمن[[#This Row],[بیمه پرداختنی]]+ج_ح_بهمن[[#This Row],[مالیات پرداختنی]],"")</f>
        <v/>
      </c>
      <c r="W405" s="89" t="str">
        <f>IFERROR(ج_ح_بهمن[[#This Row],[جمع ح و م]]-ج_ح_بهمن[[#This Row],[جمع کسورات]],"")</f>
        <v/>
      </c>
      <c r="X405" s="108"/>
    </row>
    <row r="406" spans="1:24" ht="32.1" customHeight="1">
      <c r="B406" s="1">
        <f t="shared" si="9"/>
        <v>11</v>
      </c>
      <c r="C406" s="85" t="str">
        <f>IF(ج_ح_بهمن[[#This Row],[نام]]&lt;&gt;"",ROW()-377+1,"")</f>
        <v/>
      </c>
      <c r="D406" s="86"/>
      <c r="E406" s="86"/>
      <c r="F406" s="87"/>
      <c r="G406" s="88" t="str">
        <f>IFERROR(IF(COUNT(ج_ح_بهمن[[#This Row],[کارکرد]]),حداقل_حقوق_پایه_روزانه,""),"")</f>
        <v/>
      </c>
      <c r="H406" s="89" t="str">
        <f>IFERROR(IF(ج_ح_بهمن[[#This Row],[کارکرد]]*ج_ح_بهمن[[#This Row],[دستمزد روزانه ]]=0,"",ج_ح_بهمن[[#This Row],[کارکرد]]*ج_ح_بهمن[[#This Row],[دستمزد روزانه ]]),"")</f>
        <v/>
      </c>
      <c r="I406" s="91"/>
      <c r="J406" s="90" t="str">
        <f>IFERROR((ج_ح_بهمن[[#This Row],[دستمزد روزانه ]]/7.33)*1.4*ج_ح_بهمن[[#This Row],[مدت اضافه کاری ]],"")</f>
        <v/>
      </c>
      <c r="K406" s="89" t="str">
        <f>IF(ج_ح_بهمن[[#This Row],[کارکرد]]="","",ج_ح_بهمن[[#This Row],[کارکرد]]/30*حق_مسکن)</f>
        <v/>
      </c>
      <c r="L406" s="91"/>
      <c r="M406" s="89" t="str">
        <f>IF(ج_ح_بهمن[[#This Row],[تعداد فرزندان]]="","",ج_ح_بهمن[[#This Row],[کارکرد]]/30*3*ج_ح_بهمن[[#This Row],[تعداد فرزندان]]*حداقل_حقوق_پایه_روزانه)</f>
        <v/>
      </c>
      <c r="N406" s="89" t="str">
        <f>IF(ج_ح_بهمن[[#This Row],[کارکرد]]="","",ج_ح_بهمن[[#This Row],[کارکرد]]/30*حق_خواربار)</f>
        <v/>
      </c>
      <c r="O406" s="89" t="str">
        <f>IFERROR(ج_ح_بهمن[[#This Row],[حقوق پایه]]+ج_ح_بهمن[[#This Row],[اضافه کاری]]+ج_ح_بهمن[[#This Row],[حق مسکن]]+ج_ح_بهمن[[#This Row],[حق اولاد]]+ج_ح_بهمن[[#This Row],[حق و خواروبار]],"")</f>
        <v/>
      </c>
      <c r="P406" s="89" t="str">
        <f>IFERROR(IF(ج_ح_بهمن[[#This Row],[حقوق پایه]]+ج_ح_بهمن[[#This Row],[اضافه کاری]]+ج_ح_بهمن[[#This Row],[حق مسکن]]+ج_ح_بهمن[[#This Row],[حق و خواروبار]]&gt;حداکثر_حقوق_مشمول_بیمه_ماهانه,حداکثر_حقوق_مشمول_بیمه_ماهانه,ج_ح_بهمن[[#This Row],[حقوق پایه]]+ج_ح_بهمن[[#This Row],[اضافه کاری]]+ج_ح_بهمن[[#This Row],[حق مسکن]]+ج_ح_بهمن[[#This Row],[حق و خواروبار]]),"")</f>
        <v/>
      </c>
      <c r="Q406" s="89" t="str">
        <f>IFERROR(ج_ح_بهمن[[#This Row],[حقوق پایه]]+ج_ح_بهمن[[#This Row],[اضافه کاری]]+ج_ح_بهمن[[#This Row],[حق مسکن]]+ج_ح_بهمن[[#This Row],[حق و خواروبار]]+ج_ح_بهمن[[#This Row],[حق اولاد]]-(2/7)*ج_ح_بهمن[[#This Row],[بیمه پرداختنی]],"")</f>
        <v/>
      </c>
      <c r="R406" s="91"/>
      <c r="S406" s="91"/>
      <c r="T406" s="89" t="str">
        <f>IFERROR(ج_ح_بهمن[[#This Row],[جمع ح و م م بیمه ]]*7%,"")</f>
        <v/>
      </c>
      <c r="U406" s="92" t="str">
        <f>IFERROR(IF(ج_ح_بهمن[[#This Row],[جمع ح و م م مالیات]]&gt;=400000000,(ج_ح_بهمن[[#This Row],[جمع ح و م م مالیات]]-400000000)*30%+26000000,IF(ج_ح_بهمن[[#This Row],[جمع ح و م م مالیات]]&gt;=270000000,(ج_ح_بهمن[[#This Row],[جمع ح و م م مالیات]]-270000000)*20%+15750000,IF(ج_ح_بهمن[[#This Row],[جمع ح و م م مالیات]]&gt;=165000000,(ج_ح_بهمن[[#This Row],[جمع ح و م م مالیات]]-165000000)*15%+4500000,IF(ج_ح_بهمن[[#This Row],[جمع ح و م م مالیات]]&gt;=120000000,(ج_ح_بهمن[[#This Row],[جمع ح و م م مالیات]]-120000000)*10%,0)))),"")</f>
        <v/>
      </c>
      <c r="V406" s="89" t="str">
        <f>IFERROR(ج_ح_بهمن[[#This Row],[وام]]+ج_ح_بهمن[[#This Row],[مساعده]]+ج_ح_بهمن[[#This Row],[بیمه پرداختنی]]+ج_ح_بهمن[[#This Row],[مالیات پرداختنی]],"")</f>
        <v/>
      </c>
      <c r="W406" s="89" t="str">
        <f>IFERROR(ج_ح_بهمن[[#This Row],[جمع ح و م]]-ج_ح_بهمن[[#This Row],[جمع کسورات]],"")</f>
        <v/>
      </c>
      <c r="X406" s="108"/>
    </row>
    <row r="407" spans="1:24" ht="32.1" customHeight="1">
      <c r="B407" s="1">
        <f t="shared" si="9"/>
        <v>11</v>
      </c>
      <c r="C407" s="23"/>
      <c r="D407" s="24"/>
      <c r="E407" s="24" t="s">
        <v>35</v>
      </c>
      <c r="F407" s="33">
        <f>SUBTOTAL(109,ج_ح_بهمن[کارکرد])</f>
        <v>0</v>
      </c>
      <c r="G407" s="25">
        <f>SUBTOTAL(109,ج_ح_بهمن[[دستمزد روزانه ]])</f>
        <v>0</v>
      </c>
      <c r="H407" s="25">
        <f>SUBTOTAL(109,ج_ح_بهمن[حقوق پایه])</f>
        <v>0</v>
      </c>
      <c r="I407" s="34">
        <f>SUBTOTAL(109,ج_ح_بهمن[[مدت اضافه کاری ]])</f>
        <v>0</v>
      </c>
      <c r="J407" s="35">
        <f>SUBTOTAL(109,ج_ح_بهمن[اضافه کاری])</f>
        <v>0</v>
      </c>
      <c r="K407" s="25">
        <f>SUBTOTAL(109,ج_ح_بهمن[حق مسکن])</f>
        <v>0</v>
      </c>
      <c r="L407" s="36">
        <f>SUBTOTAL(109,ج_ح_بهمن[تعداد فرزندان])</f>
        <v>0</v>
      </c>
      <c r="M407" s="25">
        <f>SUBTOTAL(109,ج_ح_بهمن[حق اولاد])</f>
        <v>0</v>
      </c>
      <c r="N407" s="25">
        <f>SUBTOTAL(109,ج_ح_بهمن[حق و خواروبار])</f>
        <v>0</v>
      </c>
      <c r="O407" s="25">
        <f>SUBTOTAL(109,ج_ح_بهمن[جمع ح و م])</f>
        <v>0</v>
      </c>
      <c r="P407" s="25">
        <f>SUBTOTAL(109,ج_ح_بهمن[[جمع ح و م م بیمه ]])</f>
        <v>0</v>
      </c>
      <c r="Q407" s="25">
        <f>SUBTOTAL(109,ج_ح_بهمن[جمع ح و م م مالیات])</f>
        <v>0</v>
      </c>
      <c r="R407" s="25">
        <f>SUBTOTAL(109,ج_ح_بهمن[وام])</f>
        <v>0</v>
      </c>
      <c r="S407" s="25">
        <f>SUBTOTAL(109,ج_ح_بهمن[مساعده])</f>
        <v>0</v>
      </c>
      <c r="T407" s="25">
        <f>SUBTOTAL(109,ج_ح_بهمن[بیمه پرداختنی])</f>
        <v>0</v>
      </c>
      <c r="U407" s="25">
        <f>SUBTOTAL(109,ج_ح_بهمن[مالیات پرداختنی])</f>
        <v>0</v>
      </c>
      <c r="V407" s="25">
        <f>SUBTOTAL(109,ج_ح_بهمن[جمع کسورات])</f>
        <v>0</v>
      </c>
      <c r="W407" s="25">
        <f>SUBTOTAL(109,ج_ح_بهمن[خالص قابل پرداخت])</f>
        <v>0</v>
      </c>
      <c r="X407" s="109"/>
    </row>
    <row r="408" spans="1:24" ht="8.1" customHeight="1"/>
    <row r="409" spans="1:24" s="7" customFormat="1" ht="39.950000000000003" customHeight="1">
      <c r="A409" s="15"/>
      <c r="B409" s="15"/>
      <c r="C409" s="128" t="str">
        <f>CONCATENATE("شرکت"," ",'اطلاعات شرکت'!$B$1)</f>
        <v>شرکت پندار حساب شهسوار</v>
      </c>
      <c r="D409" s="128"/>
      <c r="E409" s="128"/>
      <c r="F409" s="128"/>
      <c r="G409" s="128"/>
      <c r="H409" s="128"/>
      <c r="I409" s="128"/>
      <c r="J409" s="128"/>
      <c r="K409" s="128"/>
      <c r="L409" s="128"/>
      <c r="M409" s="128"/>
      <c r="N409" s="128"/>
      <c r="O409" s="128"/>
      <c r="P409" s="128"/>
      <c r="Q409" s="128"/>
      <c r="R409" s="128"/>
      <c r="S409" s="128"/>
      <c r="T409" s="128"/>
      <c r="U409" s="128"/>
      <c r="V409" s="128"/>
      <c r="W409" s="128"/>
      <c r="X409" s="105"/>
    </row>
    <row r="410" spans="1:24" s="7" customFormat="1" ht="50.1" customHeight="1">
      <c r="C410" s="127" t="str">
        <f>CONCATENATE("جدول حقوق و دستمزد اسفند ماه سال"," ",'اطلاعات شرکت'!$B$2)</f>
        <v>جدول حقوق و دستمزد اسفند ماه سال 1402</v>
      </c>
      <c r="D410" s="127"/>
      <c r="E410" s="127"/>
      <c r="F410" s="127"/>
      <c r="G410" s="127"/>
      <c r="H410" s="127"/>
      <c r="I410" s="127"/>
      <c r="J410" s="127"/>
      <c r="K410" s="127"/>
      <c r="L410" s="127"/>
      <c r="M410" s="127"/>
      <c r="N410" s="127"/>
      <c r="O410" s="127"/>
      <c r="P410" s="127"/>
      <c r="Q410" s="127"/>
      <c r="R410" s="127"/>
      <c r="S410" s="127"/>
      <c r="T410" s="127"/>
      <c r="U410" s="127"/>
      <c r="V410" s="127"/>
      <c r="W410" s="127"/>
      <c r="X410" s="105"/>
    </row>
    <row r="411" spans="1:24" s="12" customFormat="1" ht="50.1" customHeight="1">
      <c r="C411" s="129" t="s">
        <v>1</v>
      </c>
      <c r="D411" s="28" t="s">
        <v>23</v>
      </c>
      <c r="E411" s="28" t="s">
        <v>56</v>
      </c>
      <c r="F411" s="28" t="s">
        <v>11</v>
      </c>
      <c r="G411" s="28" t="s">
        <v>12</v>
      </c>
      <c r="H411" s="28" t="s">
        <v>37</v>
      </c>
      <c r="I411" s="28" t="s">
        <v>51</v>
      </c>
      <c r="J411" s="28" t="s">
        <v>47</v>
      </c>
      <c r="K411" s="28" t="s">
        <v>4</v>
      </c>
      <c r="L411" s="28" t="s">
        <v>48</v>
      </c>
      <c r="M411" s="28" t="s">
        <v>14</v>
      </c>
      <c r="N411" s="28" t="s">
        <v>5</v>
      </c>
      <c r="O411" s="28" t="s">
        <v>17</v>
      </c>
      <c r="P411" s="28" t="s">
        <v>49</v>
      </c>
      <c r="Q411" s="28" t="s">
        <v>50</v>
      </c>
      <c r="R411" s="28" t="s">
        <v>15</v>
      </c>
      <c r="S411" s="28" t="s">
        <v>16</v>
      </c>
      <c r="T411" s="28" t="s">
        <v>59</v>
      </c>
      <c r="U411" s="28" t="s">
        <v>58</v>
      </c>
      <c r="V411" s="28" t="s">
        <v>21</v>
      </c>
      <c r="W411" s="28" t="s">
        <v>57</v>
      </c>
      <c r="X411" s="106"/>
    </row>
    <row r="412" spans="1:24" s="7" customFormat="1" ht="32.1" customHeight="1">
      <c r="C412" s="129"/>
      <c r="D412" s="29">
        <v>1</v>
      </c>
      <c r="E412" s="29">
        <v>2</v>
      </c>
      <c r="F412" s="29">
        <v>3</v>
      </c>
      <c r="G412" s="29">
        <v>4</v>
      </c>
      <c r="H412" s="29">
        <v>5</v>
      </c>
      <c r="I412" s="29">
        <v>6</v>
      </c>
      <c r="J412" s="29">
        <v>7</v>
      </c>
      <c r="K412" s="29">
        <v>8</v>
      </c>
      <c r="L412" s="29">
        <v>9</v>
      </c>
      <c r="M412" s="29">
        <v>10</v>
      </c>
      <c r="N412" s="29">
        <v>11</v>
      </c>
      <c r="O412" s="29">
        <v>12</v>
      </c>
      <c r="P412" s="29">
        <v>13</v>
      </c>
      <c r="Q412" s="29">
        <v>14</v>
      </c>
      <c r="R412" s="29">
        <v>15</v>
      </c>
      <c r="S412" s="29">
        <v>16</v>
      </c>
      <c r="T412" s="29">
        <v>17</v>
      </c>
      <c r="U412" s="29">
        <v>18</v>
      </c>
      <c r="V412" s="29">
        <v>19</v>
      </c>
      <c r="W412" s="30">
        <v>20</v>
      </c>
      <c r="X412" s="105"/>
    </row>
    <row r="413" spans="1:24" s="7" customFormat="1" ht="20.100000000000001" customHeight="1">
      <c r="C413" s="16" t="s">
        <v>1</v>
      </c>
      <c r="D413" s="16" t="s">
        <v>23</v>
      </c>
      <c r="E413" s="16" t="s">
        <v>56</v>
      </c>
      <c r="F413" s="16" t="s">
        <v>11</v>
      </c>
      <c r="G413" s="16" t="s">
        <v>12</v>
      </c>
      <c r="H413" s="16" t="s">
        <v>37</v>
      </c>
      <c r="I413" s="16" t="s">
        <v>46</v>
      </c>
      <c r="J413" s="16" t="s">
        <v>47</v>
      </c>
      <c r="K413" s="16" t="s">
        <v>4</v>
      </c>
      <c r="L413" s="16" t="s">
        <v>13</v>
      </c>
      <c r="M413" s="16" t="s">
        <v>14</v>
      </c>
      <c r="N413" s="16" t="s">
        <v>79</v>
      </c>
      <c r="O413" s="16" t="s">
        <v>53</v>
      </c>
      <c r="P413" s="16" t="s">
        <v>54</v>
      </c>
      <c r="Q413" s="31" t="s">
        <v>55</v>
      </c>
      <c r="R413" s="16" t="s">
        <v>15</v>
      </c>
      <c r="S413" s="16" t="s">
        <v>16</v>
      </c>
      <c r="T413" s="31" t="s">
        <v>19</v>
      </c>
      <c r="U413" s="31" t="s">
        <v>20</v>
      </c>
      <c r="V413" s="16" t="s">
        <v>21</v>
      </c>
      <c r="W413" s="16" t="s">
        <v>22</v>
      </c>
      <c r="X413" s="110" t="s">
        <v>133</v>
      </c>
    </row>
    <row r="414" spans="1:24" ht="32.1" customHeight="1">
      <c r="B414" s="1">
        <f>B407+1</f>
        <v>12</v>
      </c>
      <c r="C414" s="85" t="str">
        <f>IF(ج_ح_اسفند[[#This Row],[نام]]&lt;&gt;"",ROW()-414+1,"")</f>
        <v/>
      </c>
      <c r="D414" s="86"/>
      <c r="E414" s="86"/>
      <c r="F414" s="87"/>
      <c r="G414" s="88" t="str">
        <f>IFERROR(IF(COUNT(ج_ح_اسفند[[#This Row],[کارکرد]]),حداقل_حقوق_پایه_روزانه,""),"")</f>
        <v/>
      </c>
      <c r="H414" s="89" t="str">
        <f>IFERROR(IF(ج_ح_اسفند[[#This Row],[کارکرد]]*ج_ح_اسفند[[#This Row],[دستمزد روزانه ]]=0,"",ج_ح_اسفند[[#This Row],[کارکرد]]*ج_ح_اسفند[[#This Row],[دستمزد روزانه ]]),"")</f>
        <v/>
      </c>
      <c r="I414" s="91">
        <v>0</v>
      </c>
      <c r="J414" s="90" t="str">
        <f>IFERROR((ج_ح_اسفند[[#This Row],[دستمزد روزانه ]]/7.33)*1.4*ج_ح_اسفند[[#This Row],[مدت اضافه کاری ]],"")</f>
        <v/>
      </c>
      <c r="K414" s="89" t="str">
        <f>IF(ج_ح_اسفند[[#This Row],[کارکرد]]="","",ج_ح_اسفند[[#This Row],[کارکرد]]/29*حق_مسکن)</f>
        <v/>
      </c>
      <c r="L414" s="91">
        <v>0</v>
      </c>
      <c r="M414" s="89">
        <f>IF(ج_ح_اسفند[[#This Row],[تعداد فرزندان]]="","",ج_ح_اسفند[[#This Row],[کارکرد]]/29*3*ج_ح_اسفند[[#This Row],[تعداد فرزندان]]*حداقل_حقوق_پایه_روزانه)</f>
        <v>0</v>
      </c>
      <c r="N414" s="89" t="str">
        <f>IF(ج_ح_اسفند[[#This Row],[کارکرد]]="","",ج_ح_اسفند[[#This Row],[کارکرد]]/29*حق_خواربار)</f>
        <v/>
      </c>
      <c r="O414" s="89" t="str">
        <f>IFERROR(ج_ح_اسفند[[#This Row],[حقوق پایه]]+ج_ح_اسفند[[#This Row],[اضافه کاری]]+ج_ح_اسفند[[#This Row],[حق مسکن]]+ج_ح_اسفند[[#This Row],[حق اولاد]]+ج_ح_اسفند[[#This Row],[حق و خواروبار]],"")</f>
        <v/>
      </c>
      <c r="P414"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14"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14" s="88">
        <v>0</v>
      </c>
      <c r="S414" s="88">
        <v>0</v>
      </c>
      <c r="T414" s="89" t="str">
        <f>IFERROR(ج_ح_اسفند[[#This Row],[جمع ح و م م بیمه ]]*7%,"")</f>
        <v/>
      </c>
      <c r="U414"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14" s="89" t="str">
        <f>IFERROR(ج_ح_اسفند[[#This Row],[وام]]+ج_ح_اسفند[[#This Row],[مساعده]]+ج_ح_اسفند[[#This Row],[بیمه پرداختنی]]+ج_ح_اسفند[[#This Row],[مالیات پرداختنی]],"")</f>
        <v/>
      </c>
      <c r="W414" s="89" t="str">
        <f>IFERROR(ج_ح_اسفند[[#This Row],[جمع ح و م]]-ج_ح_اسفند[[#This Row],[جمع کسورات]],"")</f>
        <v/>
      </c>
      <c r="X414" s="108" t="e">
        <f>100000000-ج_ح_اسفند[[#This Row],[جمع ح و م م مالیات]]</f>
        <v>#VALUE!</v>
      </c>
    </row>
    <row r="415" spans="1:24" ht="32.1" customHeight="1">
      <c r="B415" s="1">
        <f>B414</f>
        <v>12</v>
      </c>
      <c r="C415" s="85" t="str">
        <f>IF(ج_ح_اسفند[[#This Row],[نام]]&lt;&gt;"",ROW()-414+1,"")</f>
        <v/>
      </c>
      <c r="D415" s="86"/>
      <c r="E415" s="86"/>
      <c r="F415" s="87"/>
      <c r="G415" s="88" t="str">
        <f>IFERROR(IF(COUNT(ج_ح_اسفند[[#This Row],[کارکرد]]),حداقل_حقوق_پایه_روزانه,""),"")</f>
        <v/>
      </c>
      <c r="H415" s="89" t="str">
        <f>IFERROR(IF(ج_ح_اسفند[[#This Row],[کارکرد]]*ج_ح_اسفند[[#This Row],[دستمزد روزانه ]]=0,"",ج_ح_اسفند[[#This Row],[کارکرد]]*ج_ح_اسفند[[#This Row],[دستمزد روزانه ]]),"")</f>
        <v/>
      </c>
      <c r="I415" s="91">
        <v>0</v>
      </c>
      <c r="J415" s="90" t="str">
        <f>IFERROR((ج_ح_اسفند[[#This Row],[دستمزد روزانه ]]/7.33)*1.4*ج_ح_اسفند[[#This Row],[مدت اضافه کاری ]],"")</f>
        <v/>
      </c>
      <c r="K415" s="89" t="str">
        <f>IF(ج_ح_اسفند[[#This Row],[کارکرد]]="","",ج_ح_اسفند[[#This Row],[کارکرد]]/29*حق_مسکن)</f>
        <v/>
      </c>
      <c r="L415" s="91">
        <v>0</v>
      </c>
      <c r="M415" s="89">
        <f>IF(ج_ح_اسفند[[#This Row],[تعداد فرزندان]]="","",ج_ح_اسفند[[#This Row],[کارکرد]]/29*3*ج_ح_اسفند[[#This Row],[تعداد فرزندان]]*حداقل_حقوق_پایه_روزانه)</f>
        <v>0</v>
      </c>
      <c r="N415" s="89" t="str">
        <f>IF(ج_ح_اسفند[[#This Row],[کارکرد]]="","",ج_ح_اسفند[[#This Row],[کارکرد]]/29*حق_خواربار)</f>
        <v/>
      </c>
      <c r="O415" s="89" t="str">
        <f>IFERROR(ج_ح_اسفند[[#This Row],[حقوق پایه]]+ج_ح_اسفند[[#This Row],[اضافه کاری]]+ج_ح_اسفند[[#This Row],[حق مسکن]]+ج_ح_اسفند[[#This Row],[حق اولاد]]+ج_ح_اسفند[[#This Row],[حق و خواروبار]],"")</f>
        <v/>
      </c>
      <c r="P415"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15"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15" s="88">
        <v>0</v>
      </c>
      <c r="S415" s="88">
        <v>0</v>
      </c>
      <c r="T415" s="89" t="str">
        <f>IFERROR(ج_ح_اسفند[[#This Row],[جمع ح و م م بیمه ]]*7%,"")</f>
        <v/>
      </c>
      <c r="U415"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15" s="89" t="str">
        <f>IFERROR(ج_ح_اسفند[[#This Row],[وام]]+ج_ح_اسفند[[#This Row],[مساعده]]+ج_ح_اسفند[[#This Row],[بیمه پرداختنی]]+ج_ح_اسفند[[#This Row],[مالیات پرداختنی]],"")</f>
        <v/>
      </c>
      <c r="W415" s="89" t="str">
        <f>IFERROR(ج_ح_اسفند[[#This Row],[جمع ح و م]]-ج_ح_اسفند[[#This Row],[جمع کسورات]],"")</f>
        <v/>
      </c>
      <c r="X415" s="108" t="e">
        <f>100000000-ج_ح_اسفند[[#This Row],[جمع ح و م م مالیات]]</f>
        <v>#VALUE!</v>
      </c>
    </row>
    <row r="416" spans="1:24" ht="32.1" customHeight="1">
      <c r="B416" s="1">
        <f t="shared" ref="B416:B444" si="10">B415</f>
        <v>12</v>
      </c>
      <c r="C416" s="85" t="str">
        <f>IF(ج_ح_اسفند[[#This Row],[نام]]&lt;&gt;"",ROW()-414+1,"")</f>
        <v/>
      </c>
      <c r="D416" s="86"/>
      <c r="E416" s="86"/>
      <c r="F416" s="87"/>
      <c r="G416" s="88" t="str">
        <f>IFERROR(IF(COUNT(ج_ح_اسفند[[#This Row],[کارکرد]]),حداقل_حقوق_پایه_روزانه,""),"")</f>
        <v/>
      </c>
      <c r="H416" s="89" t="str">
        <f>IFERROR(IF(ج_ح_اسفند[[#This Row],[کارکرد]]*ج_ح_اسفند[[#This Row],[دستمزد روزانه ]]=0,"",ج_ح_اسفند[[#This Row],[کارکرد]]*ج_ح_اسفند[[#This Row],[دستمزد روزانه ]]),"")</f>
        <v/>
      </c>
      <c r="I416" s="91">
        <v>0</v>
      </c>
      <c r="J416" s="90" t="str">
        <f>IFERROR((ج_ح_اسفند[[#This Row],[دستمزد روزانه ]]/7.33)*1.4*ج_ح_اسفند[[#This Row],[مدت اضافه کاری ]],"")</f>
        <v/>
      </c>
      <c r="K416" s="89" t="str">
        <f>IF(ج_ح_اسفند[[#This Row],[کارکرد]]="","",ج_ح_اسفند[[#This Row],[کارکرد]]/29*حق_مسکن)</f>
        <v/>
      </c>
      <c r="L416" s="91">
        <v>0</v>
      </c>
      <c r="M416" s="89">
        <f>IF(ج_ح_اسفند[[#This Row],[تعداد فرزندان]]="","",ج_ح_اسفند[[#This Row],[کارکرد]]/29*3*ج_ح_اسفند[[#This Row],[تعداد فرزندان]]*حداقل_حقوق_پایه_روزانه)</f>
        <v>0</v>
      </c>
      <c r="N416" s="89" t="str">
        <f>IF(ج_ح_اسفند[[#This Row],[کارکرد]]="","",ج_ح_اسفند[[#This Row],[کارکرد]]/29*حق_خواربار)</f>
        <v/>
      </c>
      <c r="O416" s="89" t="str">
        <f>IFERROR(ج_ح_اسفند[[#This Row],[حقوق پایه]]+ج_ح_اسفند[[#This Row],[اضافه کاری]]+ج_ح_اسفند[[#This Row],[حق مسکن]]+ج_ح_اسفند[[#This Row],[حق اولاد]]+ج_ح_اسفند[[#This Row],[حق و خواروبار]],"")</f>
        <v/>
      </c>
      <c r="P416"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16"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16" s="88">
        <v>0</v>
      </c>
      <c r="S416" s="88">
        <v>0</v>
      </c>
      <c r="T416" s="89" t="str">
        <f>IFERROR(ج_ح_اسفند[[#This Row],[جمع ح و م م بیمه ]]*7%,"")</f>
        <v/>
      </c>
      <c r="U416"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16" s="89" t="str">
        <f>IFERROR(ج_ح_اسفند[[#This Row],[وام]]+ج_ح_اسفند[[#This Row],[مساعده]]+ج_ح_اسفند[[#This Row],[بیمه پرداختنی]]+ج_ح_اسفند[[#This Row],[مالیات پرداختنی]],"")</f>
        <v/>
      </c>
      <c r="W416" s="89" t="str">
        <f>IFERROR(ج_ح_اسفند[[#This Row],[جمع ح و م]]-ج_ح_اسفند[[#This Row],[جمع کسورات]],"")</f>
        <v/>
      </c>
      <c r="X416" s="108" t="e">
        <f>100000000-ج_ح_اسفند[[#This Row],[جمع ح و م م مالیات]]</f>
        <v>#VALUE!</v>
      </c>
    </row>
    <row r="417" spans="2:24" ht="32.1" customHeight="1">
      <c r="B417" s="1">
        <f t="shared" si="10"/>
        <v>12</v>
      </c>
      <c r="C417" s="85" t="str">
        <f>IF(ج_ح_اسفند[[#This Row],[نام]]&lt;&gt;"",ROW()-414+1,"")</f>
        <v/>
      </c>
      <c r="D417" s="86"/>
      <c r="E417" s="86"/>
      <c r="F417" s="87"/>
      <c r="G417" s="88" t="str">
        <f>IFERROR(IF(COUNT(ج_ح_اسفند[[#This Row],[کارکرد]]),حداقل_حقوق_پایه_روزانه,""),"")</f>
        <v/>
      </c>
      <c r="H417" s="89" t="str">
        <f>IFERROR(IF(ج_ح_اسفند[[#This Row],[کارکرد]]*ج_ح_اسفند[[#This Row],[دستمزد روزانه ]]=0,"",ج_ح_اسفند[[#This Row],[کارکرد]]*ج_ح_اسفند[[#This Row],[دستمزد روزانه ]]),"")</f>
        <v/>
      </c>
      <c r="I417" s="91">
        <v>0</v>
      </c>
      <c r="J417" s="90" t="str">
        <f>IFERROR((ج_ح_اسفند[[#This Row],[دستمزد روزانه ]]/7.33)*1.4*ج_ح_اسفند[[#This Row],[مدت اضافه کاری ]],"")</f>
        <v/>
      </c>
      <c r="K417" s="89" t="str">
        <f>IF(ج_ح_اسفند[[#This Row],[کارکرد]]="","",ج_ح_اسفند[[#This Row],[کارکرد]]/29*حق_مسکن)</f>
        <v/>
      </c>
      <c r="L417" s="91">
        <v>0</v>
      </c>
      <c r="M417" s="89">
        <f>IF(ج_ح_اسفند[[#This Row],[تعداد فرزندان]]="","",ج_ح_اسفند[[#This Row],[کارکرد]]/29*3*ج_ح_اسفند[[#This Row],[تعداد فرزندان]]*حداقل_حقوق_پایه_روزانه)</f>
        <v>0</v>
      </c>
      <c r="N417" s="89" t="str">
        <f>IF(ج_ح_اسفند[[#This Row],[کارکرد]]="","",ج_ح_اسفند[[#This Row],[کارکرد]]/29*حق_خواربار)</f>
        <v/>
      </c>
      <c r="O417" s="89" t="str">
        <f>IFERROR(ج_ح_اسفند[[#This Row],[حقوق پایه]]+ج_ح_اسفند[[#This Row],[اضافه کاری]]+ج_ح_اسفند[[#This Row],[حق مسکن]]+ج_ح_اسفند[[#This Row],[حق اولاد]]+ج_ح_اسفند[[#This Row],[حق و خواروبار]],"")</f>
        <v/>
      </c>
      <c r="P417"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17"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17" s="88">
        <v>0</v>
      </c>
      <c r="S417" s="88">
        <v>0</v>
      </c>
      <c r="T417" s="89" t="str">
        <f>IFERROR(ج_ح_اسفند[[#This Row],[جمع ح و م م بیمه ]]*7%,"")</f>
        <v/>
      </c>
      <c r="U417"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17" s="89" t="str">
        <f>IFERROR(ج_ح_اسفند[[#This Row],[وام]]+ج_ح_اسفند[[#This Row],[مساعده]]+ج_ح_اسفند[[#This Row],[بیمه پرداختنی]]+ج_ح_اسفند[[#This Row],[مالیات پرداختنی]],"")</f>
        <v/>
      </c>
      <c r="W417" s="89" t="str">
        <f>IFERROR(ج_ح_اسفند[[#This Row],[جمع ح و م]]-ج_ح_اسفند[[#This Row],[جمع کسورات]],"")</f>
        <v/>
      </c>
      <c r="X417" s="108" t="e">
        <f>100000000-ج_ح_اسفند[[#This Row],[جمع ح و م م مالیات]]</f>
        <v>#VALUE!</v>
      </c>
    </row>
    <row r="418" spans="2:24" ht="32.1" customHeight="1">
      <c r="B418" s="1">
        <f t="shared" si="10"/>
        <v>12</v>
      </c>
      <c r="C418" s="85" t="str">
        <f>IF(ج_ح_اسفند[[#This Row],[نام]]&lt;&gt;"",ROW()-414+1,"")</f>
        <v/>
      </c>
      <c r="D418" s="86"/>
      <c r="E418" s="86"/>
      <c r="F418" s="87"/>
      <c r="G418" s="88" t="str">
        <f>IFERROR(IF(COUNT(ج_ح_اسفند[[#This Row],[کارکرد]]),حداقل_حقوق_پایه_روزانه,""),"")</f>
        <v/>
      </c>
      <c r="H418" s="89" t="str">
        <f>IFERROR(IF(ج_ح_اسفند[[#This Row],[کارکرد]]*ج_ح_اسفند[[#This Row],[دستمزد روزانه ]]=0,"",ج_ح_اسفند[[#This Row],[کارکرد]]*ج_ح_اسفند[[#This Row],[دستمزد روزانه ]]),"")</f>
        <v/>
      </c>
      <c r="I418" s="91"/>
      <c r="J418" s="90" t="str">
        <f>IFERROR((ج_ح_اسفند[[#This Row],[دستمزد روزانه ]]/7.33)*1.4*ج_ح_اسفند[[#This Row],[مدت اضافه کاری ]],"")</f>
        <v/>
      </c>
      <c r="K418" s="89" t="str">
        <f>IF(ج_ح_اسفند[[#This Row],[کارکرد]]="","",ج_ح_اسفند[[#This Row],[کارکرد]]/29*حق_مسکن)</f>
        <v/>
      </c>
      <c r="L418" s="91"/>
      <c r="M418" s="89" t="str">
        <f>IF(ج_ح_اسفند[[#This Row],[تعداد فرزندان]]="","",ج_ح_اسفند[[#This Row],[کارکرد]]/29*3*ج_ح_اسفند[[#This Row],[تعداد فرزندان]]*حداقل_حقوق_پایه_روزانه)</f>
        <v/>
      </c>
      <c r="N418" s="89" t="str">
        <f>IF(ج_ح_اسفند[[#This Row],[کارکرد]]="","",ج_ح_اسفند[[#This Row],[کارکرد]]/29*حق_خواربار)</f>
        <v/>
      </c>
      <c r="O418" s="89" t="str">
        <f>IFERROR(ج_ح_اسفند[[#This Row],[حقوق پایه]]+ج_ح_اسفند[[#This Row],[اضافه کاری]]+ج_ح_اسفند[[#This Row],[حق مسکن]]+ج_ح_اسفند[[#This Row],[حق اولاد]]+ج_ح_اسفند[[#This Row],[حق و خواروبار]],"")</f>
        <v/>
      </c>
      <c r="P418"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18"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18" s="88"/>
      <c r="S418" s="88"/>
      <c r="T418" s="89" t="str">
        <f>IFERROR(ج_ح_اسفند[[#This Row],[جمع ح و م م بیمه ]]*7%,"")</f>
        <v/>
      </c>
      <c r="U418"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18" s="89" t="str">
        <f>IFERROR(ج_ح_اسفند[[#This Row],[وام]]+ج_ح_اسفند[[#This Row],[مساعده]]+ج_ح_اسفند[[#This Row],[بیمه پرداختنی]]+ج_ح_اسفند[[#This Row],[مالیات پرداختنی]],"")</f>
        <v/>
      </c>
      <c r="W418" s="89" t="str">
        <f>IFERROR(ج_ح_اسفند[[#This Row],[جمع ح و م]]-ج_ح_اسفند[[#This Row],[جمع کسورات]],"")</f>
        <v/>
      </c>
      <c r="X418" s="108"/>
    </row>
    <row r="419" spans="2:24" ht="32.1" customHeight="1">
      <c r="B419" s="1">
        <f t="shared" si="10"/>
        <v>12</v>
      </c>
      <c r="C419" s="85" t="str">
        <f>IF(ج_ح_اسفند[[#This Row],[نام]]&lt;&gt;"",ROW()-414+1,"")</f>
        <v/>
      </c>
      <c r="D419" s="86"/>
      <c r="E419" s="86"/>
      <c r="F419" s="87"/>
      <c r="G419" s="88" t="str">
        <f>IFERROR(IF(COUNT(ج_ح_اسفند[[#This Row],[کارکرد]]),حداقل_حقوق_پایه_روزانه,""),"")</f>
        <v/>
      </c>
      <c r="H419" s="89" t="str">
        <f>IFERROR(IF(ج_ح_اسفند[[#This Row],[کارکرد]]*ج_ح_اسفند[[#This Row],[دستمزد روزانه ]]=0,"",ج_ح_اسفند[[#This Row],[کارکرد]]*ج_ح_اسفند[[#This Row],[دستمزد روزانه ]]),"")</f>
        <v/>
      </c>
      <c r="I419" s="91"/>
      <c r="J419" s="90" t="str">
        <f>IFERROR((ج_ح_اسفند[[#This Row],[دستمزد روزانه ]]/7.33)*1.4*ج_ح_اسفند[[#This Row],[مدت اضافه کاری ]],"")</f>
        <v/>
      </c>
      <c r="K419" s="89" t="str">
        <f>IF(ج_ح_اسفند[[#This Row],[کارکرد]]="","",ج_ح_اسفند[[#This Row],[کارکرد]]/29*حق_مسکن)</f>
        <v/>
      </c>
      <c r="L419" s="91"/>
      <c r="M419" s="89" t="str">
        <f>IF(ج_ح_اسفند[[#This Row],[تعداد فرزندان]]="","",ج_ح_اسفند[[#This Row],[کارکرد]]/29*3*ج_ح_اسفند[[#This Row],[تعداد فرزندان]]*حداقل_حقوق_پایه_روزانه)</f>
        <v/>
      </c>
      <c r="N419" s="89" t="str">
        <f>IF(ج_ح_اسفند[[#This Row],[کارکرد]]="","",ج_ح_اسفند[[#This Row],[کارکرد]]/29*حق_خواربار)</f>
        <v/>
      </c>
      <c r="O419" s="89" t="str">
        <f>IFERROR(ج_ح_اسفند[[#This Row],[حقوق پایه]]+ج_ح_اسفند[[#This Row],[اضافه کاری]]+ج_ح_اسفند[[#This Row],[حق مسکن]]+ج_ح_اسفند[[#This Row],[حق اولاد]]+ج_ح_اسفند[[#This Row],[حق و خواروبار]],"")</f>
        <v/>
      </c>
      <c r="P419"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19"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19" s="88"/>
      <c r="S419" s="88"/>
      <c r="T419" s="89" t="str">
        <f>IFERROR(ج_ح_اسفند[[#This Row],[جمع ح و م م بیمه ]]*7%,"")</f>
        <v/>
      </c>
      <c r="U419"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19" s="89" t="str">
        <f>IFERROR(ج_ح_اسفند[[#This Row],[وام]]+ج_ح_اسفند[[#This Row],[مساعده]]+ج_ح_اسفند[[#This Row],[بیمه پرداختنی]]+ج_ح_اسفند[[#This Row],[مالیات پرداختنی]],"")</f>
        <v/>
      </c>
      <c r="W419" s="89" t="str">
        <f>IFERROR(ج_ح_اسفند[[#This Row],[جمع ح و م]]-ج_ح_اسفند[[#This Row],[جمع کسورات]],"")</f>
        <v/>
      </c>
      <c r="X419" s="108"/>
    </row>
    <row r="420" spans="2:24" ht="32.1" customHeight="1">
      <c r="B420" s="1">
        <f t="shared" si="10"/>
        <v>12</v>
      </c>
      <c r="C420" s="85" t="str">
        <f>IF(ج_ح_اسفند[[#This Row],[نام]]&lt;&gt;"",ROW()-414+1,"")</f>
        <v/>
      </c>
      <c r="D420" s="86"/>
      <c r="E420" s="86"/>
      <c r="F420" s="87"/>
      <c r="G420" s="88" t="str">
        <f>IFERROR(IF(COUNT(ج_ح_اسفند[[#This Row],[کارکرد]]),حداقل_حقوق_پایه_روزانه,""),"")</f>
        <v/>
      </c>
      <c r="H420" s="89" t="str">
        <f>IFERROR(IF(ج_ح_اسفند[[#This Row],[کارکرد]]*ج_ح_اسفند[[#This Row],[دستمزد روزانه ]]=0,"",ج_ح_اسفند[[#This Row],[کارکرد]]*ج_ح_اسفند[[#This Row],[دستمزد روزانه ]]),"")</f>
        <v/>
      </c>
      <c r="I420" s="91"/>
      <c r="J420" s="90" t="str">
        <f>IFERROR((ج_ح_اسفند[[#This Row],[دستمزد روزانه ]]/7.33)*1.4*ج_ح_اسفند[[#This Row],[مدت اضافه کاری ]],"")</f>
        <v/>
      </c>
      <c r="K420" s="89" t="str">
        <f>IF(ج_ح_اسفند[[#This Row],[کارکرد]]="","",ج_ح_اسفند[[#This Row],[کارکرد]]/29*حق_مسکن)</f>
        <v/>
      </c>
      <c r="L420" s="91"/>
      <c r="M420" s="89" t="str">
        <f>IF(ج_ح_اسفند[[#This Row],[تعداد فرزندان]]="","",ج_ح_اسفند[[#This Row],[کارکرد]]/29*3*ج_ح_اسفند[[#This Row],[تعداد فرزندان]]*حداقل_حقوق_پایه_روزانه)</f>
        <v/>
      </c>
      <c r="N420" s="89" t="str">
        <f>IF(ج_ح_اسفند[[#This Row],[کارکرد]]="","",ج_ح_اسفند[[#This Row],[کارکرد]]/29*حق_خواربار)</f>
        <v/>
      </c>
      <c r="O420" s="89" t="str">
        <f>IFERROR(ج_ح_اسفند[[#This Row],[حقوق پایه]]+ج_ح_اسفند[[#This Row],[اضافه کاری]]+ج_ح_اسفند[[#This Row],[حق مسکن]]+ج_ح_اسفند[[#This Row],[حق اولاد]]+ج_ح_اسفند[[#This Row],[حق و خواروبار]],"")</f>
        <v/>
      </c>
      <c r="P420"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20"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20" s="88"/>
      <c r="S420" s="88"/>
      <c r="T420" s="89" t="str">
        <f>IFERROR(ج_ح_اسفند[[#This Row],[جمع ح و م م بیمه ]]*7%,"")</f>
        <v/>
      </c>
      <c r="U420"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20" s="89" t="str">
        <f>IFERROR(ج_ح_اسفند[[#This Row],[وام]]+ج_ح_اسفند[[#This Row],[مساعده]]+ج_ح_اسفند[[#This Row],[بیمه پرداختنی]]+ج_ح_اسفند[[#This Row],[مالیات پرداختنی]],"")</f>
        <v/>
      </c>
      <c r="W420" s="89" t="str">
        <f>IFERROR(ج_ح_اسفند[[#This Row],[جمع ح و م]]-ج_ح_اسفند[[#This Row],[جمع کسورات]],"")</f>
        <v/>
      </c>
      <c r="X420" s="108"/>
    </row>
    <row r="421" spans="2:24" ht="32.1" customHeight="1">
      <c r="B421" s="1">
        <f t="shared" si="10"/>
        <v>12</v>
      </c>
      <c r="C421" s="85" t="str">
        <f>IF(ج_ح_اسفند[[#This Row],[نام]]&lt;&gt;"",ROW()-414+1,"")</f>
        <v/>
      </c>
      <c r="D421" s="86"/>
      <c r="E421" s="86"/>
      <c r="F421" s="87"/>
      <c r="G421" s="88" t="str">
        <f>IFERROR(IF(COUNT(ج_ح_اسفند[[#This Row],[کارکرد]]),حداقل_حقوق_پایه_روزانه,""),"")</f>
        <v/>
      </c>
      <c r="H421" s="89" t="str">
        <f>IFERROR(IF(ج_ح_اسفند[[#This Row],[کارکرد]]*ج_ح_اسفند[[#This Row],[دستمزد روزانه ]]=0,"",ج_ح_اسفند[[#This Row],[کارکرد]]*ج_ح_اسفند[[#This Row],[دستمزد روزانه ]]),"")</f>
        <v/>
      </c>
      <c r="I421" s="91"/>
      <c r="J421" s="90" t="str">
        <f>IFERROR((ج_ح_اسفند[[#This Row],[دستمزد روزانه ]]/7.33)*1.4*ج_ح_اسفند[[#This Row],[مدت اضافه کاری ]],"")</f>
        <v/>
      </c>
      <c r="K421" s="89" t="str">
        <f>IF(ج_ح_اسفند[[#This Row],[کارکرد]]="","",ج_ح_اسفند[[#This Row],[کارکرد]]/29*حق_مسکن)</f>
        <v/>
      </c>
      <c r="L421" s="91"/>
      <c r="M421" s="89" t="str">
        <f>IF(ج_ح_اسفند[[#This Row],[تعداد فرزندان]]="","",ج_ح_اسفند[[#This Row],[کارکرد]]/29*3*ج_ح_اسفند[[#This Row],[تعداد فرزندان]]*حداقل_حقوق_پایه_روزانه)</f>
        <v/>
      </c>
      <c r="N421" s="89" t="str">
        <f>IF(ج_ح_اسفند[[#This Row],[کارکرد]]="","",ج_ح_اسفند[[#This Row],[کارکرد]]/29*حق_خواربار)</f>
        <v/>
      </c>
      <c r="O421" s="89" t="str">
        <f>IFERROR(ج_ح_اسفند[[#This Row],[حقوق پایه]]+ج_ح_اسفند[[#This Row],[اضافه کاری]]+ج_ح_اسفند[[#This Row],[حق مسکن]]+ج_ح_اسفند[[#This Row],[حق اولاد]]+ج_ح_اسفند[[#This Row],[حق و خواروبار]],"")</f>
        <v/>
      </c>
      <c r="P421"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21"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21" s="88"/>
      <c r="S421" s="88"/>
      <c r="T421" s="89" t="str">
        <f>IFERROR(ج_ح_اسفند[[#This Row],[جمع ح و م م بیمه ]]*7%,"")</f>
        <v/>
      </c>
      <c r="U421"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21" s="89" t="str">
        <f>IFERROR(ج_ح_اسفند[[#This Row],[وام]]+ج_ح_اسفند[[#This Row],[مساعده]]+ج_ح_اسفند[[#This Row],[بیمه پرداختنی]]+ج_ح_اسفند[[#This Row],[مالیات پرداختنی]],"")</f>
        <v/>
      </c>
      <c r="W421" s="89" t="str">
        <f>IFERROR(ج_ح_اسفند[[#This Row],[جمع ح و م]]-ج_ح_اسفند[[#This Row],[جمع کسورات]],"")</f>
        <v/>
      </c>
      <c r="X421" s="108"/>
    </row>
    <row r="422" spans="2:24" ht="32.1" customHeight="1">
      <c r="B422" s="1">
        <f t="shared" si="10"/>
        <v>12</v>
      </c>
      <c r="C422" s="85" t="str">
        <f>IF(ج_ح_اسفند[[#This Row],[نام]]&lt;&gt;"",ROW()-414+1,"")</f>
        <v/>
      </c>
      <c r="D422" s="86"/>
      <c r="E422" s="86"/>
      <c r="F422" s="87"/>
      <c r="G422" s="88" t="str">
        <f>IFERROR(IF(COUNT(ج_ح_اسفند[[#This Row],[کارکرد]]),حداقل_حقوق_پایه_روزانه,""),"")</f>
        <v/>
      </c>
      <c r="H422" s="89" t="str">
        <f>IFERROR(IF(ج_ح_اسفند[[#This Row],[کارکرد]]*ج_ح_اسفند[[#This Row],[دستمزد روزانه ]]=0,"",ج_ح_اسفند[[#This Row],[کارکرد]]*ج_ح_اسفند[[#This Row],[دستمزد روزانه ]]),"")</f>
        <v/>
      </c>
      <c r="I422" s="91"/>
      <c r="J422" s="90" t="str">
        <f>IFERROR((ج_ح_اسفند[[#This Row],[دستمزد روزانه ]]/7.33)*1.4*ج_ح_اسفند[[#This Row],[مدت اضافه کاری ]],"")</f>
        <v/>
      </c>
      <c r="K422" s="89" t="str">
        <f>IF(ج_ح_اسفند[[#This Row],[کارکرد]]="","",ج_ح_اسفند[[#This Row],[کارکرد]]/29*حق_مسکن)</f>
        <v/>
      </c>
      <c r="L422" s="91"/>
      <c r="M422" s="89" t="str">
        <f>IF(ج_ح_اسفند[[#This Row],[تعداد فرزندان]]="","",ج_ح_اسفند[[#This Row],[کارکرد]]/29*3*ج_ح_اسفند[[#This Row],[تعداد فرزندان]]*حداقل_حقوق_پایه_روزانه)</f>
        <v/>
      </c>
      <c r="N422" s="89" t="str">
        <f>IF(ج_ح_اسفند[[#This Row],[کارکرد]]="","",ج_ح_اسفند[[#This Row],[کارکرد]]/29*حق_خواربار)</f>
        <v/>
      </c>
      <c r="O422" s="89" t="str">
        <f>IFERROR(ج_ح_اسفند[[#This Row],[حقوق پایه]]+ج_ح_اسفند[[#This Row],[اضافه کاری]]+ج_ح_اسفند[[#This Row],[حق مسکن]]+ج_ح_اسفند[[#This Row],[حق اولاد]]+ج_ح_اسفند[[#This Row],[حق و خواروبار]],"")</f>
        <v/>
      </c>
      <c r="P422"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22"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22" s="88"/>
      <c r="S422" s="88"/>
      <c r="T422" s="89" t="str">
        <f>IFERROR(ج_ح_اسفند[[#This Row],[جمع ح و م م بیمه ]]*7%,"")</f>
        <v/>
      </c>
      <c r="U422"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22" s="89" t="str">
        <f>IFERROR(ج_ح_اسفند[[#This Row],[وام]]+ج_ح_اسفند[[#This Row],[مساعده]]+ج_ح_اسفند[[#This Row],[بیمه پرداختنی]]+ج_ح_اسفند[[#This Row],[مالیات پرداختنی]],"")</f>
        <v/>
      </c>
      <c r="W422" s="89" t="str">
        <f>IFERROR(ج_ح_اسفند[[#This Row],[جمع ح و م]]-ج_ح_اسفند[[#This Row],[جمع کسورات]],"")</f>
        <v/>
      </c>
      <c r="X422" s="108"/>
    </row>
    <row r="423" spans="2:24" ht="32.1" customHeight="1">
      <c r="B423" s="1">
        <f t="shared" si="10"/>
        <v>12</v>
      </c>
      <c r="C423" s="85" t="str">
        <f>IF(ج_ح_اسفند[[#This Row],[نام]]&lt;&gt;"",ROW()-414+1,"")</f>
        <v/>
      </c>
      <c r="D423" s="86"/>
      <c r="E423" s="86"/>
      <c r="F423" s="87"/>
      <c r="G423" s="88" t="str">
        <f>IFERROR(IF(COUNT(ج_ح_اسفند[[#This Row],[کارکرد]]),حداقل_حقوق_پایه_روزانه,""),"")</f>
        <v/>
      </c>
      <c r="H423" s="89" t="str">
        <f>IFERROR(IF(ج_ح_اسفند[[#This Row],[کارکرد]]*ج_ح_اسفند[[#This Row],[دستمزد روزانه ]]=0,"",ج_ح_اسفند[[#This Row],[کارکرد]]*ج_ح_اسفند[[#This Row],[دستمزد روزانه ]]),"")</f>
        <v/>
      </c>
      <c r="I423" s="91"/>
      <c r="J423" s="90" t="str">
        <f>IFERROR((ج_ح_اسفند[[#This Row],[دستمزد روزانه ]]/7.33)*1.4*ج_ح_اسفند[[#This Row],[مدت اضافه کاری ]],"")</f>
        <v/>
      </c>
      <c r="K423" s="89" t="str">
        <f>IF(ج_ح_اسفند[[#This Row],[کارکرد]]="","",ج_ح_اسفند[[#This Row],[کارکرد]]/29*حق_مسکن)</f>
        <v/>
      </c>
      <c r="L423" s="91"/>
      <c r="M423" s="89" t="str">
        <f>IF(ج_ح_اسفند[[#This Row],[تعداد فرزندان]]="","",ج_ح_اسفند[[#This Row],[کارکرد]]/29*3*ج_ح_اسفند[[#This Row],[تعداد فرزندان]]*حداقل_حقوق_پایه_روزانه)</f>
        <v/>
      </c>
      <c r="N423" s="89" t="str">
        <f>IF(ج_ح_اسفند[[#This Row],[کارکرد]]="","",ج_ح_اسفند[[#This Row],[کارکرد]]/29*حق_خواربار)</f>
        <v/>
      </c>
      <c r="O423" s="89" t="str">
        <f>IFERROR(ج_ح_اسفند[[#This Row],[حقوق پایه]]+ج_ح_اسفند[[#This Row],[اضافه کاری]]+ج_ح_اسفند[[#This Row],[حق مسکن]]+ج_ح_اسفند[[#This Row],[حق اولاد]]+ج_ح_اسفند[[#This Row],[حق و خواروبار]],"")</f>
        <v/>
      </c>
      <c r="P423"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23"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23" s="88"/>
      <c r="S423" s="88"/>
      <c r="T423" s="89" t="str">
        <f>IFERROR(ج_ح_اسفند[[#This Row],[جمع ح و م م بیمه ]]*7%,"")</f>
        <v/>
      </c>
      <c r="U423"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23" s="89" t="str">
        <f>IFERROR(ج_ح_اسفند[[#This Row],[وام]]+ج_ح_اسفند[[#This Row],[مساعده]]+ج_ح_اسفند[[#This Row],[بیمه پرداختنی]]+ج_ح_اسفند[[#This Row],[مالیات پرداختنی]],"")</f>
        <v/>
      </c>
      <c r="W423" s="89" t="str">
        <f>IFERROR(ج_ح_اسفند[[#This Row],[جمع ح و م]]-ج_ح_اسفند[[#This Row],[جمع کسورات]],"")</f>
        <v/>
      </c>
      <c r="X423" s="108"/>
    </row>
    <row r="424" spans="2:24" ht="32.1" customHeight="1">
      <c r="B424" s="1">
        <f t="shared" si="10"/>
        <v>12</v>
      </c>
      <c r="C424" s="85" t="str">
        <f>IF(ج_ح_اسفند[[#This Row],[نام]]&lt;&gt;"",ROW()-414+1,"")</f>
        <v/>
      </c>
      <c r="D424" s="86"/>
      <c r="E424" s="86"/>
      <c r="F424" s="87"/>
      <c r="G424" s="88" t="str">
        <f>IFERROR(IF(COUNT(ج_ح_اسفند[[#This Row],[کارکرد]]),حداقل_حقوق_پایه_روزانه,""),"")</f>
        <v/>
      </c>
      <c r="H424" s="89" t="str">
        <f>IFERROR(IF(ج_ح_اسفند[[#This Row],[کارکرد]]*ج_ح_اسفند[[#This Row],[دستمزد روزانه ]]=0,"",ج_ح_اسفند[[#This Row],[کارکرد]]*ج_ح_اسفند[[#This Row],[دستمزد روزانه ]]),"")</f>
        <v/>
      </c>
      <c r="I424" s="91"/>
      <c r="J424" s="90" t="str">
        <f>IFERROR((ج_ح_اسفند[[#This Row],[دستمزد روزانه ]]/7.33)*1.4*ج_ح_اسفند[[#This Row],[مدت اضافه کاری ]],"")</f>
        <v/>
      </c>
      <c r="K424" s="89" t="str">
        <f>IF(ج_ح_اسفند[[#This Row],[کارکرد]]="","",ج_ح_اسفند[[#This Row],[کارکرد]]/29*حق_مسکن)</f>
        <v/>
      </c>
      <c r="L424" s="91"/>
      <c r="M424" s="89" t="str">
        <f>IF(ج_ح_اسفند[[#This Row],[تعداد فرزندان]]="","",ج_ح_اسفند[[#This Row],[کارکرد]]/29*3*ج_ح_اسفند[[#This Row],[تعداد فرزندان]]*حداقل_حقوق_پایه_روزانه)</f>
        <v/>
      </c>
      <c r="N424" s="89" t="str">
        <f>IF(ج_ح_اسفند[[#This Row],[کارکرد]]="","",ج_ح_اسفند[[#This Row],[کارکرد]]/29*حق_خواربار)</f>
        <v/>
      </c>
      <c r="O424" s="89" t="str">
        <f>IFERROR(ج_ح_اسفند[[#This Row],[حقوق پایه]]+ج_ح_اسفند[[#This Row],[اضافه کاری]]+ج_ح_اسفند[[#This Row],[حق مسکن]]+ج_ح_اسفند[[#This Row],[حق اولاد]]+ج_ح_اسفند[[#This Row],[حق و خواروبار]],"")</f>
        <v/>
      </c>
      <c r="P424"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24"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24" s="88"/>
      <c r="S424" s="88"/>
      <c r="T424" s="89" t="str">
        <f>IFERROR(ج_ح_اسفند[[#This Row],[جمع ح و م م بیمه ]]*7%,"")</f>
        <v/>
      </c>
      <c r="U424"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24" s="89" t="str">
        <f>IFERROR(ج_ح_اسفند[[#This Row],[وام]]+ج_ح_اسفند[[#This Row],[مساعده]]+ج_ح_اسفند[[#This Row],[بیمه پرداختنی]]+ج_ح_اسفند[[#This Row],[مالیات پرداختنی]],"")</f>
        <v/>
      </c>
      <c r="W424" s="89" t="str">
        <f>IFERROR(ج_ح_اسفند[[#This Row],[جمع ح و م]]-ج_ح_اسفند[[#This Row],[جمع کسورات]],"")</f>
        <v/>
      </c>
      <c r="X424" s="108"/>
    </row>
    <row r="425" spans="2:24" ht="32.1" customHeight="1">
      <c r="B425" s="1">
        <f t="shared" si="10"/>
        <v>12</v>
      </c>
      <c r="C425" s="85" t="str">
        <f>IF(ج_ح_اسفند[[#This Row],[نام]]&lt;&gt;"",ROW()-414+1,"")</f>
        <v/>
      </c>
      <c r="D425" s="86"/>
      <c r="E425" s="86"/>
      <c r="F425" s="87"/>
      <c r="G425" s="88" t="str">
        <f>IFERROR(IF(COUNT(ج_ح_اسفند[[#This Row],[کارکرد]]),حداقل_حقوق_پایه_روزانه,""),"")</f>
        <v/>
      </c>
      <c r="H425" s="89" t="str">
        <f>IFERROR(IF(ج_ح_اسفند[[#This Row],[کارکرد]]*ج_ح_اسفند[[#This Row],[دستمزد روزانه ]]=0,"",ج_ح_اسفند[[#This Row],[کارکرد]]*ج_ح_اسفند[[#This Row],[دستمزد روزانه ]]),"")</f>
        <v/>
      </c>
      <c r="I425" s="91"/>
      <c r="J425" s="90" t="str">
        <f>IFERROR((ج_ح_اسفند[[#This Row],[دستمزد روزانه ]]/7.33)*1.4*ج_ح_اسفند[[#This Row],[مدت اضافه کاری ]],"")</f>
        <v/>
      </c>
      <c r="K425" s="89" t="str">
        <f>IF(ج_ح_اسفند[[#This Row],[کارکرد]]="","",ج_ح_اسفند[[#This Row],[کارکرد]]/29*حق_مسکن)</f>
        <v/>
      </c>
      <c r="L425" s="91"/>
      <c r="M425" s="89" t="str">
        <f>IF(ج_ح_اسفند[[#This Row],[تعداد فرزندان]]="","",ج_ح_اسفند[[#This Row],[کارکرد]]/29*3*ج_ح_اسفند[[#This Row],[تعداد فرزندان]]*حداقل_حقوق_پایه_روزانه)</f>
        <v/>
      </c>
      <c r="N425" s="89" t="str">
        <f>IF(ج_ح_اسفند[[#This Row],[کارکرد]]="","",ج_ح_اسفند[[#This Row],[کارکرد]]/29*حق_خواربار)</f>
        <v/>
      </c>
      <c r="O425" s="89" t="str">
        <f>IFERROR(ج_ح_اسفند[[#This Row],[حقوق پایه]]+ج_ح_اسفند[[#This Row],[اضافه کاری]]+ج_ح_اسفند[[#This Row],[حق مسکن]]+ج_ح_اسفند[[#This Row],[حق اولاد]]+ج_ح_اسفند[[#This Row],[حق و خواروبار]],"")</f>
        <v/>
      </c>
      <c r="P425"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25"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25" s="88"/>
      <c r="S425" s="88"/>
      <c r="T425" s="89" t="str">
        <f>IFERROR(ج_ح_اسفند[[#This Row],[جمع ح و م م بیمه ]]*7%,"")</f>
        <v/>
      </c>
      <c r="U425"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25" s="89" t="str">
        <f>IFERROR(ج_ح_اسفند[[#This Row],[وام]]+ج_ح_اسفند[[#This Row],[مساعده]]+ج_ح_اسفند[[#This Row],[بیمه پرداختنی]]+ج_ح_اسفند[[#This Row],[مالیات پرداختنی]],"")</f>
        <v/>
      </c>
      <c r="W425" s="89" t="str">
        <f>IFERROR(ج_ح_اسفند[[#This Row],[جمع ح و م]]-ج_ح_اسفند[[#This Row],[جمع کسورات]],"")</f>
        <v/>
      </c>
      <c r="X425" s="108"/>
    </row>
    <row r="426" spans="2:24" ht="32.1" customHeight="1">
      <c r="B426" s="1">
        <f t="shared" si="10"/>
        <v>12</v>
      </c>
      <c r="C426" s="85" t="str">
        <f>IF(ج_ح_اسفند[[#This Row],[نام]]&lt;&gt;"",ROW()-414+1,"")</f>
        <v/>
      </c>
      <c r="D426" s="86"/>
      <c r="E426" s="86"/>
      <c r="F426" s="87"/>
      <c r="G426" s="88" t="str">
        <f>IFERROR(IF(COUNT(ج_ح_اسفند[[#This Row],[کارکرد]]),حداقل_حقوق_پایه_روزانه,""),"")</f>
        <v/>
      </c>
      <c r="H426" s="89" t="str">
        <f>IFERROR(IF(ج_ح_اسفند[[#This Row],[کارکرد]]*ج_ح_اسفند[[#This Row],[دستمزد روزانه ]]=0,"",ج_ح_اسفند[[#This Row],[کارکرد]]*ج_ح_اسفند[[#This Row],[دستمزد روزانه ]]),"")</f>
        <v/>
      </c>
      <c r="I426" s="91"/>
      <c r="J426" s="90" t="str">
        <f>IFERROR((ج_ح_اسفند[[#This Row],[دستمزد روزانه ]]/7.33)*1.4*ج_ح_اسفند[[#This Row],[مدت اضافه کاری ]],"")</f>
        <v/>
      </c>
      <c r="K426" s="89" t="str">
        <f>IF(ج_ح_اسفند[[#This Row],[کارکرد]]="","",ج_ح_اسفند[[#This Row],[کارکرد]]/29*حق_مسکن)</f>
        <v/>
      </c>
      <c r="L426" s="91"/>
      <c r="M426" s="89" t="str">
        <f>IF(ج_ح_اسفند[[#This Row],[تعداد فرزندان]]="","",ج_ح_اسفند[[#This Row],[کارکرد]]/29*3*ج_ح_اسفند[[#This Row],[تعداد فرزندان]]*حداقل_حقوق_پایه_روزانه)</f>
        <v/>
      </c>
      <c r="N426" s="89" t="str">
        <f>IF(ج_ح_اسفند[[#This Row],[کارکرد]]="","",ج_ح_اسفند[[#This Row],[کارکرد]]/29*حق_خواربار)</f>
        <v/>
      </c>
      <c r="O426" s="89" t="str">
        <f>IFERROR(ج_ح_اسفند[[#This Row],[حقوق پایه]]+ج_ح_اسفند[[#This Row],[اضافه کاری]]+ج_ح_اسفند[[#This Row],[حق مسکن]]+ج_ح_اسفند[[#This Row],[حق اولاد]]+ج_ح_اسفند[[#This Row],[حق و خواروبار]],"")</f>
        <v/>
      </c>
      <c r="P426"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26"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26" s="88"/>
      <c r="S426" s="88"/>
      <c r="T426" s="89" t="str">
        <f>IFERROR(ج_ح_اسفند[[#This Row],[جمع ح و م م بیمه ]]*7%,"")</f>
        <v/>
      </c>
      <c r="U426"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26" s="89" t="str">
        <f>IFERROR(ج_ح_اسفند[[#This Row],[وام]]+ج_ح_اسفند[[#This Row],[مساعده]]+ج_ح_اسفند[[#This Row],[بیمه پرداختنی]]+ج_ح_اسفند[[#This Row],[مالیات پرداختنی]],"")</f>
        <v/>
      </c>
      <c r="W426" s="89" t="str">
        <f>IFERROR(ج_ح_اسفند[[#This Row],[جمع ح و م]]-ج_ح_اسفند[[#This Row],[جمع کسورات]],"")</f>
        <v/>
      </c>
      <c r="X426" s="108"/>
    </row>
    <row r="427" spans="2:24" ht="32.1" customHeight="1">
      <c r="B427" s="1">
        <f t="shared" si="10"/>
        <v>12</v>
      </c>
      <c r="C427" s="85" t="str">
        <f>IF(ج_ح_اسفند[[#This Row],[نام]]&lt;&gt;"",ROW()-414+1,"")</f>
        <v/>
      </c>
      <c r="D427" s="86"/>
      <c r="E427" s="86"/>
      <c r="F427" s="87"/>
      <c r="G427" s="88" t="str">
        <f>IFERROR(IF(COUNT(ج_ح_اسفند[[#This Row],[کارکرد]]),حداقل_حقوق_پایه_روزانه,""),"")</f>
        <v/>
      </c>
      <c r="H427" s="89" t="str">
        <f>IFERROR(IF(ج_ح_اسفند[[#This Row],[کارکرد]]*ج_ح_اسفند[[#This Row],[دستمزد روزانه ]]=0,"",ج_ح_اسفند[[#This Row],[کارکرد]]*ج_ح_اسفند[[#This Row],[دستمزد روزانه ]]),"")</f>
        <v/>
      </c>
      <c r="I427" s="91"/>
      <c r="J427" s="90" t="str">
        <f>IFERROR((ج_ح_اسفند[[#This Row],[دستمزد روزانه ]]/7.33)*1.4*ج_ح_اسفند[[#This Row],[مدت اضافه کاری ]],"")</f>
        <v/>
      </c>
      <c r="K427" s="89" t="str">
        <f>IF(ج_ح_اسفند[[#This Row],[کارکرد]]="","",ج_ح_اسفند[[#This Row],[کارکرد]]/29*حق_مسکن)</f>
        <v/>
      </c>
      <c r="L427" s="91"/>
      <c r="M427" s="89" t="str">
        <f>IF(ج_ح_اسفند[[#This Row],[تعداد فرزندان]]="","",ج_ح_اسفند[[#This Row],[کارکرد]]/29*3*ج_ح_اسفند[[#This Row],[تعداد فرزندان]]*حداقل_حقوق_پایه_روزانه)</f>
        <v/>
      </c>
      <c r="N427" s="89" t="str">
        <f>IF(ج_ح_اسفند[[#This Row],[کارکرد]]="","",ج_ح_اسفند[[#This Row],[کارکرد]]/29*حق_خواربار)</f>
        <v/>
      </c>
      <c r="O427" s="89" t="str">
        <f>IFERROR(ج_ح_اسفند[[#This Row],[حقوق پایه]]+ج_ح_اسفند[[#This Row],[اضافه کاری]]+ج_ح_اسفند[[#This Row],[حق مسکن]]+ج_ح_اسفند[[#This Row],[حق اولاد]]+ج_ح_اسفند[[#This Row],[حق و خواروبار]],"")</f>
        <v/>
      </c>
      <c r="P427"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27"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27" s="88"/>
      <c r="S427" s="88"/>
      <c r="T427" s="89" t="str">
        <f>IFERROR(ج_ح_اسفند[[#This Row],[جمع ح و م م بیمه ]]*7%,"")</f>
        <v/>
      </c>
      <c r="U427"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27" s="89" t="str">
        <f>IFERROR(ج_ح_اسفند[[#This Row],[وام]]+ج_ح_اسفند[[#This Row],[مساعده]]+ج_ح_اسفند[[#This Row],[بیمه پرداختنی]]+ج_ح_اسفند[[#This Row],[مالیات پرداختنی]],"")</f>
        <v/>
      </c>
      <c r="W427" s="89" t="str">
        <f>IFERROR(ج_ح_اسفند[[#This Row],[جمع ح و م]]-ج_ح_اسفند[[#This Row],[جمع کسورات]],"")</f>
        <v/>
      </c>
      <c r="X427" s="108"/>
    </row>
    <row r="428" spans="2:24" ht="32.1" customHeight="1">
      <c r="B428" s="1">
        <f t="shared" si="10"/>
        <v>12</v>
      </c>
      <c r="C428" s="85" t="str">
        <f>IF(ج_ح_اسفند[[#This Row],[نام]]&lt;&gt;"",ROW()-414+1,"")</f>
        <v/>
      </c>
      <c r="D428" s="86"/>
      <c r="E428" s="86"/>
      <c r="F428" s="87"/>
      <c r="G428" s="88" t="str">
        <f>IFERROR(IF(COUNT(ج_ح_اسفند[[#This Row],[کارکرد]]),حداقل_حقوق_پایه_روزانه,""),"")</f>
        <v/>
      </c>
      <c r="H428" s="89" t="str">
        <f>IFERROR(IF(ج_ح_اسفند[[#This Row],[کارکرد]]*ج_ح_اسفند[[#This Row],[دستمزد روزانه ]]=0,"",ج_ح_اسفند[[#This Row],[کارکرد]]*ج_ح_اسفند[[#This Row],[دستمزد روزانه ]]),"")</f>
        <v/>
      </c>
      <c r="I428" s="91"/>
      <c r="J428" s="90" t="str">
        <f>IFERROR((ج_ح_اسفند[[#This Row],[دستمزد روزانه ]]/7.33)*1.4*ج_ح_اسفند[[#This Row],[مدت اضافه کاری ]],"")</f>
        <v/>
      </c>
      <c r="K428" s="89" t="str">
        <f>IF(ج_ح_اسفند[[#This Row],[کارکرد]]="","",ج_ح_اسفند[[#This Row],[کارکرد]]/29*حق_مسکن)</f>
        <v/>
      </c>
      <c r="L428" s="91"/>
      <c r="M428" s="89" t="str">
        <f>IF(ج_ح_اسفند[[#This Row],[تعداد فرزندان]]="","",ج_ح_اسفند[[#This Row],[کارکرد]]/29*3*ج_ح_اسفند[[#This Row],[تعداد فرزندان]]*حداقل_حقوق_پایه_روزانه)</f>
        <v/>
      </c>
      <c r="N428" s="89" t="str">
        <f>IF(ج_ح_اسفند[[#This Row],[کارکرد]]="","",ج_ح_اسفند[[#This Row],[کارکرد]]/29*حق_خواربار)</f>
        <v/>
      </c>
      <c r="O428" s="89" t="str">
        <f>IFERROR(ج_ح_اسفند[[#This Row],[حقوق پایه]]+ج_ح_اسفند[[#This Row],[اضافه کاری]]+ج_ح_اسفند[[#This Row],[حق مسکن]]+ج_ح_اسفند[[#This Row],[حق اولاد]]+ج_ح_اسفند[[#This Row],[حق و خواروبار]],"")</f>
        <v/>
      </c>
      <c r="P428"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28"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28" s="88"/>
      <c r="S428" s="88"/>
      <c r="T428" s="89" t="str">
        <f>IFERROR(ج_ح_اسفند[[#This Row],[جمع ح و م م بیمه ]]*7%,"")</f>
        <v/>
      </c>
      <c r="U428"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28" s="89" t="str">
        <f>IFERROR(ج_ح_اسفند[[#This Row],[وام]]+ج_ح_اسفند[[#This Row],[مساعده]]+ج_ح_اسفند[[#This Row],[بیمه پرداختنی]]+ج_ح_اسفند[[#This Row],[مالیات پرداختنی]],"")</f>
        <v/>
      </c>
      <c r="W428" s="89" t="str">
        <f>IFERROR(ج_ح_اسفند[[#This Row],[جمع ح و م]]-ج_ح_اسفند[[#This Row],[جمع کسورات]],"")</f>
        <v/>
      </c>
      <c r="X428" s="108"/>
    </row>
    <row r="429" spans="2:24" ht="32.1" customHeight="1">
      <c r="B429" s="1">
        <f t="shared" si="10"/>
        <v>12</v>
      </c>
      <c r="C429" s="85" t="str">
        <f>IF(ج_ح_اسفند[[#This Row],[نام]]&lt;&gt;"",ROW()-414+1,"")</f>
        <v/>
      </c>
      <c r="D429" s="86"/>
      <c r="E429" s="86"/>
      <c r="F429" s="87"/>
      <c r="G429" s="88" t="str">
        <f>IFERROR(IF(COUNT(ج_ح_اسفند[[#This Row],[کارکرد]]),حداقل_حقوق_پایه_روزانه,""),"")</f>
        <v/>
      </c>
      <c r="H429" s="89" t="str">
        <f>IFERROR(IF(ج_ح_اسفند[[#This Row],[کارکرد]]*ج_ح_اسفند[[#This Row],[دستمزد روزانه ]]=0,"",ج_ح_اسفند[[#This Row],[کارکرد]]*ج_ح_اسفند[[#This Row],[دستمزد روزانه ]]),"")</f>
        <v/>
      </c>
      <c r="I429" s="91"/>
      <c r="J429" s="90" t="str">
        <f>IFERROR((ج_ح_اسفند[[#This Row],[دستمزد روزانه ]]/7.33)*1.4*ج_ح_اسفند[[#This Row],[مدت اضافه کاری ]],"")</f>
        <v/>
      </c>
      <c r="K429" s="89" t="str">
        <f>IF(ج_ح_اسفند[[#This Row],[کارکرد]]="","",ج_ح_اسفند[[#This Row],[کارکرد]]/29*حق_مسکن)</f>
        <v/>
      </c>
      <c r="L429" s="91"/>
      <c r="M429" s="89" t="str">
        <f>IF(ج_ح_اسفند[[#This Row],[تعداد فرزندان]]="","",ج_ح_اسفند[[#This Row],[کارکرد]]/29*3*ج_ح_اسفند[[#This Row],[تعداد فرزندان]]*حداقل_حقوق_پایه_روزانه)</f>
        <v/>
      </c>
      <c r="N429" s="89" t="str">
        <f>IF(ج_ح_اسفند[[#This Row],[کارکرد]]="","",ج_ح_اسفند[[#This Row],[کارکرد]]/29*حق_خواربار)</f>
        <v/>
      </c>
      <c r="O429" s="89" t="str">
        <f>IFERROR(ج_ح_اسفند[[#This Row],[حقوق پایه]]+ج_ح_اسفند[[#This Row],[اضافه کاری]]+ج_ح_اسفند[[#This Row],[حق مسکن]]+ج_ح_اسفند[[#This Row],[حق اولاد]]+ج_ح_اسفند[[#This Row],[حق و خواروبار]],"")</f>
        <v/>
      </c>
      <c r="P429"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29"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29" s="88"/>
      <c r="S429" s="88"/>
      <c r="T429" s="89" t="str">
        <f>IFERROR(ج_ح_اسفند[[#This Row],[جمع ح و م م بیمه ]]*7%,"")</f>
        <v/>
      </c>
      <c r="U429"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29" s="89" t="str">
        <f>IFERROR(ج_ح_اسفند[[#This Row],[وام]]+ج_ح_اسفند[[#This Row],[مساعده]]+ج_ح_اسفند[[#This Row],[بیمه پرداختنی]]+ج_ح_اسفند[[#This Row],[مالیات پرداختنی]],"")</f>
        <v/>
      </c>
      <c r="W429" s="89" t="str">
        <f>IFERROR(ج_ح_اسفند[[#This Row],[جمع ح و م]]-ج_ح_اسفند[[#This Row],[جمع کسورات]],"")</f>
        <v/>
      </c>
      <c r="X429" s="108"/>
    </row>
    <row r="430" spans="2:24" ht="32.1" customHeight="1">
      <c r="B430" s="1">
        <f t="shared" si="10"/>
        <v>12</v>
      </c>
      <c r="C430" s="85" t="str">
        <f>IF(ج_ح_اسفند[[#This Row],[نام]]&lt;&gt;"",ROW()-414+1,"")</f>
        <v/>
      </c>
      <c r="D430" s="86"/>
      <c r="E430" s="86"/>
      <c r="F430" s="87"/>
      <c r="G430" s="88" t="str">
        <f>IFERROR(IF(COUNT(ج_ح_اسفند[[#This Row],[کارکرد]]),حداقل_حقوق_پایه_روزانه,""),"")</f>
        <v/>
      </c>
      <c r="H430" s="89" t="str">
        <f>IFERROR(IF(ج_ح_اسفند[[#This Row],[کارکرد]]*ج_ح_اسفند[[#This Row],[دستمزد روزانه ]]=0,"",ج_ح_اسفند[[#This Row],[کارکرد]]*ج_ح_اسفند[[#This Row],[دستمزد روزانه ]]),"")</f>
        <v/>
      </c>
      <c r="I430" s="91"/>
      <c r="J430" s="90" t="str">
        <f>IFERROR((ج_ح_اسفند[[#This Row],[دستمزد روزانه ]]/7.33)*1.4*ج_ح_اسفند[[#This Row],[مدت اضافه کاری ]],"")</f>
        <v/>
      </c>
      <c r="K430" s="89" t="str">
        <f>IF(ج_ح_اسفند[[#This Row],[کارکرد]]="","",ج_ح_اسفند[[#This Row],[کارکرد]]/29*حق_مسکن)</f>
        <v/>
      </c>
      <c r="L430" s="91"/>
      <c r="M430" s="89" t="str">
        <f>IF(ج_ح_اسفند[[#This Row],[تعداد فرزندان]]="","",ج_ح_اسفند[[#This Row],[کارکرد]]/29*3*ج_ح_اسفند[[#This Row],[تعداد فرزندان]]*حداقل_حقوق_پایه_روزانه)</f>
        <v/>
      </c>
      <c r="N430" s="89" t="str">
        <f>IF(ج_ح_اسفند[[#This Row],[کارکرد]]="","",ج_ح_اسفند[[#This Row],[کارکرد]]/29*حق_خواربار)</f>
        <v/>
      </c>
      <c r="O430" s="89" t="str">
        <f>IFERROR(ج_ح_اسفند[[#This Row],[حقوق پایه]]+ج_ح_اسفند[[#This Row],[اضافه کاری]]+ج_ح_اسفند[[#This Row],[حق مسکن]]+ج_ح_اسفند[[#This Row],[حق اولاد]]+ج_ح_اسفند[[#This Row],[حق و خواروبار]],"")</f>
        <v/>
      </c>
      <c r="P430"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30"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30" s="88"/>
      <c r="S430" s="88"/>
      <c r="T430" s="89" t="str">
        <f>IFERROR(ج_ح_اسفند[[#This Row],[جمع ح و م م بیمه ]]*7%,"")</f>
        <v/>
      </c>
      <c r="U430"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30" s="89" t="str">
        <f>IFERROR(ج_ح_اسفند[[#This Row],[وام]]+ج_ح_اسفند[[#This Row],[مساعده]]+ج_ح_اسفند[[#This Row],[بیمه پرداختنی]]+ج_ح_اسفند[[#This Row],[مالیات پرداختنی]],"")</f>
        <v/>
      </c>
      <c r="W430" s="89" t="str">
        <f>IFERROR(ج_ح_اسفند[[#This Row],[جمع ح و م]]-ج_ح_اسفند[[#This Row],[جمع کسورات]],"")</f>
        <v/>
      </c>
      <c r="X430" s="108"/>
    </row>
    <row r="431" spans="2:24" ht="32.1" customHeight="1">
      <c r="B431" s="1">
        <f t="shared" si="10"/>
        <v>12</v>
      </c>
      <c r="C431" s="85" t="str">
        <f>IF(ج_ح_اسفند[[#This Row],[نام]]&lt;&gt;"",ROW()-414+1,"")</f>
        <v/>
      </c>
      <c r="D431" s="86"/>
      <c r="E431" s="86"/>
      <c r="F431" s="87"/>
      <c r="G431" s="88" t="str">
        <f>IFERROR(IF(COUNT(ج_ح_اسفند[[#This Row],[کارکرد]]),حداقل_حقوق_پایه_روزانه,""),"")</f>
        <v/>
      </c>
      <c r="H431" s="89" t="str">
        <f>IFERROR(IF(ج_ح_اسفند[[#This Row],[کارکرد]]*ج_ح_اسفند[[#This Row],[دستمزد روزانه ]]=0,"",ج_ح_اسفند[[#This Row],[کارکرد]]*ج_ح_اسفند[[#This Row],[دستمزد روزانه ]]),"")</f>
        <v/>
      </c>
      <c r="I431" s="91"/>
      <c r="J431" s="90" t="str">
        <f>IFERROR((ج_ح_اسفند[[#This Row],[دستمزد روزانه ]]/7.33)*1.4*ج_ح_اسفند[[#This Row],[مدت اضافه کاری ]],"")</f>
        <v/>
      </c>
      <c r="K431" s="89" t="str">
        <f>IF(ج_ح_اسفند[[#This Row],[کارکرد]]="","",ج_ح_اسفند[[#This Row],[کارکرد]]/29*حق_مسکن)</f>
        <v/>
      </c>
      <c r="L431" s="91"/>
      <c r="M431" s="89" t="str">
        <f>IF(ج_ح_اسفند[[#This Row],[تعداد فرزندان]]="","",ج_ح_اسفند[[#This Row],[کارکرد]]/29*3*ج_ح_اسفند[[#This Row],[تعداد فرزندان]]*حداقل_حقوق_پایه_روزانه)</f>
        <v/>
      </c>
      <c r="N431" s="89" t="str">
        <f>IF(ج_ح_اسفند[[#This Row],[کارکرد]]="","",ج_ح_اسفند[[#This Row],[کارکرد]]/29*حق_خواربار)</f>
        <v/>
      </c>
      <c r="O431" s="89" t="str">
        <f>IFERROR(ج_ح_اسفند[[#This Row],[حقوق پایه]]+ج_ح_اسفند[[#This Row],[اضافه کاری]]+ج_ح_اسفند[[#This Row],[حق مسکن]]+ج_ح_اسفند[[#This Row],[حق اولاد]]+ج_ح_اسفند[[#This Row],[حق و خواروبار]],"")</f>
        <v/>
      </c>
      <c r="P431"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31"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31" s="88"/>
      <c r="S431" s="88"/>
      <c r="T431" s="89" t="str">
        <f>IFERROR(ج_ح_اسفند[[#This Row],[جمع ح و م م بیمه ]]*7%,"")</f>
        <v/>
      </c>
      <c r="U431"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31" s="89" t="str">
        <f>IFERROR(ج_ح_اسفند[[#This Row],[وام]]+ج_ح_اسفند[[#This Row],[مساعده]]+ج_ح_اسفند[[#This Row],[بیمه پرداختنی]]+ج_ح_اسفند[[#This Row],[مالیات پرداختنی]],"")</f>
        <v/>
      </c>
      <c r="W431" s="89" t="str">
        <f>IFERROR(ج_ح_اسفند[[#This Row],[جمع ح و م]]-ج_ح_اسفند[[#This Row],[جمع کسورات]],"")</f>
        <v/>
      </c>
      <c r="X431" s="108"/>
    </row>
    <row r="432" spans="2:24" ht="32.1" customHeight="1">
      <c r="B432" s="1">
        <f t="shared" si="10"/>
        <v>12</v>
      </c>
      <c r="C432" s="85" t="str">
        <f>IF(ج_ح_اسفند[[#This Row],[نام]]&lt;&gt;"",ROW()-414+1,"")</f>
        <v/>
      </c>
      <c r="D432" s="86"/>
      <c r="E432" s="86"/>
      <c r="F432" s="87"/>
      <c r="G432" s="88" t="str">
        <f>IFERROR(IF(COUNT(ج_ح_اسفند[[#This Row],[کارکرد]]),حداقل_حقوق_پایه_روزانه,""),"")</f>
        <v/>
      </c>
      <c r="H432" s="89" t="str">
        <f>IFERROR(IF(ج_ح_اسفند[[#This Row],[کارکرد]]*ج_ح_اسفند[[#This Row],[دستمزد روزانه ]]=0,"",ج_ح_اسفند[[#This Row],[کارکرد]]*ج_ح_اسفند[[#This Row],[دستمزد روزانه ]]),"")</f>
        <v/>
      </c>
      <c r="I432" s="91"/>
      <c r="J432" s="90" t="str">
        <f>IFERROR((ج_ح_اسفند[[#This Row],[دستمزد روزانه ]]/7.33)*1.4*ج_ح_اسفند[[#This Row],[مدت اضافه کاری ]],"")</f>
        <v/>
      </c>
      <c r="K432" s="89" t="str">
        <f>IF(ج_ح_اسفند[[#This Row],[کارکرد]]="","",ج_ح_اسفند[[#This Row],[کارکرد]]/29*حق_مسکن)</f>
        <v/>
      </c>
      <c r="L432" s="91"/>
      <c r="M432" s="89" t="str">
        <f>IF(ج_ح_اسفند[[#This Row],[تعداد فرزندان]]="","",ج_ح_اسفند[[#This Row],[کارکرد]]/29*3*ج_ح_اسفند[[#This Row],[تعداد فرزندان]]*حداقل_حقوق_پایه_روزانه)</f>
        <v/>
      </c>
      <c r="N432" s="89" t="str">
        <f>IF(ج_ح_اسفند[[#This Row],[کارکرد]]="","",ج_ح_اسفند[[#This Row],[کارکرد]]/29*حق_خواربار)</f>
        <v/>
      </c>
      <c r="O432" s="89" t="str">
        <f>IFERROR(ج_ح_اسفند[[#This Row],[حقوق پایه]]+ج_ح_اسفند[[#This Row],[اضافه کاری]]+ج_ح_اسفند[[#This Row],[حق مسکن]]+ج_ح_اسفند[[#This Row],[حق اولاد]]+ج_ح_اسفند[[#This Row],[حق و خواروبار]],"")</f>
        <v/>
      </c>
      <c r="P432"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32"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32" s="88"/>
      <c r="S432" s="88"/>
      <c r="T432" s="89" t="str">
        <f>IFERROR(ج_ح_اسفند[[#This Row],[جمع ح و م م بیمه ]]*7%,"")</f>
        <v/>
      </c>
      <c r="U432"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32" s="89" t="str">
        <f>IFERROR(ج_ح_اسفند[[#This Row],[وام]]+ج_ح_اسفند[[#This Row],[مساعده]]+ج_ح_اسفند[[#This Row],[بیمه پرداختنی]]+ج_ح_اسفند[[#This Row],[مالیات پرداختنی]],"")</f>
        <v/>
      </c>
      <c r="W432" s="89" t="str">
        <f>IFERROR(ج_ح_اسفند[[#This Row],[جمع ح و م]]-ج_ح_اسفند[[#This Row],[جمع کسورات]],"")</f>
        <v/>
      </c>
      <c r="X432" s="108"/>
    </row>
    <row r="433" spans="2:24" ht="32.1" customHeight="1">
      <c r="B433" s="1">
        <f t="shared" si="10"/>
        <v>12</v>
      </c>
      <c r="C433" s="85" t="str">
        <f>IF(ج_ح_اسفند[[#This Row],[نام]]&lt;&gt;"",ROW()-414+1,"")</f>
        <v/>
      </c>
      <c r="D433" s="86"/>
      <c r="E433" s="86"/>
      <c r="F433" s="87"/>
      <c r="G433" s="88" t="str">
        <f>IFERROR(IF(COUNT(ج_ح_اسفند[[#This Row],[کارکرد]]),حداقل_حقوق_پایه_روزانه,""),"")</f>
        <v/>
      </c>
      <c r="H433" s="89" t="str">
        <f>IFERROR(IF(ج_ح_اسفند[[#This Row],[کارکرد]]*ج_ح_اسفند[[#This Row],[دستمزد روزانه ]]=0,"",ج_ح_اسفند[[#This Row],[کارکرد]]*ج_ح_اسفند[[#This Row],[دستمزد روزانه ]]),"")</f>
        <v/>
      </c>
      <c r="I433" s="91"/>
      <c r="J433" s="90" t="str">
        <f>IFERROR((ج_ح_اسفند[[#This Row],[دستمزد روزانه ]]/7.33)*1.4*ج_ح_اسفند[[#This Row],[مدت اضافه کاری ]],"")</f>
        <v/>
      </c>
      <c r="K433" s="89" t="str">
        <f>IF(ج_ح_اسفند[[#This Row],[کارکرد]]="","",ج_ح_اسفند[[#This Row],[کارکرد]]/29*حق_مسکن)</f>
        <v/>
      </c>
      <c r="L433" s="91"/>
      <c r="M433" s="89" t="str">
        <f>IF(ج_ح_اسفند[[#This Row],[تعداد فرزندان]]="","",ج_ح_اسفند[[#This Row],[کارکرد]]/29*3*ج_ح_اسفند[[#This Row],[تعداد فرزندان]]*حداقل_حقوق_پایه_روزانه)</f>
        <v/>
      </c>
      <c r="N433" s="89" t="str">
        <f>IF(ج_ح_اسفند[[#This Row],[کارکرد]]="","",ج_ح_اسفند[[#This Row],[کارکرد]]/29*حق_خواربار)</f>
        <v/>
      </c>
      <c r="O433" s="89" t="str">
        <f>IFERROR(ج_ح_اسفند[[#This Row],[حقوق پایه]]+ج_ح_اسفند[[#This Row],[اضافه کاری]]+ج_ح_اسفند[[#This Row],[حق مسکن]]+ج_ح_اسفند[[#This Row],[حق اولاد]]+ج_ح_اسفند[[#This Row],[حق و خواروبار]],"")</f>
        <v/>
      </c>
      <c r="P433"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33"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33" s="88"/>
      <c r="S433" s="88"/>
      <c r="T433" s="89" t="str">
        <f>IFERROR(ج_ح_اسفند[[#This Row],[جمع ح و م م بیمه ]]*7%,"")</f>
        <v/>
      </c>
      <c r="U433"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33" s="89" t="str">
        <f>IFERROR(ج_ح_اسفند[[#This Row],[وام]]+ج_ح_اسفند[[#This Row],[مساعده]]+ج_ح_اسفند[[#This Row],[بیمه پرداختنی]]+ج_ح_اسفند[[#This Row],[مالیات پرداختنی]],"")</f>
        <v/>
      </c>
      <c r="W433" s="89" t="str">
        <f>IFERROR(ج_ح_اسفند[[#This Row],[جمع ح و م]]-ج_ح_اسفند[[#This Row],[جمع کسورات]],"")</f>
        <v/>
      </c>
      <c r="X433" s="108"/>
    </row>
    <row r="434" spans="2:24" ht="32.1" customHeight="1">
      <c r="B434" s="1">
        <f t="shared" si="10"/>
        <v>12</v>
      </c>
      <c r="C434" s="85" t="str">
        <f>IF(ج_ح_اسفند[[#This Row],[نام]]&lt;&gt;"",ROW()-414+1,"")</f>
        <v/>
      </c>
      <c r="D434" s="86"/>
      <c r="E434" s="86"/>
      <c r="F434" s="87"/>
      <c r="G434" s="88" t="str">
        <f>IFERROR(IF(COUNT(ج_ح_اسفند[[#This Row],[کارکرد]]),حداقل_حقوق_پایه_روزانه,""),"")</f>
        <v/>
      </c>
      <c r="H434" s="89" t="str">
        <f>IFERROR(IF(ج_ح_اسفند[[#This Row],[کارکرد]]*ج_ح_اسفند[[#This Row],[دستمزد روزانه ]]=0,"",ج_ح_اسفند[[#This Row],[کارکرد]]*ج_ح_اسفند[[#This Row],[دستمزد روزانه ]]),"")</f>
        <v/>
      </c>
      <c r="I434" s="91"/>
      <c r="J434" s="90" t="str">
        <f>IFERROR((ج_ح_اسفند[[#This Row],[دستمزد روزانه ]]/7.33)*1.4*ج_ح_اسفند[[#This Row],[مدت اضافه کاری ]],"")</f>
        <v/>
      </c>
      <c r="K434" s="89" t="str">
        <f>IF(ج_ح_اسفند[[#This Row],[کارکرد]]="","",ج_ح_اسفند[[#This Row],[کارکرد]]/29*حق_مسکن)</f>
        <v/>
      </c>
      <c r="L434" s="91"/>
      <c r="M434" s="89" t="str">
        <f>IF(ج_ح_اسفند[[#This Row],[تعداد فرزندان]]="","",ج_ح_اسفند[[#This Row],[کارکرد]]/29*3*ج_ح_اسفند[[#This Row],[تعداد فرزندان]]*حداقل_حقوق_پایه_روزانه)</f>
        <v/>
      </c>
      <c r="N434" s="89" t="str">
        <f>IF(ج_ح_اسفند[[#This Row],[کارکرد]]="","",ج_ح_اسفند[[#This Row],[کارکرد]]/29*حق_خواربار)</f>
        <v/>
      </c>
      <c r="O434" s="89" t="str">
        <f>IFERROR(ج_ح_اسفند[[#This Row],[حقوق پایه]]+ج_ح_اسفند[[#This Row],[اضافه کاری]]+ج_ح_اسفند[[#This Row],[حق مسکن]]+ج_ح_اسفند[[#This Row],[حق اولاد]]+ج_ح_اسفند[[#This Row],[حق و خواروبار]],"")</f>
        <v/>
      </c>
      <c r="P434"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34"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34" s="88"/>
      <c r="S434" s="88"/>
      <c r="T434" s="89" t="str">
        <f>IFERROR(ج_ح_اسفند[[#This Row],[جمع ح و م م بیمه ]]*7%,"")</f>
        <v/>
      </c>
      <c r="U434"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34" s="89" t="str">
        <f>IFERROR(ج_ح_اسفند[[#This Row],[وام]]+ج_ح_اسفند[[#This Row],[مساعده]]+ج_ح_اسفند[[#This Row],[بیمه پرداختنی]]+ج_ح_اسفند[[#This Row],[مالیات پرداختنی]],"")</f>
        <v/>
      </c>
      <c r="W434" s="89" t="str">
        <f>IFERROR(ج_ح_اسفند[[#This Row],[جمع ح و م]]-ج_ح_اسفند[[#This Row],[جمع کسورات]],"")</f>
        <v/>
      </c>
      <c r="X434" s="108"/>
    </row>
    <row r="435" spans="2:24" ht="32.1" customHeight="1">
      <c r="B435" s="1">
        <f t="shared" si="10"/>
        <v>12</v>
      </c>
      <c r="C435" s="85" t="str">
        <f>IF(ج_ح_اسفند[[#This Row],[نام]]&lt;&gt;"",ROW()-414+1,"")</f>
        <v/>
      </c>
      <c r="D435" s="86"/>
      <c r="E435" s="86"/>
      <c r="F435" s="87"/>
      <c r="G435" s="88" t="str">
        <f>IFERROR(IF(COUNT(ج_ح_اسفند[[#This Row],[کارکرد]]),حداقل_حقوق_پایه_روزانه,""),"")</f>
        <v/>
      </c>
      <c r="H435" s="89" t="str">
        <f>IFERROR(IF(ج_ح_اسفند[[#This Row],[کارکرد]]*ج_ح_اسفند[[#This Row],[دستمزد روزانه ]]=0,"",ج_ح_اسفند[[#This Row],[کارکرد]]*ج_ح_اسفند[[#This Row],[دستمزد روزانه ]]),"")</f>
        <v/>
      </c>
      <c r="I435" s="91"/>
      <c r="J435" s="90" t="str">
        <f>IFERROR((ج_ح_اسفند[[#This Row],[دستمزد روزانه ]]/7.33)*1.4*ج_ح_اسفند[[#This Row],[مدت اضافه کاری ]],"")</f>
        <v/>
      </c>
      <c r="K435" s="89" t="str">
        <f>IF(ج_ح_اسفند[[#This Row],[کارکرد]]="","",ج_ح_اسفند[[#This Row],[کارکرد]]/29*حق_مسکن)</f>
        <v/>
      </c>
      <c r="L435" s="91"/>
      <c r="M435" s="89" t="str">
        <f>IF(ج_ح_اسفند[[#This Row],[تعداد فرزندان]]="","",ج_ح_اسفند[[#This Row],[کارکرد]]/29*3*ج_ح_اسفند[[#This Row],[تعداد فرزندان]]*حداقل_حقوق_پایه_روزانه)</f>
        <v/>
      </c>
      <c r="N435" s="89" t="str">
        <f>IF(ج_ح_اسفند[[#This Row],[کارکرد]]="","",ج_ح_اسفند[[#This Row],[کارکرد]]/29*حق_خواربار)</f>
        <v/>
      </c>
      <c r="O435" s="89" t="str">
        <f>IFERROR(ج_ح_اسفند[[#This Row],[حقوق پایه]]+ج_ح_اسفند[[#This Row],[اضافه کاری]]+ج_ح_اسفند[[#This Row],[حق مسکن]]+ج_ح_اسفند[[#This Row],[حق اولاد]]+ج_ح_اسفند[[#This Row],[حق و خواروبار]],"")</f>
        <v/>
      </c>
      <c r="P435"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35"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35" s="88"/>
      <c r="S435" s="88"/>
      <c r="T435" s="89" t="str">
        <f>IFERROR(ج_ح_اسفند[[#This Row],[جمع ح و م م بیمه ]]*7%,"")</f>
        <v/>
      </c>
      <c r="U435"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35" s="89" t="str">
        <f>IFERROR(ج_ح_اسفند[[#This Row],[وام]]+ج_ح_اسفند[[#This Row],[مساعده]]+ج_ح_اسفند[[#This Row],[بیمه پرداختنی]]+ج_ح_اسفند[[#This Row],[مالیات پرداختنی]],"")</f>
        <v/>
      </c>
      <c r="W435" s="89" t="str">
        <f>IFERROR(ج_ح_اسفند[[#This Row],[جمع ح و م]]-ج_ح_اسفند[[#This Row],[جمع کسورات]],"")</f>
        <v/>
      </c>
      <c r="X435" s="108"/>
    </row>
    <row r="436" spans="2:24" ht="32.1" customHeight="1">
      <c r="B436" s="1">
        <f t="shared" si="10"/>
        <v>12</v>
      </c>
      <c r="C436" s="85" t="str">
        <f>IF(ج_ح_اسفند[[#This Row],[نام]]&lt;&gt;"",ROW()-414+1,"")</f>
        <v/>
      </c>
      <c r="D436" s="86"/>
      <c r="E436" s="86"/>
      <c r="F436" s="87"/>
      <c r="G436" s="88" t="str">
        <f>IFERROR(IF(COUNT(ج_ح_اسفند[[#This Row],[کارکرد]]),حداقل_حقوق_پایه_روزانه,""),"")</f>
        <v/>
      </c>
      <c r="H436" s="89" t="str">
        <f>IFERROR(IF(ج_ح_اسفند[[#This Row],[کارکرد]]*ج_ح_اسفند[[#This Row],[دستمزد روزانه ]]=0,"",ج_ح_اسفند[[#This Row],[کارکرد]]*ج_ح_اسفند[[#This Row],[دستمزد روزانه ]]),"")</f>
        <v/>
      </c>
      <c r="I436" s="91"/>
      <c r="J436" s="90" t="str">
        <f>IFERROR((ج_ح_اسفند[[#This Row],[دستمزد روزانه ]]/7.33)*1.4*ج_ح_اسفند[[#This Row],[مدت اضافه کاری ]],"")</f>
        <v/>
      </c>
      <c r="K436" s="89" t="str">
        <f>IF(ج_ح_اسفند[[#This Row],[کارکرد]]="","",ج_ح_اسفند[[#This Row],[کارکرد]]/29*حق_مسکن)</f>
        <v/>
      </c>
      <c r="L436" s="91"/>
      <c r="M436" s="89" t="str">
        <f>IF(ج_ح_اسفند[[#This Row],[تعداد فرزندان]]="","",ج_ح_اسفند[[#This Row],[کارکرد]]/29*3*ج_ح_اسفند[[#This Row],[تعداد فرزندان]]*حداقل_حقوق_پایه_روزانه)</f>
        <v/>
      </c>
      <c r="N436" s="89" t="str">
        <f>IF(ج_ح_اسفند[[#This Row],[کارکرد]]="","",ج_ح_اسفند[[#This Row],[کارکرد]]/29*حق_خواربار)</f>
        <v/>
      </c>
      <c r="O436" s="89" t="str">
        <f>IFERROR(ج_ح_اسفند[[#This Row],[حقوق پایه]]+ج_ح_اسفند[[#This Row],[اضافه کاری]]+ج_ح_اسفند[[#This Row],[حق مسکن]]+ج_ح_اسفند[[#This Row],[حق اولاد]]+ج_ح_اسفند[[#This Row],[حق و خواروبار]],"")</f>
        <v/>
      </c>
      <c r="P436"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36"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36" s="88"/>
      <c r="S436" s="88"/>
      <c r="T436" s="89" t="str">
        <f>IFERROR(ج_ح_اسفند[[#This Row],[جمع ح و م م بیمه ]]*7%,"")</f>
        <v/>
      </c>
      <c r="U436"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36" s="89" t="str">
        <f>IFERROR(ج_ح_اسفند[[#This Row],[وام]]+ج_ح_اسفند[[#This Row],[مساعده]]+ج_ح_اسفند[[#This Row],[بیمه پرداختنی]]+ج_ح_اسفند[[#This Row],[مالیات پرداختنی]],"")</f>
        <v/>
      </c>
      <c r="W436" s="89" t="str">
        <f>IFERROR(ج_ح_اسفند[[#This Row],[جمع ح و م]]-ج_ح_اسفند[[#This Row],[جمع کسورات]],"")</f>
        <v/>
      </c>
      <c r="X436" s="108"/>
    </row>
    <row r="437" spans="2:24" ht="32.1" customHeight="1">
      <c r="B437" s="1">
        <f t="shared" si="10"/>
        <v>12</v>
      </c>
      <c r="C437" s="85" t="str">
        <f>IF(ج_ح_اسفند[[#This Row],[نام]]&lt;&gt;"",ROW()-414+1,"")</f>
        <v/>
      </c>
      <c r="D437" s="86"/>
      <c r="E437" s="86"/>
      <c r="F437" s="87"/>
      <c r="G437" s="88" t="str">
        <f>IFERROR(IF(COUNT(ج_ح_اسفند[[#This Row],[کارکرد]]),حداقل_حقوق_پایه_روزانه,""),"")</f>
        <v/>
      </c>
      <c r="H437" s="89" t="str">
        <f>IFERROR(IF(ج_ح_اسفند[[#This Row],[کارکرد]]*ج_ح_اسفند[[#This Row],[دستمزد روزانه ]]=0,"",ج_ح_اسفند[[#This Row],[کارکرد]]*ج_ح_اسفند[[#This Row],[دستمزد روزانه ]]),"")</f>
        <v/>
      </c>
      <c r="I437" s="91"/>
      <c r="J437" s="90" t="str">
        <f>IFERROR((ج_ح_اسفند[[#This Row],[دستمزد روزانه ]]/7.33)*1.4*ج_ح_اسفند[[#This Row],[مدت اضافه کاری ]],"")</f>
        <v/>
      </c>
      <c r="K437" s="89" t="str">
        <f>IF(ج_ح_اسفند[[#This Row],[کارکرد]]="","",ج_ح_اسفند[[#This Row],[کارکرد]]/29*حق_مسکن)</f>
        <v/>
      </c>
      <c r="L437" s="91"/>
      <c r="M437" s="89" t="str">
        <f>IF(ج_ح_اسفند[[#This Row],[تعداد فرزندان]]="","",ج_ح_اسفند[[#This Row],[کارکرد]]/29*3*ج_ح_اسفند[[#This Row],[تعداد فرزندان]]*حداقل_حقوق_پایه_روزانه)</f>
        <v/>
      </c>
      <c r="N437" s="89" t="str">
        <f>IF(ج_ح_اسفند[[#This Row],[کارکرد]]="","",ج_ح_اسفند[[#This Row],[کارکرد]]/29*حق_خواربار)</f>
        <v/>
      </c>
      <c r="O437" s="89" t="str">
        <f>IFERROR(ج_ح_اسفند[[#This Row],[حقوق پایه]]+ج_ح_اسفند[[#This Row],[اضافه کاری]]+ج_ح_اسفند[[#This Row],[حق مسکن]]+ج_ح_اسفند[[#This Row],[حق اولاد]]+ج_ح_اسفند[[#This Row],[حق و خواروبار]],"")</f>
        <v/>
      </c>
      <c r="P437"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37"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37" s="88"/>
      <c r="S437" s="88"/>
      <c r="T437" s="89" t="str">
        <f>IFERROR(ج_ح_اسفند[[#This Row],[جمع ح و م م بیمه ]]*7%,"")</f>
        <v/>
      </c>
      <c r="U437"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37" s="89" t="str">
        <f>IFERROR(ج_ح_اسفند[[#This Row],[وام]]+ج_ح_اسفند[[#This Row],[مساعده]]+ج_ح_اسفند[[#This Row],[بیمه پرداختنی]]+ج_ح_اسفند[[#This Row],[مالیات پرداختنی]],"")</f>
        <v/>
      </c>
      <c r="W437" s="89" t="str">
        <f>IFERROR(ج_ح_اسفند[[#This Row],[جمع ح و م]]-ج_ح_اسفند[[#This Row],[جمع کسورات]],"")</f>
        <v/>
      </c>
      <c r="X437" s="108"/>
    </row>
    <row r="438" spans="2:24" ht="32.1" customHeight="1">
      <c r="B438" s="1">
        <f t="shared" si="10"/>
        <v>12</v>
      </c>
      <c r="C438" s="85" t="str">
        <f>IF(ج_ح_اسفند[[#This Row],[نام]]&lt;&gt;"",ROW()-414+1,"")</f>
        <v/>
      </c>
      <c r="D438" s="86"/>
      <c r="E438" s="86"/>
      <c r="F438" s="87"/>
      <c r="G438" s="88" t="str">
        <f>IFERROR(IF(COUNT(ج_ح_اسفند[[#This Row],[کارکرد]]),حداقل_حقوق_پایه_روزانه,""),"")</f>
        <v/>
      </c>
      <c r="H438" s="89" t="str">
        <f>IFERROR(IF(ج_ح_اسفند[[#This Row],[کارکرد]]*ج_ح_اسفند[[#This Row],[دستمزد روزانه ]]=0,"",ج_ح_اسفند[[#This Row],[کارکرد]]*ج_ح_اسفند[[#This Row],[دستمزد روزانه ]]),"")</f>
        <v/>
      </c>
      <c r="I438" s="91"/>
      <c r="J438" s="90" t="str">
        <f>IFERROR((ج_ح_اسفند[[#This Row],[دستمزد روزانه ]]/7.33)*1.4*ج_ح_اسفند[[#This Row],[مدت اضافه کاری ]],"")</f>
        <v/>
      </c>
      <c r="K438" s="89" t="str">
        <f>IF(ج_ح_اسفند[[#This Row],[کارکرد]]="","",ج_ح_اسفند[[#This Row],[کارکرد]]/29*حق_مسکن)</f>
        <v/>
      </c>
      <c r="L438" s="91"/>
      <c r="M438" s="89" t="str">
        <f>IF(ج_ح_اسفند[[#This Row],[تعداد فرزندان]]="","",ج_ح_اسفند[[#This Row],[کارکرد]]/29*3*ج_ح_اسفند[[#This Row],[تعداد فرزندان]]*حداقل_حقوق_پایه_روزانه)</f>
        <v/>
      </c>
      <c r="N438" s="89" t="str">
        <f>IF(ج_ح_اسفند[[#This Row],[کارکرد]]="","",ج_ح_اسفند[[#This Row],[کارکرد]]/29*حق_خواربار)</f>
        <v/>
      </c>
      <c r="O438" s="89" t="str">
        <f>IFERROR(ج_ح_اسفند[[#This Row],[حقوق پایه]]+ج_ح_اسفند[[#This Row],[اضافه کاری]]+ج_ح_اسفند[[#This Row],[حق مسکن]]+ج_ح_اسفند[[#This Row],[حق اولاد]]+ج_ح_اسفند[[#This Row],[حق و خواروبار]],"")</f>
        <v/>
      </c>
      <c r="P438"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38"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38" s="88"/>
      <c r="S438" s="88"/>
      <c r="T438" s="89" t="str">
        <f>IFERROR(ج_ح_اسفند[[#This Row],[جمع ح و م م بیمه ]]*7%,"")</f>
        <v/>
      </c>
      <c r="U438"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38" s="89" t="str">
        <f>IFERROR(ج_ح_اسفند[[#This Row],[وام]]+ج_ح_اسفند[[#This Row],[مساعده]]+ج_ح_اسفند[[#This Row],[بیمه پرداختنی]]+ج_ح_اسفند[[#This Row],[مالیات پرداختنی]],"")</f>
        <v/>
      </c>
      <c r="W438" s="89" t="str">
        <f>IFERROR(ج_ح_اسفند[[#This Row],[جمع ح و م]]-ج_ح_اسفند[[#This Row],[جمع کسورات]],"")</f>
        <v/>
      </c>
      <c r="X438" s="108"/>
    </row>
    <row r="439" spans="2:24" ht="32.1" customHeight="1">
      <c r="B439" s="1">
        <f t="shared" si="10"/>
        <v>12</v>
      </c>
      <c r="C439" s="85" t="str">
        <f>IF(ج_ح_اسفند[[#This Row],[نام]]&lt;&gt;"",ROW()-414+1,"")</f>
        <v/>
      </c>
      <c r="D439" s="86"/>
      <c r="E439" s="86"/>
      <c r="F439" s="87"/>
      <c r="G439" s="88" t="str">
        <f>IFERROR(IF(COUNT(ج_ح_اسفند[[#This Row],[کارکرد]]),حداقل_حقوق_پایه_روزانه,""),"")</f>
        <v/>
      </c>
      <c r="H439" s="89" t="str">
        <f>IFERROR(IF(ج_ح_اسفند[[#This Row],[کارکرد]]*ج_ح_اسفند[[#This Row],[دستمزد روزانه ]]=0,"",ج_ح_اسفند[[#This Row],[کارکرد]]*ج_ح_اسفند[[#This Row],[دستمزد روزانه ]]),"")</f>
        <v/>
      </c>
      <c r="I439" s="91"/>
      <c r="J439" s="90" t="str">
        <f>IFERROR((ج_ح_اسفند[[#This Row],[دستمزد روزانه ]]/7.33)*1.4*ج_ح_اسفند[[#This Row],[مدت اضافه کاری ]],"")</f>
        <v/>
      </c>
      <c r="K439" s="89" t="str">
        <f>IF(ج_ح_اسفند[[#This Row],[کارکرد]]="","",ج_ح_اسفند[[#This Row],[کارکرد]]/29*حق_مسکن)</f>
        <v/>
      </c>
      <c r="L439" s="91"/>
      <c r="M439" s="89" t="str">
        <f>IF(ج_ح_اسفند[[#This Row],[تعداد فرزندان]]="","",ج_ح_اسفند[[#This Row],[کارکرد]]/29*3*ج_ح_اسفند[[#This Row],[تعداد فرزندان]]*حداقل_حقوق_پایه_روزانه)</f>
        <v/>
      </c>
      <c r="N439" s="89" t="str">
        <f>IF(ج_ح_اسفند[[#This Row],[کارکرد]]="","",ج_ح_اسفند[[#This Row],[کارکرد]]/29*حق_خواربار)</f>
        <v/>
      </c>
      <c r="O439" s="89" t="str">
        <f>IFERROR(ج_ح_اسفند[[#This Row],[حقوق پایه]]+ج_ح_اسفند[[#This Row],[اضافه کاری]]+ج_ح_اسفند[[#This Row],[حق مسکن]]+ج_ح_اسفند[[#This Row],[حق اولاد]]+ج_ح_اسفند[[#This Row],[حق و خواروبار]],"")</f>
        <v/>
      </c>
      <c r="P439"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39"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39" s="88"/>
      <c r="S439" s="88"/>
      <c r="T439" s="89" t="str">
        <f>IFERROR(ج_ح_اسفند[[#This Row],[جمع ح و م م بیمه ]]*7%,"")</f>
        <v/>
      </c>
      <c r="U439"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39" s="89" t="str">
        <f>IFERROR(ج_ح_اسفند[[#This Row],[وام]]+ج_ح_اسفند[[#This Row],[مساعده]]+ج_ح_اسفند[[#This Row],[بیمه پرداختنی]]+ج_ح_اسفند[[#This Row],[مالیات پرداختنی]],"")</f>
        <v/>
      </c>
      <c r="W439" s="89" t="str">
        <f>IFERROR(ج_ح_اسفند[[#This Row],[جمع ح و م]]-ج_ح_اسفند[[#This Row],[جمع کسورات]],"")</f>
        <v/>
      </c>
      <c r="X439" s="108"/>
    </row>
    <row r="440" spans="2:24" ht="32.1" customHeight="1">
      <c r="B440" s="1">
        <f t="shared" si="10"/>
        <v>12</v>
      </c>
      <c r="C440" s="85" t="str">
        <f>IF(ج_ح_اسفند[[#This Row],[نام]]&lt;&gt;"",ROW()-414+1,"")</f>
        <v/>
      </c>
      <c r="D440" s="86"/>
      <c r="E440" s="86"/>
      <c r="F440" s="87"/>
      <c r="G440" s="88" t="str">
        <f>IFERROR(IF(COUNT(ج_ح_اسفند[[#This Row],[کارکرد]]),حداقل_حقوق_پایه_روزانه,""),"")</f>
        <v/>
      </c>
      <c r="H440" s="89" t="str">
        <f>IFERROR(IF(ج_ح_اسفند[[#This Row],[کارکرد]]*ج_ح_اسفند[[#This Row],[دستمزد روزانه ]]=0,"",ج_ح_اسفند[[#This Row],[کارکرد]]*ج_ح_اسفند[[#This Row],[دستمزد روزانه ]]),"")</f>
        <v/>
      </c>
      <c r="I440" s="91"/>
      <c r="J440" s="90" t="str">
        <f>IFERROR((ج_ح_اسفند[[#This Row],[دستمزد روزانه ]]/7.33)*1.4*ج_ح_اسفند[[#This Row],[مدت اضافه کاری ]],"")</f>
        <v/>
      </c>
      <c r="K440" s="89" t="str">
        <f>IF(ج_ح_اسفند[[#This Row],[کارکرد]]="","",ج_ح_اسفند[[#This Row],[کارکرد]]/29*حق_مسکن)</f>
        <v/>
      </c>
      <c r="L440" s="91"/>
      <c r="M440" s="89" t="str">
        <f>IF(ج_ح_اسفند[[#This Row],[تعداد فرزندان]]="","",ج_ح_اسفند[[#This Row],[کارکرد]]/29*3*ج_ح_اسفند[[#This Row],[تعداد فرزندان]]*حداقل_حقوق_پایه_روزانه)</f>
        <v/>
      </c>
      <c r="N440" s="89" t="str">
        <f>IF(ج_ح_اسفند[[#This Row],[کارکرد]]="","",ج_ح_اسفند[[#This Row],[کارکرد]]/29*حق_خواربار)</f>
        <v/>
      </c>
      <c r="O440" s="89" t="str">
        <f>IFERROR(ج_ح_اسفند[[#This Row],[حقوق پایه]]+ج_ح_اسفند[[#This Row],[اضافه کاری]]+ج_ح_اسفند[[#This Row],[حق مسکن]]+ج_ح_اسفند[[#This Row],[حق اولاد]]+ج_ح_اسفند[[#This Row],[حق و خواروبار]],"")</f>
        <v/>
      </c>
      <c r="P440"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40"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40" s="88"/>
      <c r="S440" s="88"/>
      <c r="T440" s="89" t="str">
        <f>IFERROR(ج_ح_اسفند[[#This Row],[جمع ح و م م بیمه ]]*7%,"")</f>
        <v/>
      </c>
      <c r="U440"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40" s="89" t="str">
        <f>IFERROR(ج_ح_اسفند[[#This Row],[وام]]+ج_ح_اسفند[[#This Row],[مساعده]]+ج_ح_اسفند[[#This Row],[بیمه پرداختنی]]+ج_ح_اسفند[[#This Row],[مالیات پرداختنی]],"")</f>
        <v/>
      </c>
      <c r="W440" s="89" t="str">
        <f>IFERROR(ج_ح_اسفند[[#This Row],[جمع ح و م]]-ج_ح_اسفند[[#This Row],[جمع کسورات]],"")</f>
        <v/>
      </c>
      <c r="X440" s="108"/>
    </row>
    <row r="441" spans="2:24" ht="32.1" customHeight="1">
      <c r="B441" s="1">
        <f t="shared" si="10"/>
        <v>12</v>
      </c>
      <c r="C441" s="85" t="str">
        <f>IF(ج_ح_اسفند[[#This Row],[نام]]&lt;&gt;"",ROW()-414+1,"")</f>
        <v/>
      </c>
      <c r="D441" s="86"/>
      <c r="E441" s="86"/>
      <c r="F441" s="87"/>
      <c r="G441" s="88" t="str">
        <f>IFERROR(IF(COUNT(ج_ح_اسفند[[#This Row],[کارکرد]]),حداقل_حقوق_پایه_روزانه,""),"")</f>
        <v/>
      </c>
      <c r="H441" s="89" t="str">
        <f>IFERROR(IF(ج_ح_اسفند[[#This Row],[کارکرد]]*ج_ح_اسفند[[#This Row],[دستمزد روزانه ]]=0,"",ج_ح_اسفند[[#This Row],[کارکرد]]*ج_ح_اسفند[[#This Row],[دستمزد روزانه ]]),"")</f>
        <v/>
      </c>
      <c r="I441" s="91"/>
      <c r="J441" s="90" t="str">
        <f>IFERROR((ج_ح_اسفند[[#This Row],[دستمزد روزانه ]]/7.33)*1.4*ج_ح_اسفند[[#This Row],[مدت اضافه کاری ]],"")</f>
        <v/>
      </c>
      <c r="K441" s="89" t="str">
        <f>IF(ج_ح_اسفند[[#This Row],[کارکرد]]="","",ج_ح_اسفند[[#This Row],[کارکرد]]/29*حق_مسکن)</f>
        <v/>
      </c>
      <c r="L441" s="91"/>
      <c r="M441" s="89" t="str">
        <f>IF(ج_ح_اسفند[[#This Row],[تعداد فرزندان]]="","",ج_ح_اسفند[[#This Row],[کارکرد]]/29*3*ج_ح_اسفند[[#This Row],[تعداد فرزندان]]*حداقل_حقوق_پایه_روزانه)</f>
        <v/>
      </c>
      <c r="N441" s="89" t="str">
        <f>IF(ج_ح_اسفند[[#This Row],[کارکرد]]="","",ج_ح_اسفند[[#This Row],[کارکرد]]/29*حق_خواربار)</f>
        <v/>
      </c>
      <c r="O441" s="89" t="str">
        <f>IFERROR(ج_ح_اسفند[[#This Row],[حقوق پایه]]+ج_ح_اسفند[[#This Row],[اضافه کاری]]+ج_ح_اسفند[[#This Row],[حق مسکن]]+ج_ح_اسفند[[#This Row],[حق اولاد]]+ج_ح_اسفند[[#This Row],[حق و خواروبار]],"")</f>
        <v/>
      </c>
      <c r="P441"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41"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41" s="88"/>
      <c r="S441" s="88"/>
      <c r="T441" s="89" t="str">
        <f>IFERROR(ج_ح_اسفند[[#This Row],[جمع ح و م م بیمه ]]*7%,"")</f>
        <v/>
      </c>
      <c r="U441"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41" s="89" t="str">
        <f>IFERROR(ج_ح_اسفند[[#This Row],[وام]]+ج_ح_اسفند[[#This Row],[مساعده]]+ج_ح_اسفند[[#This Row],[بیمه پرداختنی]]+ج_ح_اسفند[[#This Row],[مالیات پرداختنی]],"")</f>
        <v/>
      </c>
      <c r="W441" s="89" t="str">
        <f>IFERROR(ج_ح_اسفند[[#This Row],[جمع ح و م]]-ج_ح_اسفند[[#This Row],[جمع کسورات]],"")</f>
        <v/>
      </c>
      <c r="X441" s="108"/>
    </row>
    <row r="442" spans="2:24" ht="32.1" customHeight="1">
      <c r="B442" s="1">
        <f t="shared" si="10"/>
        <v>12</v>
      </c>
      <c r="C442" s="85" t="str">
        <f>IF(ج_ح_اسفند[[#This Row],[نام]]&lt;&gt;"",ROW()-414+1,"")</f>
        <v/>
      </c>
      <c r="D442" s="86"/>
      <c r="E442" s="86"/>
      <c r="F442" s="87"/>
      <c r="G442" s="88" t="str">
        <f>IFERROR(IF(COUNT(ج_ح_اسفند[[#This Row],[کارکرد]]),حداقل_حقوق_پایه_روزانه,""),"")</f>
        <v/>
      </c>
      <c r="H442" s="89" t="str">
        <f>IFERROR(IF(ج_ح_اسفند[[#This Row],[کارکرد]]*ج_ح_اسفند[[#This Row],[دستمزد روزانه ]]=0,"",ج_ح_اسفند[[#This Row],[کارکرد]]*ج_ح_اسفند[[#This Row],[دستمزد روزانه ]]),"")</f>
        <v/>
      </c>
      <c r="I442" s="91"/>
      <c r="J442" s="90" t="str">
        <f>IFERROR((ج_ح_اسفند[[#This Row],[دستمزد روزانه ]]/7.33)*1.4*ج_ح_اسفند[[#This Row],[مدت اضافه کاری ]],"")</f>
        <v/>
      </c>
      <c r="K442" s="89" t="str">
        <f>IF(ج_ح_اسفند[[#This Row],[کارکرد]]="","",ج_ح_اسفند[[#This Row],[کارکرد]]/29*حق_مسکن)</f>
        <v/>
      </c>
      <c r="L442" s="91"/>
      <c r="M442" s="89" t="str">
        <f>IF(ج_ح_اسفند[[#This Row],[تعداد فرزندان]]="","",ج_ح_اسفند[[#This Row],[کارکرد]]/29*3*ج_ح_اسفند[[#This Row],[تعداد فرزندان]]*حداقل_حقوق_پایه_روزانه)</f>
        <v/>
      </c>
      <c r="N442" s="89" t="str">
        <f>IF(ج_ح_اسفند[[#This Row],[کارکرد]]="","",ج_ح_اسفند[[#This Row],[کارکرد]]/29*حق_خواربار)</f>
        <v/>
      </c>
      <c r="O442" s="89" t="str">
        <f>IFERROR(ج_ح_اسفند[[#This Row],[حقوق پایه]]+ج_ح_اسفند[[#This Row],[اضافه کاری]]+ج_ح_اسفند[[#This Row],[حق مسکن]]+ج_ح_اسفند[[#This Row],[حق اولاد]]+ج_ح_اسفند[[#This Row],[حق و خواروبار]],"")</f>
        <v/>
      </c>
      <c r="P442"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42"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42" s="88"/>
      <c r="S442" s="88"/>
      <c r="T442" s="89" t="str">
        <f>IFERROR(ج_ح_اسفند[[#This Row],[جمع ح و م م بیمه ]]*7%,"")</f>
        <v/>
      </c>
      <c r="U442"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42" s="89" t="str">
        <f>IFERROR(ج_ح_اسفند[[#This Row],[وام]]+ج_ح_اسفند[[#This Row],[مساعده]]+ج_ح_اسفند[[#This Row],[بیمه پرداختنی]]+ج_ح_اسفند[[#This Row],[مالیات پرداختنی]],"")</f>
        <v/>
      </c>
      <c r="W442" s="89" t="str">
        <f>IFERROR(ج_ح_اسفند[[#This Row],[جمع ح و م]]-ج_ح_اسفند[[#This Row],[جمع کسورات]],"")</f>
        <v/>
      </c>
      <c r="X442" s="108"/>
    </row>
    <row r="443" spans="2:24" ht="32.1" customHeight="1">
      <c r="B443" s="1">
        <f t="shared" si="10"/>
        <v>12</v>
      </c>
      <c r="C443" s="85" t="str">
        <f>IF(ج_ح_اسفند[[#This Row],[نام]]&lt;&gt;"",ROW()-414+1,"")</f>
        <v/>
      </c>
      <c r="D443" s="86"/>
      <c r="E443" s="86"/>
      <c r="F443" s="87"/>
      <c r="G443" s="88" t="str">
        <f>IFERROR(IF(COUNT(ج_ح_اسفند[[#This Row],[کارکرد]]),حداقل_حقوق_پایه_روزانه,""),"")</f>
        <v/>
      </c>
      <c r="H443" s="89" t="str">
        <f>IFERROR(IF(ج_ح_اسفند[[#This Row],[کارکرد]]*ج_ح_اسفند[[#This Row],[دستمزد روزانه ]]=0,"",ج_ح_اسفند[[#This Row],[کارکرد]]*ج_ح_اسفند[[#This Row],[دستمزد روزانه ]]),"")</f>
        <v/>
      </c>
      <c r="I443" s="91"/>
      <c r="J443" s="90" t="str">
        <f>IFERROR((ج_ح_اسفند[[#This Row],[دستمزد روزانه ]]/7.33)*1.4*ج_ح_اسفند[[#This Row],[مدت اضافه کاری ]],"")</f>
        <v/>
      </c>
      <c r="K443" s="89" t="str">
        <f>IF(ج_ح_اسفند[[#This Row],[کارکرد]]="","",ج_ح_اسفند[[#This Row],[کارکرد]]/29*حق_مسکن)</f>
        <v/>
      </c>
      <c r="L443" s="91"/>
      <c r="M443" s="89" t="str">
        <f>IF(ج_ح_اسفند[[#This Row],[تعداد فرزندان]]="","",ج_ح_اسفند[[#This Row],[کارکرد]]/29*3*ج_ح_اسفند[[#This Row],[تعداد فرزندان]]*حداقل_حقوق_پایه_روزانه)</f>
        <v/>
      </c>
      <c r="N443" s="89" t="str">
        <f>IF(ج_ح_اسفند[[#This Row],[کارکرد]]="","",ج_ح_اسفند[[#This Row],[کارکرد]]/29*حق_خواربار)</f>
        <v/>
      </c>
      <c r="O443" s="89" t="str">
        <f>IFERROR(ج_ح_اسفند[[#This Row],[حقوق پایه]]+ج_ح_اسفند[[#This Row],[اضافه کاری]]+ج_ح_اسفند[[#This Row],[حق مسکن]]+ج_ح_اسفند[[#This Row],[حق اولاد]]+ج_ح_اسفند[[#This Row],[حق و خواروبار]],"")</f>
        <v/>
      </c>
      <c r="P443" s="89" t="str">
        <f>IFERROR(IF(ج_ح_اسفند[[#This Row],[حقوق پایه]]+ج_ح_اسفند[[#This Row],[اضافه کاری]]+ج_ح_اسفند[[#This Row],[حق مسکن]]+ج_ح_اسفند[[#This Row],[حق و خواروبار]]&gt;حداکثر_حقوق_مشمول_بیمه_ماهانه,حداکثر_حقوق_مشمول_بیمه_ماهانه,ج_ح_اسفند[[#This Row],[حقوق پایه]]+ج_ح_اسفند[[#This Row],[اضافه کاری]]+ج_ح_اسفند[[#This Row],[حق مسکن]]+ج_ح_اسفند[[#This Row],[حق و خواروبار]]),"")</f>
        <v/>
      </c>
      <c r="Q443" s="89" t="str">
        <f>IFERROR(ج_ح_اسفند[[#This Row],[حقوق پایه]]+ج_ح_اسفند[[#This Row],[اضافه کاری]]+ج_ح_اسفند[[#This Row],[حق مسکن]]+ج_ح_اسفند[[#This Row],[حق و خواروبار]]+ج_ح_اسفند[[#This Row],[حق اولاد]]-(2/7)*ج_ح_اسفند[[#This Row],[بیمه پرداختنی]],"")</f>
        <v/>
      </c>
      <c r="R443" s="88"/>
      <c r="S443" s="88"/>
      <c r="T443" s="89" t="str">
        <f>IFERROR(ج_ح_اسفند[[#This Row],[جمع ح و م م بیمه ]]*7%,"")</f>
        <v/>
      </c>
      <c r="U443" s="92" t="str">
        <f>IFERROR(IF(ج_ح_اسفند[[#This Row],[جمع ح و م م مالیات]]&gt;=400000000,(ج_ح_اسفند[[#This Row],[جمع ح و م م مالیات]]-400000000)*30%+26000000,IF(ج_ح_اسفند[[#This Row],[جمع ح و م م مالیات]]&gt;=270000000,(ج_ح_اسفند[[#This Row],[جمع ح و م م مالیات]]-270000000)*20%+15750000,IF(ج_ح_اسفند[[#This Row],[جمع ح و م م مالیات]]&gt;=165000000,(ج_ح_اسفند[[#This Row],[جمع ح و م م مالیات]]-165000000)*15%+4500000,IF(ج_ح_اسفند[[#This Row],[جمع ح و م م مالیات]]&gt;=120000000,(ج_ح_اسفند[[#This Row],[جمع ح و م م مالیات]]-120000000)*10%,0)))),"")</f>
        <v/>
      </c>
      <c r="V443" s="89" t="str">
        <f>IFERROR(ج_ح_اسفند[[#This Row],[وام]]+ج_ح_اسفند[[#This Row],[مساعده]]+ج_ح_اسفند[[#This Row],[بیمه پرداختنی]]+ج_ح_اسفند[[#This Row],[مالیات پرداختنی]],"")</f>
        <v/>
      </c>
      <c r="W443" s="89" t="str">
        <f>IFERROR(ج_ح_اسفند[[#This Row],[جمع ح و م]]-ج_ح_اسفند[[#This Row],[جمع کسورات]],"")</f>
        <v/>
      </c>
      <c r="X443" s="108"/>
    </row>
    <row r="444" spans="2:24" ht="32.1" customHeight="1">
      <c r="B444" s="1">
        <f t="shared" si="10"/>
        <v>12</v>
      </c>
      <c r="C444" s="23"/>
      <c r="D444" s="24"/>
      <c r="E444" s="24" t="s">
        <v>35</v>
      </c>
      <c r="F444" s="33">
        <f>SUBTOTAL(109,ج_ح_اسفند[کارکرد])</f>
        <v>0</v>
      </c>
      <c r="G444" s="25">
        <f>SUBTOTAL(109,ج_ح_اسفند[[دستمزد روزانه ]])</f>
        <v>0</v>
      </c>
      <c r="H444" s="25">
        <f>SUBTOTAL(109,ج_ح_اسفند[حقوق پایه])</f>
        <v>0</v>
      </c>
      <c r="I444" s="34">
        <f>SUBTOTAL(109,ج_ح_اسفند[[مدت اضافه کاری ]])</f>
        <v>0</v>
      </c>
      <c r="J444" s="35">
        <f>SUBTOTAL(109,ج_ح_اسفند[اضافه کاری])</f>
        <v>0</v>
      </c>
      <c r="K444" s="25">
        <f>SUBTOTAL(109,ج_ح_اسفند[حق مسکن])</f>
        <v>0</v>
      </c>
      <c r="L444" s="36">
        <f>SUBTOTAL(109,ج_ح_اسفند[تعداد فرزندان])</f>
        <v>0</v>
      </c>
      <c r="M444" s="25">
        <f>SUBTOTAL(109,ج_ح_اسفند[حق اولاد])</f>
        <v>0</v>
      </c>
      <c r="N444" s="25">
        <f>SUBTOTAL(109,ج_ح_اسفند[حق و خواروبار])</f>
        <v>0</v>
      </c>
      <c r="O444" s="25">
        <f>SUBTOTAL(109,ج_ح_اسفند[جمع ح و م])</f>
        <v>0</v>
      </c>
      <c r="P444" s="25">
        <f>SUBTOTAL(109,ج_ح_اسفند[[جمع ح و م م بیمه ]])</f>
        <v>0</v>
      </c>
      <c r="Q444" s="25">
        <f>SUBTOTAL(109,ج_ح_اسفند[جمع ح و م م مالیات])</f>
        <v>0</v>
      </c>
      <c r="R444" s="25">
        <f>SUBTOTAL(109,ج_ح_اسفند[وام])</f>
        <v>0</v>
      </c>
      <c r="S444" s="25">
        <f>SUBTOTAL(109,ج_ح_اسفند[مساعده])</f>
        <v>0</v>
      </c>
      <c r="T444" s="25">
        <f>SUBTOTAL(109,ج_ح_اسفند[بیمه پرداختنی])</f>
        <v>0</v>
      </c>
      <c r="U444" s="25">
        <f>SUBTOTAL(109,ج_ح_اسفند[مالیات پرداختنی])</f>
        <v>0</v>
      </c>
      <c r="V444" s="25">
        <f>SUBTOTAL(109,ج_ح_اسفند[جمع کسورات])</f>
        <v>0</v>
      </c>
      <c r="W444" s="25">
        <f>SUBTOTAL(109,ج_ح_اسفند[خالص قابل پرداخت])</f>
        <v>0</v>
      </c>
      <c r="X444" s="152"/>
    </row>
    <row r="445" spans="2:24" ht="8.1" customHeight="1"/>
  </sheetData>
  <sheetProtection formatCells="0" selectLockedCells="1" sort="0" autoFilter="0"/>
  <mergeCells count="36">
    <mergeCell ref="C411:C412"/>
    <mergeCell ref="C372:W372"/>
    <mergeCell ref="C373:W373"/>
    <mergeCell ref="C374:C375"/>
    <mergeCell ref="C409:W409"/>
    <mergeCell ref="C410:W410"/>
    <mergeCell ref="C299:W299"/>
    <mergeCell ref="C300:C301"/>
    <mergeCell ref="C335:W335"/>
    <mergeCell ref="C336:W336"/>
    <mergeCell ref="C337:C338"/>
    <mergeCell ref="C226:C227"/>
    <mergeCell ref="C261:W261"/>
    <mergeCell ref="C262:W262"/>
    <mergeCell ref="C263:C264"/>
    <mergeCell ref="C298:W298"/>
    <mergeCell ref="C187:W187"/>
    <mergeCell ref="C188:W188"/>
    <mergeCell ref="C189:C190"/>
    <mergeCell ref="C224:W224"/>
    <mergeCell ref="C225:W225"/>
    <mergeCell ref="C114:W114"/>
    <mergeCell ref="C115:C116"/>
    <mergeCell ref="C150:W150"/>
    <mergeCell ref="C151:W151"/>
    <mergeCell ref="C152:C153"/>
    <mergeCell ref="C41:C42"/>
    <mergeCell ref="C76:W76"/>
    <mergeCell ref="C77:W77"/>
    <mergeCell ref="C78:C79"/>
    <mergeCell ref="C113:W113"/>
    <mergeCell ref="C3:W3"/>
    <mergeCell ref="C2:W2"/>
    <mergeCell ref="C4:C5"/>
    <mergeCell ref="C39:W39"/>
    <mergeCell ref="C40:W40"/>
  </mergeCells>
  <dataValidations count="4">
    <dataValidation type="whole" operator="greaterThanOrEqual" allowBlank="1" showInputMessage="1" showErrorMessage="1" errorTitle="! ورودی اشتباه" error="_x000a__x000a_کاربر گرامی، حقوق پایه سال 1397  نباید کمتر از 370,423 ریال باشد_x000a__x000a_" sqref="G383:G406 G346:G369 G309:G332 G87:G110 G124:G147 G161:G184 G198:G221 G235:G258 G272:G295 G420:G443" xr:uid="{00000000-0002-0000-0300-000000000000}">
      <formula1>حداقل_حقوق_پایه_روزانه</formula1>
    </dataValidation>
    <dataValidation type="decimal" operator="greaterThan" allowBlank="1" showInputMessage="1" showErrorMessage="1" errorTitle="! ورودی اشتباه" error="_x000a__x000a_کاربر گرامی، تعداد روزهای کارکرد نمیتواند صفر یا منفی باشد_x000a__x000a_" sqref="F7:F36 F303:F332 F414:F443 F44:F73 F340:F369 F118:F147 F192:F221 F81:F110 F155:F184 F229:F258 F266:F295 F377:F406" xr:uid="{00000000-0002-0000-0300-000001000000}">
      <formula1>0</formula1>
    </dataValidation>
    <dataValidation type="whole" operator="greaterThanOrEqual" allowBlank="1" showInputMessage="1" showErrorMessage="1" errorTitle="! ورودی اشتباه" error="_x000a__x000a_کاربر گرامی، حقوق پایه سال 1399  نباید کمتر از 611،809 ریال باشد_x000a__x000a_" sqref="G414:G443 G44:G49 G81:G110 G118:G147 G155:G184 G192:G221 G229:G258 G266:G295 G377:G406 G340:G369 G303:G332 G7:G36" xr:uid="{00000000-0002-0000-0300-000002000000}">
      <formula1>حداقل_حقوق_پایه_روزانه</formula1>
    </dataValidation>
    <dataValidation type="whole" operator="greaterThanOrEqual" allowBlank="1" showInputMessage="1" showErrorMessage="1" errorTitle="! ورودی اشتباه" error="_x000a__x000a_کاربر گرامی، حقوق پایه سال 1399  نباید کمتر از 611،809 ریال باشد_x000a_" sqref="G50:G73" xr:uid="{00000000-0002-0000-0300-000003000000}">
      <formula1>حداقل_حقوق_پایه_روزانه</formula1>
    </dataValidation>
  </dataValidations>
  <printOptions horizontalCentered="1"/>
  <pageMargins left="0" right="0" top="0.59055118110236227" bottom="0" header="0" footer="0"/>
  <pageSetup paperSize="9" scale="45" orientation="landscape" r:id="rId1"/>
  <rowBreaks count="11" manualBreakCount="11">
    <brk id="38" min="2" max="22" man="1"/>
    <brk id="75" min="2" max="22" man="1"/>
    <brk id="112" min="2" max="22" man="1"/>
    <brk id="149" min="2" max="22" man="1"/>
    <brk id="186" min="2" max="22" man="1"/>
    <brk id="223" min="2" max="22" man="1"/>
    <brk id="260" min="2" max="22" man="1"/>
    <brk id="297" min="2" max="22" man="1"/>
    <brk id="334" min="2" max="22" man="1"/>
    <brk id="371" min="2" max="22" man="1"/>
    <brk id="408" min="2" max="22" man="1"/>
  </rowBreaks>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AK38"/>
  <sheetViews>
    <sheetView rightToLeft="1" view="pageBreakPreview" topLeftCell="X1" zoomScale="60" zoomScaleNormal="60" workbookViewId="0">
      <selection activeCell="C7" sqref="C7:D10"/>
    </sheetView>
  </sheetViews>
  <sheetFormatPr defaultColWidth="9" defaultRowHeight="18"/>
  <cols>
    <col min="1" max="1" width="1.5" style="1" customWidth="1"/>
    <col min="2" max="2" width="5.5" style="1" customWidth="1"/>
    <col min="3" max="4" width="18.5" style="1" customWidth="1"/>
    <col min="5" max="32" width="20.5" style="1" customWidth="1"/>
    <col min="33" max="33" width="14.25" style="1" customWidth="1"/>
    <col min="34" max="34" width="17.125" style="1" customWidth="1"/>
    <col min="35" max="35" width="14.25" style="1" customWidth="1"/>
    <col min="36" max="36" width="11.75" style="1" customWidth="1"/>
    <col min="37" max="37" width="19.875" style="1" bestFit="1" customWidth="1"/>
    <col min="38" max="16384" width="9" style="1"/>
  </cols>
  <sheetData>
    <row r="1" spans="1:37" ht="9.9499999999999993" customHeight="1"/>
    <row r="2" spans="1:37" s="7" customFormat="1" ht="39.950000000000003" customHeight="1">
      <c r="B2" s="134" t="str">
        <f>CONCATENATE("شرکت"," ",'اطلاعات شرکت'!B1)</f>
        <v>شرکت پندار حساب شهسوار</v>
      </c>
      <c r="C2" s="134"/>
      <c r="D2" s="134"/>
      <c r="E2" s="134"/>
      <c r="F2" s="134"/>
      <c r="G2" s="134"/>
      <c r="H2" s="134"/>
      <c r="I2" s="134"/>
      <c r="J2" s="134"/>
      <c r="K2" s="134"/>
      <c r="L2" s="134"/>
      <c r="M2" s="134"/>
      <c r="N2" s="134"/>
      <c r="O2" s="134"/>
      <c r="P2" s="134"/>
      <c r="Q2" s="134"/>
      <c r="R2" s="59"/>
      <c r="S2" s="59"/>
      <c r="T2" s="59"/>
      <c r="U2" s="59"/>
      <c r="V2" s="59"/>
      <c r="W2" s="59"/>
      <c r="X2" s="59"/>
      <c r="Y2" s="59"/>
      <c r="Z2" s="59"/>
      <c r="AA2" s="59"/>
      <c r="AB2" s="59"/>
      <c r="AC2" s="59"/>
      <c r="AD2" s="59"/>
      <c r="AE2" s="59"/>
      <c r="AF2" s="59"/>
    </row>
    <row r="3" spans="1:37" s="7" customFormat="1" ht="50.1" customHeight="1">
      <c r="B3" s="135" t="str">
        <f>CONCATENATE("جدول تجمیعی حقوق و دستمزد سال"," ",'اطلاعات شرکت'!B2)</f>
        <v>جدول تجمیعی حقوق و دستمزد سال 1402</v>
      </c>
      <c r="C3" s="135"/>
      <c r="D3" s="135"/>
      <c r="E3" s="135"/>
      <c r="F3" s="135"/>
      <c r="G3" s="135"/>
      <c r="H3" s="135"/>
      <c r="I3" s="135"/>
      <c r="J3" s="135"/>
      <c r="K3" s="135"/>
      <c r="L3" s="135"/>
      <c r="M3" s="135"/>
      <c r="N3" s="135"/>
      <c r="O3" s="135"/>
      <c r="P3" s="135"/>
      <c r="Q3" s="135"/>
      <c r="R3" s="60"/>
      <c r="S3" s="60"/>
      <c r="T3" s="60"/>
      <c r="U3" s="60"/>
      <c r="V3" s="60"/>
      <c r="W3" s="60"/>
      <c r="X3" s="60"/>
      <c r="Y3" s="60"/>
      <c r="Z3" s="60"/>
      <c r="AA3" s="60"/>
      <c r="AB3" s="60"/>
      <c r="AC3" s="60"/>
      <c r="AD3" s="60"/>
      <c r="AE3" s="60"/>
      <c r="AF3" s="60"/>
    </row>
    <row r="4" spans="1:37" s="12" customFormat="1" ht="24.95" customHeight="1">
      <c r="B4" s="132" t="s">
        <v>1</v>
      </c>
      <c r="C4" s="132" t="s">
        <v>23</v>
      </c>
      <c r="D4" s="132" t="s">
        <v>56</v>
      </c>
      <c r="E4" s="132" t="s">
        <v>24</v>
      </c>
      <c r="F4" s="132" t="s">
        <v>25</v>
      </c>
      <c r="G4" s="132" t="s">
        <v>40</v>
      </c>
      <c r="H4" s="132" t="s">
        <v>26</v>
      </c>
      <c r="I4" s="132" t="s">
        <v>27</v>
      </c>
      <c r="J4" s="132" t="s">
        <v>28</v>
      </c>
      <c r="K4" s="132" t="s">
        <v>29</v>
      </c>
      <c r="L4" s="132" t="s">
        <v>30</v>
      </c>
      <c r="M4" s="132" t="s">
        <v>31</v>
      </c>
      <c r="N4" s="132" t="s">
        <v>32</v>
      </c>
      <c r="O4" s="132" t="s">
        <v>33</v>
      </c>
      <c r="P4" s="132" t="s">
        <v>34</v>
      </c>
      <c r="Q4" s="132" t="s">
        <v>35</v>
      </c>
      <c r="R4" s="130" t="s">
        <v>11</v>
      </c>
      <c r="S4" s="131"/>
      <c r="T4" s="131"/>
      <c r="U4" s="131"/>
      <c r="V4" s="131"/>
      <c r="W4" s="131"/>
      <c r="X4" s="131"/>
      <c r="Y4" s="131"/>
      <c r="Z4" s="131"/>
      <c r="AA4" s="131"/>
      <c r="AB4" s="131"/>
      <c r="AC4" s="131"/>
      <c r="AD4" s="131" t="s">
        <v>134</v>
      </c>
      <c r="AE4" s="94" t="s">
        <v>147</v>
      </c>
      <c r="AF4" s="94" t="s">
        <v>188</v>
      </c>
      <c r="AG4" s="12" t="s">
        <v>153</v>
      </c>
      <c r="AH4" s="12" t="s">
        <v>154</v>
      </c>
      <c r="AI4" s="12" t="s">
        <v>41</v>
      </c>
      <c r="AJ4" s="12" t="s">
        <v>157</v>
      </c>
      <c r="AK4" s="12" t="s">
        <v>132</v>
      </c>
    </row>
    <row r="5" spans="1:37" s="12" customFormat="1" ht="24.95" customHeight="1">
      <c r="B5" s="133"/>
      <c r="C5" s="133"/>
      <c r="D5" s="133"/>
      <c r="E5" s="133"/>
      <c r="F5" s="133"/>
      <c r="G5" s="133"/>
      <c r="H5" s="133"/>
      <c r="I5" s="133"/>
      <c r="J5" s="133"/>
      <c r="K5" s="133"/>
      <c r="L5" s="133"/>
      <c r="M5" s="133"/>
      <c r="N5" s="133"/>
      <c r="O5" s="133"/>
      <c r="P5" s="133"/>
      <c r="Q5" s="133"/>
      <c r="R5" s="94" t="s">
        <v>24</v>
      </c>
      <c r="S5" s="94" t="s">
        <v>25</v>
      </c>
      <c r="T5" s="94" t="s">
        <v>40</v>
      </c>
      <c r="U5" s="94" t="s">
        <v>26</v>
      </c>
      <c r="V5" s="94" t="s">
        <v>27</v>
      </c>
      <c r="W5" s="94" t="s">
        <v>28</v>
      </c>
      <c r="X5" s="94" t="s">
        <v>29</v>
      </c>
      <c r="Y5" s="94" t="s">
        <v>30</v>
      </c>
      <c r="Z5" s="94" t="s">
        <v>31</v>
      </c>
      <c r="AA5" s="94" t="s">
        <v>32</v>
      </c>
      <c r="AB5" s="94" t="s">
        <v>33</v>
      </c>
      <c r="AC5" s="94" t="s">
        <v>34</v>
      </c>
      <c r="AD5" s="131"/>
      <c r="AE5" s="94"/>
      <c r="AF5" s="94"/>
    </row>
    <row r="6" spans="1:37" s="7" customFormat="1" ht="20.100000000000001" customHeight="1">
      <c r="A6" s="97" t="s">
        <v>148</v>
      </c>
      <c r="B6" s="16" t="s">
        <v>1</v>
      </c>
      <c r="C6" s="16" t="s">
        <v>23</v>
      </c>
      <c r="D6" s="16" t="s">
        <v>56</v>
      </c>
      <c r="E6" s="16" t="s">
        <v>24</v>
      </c>
      <c r="F6" s="16" t="s">
        <v>25</v>
      </c>
      <c r="G6" s="16" t="s">
        <v>40</v>
      </c>
      <c r="H6" s="16" t="s">
        <v>26</v>
      </c>
      <c r="I6" s="16" t="s">
        <v>27</v>
      </c>
      <c r="J6" s="16" t="s">
        <v>28</v>
      </c>
      <c r="K6" s="16" t="s">
        <v>29</v>
      </c>
      <c r="L6" s="16" t="s">
        <v>30</v>
      </c>
      <c r="M6" s="16" t="s">
        <v>31</v>
      </c>
      <c r="N6" s="16" t="s">
        <v>32</v>
      </c>
      <c r="O6" s="16" t="s">
        <v>33</v>
      </c>
      <c r="P6" s="16" t="s">
        <v>34</v>
      </c>
      <c r="Q6" s="16" t="s">
        <v>71</v>
      </c>
      <c r="R6" s="97" t="s">
        <v>133</v>
      </c>
      <c r="S6" s="97" t="s">
        <v>135</v>
      </c>
      <c r="T6" s="98" t="s">
        <v>136</v>
      </c>
      <c r="U6" s="16" t="s">
        <v>137</v>
      </c>
      <c r="V6" s="16" t="s">
        <v>138</v>
      </c>
      <c r="W6" s="16" t="s">
        <v>139</v>
      </c>
      <c r="X6" s="16" t="s">
        <v>140</v>
      </c>
      <c r="Y6" s="16" t="s">
        <v>141</v>
      </c>
      <c r="Z6" s="16" t="s">
        <v>142</v>
      </c>
      <c r="AA6" s="16" t="s">
        <v>143</v>
      </c>
      <c r="AB6" s="16" t="s">
        <v>144</v>
      </c>
      <c r="AC6" s="99" t="s">
        <v>145</v>
      </c>
      <c r="AD6" s="97" t="s">
        <v>146</v>
      </c>
      <c r="AE6" s="98" t="s">
        <v>149</v>
      </c>
      <c r="AF6" s="16" t="s">
        <v>187</v>
      </c>
      <c r="AG6" s="16" t="s">
        <v>150</v>
      </c>
      <c r="AH6" s="16" t="s">
        <v>152</v>
      </c>
      <c r="AI6" s="16" t="s">
        <v>155</v>
      </c>
      <c r="AJ6" s="16" t="s">
        <v>156</v>
      </c>
      <c r="AK6" s="99" t="s">
        <v>151</v>
      </c>
    </row>
    <row r="7" spans="1:37" ht="32.1" customHeight="1">
      <c r="A7" s="96"/>
      <c r="B7" s="26" t="str">
        <f>IF(ج_ح_تجمیعی[[#This Row],[نام]]&lt;&gt;"",ROW()-7+1,"")</f>
        <v/>
      </c>
      <c r="C7" s="86"/>
      <c r="D7" s="86"/>
      <c r="E7"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7"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7"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7"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7"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7"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7"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7"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7"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7"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7"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7"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7" s="21" t="str">
        <f>IF(SUM(ج_ح_تجمیعی[[#This Row],[فروردین]:[اسفند]])&gt;0,SUM(ج_ح_تجمیعی[[#This Row],[فروردین]:[اسفند]]),"")</f>
        <v/>
      </c>
      <c r="R7" s="21"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7"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7"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7"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7"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7"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7"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7"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7"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7"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7"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7"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7" s="96">
        <f>SUM(ج_ح_تجمیعی[[#This Row],[Column1]:[Column12]])</f>
        <v>0</v>
      </c>
      <c r="AE7" s="96" t="str">
        <f>IF(ج_ح_تجمیعی[[#This Row],[Column13]]&lt;=0," ",365)</f>
        <v xml:space="preserve"> </v>
      </c>
      <c r="AF7" s="96" t="str">
        <f>IFERROR(معافیت_مالیاتی_ماهانه_حقوق*ج_ح_تجمیعی[[#This Row],[Column13]]/ج_ح_تجمیعی[[#This Row],[Column132]],"")</f>
        <v/>
      </c>
      <c r="AG7" s="96" t="str">
        <f>IF(COUNT(ج_ح_تجمیعی[[#This Row],[ردیف]]),(حداقل_حقوق_ماهانه_30_روزه)*2," ")</f>
        <v xml:space="preserve"> </v>
      </c>
      <c r="AH7" s="96" t="str">
        <f>IF(COUNT(ج_ح_تجمیعی[[#This Row],[ردیف]]),ج_ح_تجمیعی[[#This Row],[Column13]]*ج_ح_تجمیعی[[#This Row],[Column133]]/ج_ح_تجمیعی[[#This Row],[Column132]]," ")</f>
        <v xml:space="preserve"> </v>
      </c>
      <c r="AI7" s="96" t="str">
        <f>IF(COUNT(ج_ح_تجمیعی[[#This Row],[ردیف]]),IF(ج_ح_تجمیعی[[#This Row],[Column1332]]&lt;حداکثر_عیدی,ج_ح_تجمیعی[[#This Row],[Column1332]],حداکثر_عیدی)," ")</f>
        <v xml:space="preserve"> </v>
      </c>
      <c r="AJ7" s="96" t="str">
        <f>IF(COUNT(ج_ح_تجمیعی[[#This Row],[ردیف]]),(حداقل_حقوق_ماهانه_30_روزه+حق_مسکن+حق_خواربار)," ")</f>
        <v xml:space="preserve"> </v>
      </c>
      <c r="AK7" s="96" t="str">
        <f>IF(COUNT(ج_ح_تجمیعی[[#This Row],[ردیف]]),ج_ح_تجمیعی[[#This Row],[Column13]]*ج_ح_تجمیعی[[#This Row],[Column1334]]/ج_ح_تجمیعی[[#This Row],[Column132]]," ")</f>
        <v xml:space="preserve"> </v>
      </c>
    </row>
    <row r="8" spans="1:37" ht="32.1" customHeight="1">
      <c r="A8" s="96"/>
      <c r="B8" s="26" t="str">
        <f>IF(ج_ح_تجمیعی[[#This Row],[نام]]&lt;&gt;"",ROW()-7+1,"")</f>
        <v/>
      </c>
      <c r="C8" s="86"/>
      <c r="D8" s="86"/>
      <c r="E8"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8"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8"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8"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8"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8"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8"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8"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8"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8"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8"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8"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8" s="21" t="str">
        <f>IF(SUM(ج_ح_تجمیعی[[#This Row],[فروردین]:[اسفند]])&gt;0,SUM(ج_ح_تجمیعی[[#This Row],[فروردین]:[اسفند]]),"")</f>
        <v/>
      </c>
      <c r="R8"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8"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8"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8"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8"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8"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8"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8"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8"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8"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8"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8"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8" s="96">
        <f>SUM(ج_ح_تجمیعی[[#This Row],[Column1]:[Column12]])</f>
        <v>0</v>
      </c>
      <c r="AE8" s="96" t="str">
        <f>IF(ج_ح_تجمیعی[[#This Row],[Column13]]&lt;=0," ",365)</f>
        <v xml:space="preserve"> </v>
      </c>
      <c r="AF8" s="96" t="str">
        <f>IFERROR(معافیت_مالیاتی_ماهانه_حقوق*ج_ح_تجمیعی[[#This Row],[Column13]]/ج_ح_تجمیعی[[#This Row],[Column132]],"")</f>
        <v/>
      </c>
      <c r="AG8" s="96" t="str">
        <f>IF(COUNT(ج_ح_تجمیعی[[#This Row],[ردیف]]),(حداقل_حقوق_ماهانه_30_روزه)*2," ")</f>
        <v xml:space="preserve"> </v>
      </c>
      <c r="AH8" s="96" t="str">
        <f>IF(COUNT(ج_ح_تجمیعی[[#This Row],[ردیف]]),ج_ح_تجمیعی[[#This Row],[Column13]]*ج_ح_تجمیعی[[#This Row],[Column133]]/ج_ح_تجمیعی[[#This Row],[Column132]]," ")</f>
        <v xml:space="preserve"> </v>
      </c>
      <c r="AI8" s="96" t="str">
        <f>IF(COUNT(ج_ح_تجمیعی[[#This Row],[ردیف]]),IF(ج_ح_تجمیعی[[#This Row],[Column1332]]&lt;حداکثر_عیدی,ج_ح_تجمیعی[[#This Row],[Column1332]],حداکثر_عیدی)," ")</f>
        <v xml:space="preserve"> </v>
      </c>
      <c r="AJ8" s="96" t="str">
        <f>IF(COUNT(ج_ح_تجمیعی[[#This Row],[ردیف]]),(حداقل_حقوق_ماهانه_30_روزه+حق_مسکن+حق_خواربار)," ")</f>
        <v xml:space="preserve"> </v>
      </c>
      <c r="AK8" s="96" t="str">
        <f>IF(COUNT(ج_ح_تجمیعی[[#This Row],[ردیف]]),ج_ح_تجمیعی[[#This Row],[Column13]]*ج_ح_تجمیعی[[#This Row],[Column1334]]/ج_ح_تجمیعی[[#This Row],[Column132]]," ")</f>
        <v xml:space="preserve"> </v>
      </c>
    </row>
    <row r="9" spans="1:37" ht="32.1" customHeight="1">
      <c r="A9" s="96"/>
      <c r="B9" s="26" t="str">
        <f>IF(ج_ح_تجمیعی[[#This Row],[نام]]&lt;&gt;"",ROW()-7+1,"")</f>
        <v/>
      </c>
      <c r="C9" s="86"/>
      <c r="D9" s="86"/>
      <c r="E9"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9"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9"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9"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9"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9"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9"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9"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9"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9"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9"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9"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9" s="21" t="str">
        <f>IF(SUM(ج_ح_تجمیعی[[#This Row],[فروردین]:[اسفند]])&gt;0,SUM(ج_ح_تجمیعی[[#This Row],[فروردین]:[اسفند]]),"")</f>
        <v/>
      </c>
      <c r="R9"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9"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9"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9"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9"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9"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9"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9"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9"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9"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9"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9"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9" s="96">
        <f>SUM(ج_ح_تجمیعی[[#This Row],[Column1]:[Column12]])</f>
        <v>0</v>
      </c>
      <c r="AE9" s="96" t="str">
        <f>IF(ج_ح_تجمیعی[[#This Row],[Column13]]&lt;=0," ",365)</f>
        <v xml:space="preserve"> </v>
      </c>
      <c r="AF9" s="96" t="str">
        <f>IFERROR(معافیت_مالیاتی_ماهانه_حقوق*ج_ح_تجمیعی[[#This Row],[Column13]]/ج_ح_تجمیعی[[#This Row],[Column132]],"")</f>
        <v/>
      </c>
      <c r="AG9" s="96" t="str">
        <f>IF(COUNT(ج_ح_تجمیعی[[#This Row],[ردیف]]),(حداقل_حقوق_ماهانه_30_روزه)*2," ")</f>
        <v xml:space="preserve"> </v>
      </c>
      <c r="AH9" s="96" t="str">
        <f>IF(COUNT(ج_ح_تجمیعی[[#This Row],[ردیف]]),ج_ح_تجمیعی[[#This Row],[Column13]]*ج_ح_تجمیعی[[#This Row],[Column133]]/ج_ح_تجمیعی[[#This Row],[Column132]]," ")</f>
        <v xml:space="preserve"> </v>
      </c>
      <c r="AI9" s="96" t="str">
        <f>IF(COUNT(ج_ح_تجمیعی[[#This Row],[ردیف]]),IF(ج_ح_تجمیعی[[#This Row],[Column1332]]&lt;حداکثر_عیدی,ج_ح_تجمیعی[[#This Row],[Column1332]],حداکثر_عیدی)," ")</f>
        <v xml:space="preserve"> </v>
      </c>
      <c r="AJ9" s="96" t="str">
        <f>IF(COUNT(ج_ح_تجمیعی[[#This Row],[ردیف]]),(حداقل_حقوق_ماهانه_30_روزه+حق_مسکن+حق_خواربار)," ")</f>
        <v xml:space="preserve"> </v>
      </c>
      <c r="AK9" s="96" t="str">
        <f>IF(COUNT(ج_ح_تجمیعی[[#This Row],[ردیف]]),ج_ح_تجمیعی[[#This Row],[Column13]]*ج_ح_تجمیعی[[#This Row],[Column1334]]/ج_ح_تجمیعی[[#This Row],[Column132]]," ")</f>
        <v xml:space="preserve"> </v>
      </c>
    </row>
    <row r="10" spans="1:37" ht="32.1" customHeight="1">
      <c r="A10" s="96"/>
      <c r="B10" s="26" t="str">
        <f>IF(ج_ح_تجمیعی[[#This Row],[نام]]&lt;&gt;"",ROW()-7+1,"")</f>
        <v/>
      </c>
      <c r="C10" s="86"/>
      <c r="D10" s="86"/>
      <c r="E10"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10"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10"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10"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10"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10"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10"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10"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10"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10"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10"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10"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10" s="21" t="str">
        <f>IF(SUM(ج_ح_تجمیعی[[#This Row],[فروردین]:[اسفند]])&gt;0,SUM(ج_ح_تجمیعی[[#This Row],[فروردین]:[اسفند]]),"")</f>
        <v/>
      </c>
      <c r="R10"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10"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10"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10"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10"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10"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10"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10"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10"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10"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10"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10"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10" s="96">
        <f>SUM(ج_ح_تجمیعی[[#This Row],[Column1]:[Column12]])</f>
        <v>0</v>
      </c>
      <c r="AE10" s="96" t="str">
        <f>IF(ج_ح_تجمیعی[[#This Row],[Column13]]&lt;=0," ",365)</f>
        <v xml:space="preserve"> </v>
      </c>
      <c r="AF10" s="96" t="str">
        <f>IFERROR(معافیت_مالیاتی_ماهانه_حقوق*ج_ح_تجمیعی[[#This Row],[Column13]]/ج_ح_تجمیعی[[#This Row],[Column132]],"")</f>
        <v/>
      </c>
      <c r="AG10" s="96" t="str">
        <f>IF(COUNT(ج_ح_تجمیعی[[#This Row],[ردیف]]),(حداقل_حقوق_ماهانه_30_روزه)*2," ")</f>
        <v xml:space="preserve"> </v>
      </c>
      <c r="AH10" s="96" t="str">
        <f>IF(COUNT(ج_ح_تجمیعی[[#This Row],[ردیف]]),ج_ح_تجمیعی[[#This Row],[Column13]]*ج_ح_تجمیعی[[#This Row],[Column133]]/ج_ح_تجمیعی[[#This Row],[Column132]]," ")</f>
        <v xml:space="preserve"> </v>
      </c>
      <c r="AI10" s="96" t="str">
        <f>IF(COUNT(ج_ح_تجمیعی[[#This Row],[ردیف]]),IF(ج_ح_تجمیعی[[#This Row],[Column1332]]&lt;حداکثر_عیدی,ج_ح_تجمیعی[[#This Row],[Column1332]],حداکثر_عیدی)," ")</f>
        <v xml:space="preserve"> </v>
      </c>
      <c r="AJ10" s="96" t="str">
        <f>IF(COUNT(ج_ح_تجمیعی[[#This Row],[ردیف]]),(حداقل_حقوق_ماهانه_30_روزه+حق_مسکن+حق_خواربار)," ")</f>
        <v xml:space="preserve"> </v>
      </c>
      <c r="AK10" s="96" t="str">
        <f>IF(COUNT(ج_ح_تجمیعی[[#This Row],[ردیف]]),ج_ح_تجمیعی[[#This Row],[Column13]]*ج_ح_تجمیعی[[#This Row],[Column1334]]/ج_ح_تجمیعی[[#This Row],[Column132]]," ")</f>
        <v xml:space="preserve"> </v>
      </c>
    </row>
    <row r="11" spans="1:37" ht="32.1" customHeight="1">
      <c r="A11" s="96"/>
      <c r="B11" s="26" t="str">
        <f>IF(ج_ح_تجمیعی[[#This Row],[نام]]&lt;&gt;"",ROW()-7+1,"")</f>
        <v/>
      </c>
      <c r="C11" s="86"/>
      <c r="D11" s="86"/>
      <c r="E11"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11"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11"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11"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11"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11"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11"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11"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11"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11"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11"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11"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11" s="21" t="str">
        <f>IF(SUM(ج_ح_تجمیعی[[#This Row],[فروردین]:[اسفند]])&gt;0,SUM(ج_ح_تجمیعی[[#This Row],[فروردین]:[اسفند]]),"")</f>
        <v/>
      </c>
      <c r="R11"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11"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11"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11"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11"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11"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11"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11"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11"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11"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11"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11"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11" s="96">
        <f>SUM(ج_ح_تجمیعی[[#This Row],[Column1]:[Column12]])</f>
        <v>0</v>
      </c>
      <c r="AE11" s="96" t="str">
        <f>IF(ج_ح_تجمیعی[[#This Row],[Column13]]&lt;=0," ",365)</f>
        <v xml:space="preserve"> </v>
      </c>
      <c r="AF11" s="96" t="str">
        <f>IFERROR(معافیت_مالیاتی_ماهانه_حقوق*ج_ح_تجمیعی[[#This Row],[Column13]]/ج_ح_تجمیعی[[#This Row],[Column132]],"")</f>
        <v/>
      </c>
      <c r="AG11" s="96" t="str">
        <f>IF(COUNT(ج_ح_تجمیعی[[#This Row],[ردیف]]),(حداقل_حقوق_ماهانه_30_روزه)*2," ")</f>
        <v xml:space="preserve"> </v>
      </c>
      <c r="AH11" s="96" t="str">
        <f>IF(COUNT(ج_ح_تجمیعی[[#This Row],[ردیف]]),ج_ح_تجمیعی[[#This Row],[Column13]]*ج_ح_تجمیعی[[#This Row],[Column133]]/ج_ح_تجمیعی[[#This Row],[Column132]]," ")</f>
        <v xml:space="preserve"> </v>
      </c>
      <c r="AI11" s="96" t="str">
        <f>IF(COUNT(ج_ح_تجمیعی[[#This Row],[ردیف]]),IF(ج_ح_تجمیعی[[#This Row],[Column1332]]&lt;حداکثر_عیدی,ج_ح_تجمیعی[[#This Row],[Column1332]],حداکثر_عیدی)," ")</f>
        <v xml:space="preserve"> </v>
      </c>
      <c r="AJ11" s="96" t="str">
        <f>IF(COUNT(ج_ح_تجمیعی[[#This Row],[ردیف]]),(حداقل_حقوق_ماهانه_30_روزه+حق_مسکن+حق_خواربار)," ")</f>
        <v xml:space="preserve"> </v>
      </c>
      <c r="AK11" s="96" t="str">
        <f>IF(COUNT(ج_ح_تجمیعی[[#This Row],[ردیف]]),ج_ح_تجمیعی[[#This Row],[Column13]]*ج_ح_تجمیعی[[#This Row],[Column1334]]/ج_ح_تجمیعی[[#This Row],[Column132]]," ")</f>
        <v xml:space="preserve"> </v>
      </c>
    </row>
    <row r="12" spans="1:37" ht="32.1" customHeight="1">
      <c r="A12" s="96"/>
      <c r="B12" s="26" t="str">
        <f>IF(ج_ح_تجمیعی[[#This Row],[نام]]&lt;&gt;"",ROW()-7+1,"")</f>
        <v/>
      </c>
      <c r="C12" s="86"/>
      <c r="D12" s="86"/>
      <c r="E12"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12"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12"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12"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12"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12"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12"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12"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12"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12"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12"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12"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12" s="21" t="str">
        <f>IF(SUM(ج_ح_تجمیعی[[#This Row],[فروردین]:[اسفند]])&gt;0,SUM(ج_ح_تجمیعی[[#This Row],[فروردین]:[اسفند]]),"")</f>
        <v/>
      </c>
      <c r="R12"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12"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12"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12"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12"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12"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12"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12"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12"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12"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12"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12"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12" s="96">
        <f>SUM(ج_ح_تجمیعی[[#This Row],[Column1]:[Column12]])</f>
        <v>0</v>
      </c>
      <c r="AE12" s="96" t="str">
        <f>IF(ج_ح_تجمیعی[[#This Row],[Column13]]&lt;=0," ",365)</f>
        <v xml:space="preserve"> </v>
      </c>
      <c r="AF12" s="96" t="str">
        <f>IFERROR(معافیت_مالیاتی_ماهانه_حقوق*ج_ح_تجمیعی[[#This Row],[Column13]]/ج_ح_تجمیعی[[#This Row],[Column132]],"")</f>
        <v/>
      </c>
      <c r="AG12" s="96" t="str">
        <f>IF(COUNT(ج_ح_تجمیعی[[#This Row],[ردیف]]),(حداقل_حقوق_ماهانه_30_روزه)*2," ")</f>
        <v xml:space="preserve"> </v>
      </c>
      <c r="AH12" s="96" t="str">
        <f>IF(COUNT(ج_ح_تجمیعی[[#This Row],[ردیف]]),ج_ح_تجمیعی[[#This Row],[Column13]]*ج_ح_تجمیعی[[#This Row],[Column133]]/ج_ح_تجمیعی[[#This Row],[Column132]]," ")</f>
        <v xml:space="preserve"> </v>
      </c>
      <c r="AI12" s="96" t="str">
        <f>IF(COUNT(ج_ح_تجمیعی[[#This Row],[ردیف]]),IF(ج_ح_تجمیعی[[#This Row],[Column1332]]&lt;حداکثر_عیدی,ج_ح_تجمیعی[[#This Row],[Column1332]],حداکثر_عیدی)," ")</f>
        <v xml:space="preserve"> </v>
      </c>
      <c r="AJ12" s="96" t="str">
        <f>IF(COUNT(ج_ح_تجمیعی[[#This Row],[ردیف]]),(حداقل_حقوق_ماهانه_30_روزه+حق_مسکن+حق_خواربار)," ")</f>
        <v xml:space="preserve"> </v>
      </c>
      <c r="AK12" s="96" t="str">
        <f>IF(COUNT(ج_ح_تجمیعی[[#This Row],[ردیف]]),ج_ح_تجمیعی[[#This Row],[Column13]]*ج_ح_تجمیعی[[#This Row],[Column1334]]/ج_ح_تجمیعی[[#This Row],[Column132]]," ")</f>
        <v xml:space="preserve"> </v>
      </c>
    </row>
    <row r="13" spans="1:37" ht="32.1" customHeight="1">
      <c r="A13" s="96"/>
      <c r="B13" s="26" t="str">
        <f>IF(ج_ح_تجمیعی[[#This Row],[نام]]&lt;&gt;"",ROW()-7+1,"")</f>
        <v/>
      </c>
      <c r="C13" s="86"/>
      <c r="D13" s="86"/>
      <c r="E13"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13"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13"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13"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13"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13"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13"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13"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13"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13"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13"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13"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13" s="21" t="str">
        <f>IF(SUM(ج_ح_تجمیعی[[#This Row],[فروردین]:[اسفند]])&gt;0,SUM(ج_ح_تجمیعی[[#This Row],[فروردین]:[اسفند]]),"")</f>
        <v/>
      </c>
      <c r="R13"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13"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13"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13"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13"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13"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13"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13"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13"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13"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13"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13"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13" s="96">
        <f>SUM(ج_ح_تجمیعی[[#This Row],[Column1]:[Column12]])</f>
        <v>0</v>
      </c>
      <c r="AE13" s="96" t="str">
        <f>IF(ج_ح_تجمیعی[[#This Row],[Column13]]&lt;=0," ",365)</f>
        <v xml:space="preserve"> </v>
      </c>
      <c r="AF13" s="96" t="str">
        <f>IFERROR(معافیت_مالیاتی_ماهانه_حقوق*ج_ح_تجمیعی[[#This Row],[Column13]]/ج_ح_تجمیعی[[#This Row],[Column132]],"")</f>
        <v/>
      </c>
      <c r="AG13" s="96" t="str">
        <f>IF(COUNT(ج_ح_تجمیعی[[#This Row],[ردیف]]),(حداقل_حقوق_ماهانه_30_روزه)*2," ")</f>
        <v xml:space="preserve"> </v>
      </c>
      <c r="AH13" s="96" t="str">
        <f>IF(COUNT(ج_ح_تجمیعی[[#This Row],[ردیف]]),ج_ح_تجمیعی[[#This Row],[Column13]]*ج_ح_تجمیعی[[#This Row],[Column133]]/ج_ح_تجمیعی[[#This Row],[Column132]]," ")</f>
        <v xml:space="preserve"> </v>
      </c>
      <c r="AI13" s="96" t="str">
        <f>IF(COUNT(ج_ح_تجمیعی[[#This Row],[ردیف]]),IF(ج_ح_تجمیعی[[#This Row],[Column1332]]&lt;حداکثر_عیدی,ج_ح_تجمیعی[[#This Row],[Column1332]],حداکثر_عیدی)," ")</f>
        <v xml:space="preserve"> </v>
      </c>
      <c r="AJ13" s="96" t="str">
        <f>IF(COUNT(ج_ح_تجمیعی[[#This Row],[ردیف]]),(حداقل_حقوق_ماهانه_30_روزه+حق_مسکن+حق_خواربار)," ")</f>
        <v xml:space="preserve"> </v>
      </c>
      <c r="AK13" s="96" t="str">
        <f>IF(COUNT(ج_ح_تجمیعی[[#This Row],[ردیف]]),ج_ح_تجمیعی[[#This Row],[Column13]]*ج_ح_تجمیعی[[#This Row],[Column1334]]/ج_ح_تجمیعی[[#This Row],[Column132]]," ")</f>
        <v xml:space="preserve"> </v>
      </c>
    </row>
    <row r="14" spans="1:37" ht="32.1" customHeight="1">
      <c r="A14" s="96"/>
      <c r="B14" s="26" t="str">
        <f>IF(ج_ح_تجمیعی[[#This Row],[نام]]&lt;&gt;"",ROW()-7+1,"")</f>
        <v/>
      </c>
      <c r="C14" s="27"/>
      <c r="D14" s="27"/>
      <c r="E14"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14"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14"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14"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14"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14"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14"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14"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14"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14"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14"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14"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14" s="21" t="str">
        <f>IF(SUM(ج_ح_تجمیعی[[#This Row],[فروردین]:[اسفند]])&gt;0,SUM(ج_ح_تجمیعی[[#This Row],[فروردین]:[اسفند]]),"")</f>
        <v/>
      </c>
      <c r="R14"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14"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14"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14"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14"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14"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14"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14"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14"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14"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14"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14"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14" s="96">
        <f>SUM(ج_ح_تجمیعی[[#This Row],[Column1]:[Column12]])</f>
        <v>0</v>
      </c>
      <c r="AE14" s="96" t="str">
        <f>IF(ج_ح_تجمیعی[[#This Row],[Column13]]&lt;=0," ",365)</f>
        <v xml:space="preserve"> </v>
      </c>
      <c r="AF14" s="96" t="str">
        <f>IFERROR(معافیت_مالیاتی_ماهانه_حقوق*ج_ح_تجمیعی[[#This Row],[Column13]]/ج_ح_تجمیعی[[#This Row],[Column132]],"")</f>
        <v/>
      </c>
      <c r="AG14" s="96" t="str">
        <f>IF(COUNT(ج_ح_تجمیعی[[#This Row],[ردیف]]),(حداقل_حقوق_ماهانه_30_روزه)*2," ")</f>
        <v xml:space="preserve"> </v>
      </c>
      <c r="AH14" s="96" t="str">
        <f>IF(COUNT(ج_ح_تجمیعی[[#This Row],[ردیف]]),ج_ح_تجمیعی[[#This Row],[Column13]]*ج_ح_تجمیعی[[#This Row],[Column133]]/ج_ح_تجمیعی[[#This Row],[Column132]]," ")</f>
        <v xml:space="preserve"> </v>
      </c>
      <c r="AI14" s="96" t="str">
        <f>IF(COUNT(ج_ح_تجمیعی[[#This Row],[ردیف]]),IF(ج_ح_تجمیعی[[#This Row],[Column1332]]&lt;حداکثر_عیدی,ج_ح_تجمیعی[[#This Row],[Column1332]],حداکثر_عیدی)," ")</f>
        <v xml:space="preserve"> </v>
      </c>
      <c r="AJ14" s="96" t="str">
        <f>IF(COUNT(ج_ح_تجمیعی[[#This Row],[ردیف]]),(حداقل_حقوق_ماهانه_30_روزه+حق_مسکن+حق_خواربار)," ")</f>
        <v xml:space="preserve"> </v>
      </c>
      <c r="AK14" s="96" t="str">
        <f>IF(COUNT(ج_ح_تجمیعی[[#This Row],[ردیف]]),ج_ح_تجمیعی[[#This Row],[Column13]]*ج_ح_تجمیعی[[#This Row],[Column1334]]/ج_ح_تجمیعی[[#This Row],[Column132]]," ")</f>
        <v xml:space="preserve"> </v>
      </c>
    </row>
    <row r="15" spans="1:37" ht="32.1" customHeight="1">
      <c r="A15" s="96"/>
      <c r="B15" s="26" t="str">
        <f>IF(ج_ح_تجمیعی[[#This Row],[نام]]&lt;&gt;"",ROW()-7+1,"")</f>
        <v/>
      </c>
      <c r="C15" s="27"/>
      <c r="D15" s="27"/>
      <c r="E15"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15"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15"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15"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15"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15"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15"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15"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15"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15"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15"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15"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15" s="21" t="str">
        <f>IF(SUM(ج_ح_تجمیعی[[#This Row],[فروردین]:[اسفند]])&gt;0,SUM(ج_ح_تجمیعی[[#This Row],[فروردین]:[اسفند]]),"")</f>
        <v/>
      </c>
      <c r="R15"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15"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15"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15"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15"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15"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15"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15"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15"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15"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15"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15"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15" s="96">
        <f>SUM(ج_ح_تجمیعی[[#This Row],[Column1]:[Column12]])</f>
        <v>0</v>
      </c>
      <c r="AE15" s="96" t="str">
        <f>IF(ج_ح_تجمیعی[[#This Row],[Column13]]&lt;=0," ",365)</f>
        <v xml:space="preserve"> </v>
      </c>
      <c r="AF15" s="96" t="str">
        <f>IFERROR(معافیت_مالیاتی_ماهانه_حقوق*ج_ح_تجمیعی[[#This Row],[Column13]]/ج_ح_تجمیعی[[#This Row],[Column132]],"")</f>
        <v/>
      </c>
      <c r="AG15" s="96" t="str">
        <f>IF(COUNT(ج_ح_تجمیعی[[#This Row],[ردیف]]),(حداقل_حقوق_ماهانه_30_روزه)*2," ")</f>
        <v xml:space="preserve"> </v>
      </c>
      <c r="AH15" s="96" t="str">
        <f>IF(COUNT(ج_ح_تجمیعی[[#This Row],[ردیف]]),ج_ح_تجمیعی[[#This Row],[Column13]]*ج_ح_تجمیعی[[#This Row],[Column133]]/ج_ح_تجمیعی[[#This Row],[Column132]]," ")</f>
        <v xml:space="preserve"> </v>
      </c>
      <c r="AI15" s="96" t="str">
        <f>IF(COUNT(ج_ح_تجمیعی[[#This Row],[ردیف]]),IF(ج_ح_تجمیعی[[#This Row],[Column1332]]&lt;حداکثر_عیدی,ج_ح_تجمیعی[[#This Row],[Column1332]],حداکثر_عیدی)," ")</f>
        <v xml:space="preserve"> </v>
      </c>
      <c r="AJ15" s="96" t="str">
        <f>IF(COUNT(ج_ح_تجمیعی[[#This Row],[ردیف]]),(حداقل_حقوق_ماهانه_30_روزه+حق_مسکن+حق_خواربار)," ")</f>
        <v xml:space="preserve"> </v>
      </c>
      <c r="AK15" s="96" t="str">
        <f>IF(COUNT(ج_ح_تجمیعی[[#This Row],[ردیف]]),ج_ح_تجمیعی[[#This Row],[Column13]]*ج_ح_تجمیعی[[#This Row],[Column1334]]/ج_ح_تجمیعی[[#This Row],[Column132]]," ")</f>
        <v xml:space="preserve"> </v>
      </c>
    </row>
    <row r="16" spans="1:37" ht="32.1" customHeight="1">
      <c r="A16" s="96"/>
      <c r="B16" s="26" t="str">
        <f>IF(ج_ح_تجمیعی[[#This Row],[نام]]&lt;&gt;"",ROW()-7+1,"")</f>
        <v/>
      </c>
      <c r="C16" s="27"/>
      <c r="D16" s="27"/>
      <c r="E16"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16"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16"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16"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16"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16"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16"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16"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16"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16"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16"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16"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16" s="21" t="str">
        <f>IF(SUM(ج_ح_تجمیعی[[#This Row],[فروردین]:[اسفند]])&gt;0,SUM(ج_ح_تجمیعی[[#This Row],[فروردین]:[اسفند]]),"")</f>
        <v/>
      </c>
      <c r="R16"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16"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16"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16"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16"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16"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16"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16"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16"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16"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16"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16"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16" s="96">
        <f>SUM(ج_ح_تجمیعی[[#This Row],[Column1]:[Column12]])</f>
        <v>0</v>
      </c>
      <c r="AE16" s="96" t="str">
        <f>IF(ج_ح_تجمیعی[[#This Row],[Column13]]&lt;=0," ",365)</f>
        <v xml:space="preserve"> </v>
      </c>
      <c r="AF16" s="96" t="str">
        <f>IFERROR(معافیت_مالیاتی_ماهانه_حقوق*ج_ح_تجمیعی[[#This Row],[Column13]]/ج_ح_تجمیعی[[#This Row],[Column132]],"")</f>
        <v/>
      </c>
      <c r="AG16" s="96" t="str">
        <f>IF(COUNT(ج_ح_تجمیعی[[#This Row],[ردیف]]),(حداقل_حقوق_ماهانه_30_روزه)*2," ")</f>
        <v xml:space="preserve"> </v>
      </c>
      <c r="AH16" s="96" t="str">
        <f>IF(COUNT(ج_ح_تجمیعی[[#This Row],[ردیف]]),ج_ح_تجمیعی[[#This Row],[Column13]]*ج_ح_تجمیعی[[#This Row],[Column133]]/ج_ح_تجمیعی[[#This Row],[Column132]]," ")</f>
        <v xml:space="preserve"> </v>
      </c>
      <c r="AI16" s="96" t="str">
        <f>IF(COUNT(ج_ح_تجمیعی[[#This Row],[ردیف]]),IF(ج_ح_تجمیعی[[#This Row],[Column1332]]&lt;حداکثر_عیدی,ج_ح_تجمیعی[[#This Row],[Column1332]],حداکثر_عیدی)," ")</f>
        <v xml:space="preserve"> </v>
      </c>
      <c r="AJ16" s="96" t="str">
        <f>IF(COUNT(ج_ح_تجمیعی[[#This Row],[ردیف]]),(حداقل_حقوق_ماهانه_30_روزه+حق_مسکن+حق_خواربار)," ")</f>
        <v xml:space="preserve"> </v>
      </c>
      <c r="AK16" s="96" t="str">
        <f>IF(COUNT(ج_ح_تجمیعی[[#This Row],[ردیف]]),ج_ح_تجمیعی[[#This Row],[Column13]]*ج_ح_تجمیعی[[#This Row],[Column1334]]/ج_ح_تجمیعی[[#This Row],[Column132]]," ")</f>
        <v xml:space="preserve"> </v>
      </c>
    </row>
    <row r="17" spans="1:37" ht="32.1" customHeight="1">
      <c r="A17" s="96"/>
      <c r="B17" s="26" t="str">
        <f>IF(ج_ح_تجمیعی[[#This Row],[نام]]&lt;&gt;"",ROW()-7+1,"")</f>
        <v/>
      </c>
      <c r="C17" s="27"/>
      <c r="D17" s="27"/>
      <c r="E17"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17"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17"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17"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17"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17"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17"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17"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17"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17"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17"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17"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17" s="21" t="str">
        <f>IF(SUM(ج_ح_تجمیعی[[#This Row],[فروردین]:[اسفند]])&gt;0,SUM(ج_ح_تجمیعی[[#This Row],[فروردین]:[اسفند]]),"")</f>
        <v/>
      </c>
      <c r="R17"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17"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17"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17"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17"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17"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17"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17"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17"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17"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17"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17"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17" s="96">
        <f>SUM(ج_ح_تجمیعی[[#This Row],[Column1]:[Column12]])</f>
        <v>0</v>
      </c>
      <c r="AE17" s="96" t="str">
        <f>IF(ج_ح_تجمیعی[[#This Row],[Column13]]&lt;=0," ",365)</f>
        <v xml:space="preserve"> </v>
      </c>
      <c r="AF17" s="96" t="str">
        <f>IFERROR(معافیت_مالیاتی_ماهانه_حقوق*ج_ح_تجمیعی[[#This Row],[Column13]]/ج_ح_تجمیعی[[#This Row],[Column132]],"")</f>
        <v/>
      </c>
      <c r="AG17" s="96" t="str">
        <f>IF(COUNT(ج_ح_تجمیعی[[#This Row],[ردیف]]),(حداقل_حقوق_ماهانه_30_روزه)*2," ")</f>
        <v xml:space="preserve"> </v>
      </c>
      <c r="AH17" s="96" t="str">
        <f>IF(COUNT(ج_ح_تجمیعی[[#This Row],[ردیف]]),ج_ح_تجمیعی[[#This Row],[Column13]]*ج_ح_تجمیعی[[#This Row],[Column133]]/ج_ح_تجمیعی[[#This Row],[Column132]]," ")</f>
        <v xml:space="preserve"> </v>
      </c>
      <c r="AI17" s="96" t="str">
        <f>IF(COUNT(ج_ح_تجمیعی[[#This Row],[ردیف]]),IF(ج_ح_تجمیعی[[#This Row],[Column1332]]&lt;حداکثر_عیدی,ج_ح_تجمیعی[[#This Row],[Column1332]],حداکثر_عیدی)," ")</f>
        <v xml:space="preserve"> </v>
      </c>
      <c r="AJ17" s="96" t="str">
        <f>IF(COUNT(ج_ح_تجمیعی[[#This Row],[ردیف]]),(حداقل_حقوق_ماهانه_30_روزه+حق_مسکن+حق_خواربار)," ")</f>
        <v xml:space="preserve"> </v>
      </c>
      <c r="AK17" s="96" t="str">
        <f>IF(COUNT(ج_ح_تجمیعی[[#This Row],[ردیف]]),ج_ح_تجمیعی[[#This Row],[Column13]]*ج_ح_تجمیعی[[#This Row],[Column1334]]/ج_ح_تجمیعی[[#This Row],[Column132]]," ")</f>
        <v xml:space="preserve"> </v>
      </c>
    </row>
    <row r="18" spans="1:37" ht="32.1" customHeight="1">
      <c r="A18" s="96"/>
      <c r="B18" s="26" t="str">
        <f>IF(ج_ح_تجمیعی[[#This Row],[نام]]&lt;&gt;"",ROW()-7+1,"")</f>
        <v/>
      </c>
      <c r="C18" s="27"/>
      <c r="D18" s="27"/>
      <c r="E18"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18"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18"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18"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18"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18"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18"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18"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18"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18"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18"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18"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18" s="21" t="str">
        <f>IF(SUM(ج_ح_تجمیعی[[#This Row],[فروردین]:[اسفند]])&gt;0,SUM(ج_ح_تجمیعی[[#This Row],[فروردین]:[اسفند]]),"")</f>
        <v/>
      </c>
      <c r="R18"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18"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18"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18"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18"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18"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18"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18"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18"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18"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18"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18"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18" s="96">
        <f>SUM(ج_ح_تجمیعی[[#This Row],[Column1]:[Column12]])</f>
        <v>0</v>
      </c>
      <c r="AE18" s="96" t="str">
        <f>IF(ج_ح_تجمیعی[[#This Row],[Column13]]&lt;=0," ",365)</f>
        <v xml:space="preserve"> </v>
      </c>
      <c r="AF18" s="96" t="str">
        <f>IFERROR(معافیت_مالیاتی_ماهانه_حقوق*ج_ح_تجمیعی[[#This Row],[Column13]]/ج_ح_تجمیعی[[#This Row],[Column132]],"")</f>
        <v/>
      </c>
      <c r="AG18" s="96" t="str">
        <f>IF(COUNT(ج_ح_تجمیعی[[#This Row],[ردیف]]),(حداقل_حقوق_ماهانه_30_روزه)*2," ")</f>
        <v xml:space="preserve"> </v>
      </c>
      <c r="AH18" s="96" t="str">
        <f>IF(COUNT(ج_ح_تجمیعی[[#This Row],[ردیف]]),ج_ح_تجمیعی[[#This Row],[Column13]]*ج_ح_تجمیعی[[#This Row],[Column133]]/ج_ح_تجمیعی[[#This Row],[Column132]]," ")</f>
        <v xml:space="preserve"> </v>
      </c>
      <c r="AI18" s="96" t="str">
        <f>IF(COUNT(ج_ح_تجمیعی[[#This Row],[ردیف]]),IF(ج_ح_تجمیعی[[#This Row],[Column1332]]&lt;حداکثر_عیدی,ج_ح_تجمیعی[[#This Row],[Column1332]],حداکثر_عیدی)," ")</f>
        <v xml:space="preserve"> </v>
      </c>
      <c r="AJ18" s="96" t="str">
        <f>IF(COUNT(ج_ح_تجمیعی[[#This Row],[ردیف]]),(حداقل_حقوق_ماهانه_30_روزه+حق_مسکن+حق_خواربار)," ")</f>
        <v xml:space="preserve"> </v>
      </c>
      <c r="AK18" s="96" t="str">
        <f>IF(COUNT(ج_ح_تجمیعی[[#This Row],[ردیف]]),ج_ح_تجمیعی[[#This Row],[Column13]]*ج_ح_تجمیعی[[#This Row],[Column1334]]/ج_ح_تجمیعی[[#This Row],[Column132]]," ")</f>
        <v xml:space="preserve"> </v>
      </c>
    </row>
    <row r="19" spans="1:37" ht="32.1" customHeight="1">
      <c r="A19" s="96"/>
      <c r="B19" s="26" t="str">
        <f>IF(ج_ح_تجمیعی[[#This Row],[نام]]&lt;&gt;"",ROW()-7+1,"")</f>
        <v/>
      </c>
      <c r="C19" s="27"/>
      <c r="D19" s="27"/>
      <c r="E19"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19"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19"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19"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19"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19"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19"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19"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19"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19"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19"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19"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19" s="21" t="str">
        <f>IF(SUM(ج_ح_تجمیعی[[#This Row],[فروردین]:[اسفند]])&gt;0,SUM(ج_ح_تجمیعی[[#This Row],[فروردین]:[اسفند]]),"")</f>
        <v/>
      </c>
      <c r="R19"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19"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19"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19"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19"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19"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19"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19"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19"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19"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19"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19"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19" s="96">
        <f>SUM(ج_ح_تجمیعی[[#This Row],[Column1]:[Column12]])</f>
        <v>0</v>
      </c>
      <c r="AE19" s="96" t="str">
        <f>IF(ج_ح_تجمیعی[[#This Row],[Column13]]&lt;=0," ",365)</f>
        <v xml:space="preserve"> </v>
      </c>
      <c r="AF19" s="96" t="str">
        <f>IFERROR(معافیت_مالیاتی_ماهانه_حقوق*ج_ح_تجمیعی[[#This Row],[Column13]]/ج_ح_تجمیعی[[#This Row],[Column132]],"")</f>
        <v/>
      </c>
      <c r="AG19" s="96" t="str">
        <f>IF(COUNT(ج_ح_تجمیعی[[#This Row],[ردیف]]),(حداقل_حقوق_ماهانه_30_روزه)*2," ")</f>
        <v xml:space="preserve"> </v>
      </c>
      <c r="AH19" s="96" t="str">
        <f>IF(COUNT(ج_ح_تجمیعی[[#This Row],[ردیف]]),ج_ح_تجمیعی[[#This Row],[Column13]]*ج_ح_تجمیعی[[#This Row],[Column133]]/ج_ح_تجمیعی[[#This Row],[Column132]]," ")</f>
        <v xml:space="preserve"> </v>
      </c>
      <c r="AI19" s="96" t="str">
        <f>IF(COUNT(ج_ح_تجمیعی[[#This Row],[ردیف]]),IF(ج_ح_تجمیعی[[#This Row],[Column1332]]&lt;حداکثر_عیدی,ج_ح_تجمیعی[[#This Row],[Column1332]],حداکثر_عیدی)," ")</f>
        <v xml:space="preserve"> </v>
      </c>
      <c r="AJ19" s="96" t="str">
        <f>IF(COUNT(ج_ح_تجمیعی[[#This Row],[ردیف]]),(حداقل_حقوق_ماهانه_30_روزه+حق_مسکن+حق_خواربار)," ")</f>
        <v xml:space="preserve"> </v>
      </c>
      <c r="AK19" s="96" t="str">
        <f>IF(COUNT(ج_ح_تجمیعی[[#This Row],[ردیف]]),ج_ح_تجمیعی[[#This Row],[Column13]]*ج_ح_تجمیعی[[#This Row],[Column1334]]/ج_ح_تجمیعی[[#This Row],[Column132]]," ")</f>
        <v xml:space="preserve"> </v>
      </c>
    </row>
    <row r="20" spans="1:37" ht="32.1" customHeight="1">
      <c r="A20" s="96"/>
      <c r="B20" s="26" t="str">
        <f>IF(ج_ح_تجمیعی[[#This Row],[نام]]&lt;&gt;"",ROW()-7+1,"")</f>
        <v/>
      </c>
      <c r="C20" s="27"/>
      <c r="D20" s="27"/>
      <c r="E20"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20"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20"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20"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20"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20"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20"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20"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20"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20"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20"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20"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20" s="21" t="str">
        <f>IF(SUM(ج_ح_تجمیعی[[#This Row],[فروردین]:[اسفند]])&gt;0,SUM(ج_ح_تجمیعی[[#This Row],[فروردین]:[اسفند]]),"")</f>
        <v/>
      </c>
      <c r="R20"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20"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20"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20"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20"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20"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20"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20"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20"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20"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20"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20"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20" s="96">
        <f>SUM(ج_ح_تجمیعی[[#This Row],[Column1]:[Column12]])</f>
        <v>0</v>
      </c>
      <c r="AE20" s="96" t="str">
        <f>IF(ج_ح_تجمیعی[[#This Row],[Column13]]&lt;=0," ",365)</f>
        <v xml:space="preserve"> </v>
      </c>
      <c r="AF20" s="96" t="str">
        <f>IFERROR(معافیت_مالیاتی_ماهانه_حقوق*ج_ح_تجمیعی[[#This Row],[Column13]]/ج_ح_تجمیعی[[#This Row],[Column132]],"")</f>
        <v/>
      </c>
      <c r="AG20" s="96" t="str">
        <f>IF(COUNT(ج_ح_تجمیعی[[#This Row],[ردیف]]),(حداقل_حقوق_ماهانه_30_روزه)*2," ")</f>
        <v xml:space="preserve"> </v>
      </c>
      <c r="AH20" s="96" t="str">
        <f>IF(COUNT(ج_ح_تجمیعی[[#This Row],[ردیف]]),ج_ح_تجمیعی[[#This Row],[Column13]]*ج_ح_تجمیعی[[#This Row],[Column133]]/ج_ح_تجمیعی[[#This Row],[Column132]]," ")</f>
        <v xml:space="preserve"> </v>
      </c>
      <c r="AI20" s="96" t="str">
        <f>IF(COUNT(ج_ح_تجمیعی[[#This Row],[ردیف]]),IF(ج_ح_تجمیعی[[#This Row],[Column1332]]&lt;حداکثر_عیدی,ج_ح_تجمیعی[[#This Row],[Column1332]],حداکثر_عیدی)," ")</f>
        <v xml:space="preserve"> </v>
      </c>
      <c r="AJ20" s="96" t="str">
        <f>IF(COUNT(ج_ح_تجمیعی[[#This Row],[ردیف]]),(حداقل_حقوق_ماهانه_30_روزه+حق_مسکن+حق_خواربار)," ")</f>
        <v xml:space="preserve"> </v>
      </c>
      <c r="AK20" s="96" t="str">
        <f>IF(COUNT(ج_ح_تجمیعی[[#This Row],[ردیف]]),ج_ح_تجمیعی[[#This Row],[Column13]]*ج_ح_تجمیعی[[#This Row],[Column1334]]/ج_ح_تجمیعی[[#This Row],[Column132]]," ")</f>
        <v xml:space="preserve"> </v>
      </c>
    </row>
    <row r="21" spans="1:37" ht="32.1" customHeight="1">
      <c r="A21" s="96"/>
      <c r="B21" s="26" t="str">
        <f>IF(ج_ح_تجمیعی[[#This Row],[نام]]&lt;&gt;"",ROW()-7+1,"")</f>
        <v/>
      </c>
      <c r="C21" s="27"/>
      <c r="D21" s="27"/>
      <c r="E21"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21"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21"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21"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21"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21"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21"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21"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21"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21"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21"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21"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21" s="21" t="str">
        <f>IF(SUM(ج_ح_تجمیعی[[#This Row],[فروردین]:[اسفند]])&gt;0,SUM(ج_ح_تجمیعی[[#This Row],[فروردین]:[اسفند]]),"")</f>
        <v/>
      </c>
      <c r="R21"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21"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21"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21"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21"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21"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21"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21"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21"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21"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21"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21"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21" s="96">
        <f>SUM(ج_ح_تجمیعی[[#This Row],[Column1]:[Column12]])</f>
        <v>0</v>
      </c>
      <c r="AE21" s="96" t="str">
        <f>IF(ج_ح_تجمیعی[[#This Row],[Column13]]&lt;=0," ",365)</f>
        <v xml:space="preserve"> </v>
      </c>
      <c r="AF21" s="96" t="str">
        <f>IFERROR(معافیت_مالیاتی_ماهانه_حقوق*ج_ح_تجمیعی[[#This Row],[Column13]]/ج_ح_تجمیعی[[#This Row],[Column132]],"")</f>
        <v/>
      </c>
      <c r="AG21" s="96" t="str">
        <f>IF(COUNT(ج_ح_تجمیعی[[#This Row],[ردیف]]),(حداقل_حقوق_ماهانه_30_روزه)*2," ")</f>
        <v xml:space="preserve"> </v>
      </c>
      <c r="AH21" s="96" t="str">
        <f>IF(COUNT(ج_ح_تجمیعی[[#This Row],[ردیف]]),ج_ح_تجمیعی[[#This Row],[Column13]]*ج_ح_تجمیعی[[#This Row],[Column133]]/ج_ح_تجمیعی[[#This Row],[Column132]]," ")</f>
        <v xml:space="preserve"> </v>
      </c>
      <c r="AI21" s="96" t="str">
        <f>IF(COUNT(ج_ح_تجمیعی[[#This Row],[ردیف]]),IF(ج_ح_تجمیعی[[#This Row],[Column1332]]&lt;حداکثر_عیدی,ج_ح_تجمیعی[[#This Row],[Column1332]],حداکثر_عیدی)," ")</f>
        <v xml:space="preserve"> </v>
      </c>
      <c r="AJ21" s="96" t="str">
        <f>IF(COUNT(ج_ح_تجمیعی[[#This Row],[ردیف]]),(حداقل_حقوق_ماهانه_30_روزه+حق_مسکن+حق_خواربار)," ")</f>
        <v xml:space="preserve"> </v>
      </c>
      <c r="AK21" s="96" t="str">
        <f>IF(COUNT(ج_ح_تجمیعی[[#This Row],[ردیف]]),ج_ح_تجمیعی[[#This Row],[Column13]]*ج_ح_تجمیعی[[#This Row],[Column1334]]/ج_ح_تجمیعی[[#This Row],[Column132]]," ")</f>
        <v xml:space="preserve"> </v>
      </c>
    </row>
    <row r="22" spans="1:37" ht="32.1" customHeight="1">
      <c r="A22" s="96"/>
      <c r="B22" s="26" t="str">
        <f>IF(ج_ح_تجمیعی[[#This Row],[نام]]&lt;&gt;"",ROW()-7+1,"")</f>
        <v/>
      </c>
      <c r="C22" s="27"/>
      <c r="D22" s="27"/>
      <c r="E22"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22"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22"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22"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22"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22"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22"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22"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22"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22"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22"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22"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22" s="21" t="str">
        <f>IF(SUM(ج_ح_تجمیعی[[#This Row],[فروردین]:[اسفند]])&gt;0,SUM(ج_ح_تجمیعی[[#This Row],[فروردین]:[اسفند]]),"")</f>
        <v/>
      </c>
      <c r="R22"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22"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22"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22"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22"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22"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22"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22"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22"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22"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22"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22"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22" s="96">
        <f>SUM(ج_ح_تجمیعی[[#This Row],[Column1]:[Column12]])</f>
        <v>0</v>
      </c>
      <c r="AE22" s="96" t="str">
        <f>IF(ج_ح_تجمیعی[[#This Row],[Column13]]&lt;=0," ",365)</f>
        <v xml:space="preserve"> </v>
      </c>
      <c r="AF22" s="96" t="str">
        <f>IFERROR(معافیت_مالیاتی_ماهانه_حقوق*ج_ح_تجمیعی[[#This Row],[Column13]]/ج_ح_تجمیعی[[#This Row],[Column132]],"")</f>
        <v/>
      </c>
      <c r="AG22" s="96" t="str">
        <f>IF(COUNT(ج_ح_تجمیعی[[#This Row],[ردیف]]),(حداقل_حقوق_ماهانه_30_روزه)*2," ")</f>
        <v xml:space="preserve"> </v>
      </c>
      <c r="AH22" s="96" t="str">
        <f>IF(COUNT(ج_ح_تجمیعی[[#This Row],[ردیف]]),ج_ح_تجمیعی[[#This Row],[Column13]]*ج_ح_تجمیعی[[#This Row],[Column133]]/ج_ح_تجمیعی[[#This Row],[Column132]]," ")</f>
        <v xml:space="preserve"> </v>
      </c>
      <c r="AI22" s="96" t="str">
        <f>IF(COUNT(ج_ح_تجمیعی[[#This Row],[ردیف]]),IF(ج_ح_تجمیعی[[#This Row],[Column1332]]&lt;حداکثر_عیدی,ج_ح_تجمیعی[[#This Row],[Column1332]],حداکثر_عیدی)," ")</f>
        <v xml:space="preserve"> </v>
      </c>
      <c r="AJ22" s="96" t="str">
        <f>IF(COUNT(ج_ح_تجمیعی[[#This Row],[ردیف]]),(حداقل_حقوق_ماهانه_30_روزه+حق_مسکن+حق_خواربار)," ")</f>
        <v xml:space="preserve"> </v>
      </c>
      <c r="AK22" s="96" t="str">
        <f>IF(COUNT(ج_ح_تجمیعی[[#This Row],[ردیف]]),ج_ح_تجمیعی[[#This Row],[Column13]]*ج_ح_تجمیعی[[#This Row],[Column1334]]/ج_ح_تجمیعی[[#This Row],[Column132]]," ")</f>
        <v xml:space="preserve"> </v>
      </c>
    </row>
    <row r="23" spans="1:37" ht="32.1" customHeight="1">
      <c r="A23" s="96"/>
      <c r="B23" s="26" t="str">
        <f>IF(ج_ح_تجمیعی[[#This Row],[نام]]&lt;&gt;"",ROW()-7+1,"")</f>
        <v/>
      </c>
      <c r="C23" s="27"/>
      <c r="D23" s="27"/>
      <c r="E23"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23"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23"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23"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23"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23"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23"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23"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23"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23"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23"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23"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23" s="21" t="str">
        <f>IF(SUM(ج_ح_تجمیعی[[#This Row],[فروردین]:[اسفند]])&gt;0,SUM(ج_ح_تجمیعی[[#This Row],[فروردین]:[اسفند]]),"")</f>
        <v/>
      </c>
      <c r="R23"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23"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23"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23"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23"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23"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23"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23"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23"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23"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23"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23"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23" s="96">
        <f>SUM(ج_ح_تجمیعی[[#This Row],[Column1]:[Column12]])</f>
        <v>0</v>
      </c>
      <c r="AE23" s="96" t="str">
        <f>IF(ج_ح_تجمیعی[[#This Row],[Column13]]&lt;=0," ",365)</f>
        <v xml:space="preserve"> </v>
      </c>
      <c r="AF23" s="96" t="str">
        <f>IFERROR(معافیت_مالیاتی_ماهانه_حقوق*ج_ح_تجمیعی[[#This Row],[Column13]]/ج_ح_تجمیعی[[#This Row],[Column132]],"")</f>
        <v/>
      </c>
      <c r="AG23" s="96" t="str">
        <f>IF(COUNT(ج_ح_تجمیعی[[#This Row],[ردیف]]),(حداقل_حقوق_ماهانه_30_روزه)*2," ")</f>
        <v xml:space="preserve"> </v>
      </c>
      <c r="AH23" s="96" t="str">
        <f>IF(COUNT(ج_ح_تجمیعی[[#This Row],[ردیف]]),ج_ح_تجمیعی[[#This Row],[Column13]]*ج_ح_تجمیعی[[#This Row],[Column133]]/ج_ح_تجمیعی[[#This Row],[Column132]]," ")</f>
        <v xml:space="preserve"> </v>
      </c>
      <c r="AI23" s="96" t="str">
        <f>IF(COUNT(ج_ح_تجمیعی[[#This Row],[ردیف]]),IF(ج_ح_تجمیعی[[#This Row],[Column1332]]&lt;حداکثر_عیدی,ج_ح_تجمیعی[[#This Row],[Column1332]],حداکثر_عیدی)," ")</f>
        <v xml:space="preserve"> </v>
      </c>
      <c r="AJ23" s="96" t="str">
        <f>IF(COUNT(ج_ح_تجمیعی[[#This Row],[ردیف]]),(حداقل_حقوق_ماهانه_30_روزه+حق_مسکن+حق_خواربار)," ")</f>
        <v xml:space="preserve"> </v>
      </c>
      <c r="AK23" s="96" t="str">
        <f>IF(COUNT(ج_ح_تجمیعی[[#This Row],[ردیف]]),ج_ح_تجمیعی[[#This Row],[Column13]]*ج_ح_تجمیعی[[#This Row],[Column1334]]/ج_ح_تجمیعی[[#This Row],[Column132]]," ")</f>
        <v xml:space="preserve"> </v>
      </c>
    </row>
    <row r="24" spans="1:37" ht="32.1" customHeight="1">
      <c r="A24" s="96"/>
      <c r="B24" s="26" t="str">
        <f>IF(ج_ح_تجمیعی[[#This Row],[نام]]&lt;&gt;"",ROW()-7+1,"")</f>
        <v/>
      </c>
      <c r="C24" s="27"/>
      <c r="D24" s="27"/>
      <c r="E24"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24"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24"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24"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24"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24"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24"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24"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24"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24"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24"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24"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24" s="21" t="str">
        <f>IF(SUM(ج_ح_تجمیعی[[#This Row],[فروردین]:[اسفند]])&gt;0,SUM(ج_ح_تجمیعی[[#This Row],[فروردین]:[اسفند]]),"")</f>
        <v/>
      </c>
      <c r="R24"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24"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24"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24"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24"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24"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24"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24"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24"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24"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24"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24"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24" s="96">
        <f>SUM(ج_ح_تجمیعی[[#This Row],[Column1]:[Column12]])</f>
        <v>0</v>
      </c>
      <c r="AE24" s="96" t="str">
        <f>IF(ج_ح_تجمیعی[[#This Row],[Column13]]&lt;=0," ",365)</f>
        <v xml:space="preserve"> </v>
      </c>
      <c r="AF24" s="96" t="str">
        <f>IFERROR(معافیت_مالیاتی_ماهانه_حقوق*ج_ح_تجمیعی[[#This Row],[Column13]]/ج_ح_تجمیعی[[#This Row],[Column132]],"")</f>
        <v/>
      </c>
      <c r="AG24" s="96" t="str">
        <f>IF(COUNT(ج_ح_تجمیعی[[#This Row],[ردیف]]),(حداقل_حقوق_ماهانه_30_روزه)*2," ")</f>
        <v xml:space="preserve"> </v>
      </c>
      <c r="AH24" s="96" t="str">
        <f>IF(COUNT(ج_ح_تجمیعی[[#This Row],[ردیف]]),ج_ح_تجمیعی[[#This Row],[Column13]]*ج_ح_تجمیعی[[#This Row],[Column133]]/ج_ح_تجمیعی[[#This Row],[Column132]]," ")</f>
        <v xml:space="preserve"> </v>
      </c>
      <c r="AI24" s="96" t="str">
        <f>IF(COUNT(ج_ح_تجمیعی[[#This Row],[ردیف]]),IF(ج_ح_تجمیعی[[#This Row],[Column1332]]&lt;حداکثر_عیدی,ج_ح_تجمیعی[[#This Row],[Column1332]],حداکثر_عیدی)," ")</f>
        <v xml:space="preserve"> </v>
      </c>
      <c r="AJ24" s="96" t="str">
        <f>IF(COUNT(ج_ح_تجمیعی[[#This Row],[ردیف]]),(حداقل_حقوق_ماهانه_30_روزه+حق_مسکن+حق_خواربار)," ")</f>
        <v xml:space="preserve"> </v>
      </c>
      <c r="AK24" s="96" t="str">
        <f>IF(COUNT(ج_ح_تجمیعی[[#This Row],[ردیف]]),ج_ح_تجمیعی[[#This Row],[Column13]]*ج_ح_تجمیعی[[#This Row],[Column1334]]/ج_ح_تجمیعی[[#This Row],[Column132]]," ")</f>
        <v xml:space="preserve"> </v>
      </c>
    </row>
    <row r="25" spans="1:37" ht="32.1" customHeight="1">
      <c r="A25" s="96"/>
      <c r="B25" s="26" t="str">
        <f>IF(ج_ح_تجمیعی[[#This Row],[نام]]&lt;&gt;"",ROW()-7+1,"")</f>
        <v/>
      </c>
      <c r="C25" s="27"/>
      <c r="D25" s="27"/>
      <c r="E25"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25"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25"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25"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25"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25"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25"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25"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25"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25"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25"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25"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25" s="21" t="str">
        <f>IF(SUM(ج_ح_تجمیعی[[#This Row],[فروردین]:[اسفند]])&gt;0,SUM(ج_ح_تجمیعی[[#This Row],[فروردین]:[اسفند]]),"")</f>
        <v/>
      </c>
      <c r="R25"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25"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25"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25"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25"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25"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25"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25"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25"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25"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25"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25"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25" s="96">
        <f>SUM(ج_ح_تجمیعی[[#This Row],[Column1]:[Column12]])</f>
        <v>0</v>
      </c>
      <c r="AE25" s="96" t="str">
        <f>IF(ج_ح_تجمیعی[[#This Row],[Column13]]&lt;=0," ",365)</f>
        <v xml:space="preserve"> </v>
      </c>
      <c r="AF25" s="96" t="str">
        <f>IFERROR(معافیت_مالیاتی_ماهانه_حقوق*ج_ح_تجمیعی[[#This Row],[Column13]]/ج_ح_تجمیعی[[#This Row],[Column132]],"")</f>
        <v/>
      </c>
      <c r="AG25" s="96" t="str">
        <f>IF(COUNT(ج_ح_تجمیعی[[#This Row],[ردیف]]),(حداقل_حقوق_ماهانه_30_روزه)*2," ")</f>
        <v xml:space="preserve"> </v>
      </c>
      <c r="AH25" s="96" t="str">
        <f>IF(COUNT(ج_ح_تجمیعی[[#This Row],[ردیف]]),ج_ح_تجمیعی[[#This Row],[Column13]]*ج_ح_تجمیعی[[#This Row],[Column133]]/ج_ح_تجمیعی[[#This Row],[Column132]]," ")</f>
        <v xml:space="preserve"> </v>
      </c>
      <c r="AI25" s="96" t="str">
        <f>IF(COUNT(ج_ح_تجمیعی[[#This Row],[ردیف]]),IF(ج_ح_تجمیعی[[#This Row],[Column1332]]&lt;حداکثر_عیدی,ج_ح_تجمیعی[[#This Row],[Column1332]],حداکثر_عیدی)," ")</f>
        <v xml:space="preserve"> </v>
      </c>
      <c r="AJ25" s="96" t="str">
        <f>IF(COUNT(ج_ح_تجمیعی[[#This Row],[ردیف]]),(حداقل_حقوق_ماهانه_30_روزه+حق_مسکن+حق_خواربار)," ")</f>
        <v xml:space="preserve"> </v>
      </c>
      <c r="AK25" s="96" t="str">
        <f>IF(COUNT(ج_ح_تجمیعی[[#This Row],[ردیف]]),ج_ح_تجمیعی[[#This Row],[Column13]]*ج_ح_تجمیعی[[#This Row],[Column1334]]/ج_ح_تجمیعی[[#This Row],[Column132]]," ")</f>
        <v xml:space="preserve"> </v>
      </c>
    </row>
    <row r="26" spans="1:37" ht="32.1" customHeight="1">
      <c r="A26" s="96"/>
      <c r="B26" s="26" t="str">
        <f>IF(ج_ح_تجمیعی[[#This Row],[نام]]&lt;&gt;"",ROW()-7+1,"")</f>
        <v/>
      </c>
      <c r="C26" s="27"/>
      <c r="D26" s="27"/>
      <c r="E26"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26"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26"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26"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26"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26"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26"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26"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26"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26"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26"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26"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26" s="21" t="str">
        <f>IF(SUM(ج_ح_تجمیعی[[#This Row],[فروردین]:[اسفند]])&gt;0,SUM(ج_ح_تجمیعی[[#This Row],[فروردین]:[اسفند]]),"")</f>
        <v/>
      </c>
      <c r="R26"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26"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26"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26"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26"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26"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26"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26"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26"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26"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26"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26"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26" s="96">
        <f>SUM(ج_ح_تجمیعی[[#This Row],[Column1]:[Column12]])</f>
        <v>0</v>
      </c>
      <c r="AE26" s="96" t="str">
        <f>IF(ج_ح_تجمیعی[[#This Row],[Column13]]&lt;=0," ",365)</f>
        <v xml:space="preserve"> </v>
      </c>
      <c r="AF26" s="96" t="str">
        <f>IFERROR(معافیت_مالیاتی_ماهانه_حقوق*ج_ح_تجمیعی[[#This Row],[Column13]]/ج_ح_تجمیعی[[#This Row],[Column132]],"")</f>
        <v/>
      </c>
      <c r="AG26" s="96" t="str">
        <f>IF(COUNT(ج_ح_تجمیعی[[#This Row],[ردیف]]),(حداقل_حقوق_ماهانه_30_روزه)*2," ")</f>
        <v xml:space="preserve"> </v>
      </c>
      <c r="AH26" s="96" t="str">
        <f>IF(COUNT(ج_ح_تجمیعی[[#This Row],[ردیف]]),ج_ح_تجمیعی[[#This Row],[Column13]]*ج_ح_تجمیعی[[#This Row],[Column133]]/ج_ح_تجمیعی[[#This Row],[Column132]]," ")</f>
        <v xml:space="preserve"> </v>
      </c>
      <c r="AI26" s="96" t="str">
        <f>IF(COUNT(ج_ح_تجمیعی[[#This Row],[ردیف]]),IF(ج_ح_تجمیعی[[#This Row],[Column1332]]&lt;حداکثر_عیدی,ج_ح_تجمیعی[[#This Row],[Column1332]],حداکثر_عیدی)," ")</f>
        <v xml:space="preserve"> </v>
      </c>
      <c r="AJ26" s="96" t="str">
        <f>IF(COUNT(ج_ح_تجمیعی[[#This Row],[ردیف]]),(حداقل_حقوق_ماهانه_30_روزه+حق_مسکن+حق_خواربار)," ")</f>
        <v xml:space="preserve"> </v>
      </c>
      <c r="AK26" s="96" t="str">
        <f>IF(COUNT(ج_ح_تجمیعی[[#This Row],[ردیف]]),ج_ح_تجمیعی[[#This Row],[Column13]]*ج_ح_تجمیعی[[#This Row],[Column1334]]/ج_ح_تجمیعی[[#This Row],[Column132]]," ")</f>
        <v xml:space="preserve"> </v>
      </c>
    </row>
    <row r="27" spans="1:37" ht="32.1" customHeight="1">
      <c r="A27" s="96"/>
      <c r="B27" s="26" t="str">
        <f>IF(ج_ح_تجمیعی[[#This Row],[نام]]&lt;&gt;"",ROW()-7+1,"")</f>
        <v/>
      </c>
      <c r="C27" s="27"/>
      <c r="D27" s="27"/>
      <c r="E27"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27"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27"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27"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27"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27"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27"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27"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27"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27"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27"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27"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27" s="21" t="str">
        <f>IF(SUM(ج_ح_تجمیعی[[#This Row],[فروردین]:[اسفند]])&gt;0,SUM(ج_ح_تجمیعی[[#This Row],[فروردین]:[اسفند]]),"")</f>
        <v/>
      </c>
      <c r="R27"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27"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27"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27"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27"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27"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27"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27"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27"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27"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27"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27"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27" s="96">
        <f>SUM(ج_ح_تجمیعی[[#This Row],[Column1]:[Column12]])</f>
        <v>0</v>
      </c>
      <c r="AE27" s="96" t="str">
        <f>IF(ج_ح_تجمیعی[[#This Row],[Column13]]&lt;=0," ",365)</f>
        <v xml:space="preserve"> </v>
      </c>
      <c r="AF27" s="96" t="str">
        <f>IFERROR(معافیت_مالیاتی_ماهانه_حقوق*ج_ح_تجمیعی[[#This Row],[Column13]]/ج_ح_تجمیعی[[#This Row],[Column132]],"")</f>
        <v/>
      </c>
      <c r="AG27" s="96" t="str">
        <f>IF(COUNT(ج_ح_تجمیعی[[#This Row],[ردیف]]),(حداقل_حقوق_ماهانه_30_روزه)*2," ")</f>
        <v xml:space="preserve"> </v>
      </c>
      <c r="AH27" s="96" t="str">
        <f>IF(COUNT(ج_ح_تجمیعی[[#This Row],[ردیف]]),ج_ح_تجمیعی[[#This Row],[Column13]]*ج_ح_تجمیعی[[#This Row],[Column133]]/ج_ح_تجمیعی[[#This Row],[Column132]]," ")</f>
        <v xml:space="preserve"> </v>
      </c>
      <c r="AI27" s="96" t="str">
        <f>IF(COUNT(ج_ح_تجمیعی[[#This Row],[ردیف]]),IF(ج_ح_تجمیعی[[#This Row],[Column1332]]&lt;حداکثر_عیدی,ج_ح_تجمیعی[[#This Row],[Column1332]],حداکثر_عیدی)," ")</f>
        <v xml:space="preserve"> </v>
      </c>
      <c r="AJ27" s="96" t="str">
        <f>IF(COUNT(ج_ح_تجمیعی[[#This Row],[ردیف]]),(حداقل_حقوق_ماهانه_30_روزه+حق_مسکن+حق_خواربار)," ")</f>
        <v xml:space="preserve"> </v>
      </c>
      <c r="AK27" s="96" t="str">
        <f>IF(COUNT(ج_ح_تجمیعی[[#This Row],[ردیف]]),ج_ح_تجمیعی[[#This Row],[Column13]]*ج_ح_تجمیعی[[#This Row],[Column1334]]/ج_ح_تجمیعی[[#This Row],[Column132]]," ")</f>
        <v xml:space="preserve"> </v>
      </c>
    </row>
    <row r="28" spans="1:37" ht="32.1" customHeight="1">
      <c r="A28" s="96"/>
      <c r="B28" s="26" t="str">
        <f>IF(ج_ح_تجمیعی[[#This Row],[نام]]&lt;&gt;"",ROW()-7+1,"")</f>
        <v/>
      </c>
      <c r="C28" s="27"/>
      <c r="D28" s="27"/>
      <c r="E28"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28"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28"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28"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28"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28"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28"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28"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28"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28"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28"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28"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28" s="21" t="str">
        <f>IF(SUM(ج_ح_تجمیعی[[#This Row],[فروردین]:[اسفند]])&gt;0,SUM(ج_ح_تجمیعی[[#This Row],[فروردین]:[اسفند]]),"")</f>
        <v/>
      </c>
      <c r="R28"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28"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28"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28"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28"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28"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28"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28"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28"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28"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28"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28"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28" s="96">
        <f>SUM(ج_ح_تجمیعی[[#This Row],[Column1]:[Column12]])</f>
        <v>0</v>
      </c>
      <c r="AE28" s="96" t="str">
        <f>IF(ج_ح_تجمیعی[[#This Row],[Column13]]&lt;=0," ",365)</f>
        <v xml:space="preserve"> </v>
      </c>
      <c r="AF28" s="96" t="str">
        <f>IFERROR(معافیت_مالیاتی_ماهانه_حقوق*ج_ح_تجمیعی[[#This Row],[Column13]]/ج_ح_تجمیعی[[#This Row],[Column132]],"")</f>
        <v/>
      </c>
      <c r="AG28" s="96" t="str">
        <f>IF(COUNT(ج_ح_تجمیعی[[#This Row],[ردیف]]),(حداقل_حقوق_ماهانه_30_روزه)*2," ")</f>
        <v xml:space="preserve"> </v>
      </c>
      <c r="AH28" s="96" t="str">
        <f>IF(COUNT(ج_ح_تجمیعی[[#This Row],[ردیف]]),ج_ح_تجمیعی[[#This Row],[Column13]]*ج_ح_تجمیعی[[#This Row],[Column133]]/ج_ح_تجمیعی[[#This Row],[Column132]]," ")</f>
        <v xml:space="preserve"> </v>
      </c>
      <c r="AI28" s="96" t="str">
        <f>IF(COUNT(ج_ح_تجمیعی[[#This Row],[ردیف]]),IF(ج_ح_تجمیعی[[#This Row],[Column1332]]&lt;حداکثر_عیدی,ج_ح_تجمیعی[[#This Row],[Column1332]],حداکثر_عیدی)," ")</f>
        <v xml:space="preserve"> </v>
      </c>
      <c r="AJ28" s="96" t="str">
        <f>IF(COUNT(ج_ح_تجمیعی[[#This Row],[ردیف]]),(حداقل_حقوق_ماهانه_30_روزه+حق_مسکن+حق_خواربار)," ")</f>
        <v xml:space="preserve"> </v>
      </c>
      <c r="AK28" s="96" t="str">
        <f>IF(COUNT(ج_ح_تجمیعی[[#This Row],[ردیف]]),ج_ح_تجمیعی[[#This Row],[Column13]]*ج_ح_تجمیعی[[#This Row],[Column1334]]/ج_ح_تجمیعی[[#This Row],[Column132]]," ")</f>
        <v xml:space="preserve"> </v>
      </c>
    </row>
    <row r="29" spans="1:37" ht="32.1" customHeight="1">
      <c r="A29" s="96"/>
      <c r="B29" s="26" t="str">
        <f>IF(ج_ح_تجمیعی[[#This Row],[نام]]&lt;&gt;"",ROW()-7+1,"")</f>
        <v/>
      </c>
      <c r="C29" s="27"/>
      <c r="D29" s="27"/>
      <c r="E29"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29"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29"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29"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29"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29"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29"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29"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29"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29"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29"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29"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29" s="21" t="str">
        <f>IF(SUM(ج_ح_تجمیعی[[#This Row],[فروردین]:[اسفند]])&gt;0,SUM(ج_ح_تجمیعی[[#This Row],[فروردین]:[اسفند]]),"")</f>
        <v/>
      </c>
      <c r="R29"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29"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29"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29"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29"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29"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29"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29"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29"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29"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29"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29"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29" s="96">
        <f>SUM(ج_ح_تجمیعی[[#This Row],[Column1]:[Column12]])</f>
        <v>0</v>
      </c>
      <c r="AE29" s="96" t="str">
        <f>IF(ج_ح_تجمیعی[[#This Row],[Column13]]&lt;=0," ",365)</f>
        <v xml:space="preserve"> </v>
      </c>
      <c r="AF29" s="96" t="str">
        <f>IFERROR(معافیت_مالیاتی_ماهانه_حقوق*ج_ح_تجمیعی[[#This Row],[Column13]]/ج_ح_تجمیعی[[#This Row],[Column132]],"")</f>
        <v/>
      </c>
      <c r="AG29" s="96" t="str">
        <f>IF(COUNT(ج_ح_تجمیعی[[#This Row],[ردیف]]),(حداقل_حقوق_ماهانه_30_روزه)*2," ")</f>
        <v xml:space="preserve"> </v>
      </c>
      <c r="AH29" s="96" t="str">
        <f>IF(COUNT(ج_ح_تجمیعی[[#This Row],[ردیف]]),ج_ح_تجمیعی[[#This Row],[Column13]]*ج_ح_تجمیعی[[#This Row],[Column133]]/ج_ح_تجمیعی[[#This Row],[Column132]]," ")</f>
        <v xml:space="preserve"> </v>
      </c>
      <c r="AI29" s="96" t="str">
        <f>IF(COUNT(ج_ح_تجمیعی[[#This Row],[ردیف]]),IF(ج_ح_تجمیعی[[#This Row],[Column1332]]&lt;حداکثر_عیدی,ج_ح_تجمیعی[[#This Row],[Column1332]],حداکثر_عیدی)," ")</f>
        <v xml:space="preserve"> </v>
      </c>
      <c r="AJ29" s="96" t="str">
        <f>IF(COUNT(ج_ح_تجمیعی[[#This Row],[ردیف]]),(حداقل_حقوق_ماهانه_30_روزه+حق_مسکن+حق_خواربار)," ")</f>
        <v xml:space="preserve"> </v>
      </c>
      <c r="AK29" s="96" t="str">
        <f>IF(COUNT(ج_ح_تجمیعی[[#This Row],[ردیف]]),ج_ح_تجمیعی[[#This Row],[Column13]]*ج_ح_تجمیعی[[#This Row],[Column1334]]/ج_ح_تجمیعی[[#This Row],[Column132]]," ")</f>
        <v xml:space="preserve"> </v>
      </c>
    </row>
    <row r="30" spans="1:37" ht="32.1" customHeight="1">
      <c r="A30" s="96"/>
      <c r="B30" s="26" t="str">
        <f>IF(ج_ح_تجمیعی[[#This Row],[نام]]&lt;&gt;"",ROW()-7+1,"")</f>
        <v/>
      </c>
      <c r="C30" s="27"/>
      <c r="D30" s="27"/>
      <c r="E30"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30"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30"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30"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30"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30"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30"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30"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30"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30"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30"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30"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30" s="21" t="str">
        <f>IF(SUM(ج_ح_تجمیعی[[#This Row],[فروردین]:[اسفند]])&gt;0,SUM(ج_ح_تجمیعی[[#This Row],[فروردین]:[اسفند]]),"")</f>
        <v/>
      </c>
      <c r="R30"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30"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30"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30"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30"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30"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30"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30"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30"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30"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30"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30"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30" s="96">
        <f>SUM(ج_ح_تجمیعی[[#This Row],[Column1]:[Column12]])</f>
        <v>0</v>
      </c>
      <c r="AE30" s="96" t="str">
        <f>IF(ج_ح_تجمیعی[[#This Row],[Column13]]&lt;=0," ",365)</f>
        <v xml:space="preserve"> </v>
      </c>
      <c r="AF30" s="96" t="str">
        <f>IFERROR(معافیت_مالیاتی_ماهانه_حقوق*ج_ح_تجمیعی[[#This Row],[Column13]]/ج_ح_تجمیعی[[#This Row],[Column132]],"")</f>
        <v/>
      </c>
      <c r="AG30" s="96" t="str">
        <f>IF(COUNT(ج_ح_تجمیعی[[#This Row],[ردیف]]),(حداقل_حقوق_ماهانه_30_روزه)*2," ")</f>
        <v xml:space="preserve"> </v>
      </c>
      <c r="AH30" s="96" t="str">
        <f>IF(COUNT(ج_ح_تجمیعی[[#This Row],[ردیف]]),ج_ح_تجمیعی[[#This Row],[Column13]]*ج_ح_تجمیعی[[#This Row],[Column133]]/ج_ح_تجمیعی[[#This Row],[Column132]]," ")</f>
        <v xml:space="preserve"> </v>
      </c>
      <c r="AI30" s="96" t="str">
        <f>IF(COUNT(ج_ح_تجمیعی[[#This Row],[ردیف]]),IF(ج_ح_تجمیعی[[#This Row],[Column1332]]&lt;حداکثر_عیدی,ج_ح_تجمیعی[[#This Row],[Column1332]],حداکثر_عیدی)," ")</f>
        <v xml:space="preserve"> </v>
      </c>
      <c r="AJ30" s="96" t="str">
        <f>IF(COUNT(ج_ح_تجمیعی[[#This Row],[ردیف]]),(حداقل_حقوق_ماهانه_30_روزه+حق_مسکن+حق_خواربار)," ")</f>
        <v xml:space="preserve"> </v>
      </c>
      <c r="AK30" s="96" t="str">
        <f>IF(COUNT(ج_ح_تجمیعی[[#This Row],[ردیف]]),ج_ح_تجمیعی[[#This Row],[Column13]]*ج_ح_تجمیعی[[#This Row],[Column1334]]/ج_ح_تجمیعی[[#This Row],[Column132]]," ")</f>
        <v xml:space="preserve"> </v>
      </c>
    </row>
    <row r="31" spans="1:37" ht="32.1" customHeight="1">
      <c r="A31" s="96"/>
      <c r="B31" s="26" t="str">
        <f>IF(ج_ح_تجمیعی[[#This Row],[نام]]&lt;&gt;"",ROW()-7+1,"")</f>
        <v/>
      </c>
      <c r="C31" s="27"/>
      <c r="D31" s="27"/>
      <c r="E31"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31"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31"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31"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31"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31"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31"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31"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31"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31"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31"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31"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31" s="21" t="str">
        <f>IF(SUM(ج_ح_تجمیعی[[#This Row],[فروردین]:[اسفند]])&gt;0,SUM(ج_ح_تجمیعی[[#This Row],[فروردین]:[اسفند]]),"")</f>
        <v/>
      </c>
      <c r="R31"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31"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31"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31"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31"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31"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31"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31"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31"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31"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31"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31"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31" s="96">
        <f>SUM(ج_ح_تجمیعی[[#This Row],[Column1]:[Column12]])</f>
        <v>0</v>
      </c>
      <c r="AE31" s="96" t="str">
        <f>IF(ج_ح_تجمیعی[[#This Row],[Column13]]&lt;=0," ",365)</f>
        <v xml:space="preserve"> </v>
      </c>
      <c r="AF31" s="96" t="str">
        <f>IFERROR(معافیت_مالیاتی_ماهانه_حقوق*ج_ح_تجمیعی[[#This Row],[Column13]]/ج_ح_تجمیعی[[#This Row],[Column132]],"")</f>
        <v/>
      </c>
      <c r="AG31" s="96" t="str">
        <f>IF(COUNT(ج_ح_تجمیعی[[#This Row],[ردیف]]),(حداقل_حقوق_ماهانه_30_روزه)*2," ")</f>
        <v xml:space="preserve"> </v>
      </c>
      <c r="AH31" s="96" t="str">
        <f>IF(COUNT(ج_ح_تجمیعی[[#This Row],[ردیف]]),ج_ح_تجمیعی[[#This Row],[Column13]]*ج_ح_تجمیعی[[#This Row],[Column133]]/ج_ح_تجمیعی[[#This Row],[Column132]]," ")</f>
        <v xml:space="preserve"> </v>
      </c>
      <c r="AI31" s="96" t="str">
        <f>IF(COUNT(ج_ح_تجمیعی[[#This Row],[ردیف]]),IF(ج_ح_تجمیعی[[#This Row],[Column1332]]&lt;حداکثر_عیدی,ج_ح_تجمیعی[[#This Row],[Column1332]],حداکثر_عیدی)," ")</f>
        <v xml:space="preserve"> </v>
      </c>
      <c r="AJ31" s="96" t="str">
        <f>IF(COUNT(ج_ح_تجمیعی[[#This Row],[ردیف]]),(حداقل_حقوق_ماهانه_30_روزه+حق_مسکن+حق_خواربار)," ")</f>
        <v xml:space="preserve"> </v>
      </c>
      <c r="AK31" s="96" t="str">
        <f>IF(COUNT(ج_ح_تجمیعی[[#This Row],[ردیف]]),ج_ح_تجمیعی[[#This Row],[Column13]]*ج_ح_تجمیعی[[#This Row],[Column1334]]/ج_ح_تجمیعی[[#This Row],[Column132]]," ")</f>
        <v xml:space="preserve"> </v>
      </c>
    </row>
    <row r="32" spans="1:37" ht="32.1" customHeight="1">
      <c r="A32" s="96"/>
      <c r="B32" s="26" t="str">
        <f>IF(ج_ح_تجمیعی[[#This Row],[نام]]&lt;&gt;"",ROW()-7+1,"")</f>
        <v/>
      </c>
      <c r="C32" s="27"/>
      <c r="D32" s="27"/>
      <c r="E32"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32"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32"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32"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32"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32"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32"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32"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32"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32"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32"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32"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32" s="21" t="str">
        <f>IF(SUM(ج_ح_تجمیعی[[#This Row],[فروردین]:[اسفند]])&gt;0,SUM(ج_ح_تجمیعی[[#This Row],[فروردین]:[اسفند]]),"")</f>
        <v/>
      </c>
      <c r="R32"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32"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32"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32"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32"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32"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32"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32"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32"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32"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32"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32"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32" s="96">
        <f>SUM(ج_ح_تجمیعی[[#This Row],[Column1]:[Column12]])</f>
        <v>0</v>
      </c>
      <c r="AE32" s="96" t="str">
        <f>IF(ج_ح_تجمیعی[[#This Row],[Column13]]&lt;=0," ",365)</f>
        <v xml:space="preserve"> </v>
      </c>
      <c r="AF32" s="96" t="str">
        <f>IFERROR(معافیت_مالیاتی_ماهانه_حقوق*ج_ح_تجمیعی[[#This Row],[Column13]]/ج_ح_تجمیعی[[#This Row],[Column132]],"")</f>
        <v/>
      </c>
      <c r="AG32" s="96" t="str">
        <f>IF(COUNT(ج_ح_تجمیعی[[#This Row],[ردیف]]),(حداقل_حقوق_ماهانه_30_روزه)*2," ")</f>
        <v xml:space="preserve"> </v>
      </c>
      <c r="AH32" s="96" t="str">
        <f>IF(COUNT(ج_ح_تجمیعی[[#This Row],[ردیف]]),ج_ح_تجمیعی[[#This Row],[Column13]]*ج_ح_تجمیعی[[#This Row],[Column133]]/ج_ح_تجمیعی[[#This Row],[Column132]]," ")</f>
        <v xml:space="preserve"> </v>
      </c>
      <c r="AI32" s="96" t="str">
        <f>IF(COUNT(ج_ح_تجمیعی[[#This Row],[ردیف]]),IF(ج_ح_تجمیعی[[#This Row],[Column1332]]&lt;حداکثر_عیدی,ج_ح_تجمیعی[[#This Row],[Column1332]],حداکثر_عیدی)," ")</f>
        <v xml:space="preserve"> </v>
      </c>
      <c r="AJ32" s="96" t="str">
        <f>IF(COUNT(ج_ح_تجمیعی[[#This Row],[ردیف]]),(حداقل_حقوق_ماهانه_30_روزه+حق_مسکن+حق_خواربار)," ")</f>
        <v xml:space="preserve"> </v>
      </c>
      <c r="AK32" s="96" t="str">
        <f>IF(COUNT(ج_ح_تجمیعی[[#This Row],[ردیف]]),ج_ح_تجمیعی[[#This Row],[Column13]]*ج_ح_تجمیعی[[#This Row],[Column1334]]/ج_ح_تجمیعی[[#This Row],[Column132]]," ")</f>
        <v xml:space="preserve"> </v>
      </c>
    </row>
    <row r="33" spans="1:37" ht="32.1" customHeight="1">
      <c r="A33" s="96"/>
      <c r="B33" s="26" t="str">
        <f>IF(ج_ح_تجمیعی[[#This Row],[نام]]&lt;&gt;"",ROW()-7+1,"")</f>
        <v/>
      </c>
      <c r="C33" s="27"/>
      <c r="D33" s="27"/>
      <c r="E33"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33"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33"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33"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33"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33"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33"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33"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33"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33"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33"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33"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33" s="21" t="str">
        <f>IF(SUM(ج_ح_تجمیعی[[#This Row],[فروردین]:[اسفند]])&gt;0,SUM(ج_ح_تجمیعی[[#This Row],[فروردین]:[اسفند]]),"")</f>
        <v/>
      </c>
      <c r="R33"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33"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33"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33"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33"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33"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33"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33"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33"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33"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33"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33"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33" s="96">
        <f>SUM(ج_ح_تجمیعی[[#This Row],[Column1]:[Column12]])</f>
        <v>0</v>
      </c>
      <c r="AE33" s="96" t="str">
        <f>IF(ج_ح_تجمیعی[[#This Row],[Column13]]&lt;=0," ",365)</f>
        <v xml:space="preserve"> </v>
      </c>
      <c r="AF33" s="96" t="str">
        <f>IFERROR(معافیت_مالیاتی_ماهانه_حقوق*ج_ح_تجمیعی[[#This Row],[Column13]]/ج_ح_تجمیعی[[#This Row],[Column132]],"")</f>
        <v/>
      </c>
      <c r="AG33" s="96" t="str">
        <f>IF(COUNT(ج_ح_تجمیعی[[#This Row],[ردیف]]),(حداقل_حقوق_ماهانه_30_روزه)*2," ")</f>
        <v xml:space="preserve"> </v>
      </c>
      <c r="AH33" s="96" t="str">
        <f>IF(COUNT(ج_ح_تجمیعی[[#This Row],[ردیف]]),ج_ح_تجمیعی[[#This Row],[Column13]]*ج_ح_تجمیعی[[#This Row],[Column133]]/ج_ح_تجمیعی[[#This Row],[Column132]]," ")</f>
        <v xml:space="preserve"> </v>
      </c>
      <c r="AI33" s="96" t="str">
        <f>IF(COUNT(ج_ح_تجمیعی[[#This Row],[ردیف]]),IF(ج_ح_تجمیعی[[#This Row],[Column1332]]&lt;حداکثر_عیدی,ج_ح_تجمیعی[[#This Row],[Column1332]],حداکثر_عیدی)," ")</f>
        <v xml:space="preserve"> </v>
      </c>
      <c r="AJ33" s="96" t="str">
        <f>IF(COUNT(ج_ح_تجمیعی[[#This Row],[ردیف]]),(حداقل_حقوق_ماهانه_30_روزه+حق_مسکن+حق_خواربار)," ")</f>
        <v xml:space="preserve"> </v>
      </c>
      <c r="AK33" s="96" t="str">
        <f>IF(COUNT(ج_ح_تجمیعی[[#This Row],[ردیف]]),ج_ح_تجمیعی[[#This Row],[Column13]]*ج_ح_تجمیعی[[#This Row],[Column1334]]/ج_ح_تجمیعی[[#This Row],[Column132]]," ")</f>
        <v xml:space="preserve"> </v>
      </c>
    </row>
    <row r="34" spans="1:37" ht="32.1" customHeight="1">
      <c r="A34" s="96"/>
      <c r="B34" s="26" t="str">
        <f>IF(ج_ح_تجمیعی[[#This Row],[نام]]&lt;&gt;"",ROW()-7+1,"")</f>
        <v/>
      </c>
      <c r="C34" s="27"/>
      <c r="D34" s="27"/>
      <c r="E34"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34"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34"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34"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34"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34"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34"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34"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34"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34"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34"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34"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34" s="21" t="str">
        <f>IF(SUM(ج_ح_تجمیعی[[#This Row],[فروردین]:[اسفند]])&gt;0,SUM(ج_ح_تجمیعی[[#This Row],[فروردین]:[اسفند]]),"")</f>
        <v/>
      </c>
      <c r="R34"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34"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34"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34"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34"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34"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34"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34"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34"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34"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34"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34"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34" s="96">
        <f>SUM(ج_ح_تجمیعی[[#This Row],[Column1]:[Column12]])</f>
        <v>0</v>
      </c>
      <c r="AE34" s="96" t="str">
        <f>IF(ج_ح_تجمیعی[[#This Row],[Column13]]&lt;=0," ",365)</f>
        <v xml:space="preserve"> </v>
      </c>
      <c r="AF34" s="96" t="str">
        <f>IFERROR(معافیت_مالیاتی_ماهانه_حقوق*ج_ح_تجمیعی[[#This Row],[Column13]]/ج_ح_تجمیعی[[#This Row],[Column132]],"")</f>
        <v/>
      </c>
      <c r="AG34" s="96" t="str">
        <f>IF(COUNT(ج_ح_تجمیعی[[#This Row],[ردیف]]),(حداقل_حقوق_ماهانه_30_روزه)*2," ")</f>
        <v xml:space="preserve"> </v>
      </c>
      <c r="AH34" s="96" t="str">
        <f>IF(COUNT(ج_ح_تجمیعی[[#This Row],[ردیف]]),ج_ح_تجمیعی[[#This Row],[Column13]]*ج_ح_تجمیعی[[#This Row],[Column133]]/ج_ح_تجمیعی[[#This Row],[Column132]]," ")</f>
        <v xml:space="preserve"> </v>
      </c>
      <c r="AI34" s="96" t="str">
        <f>IF(COUNT(ج_ح_تجمیعی[[#This Row],[ردیف]]),IF(ج_ح_تجمیعی[[#This Row],[Column1332]]&lt;حداکثر_عیدی,ج_ح_تجمیعی[[#This Row],[Column1332]],حداکثر_عیدی)," ")</f>
        <v xml:space="preserve"> </v>
      </c>
      <c r="AJ34" s="96" t="str">
        <f>IF(COUNT(ج_ح_تجمیعی[[#This Row],[ردیف]]),(حداقل_حقوق_ماهانه_30_روزه+حق_مسکن+حق_خواربار)," ")</f>
        <v xml:space="preserve"> </v>
      </c>
      <c r="AK34" s="96" t="str">
        <f>IF(COUNT(ج_ح_تجمیعی[[#This Row],[ردیف]]),ج_ح_تجمیعی[[#This Row],[Column13]]*ج_ح_تجمیعی[[#This Row],[Column1334]]/ج_ح_تجمیعی[[#This Row],[Column132]]," ")</f>
        <v xml:space="preserve"> </v>
      </c>
    </row>
    <row r="35" spans="1:37" ht="32.1" customHeight="1">
      <c r="A35" s="96"/>
      <c r="B35" s="26" t="str">
        <f>IF(ج_ح_تجمیعی[[#This Row],[نام]]&lt;&gt;"",ROW()-7+1,"")</f>
        <v/>
      </c>
      <c r="C35" s="27"/>
      <c r="D35" s="27"/>
      <c r="E35"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35"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35"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35"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35"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35"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35"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35"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35"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35"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35"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35"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35" s="21" t="str">
        <f>IF(SUM(ج_ح_تجمیعی[[#This Row],[فروردین]:[اسفند]])&gt;0,SUM(ج_ح_تجمیعی[[#This Row],[فروردین]:[اسفند]]),"")</f>
        <v/>
      </c>
      <c r="R35"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35"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35"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35"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35"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35"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35"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35"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35"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35"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35"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35"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35" s="96">
        <f>SUM(ج_ح_تجمیعی[[#This Row],[Column1]:[Column12]])</f>
        <v>0</v>
      </c>
      <c r="AE35" s="96" t="str">
        <f>IF(ج_ح_تجمیعی[[#This Row],[Column13]]&lt;=0," ",365)</f>
        <v xml:space="preserve"> </v>
      </c>
      <c r="AF35" s="96" t="str">
        <f>IFERROR(معافیت_مالیاتی_ماهانه_حقوق*ج_ح_تجمیعی[[#This Row],[Column13]]/ج_ح_تجمیعی[[#This Row],[Column132]],"")</f>
        <v/>
      </c>
      <c r="AG35" s="96" t="str">
        <f>IF(COUNT(ج_ح_تجمیعی[[#This Row],[ردیف]]),(حداقل_حقوق_ماهانه_30_روزه)*2," ")</f>
        <v xml:space="preserve"> </v>
      </c>
      <c r="AH35" s="96" t="str">
        <f>IF(COUNT(ج_ح_تجمیعی[[#This Row],[ردیف]]),ج_ح_تجمیعی[[#This Row],[Column13]]*ج_ح_تجمیعی[[#This Row],[Column133]]/ج_ح_تجمیعی[[#This Row],[Column132]]," ")</f>
        <v xml:space="preserve"> </v>
      </c>
      <c r="AI35" s="96" t="str">
        <f>IF(COUNT(ج_ح_تجمیعی[[#This Row],[ردیف]]),IF(ج_ح_تجمیعی[[#This Row],[Column1332]]&lt;حداکثر_عیدی,ج_ح_تجمیعی[[#This Row],[Column1332]],حداکثر_عیدی)," ")</f>
        <v xml:space="preserve"> </v>
      </c>
      <c r="AJ35" s="96" t="str">
        <f>IF(COUNT(ج_ح_تجمیعی[[#This Row],[ردیف]]),(حداقل_حقوق_ماهانه_30_روزه+حق_مسکن+حق_خواربار)," ")</f>
        <v xml:space="preserve"> </v>
      </c>
      <c r="AK35" s="96" t="str">
        <f>IF(COUNT(ج_ح_تجمیعی[[#This Row],[ردیف]]),ج_ح_تجمیعی[[#This Row],[Column13]]*ج_ح_تجمیعی[[#This Row],[Column1334]]/ج_ح_تجمیعی[[#This Row],[Column132]]," ")</f>
        <v xml:space="preserve"> </v>
      </c>
    </row>
    <row r="36" spans="1:37" ht="32.1" customHeight="1">
      <c r="A36" s="96"/>
      <c r="B36" s="26" t="str">
        <f>IF(ج_ح_تجمیعی[[#This Row],[نام]]&lt;&gt;"",ROW()-7+1,"")</f>
        <v/>
      </c>
      <c r="C36" s="27"/>
      <c r="D36" s="27"/>
      <c r="E36" s="21" t="str">
        <f>IF(SUMIFS('جداول حقوق و دستمزد'!O:O,'جداول حقوق و دستمزد'!D:D,ج_ح_تجمیعی[[#This Row],[نام]],'جداول حقوق و دستمزد'!E:E,ج_ح_تجمیعی[[#This Row],[نام خانوادگی]],'جداول حقوق و دستمزد'!B:B,1)&gt;0,SUMIFS('جداول حقوق و دستمزد'!O:O,'جداول حقوق و دستمزد'!D:D,ج_ح_تجمیعی[[#This Row],[نام]],'جداول حقوق و دستمزد'!E:E,ج_ح_تجمیعی[[#This Row],[نام خانوادگی]],'جداول حقوق و دستمزد'!B:B,1),"")</f>
        <v/>
      </c>
      <c r="F36" s="21" t="str">
        <f>IF(SUMIFS('جداول حقوق و دستمزد'!O:O,'جداول حقوق و دستمزد'!D:D,ج_ح_تجمیعی[[#This Row],[نام]],'جداول حقوق و دستمزد'!E:E,ج_ح_تجمیعی[[#This Row],[نام خانوادگی]],'جداول حقوق و دستمزد'!B:B,2)&gt;0,SUMIFS('جداول حقوق و دستمزد'!O:O,'جداول حقوق و دستمزد'!D:D,ج_ح_تجمیعی[[#This Row],[نام]],'جداول حقوق و دستمزد'!E:E,ج_ح_تجمیعی[[#This Row],[نام خانوادگی]],'جداول حقوق و دستمزد'!B:B,2),"")</f>
        <v/>
      </c>
      <c r="G36" s="21" t="str">
        <f>IF(SUMIFS('جداول حقوق و دستمزد'!O:O,'جداول حقوق و دستمزد'!D:D,ج_ح_تجمیعی[[#This Row],[نام]],'جداول حقوق و دستمزد'!E:E,ج_ح_تجمیعی[[#This Row],[نام خانوادگی]],'جداول حقوق و دستمزد'!B:B,3)&gt;0,SUMIFS('جداول حقوق و دستمزد'!O:O,'جداول حقوق و دستمزد'!D:D,ج_ح_تجمیعی[[#This Row],[نام]],'جداول حقوق و دستمزد'!E:E,ج_ح_تجمیعی[[#This Row],[نام خانوادگی]],'جداول حقوق و دستمزد'!B:B,3),"")</f>
        <v/>
      </c>
      <c r="H36" s="21" t="str">
        <f>IF(SUMIFS('جداول حقوق و دستمزد'!O:O,'جداول حقوق و دستمزد'!D:D,ج_ح_تجمیعی[[#This Row],[نام]],'جداول حقوق و دستمزد'!E:E,ج_ح_تجمیعی[[#This Row],[نام خانوادگی]],'جداول حقوق و دستمزد'!B:B,4)&gt;0,SUMIFS('جداول حقوق و دستمزد'!O:O,'جداول حقوق و دستمزد'!D:D,ج_ح_تجمیعی[[#This Row],[نام]],'جداول حقوق و دستمزد'!E:E,ج_ح_تجمیعی[[#This Row],[نام خانوادگی]],'جداول حقوق و دستمزد'!B:B,4),"")</f>
        <v/>
      </c>
      <c r="I36" s="21" t="str">
        <f>IF(SUMIFS('جداول حقوق و دستمزد'!O:O,'جداول حقوق و دستمزد'!D:D,ج_ح_تجمیعی[[#This Row],[نام]],'جداول حقوق و دستمزد'!E:E,ج_ح_تجمیعی[[#This Row],[نام خانوادگی]],'جداول حقوق و دستمزد'!B:B,5)&gt;0,SUMIFS('جداول حقوق و دستمزد'!O:O,'جداول حقوق و دستمزد'!D:D,ج_ح_تجمیعی[[#This Row],[نام]],'جداول حقوق و دستمزد'!E:E,ج_ح_تجمیعی[[#This Row],[نام خانوادگی]],'جداول حقوق و دستمزد'!B:B,5),"")</f>
        <v/>
      </c>
      <c r="J36" s="21" t="str">
        <f>IF(SUMIFS('جداول حقوق و دستمزد'!O:O,'جداول حقوق و دستمزد'!D:D,ج_ح_تجمیعی[[#This Row],[نام]],'جداول حقوق و دستمزد'!E:E,ج_ح_تجمیعی[[#This Row],[نام خانوادگی]],'جداول حقوق و دستمزد'!B:B,6)&gt;0,SUMIFS('جداول حقوق و دستمزد'!O:O,'جداول حقوق و دستمزد'!D:D,ج_ح_تجمیعی[[#This Row],[نام]],'جداول حقوق و دستمزد'!E:E,ج_ح_تجمیعی[[#This Row],[نام خانوادگی]],'جداول حقوق و دستمزد'!B:B,6),"")</f>
        <v/>
      </c>
      <c r="K36" s="21" t="str">
        <f>IF(SUMIFS('جداول حقوق و دستمزد'!O:O,'جداول حقوق و دستمزد'!D:D,ج_ح_تجمیعی[[#This Row],[نام]],'جداول حقوق و دستمزد'!E:E,ج_ح_تجمیعی[[#This Row],[نام خانوادگی]],'جداول حقوق و دستمزد'!B:B,7)&gt;0,SUMIFS('جداول حقوق و دستمزد'!O:O,'جداول حقوق و دستمزد'!D:D,ج_ح_تجمیعی[[#This Row],[نام]],'جداول حقوق و دستمزد'!E:E,ج_ح_تجمیعی[[#This Row],[نام خانوادگی]],'جداول حقوق و دستمزد'!B:B,7),"")</f>
        <v/>
      </c>
      <c r="L36" s="21" t="str">
        <f>IF(SUMIFS('جداول حقوق و دستمزد'!O:O,'جداول حقوق و دستمزد'!D:D,ج_ح_تجمیعی[[#This Row],[نام]],'جداول حقوق و دستمزد'!E:E,ج_ح_تجمیعی[[#This Row],[نام خانوادگی]],'جداول حقوق و دستمزد'!B:B,8)&gt;0,SUMIFS('جداول حقوق و دستمزد'!O:O,'جداول حقوق و دستمزد'!D:D,ج_ح_تجمیعی[[#This Row],[نام]],'جداول حقوق و دستمزد'!E:E,ج_ح_تجمیعی[[#This Row],[نام خانوادگی]],'جداول حقوق و دستمزد'!B:B,8),"")</f>
        <v/>
      </c>
      <c r="M36" s="21" t="str">
        <f>IF(SUMIFS('جداول حقوق و دستمزد'!O:O,'جداول حقوق و دستمزد'!D:D,ج_ح_تجمیعی[[#This Row],[نام]],'جداول حقوق و دستمزد'!E:E,ج_ح_تجمیعی[[#This Row],[نام خانوادگی]],'جداول حقوق و دستمزد'!B:B,9)&gt;0,SUMIFS('جداول حقوق و دستمزد'!O:O,'جداول حقوق و دستمزد'!D:D,ج_ح_تجمیعی[[#This Row],[نام]],'جداول حقوق و دستمزد'!E:E,ج_ح_تجمیعی[[#This Row],[نام خانوادگی]],'جداول حقوق و دستمزد'!B:B,9),"")</f>
        <v/>
      </c>
      <c r="N36" s="22" t="str">
        <f>IF(SUMIFS('جداول حقوق و دستمزد'!O:O,'جداول حقوق و دستمزد'!D:D,ج_ح_تجمیعی[[#This Row],[نام]],'جداول حقوق و دستمزد'!E:E,ج_ح_تجمیعی[[#This Row],[نام خانوادگی]],'جداول حقوق و دستمزد'!B:B,10)&gt;0,SUMIFS('جداول حقوق و دستمزد'!O:O,'جداول حقوق و دستمزد'!D:D,ج_ح_تجمیعی[[#This Row],[نام]],'جداول حقوق و دستمزد'!E:E,ج_ح_تجمیعی[[#This Row],[نام خانوادگی]],'جداول حقوق و دستمزد'!B:B,10),"")</f>
        <v/>
      </c>
      <c r="O36" s="21" t="str">
        <f>IF(SUMIFS('جداول حقوق و دستمزد'!O:O,'جداول حقوق و دستمزد'!D:D,ج_ح_تجمیعی[[#This Row],[نام]],'جداول حقوق و دستمزد'!E:E,ج_ح_تجمیعی[[#This Row],[نام خانوادگی]],'جداول حقوق و دستمزد'!B:B,11)&gt;0,SUMIFS('جداول حقوق و دستمزد'!O:O,'جداول حقوق و دستمزد'!D:D,ج_ح_تجمیعی[[#This Row],[نام]],'جداول حقوق و دستمزد'!E:E,ج_ح_تجمیعی[[#This Row],[نام خانوادگی]],'جداول حقوق و دستمزد'!B:B,11),"")</f>
        <v/>
      </c>
      <c r="P36" s="21" t="str">
        <f>IF(SUMIFS('جداول حقوق و دستمزد'!O:O,'جداول حقوق و دستمزد'!D:D,ج_ح_تجمیعی[[#This Row],[نام]],'جداول حقوق و دستمزد'!E:E,ج_ح_تجمیعی[[#This Row],[نام خانوادگی]],'جداول حقوق و دستمزد'!B:B,12)&gt;0,SUMIFS('جداول حقوق و دستمزد'!O:O,'جداول حقوق و دستمزد'!D:D,ج_ح_تجمیعی[[#This Row],[نام]],'جداول حقوق و دستمزد'!E:E,ج_ح_تجمیعی[[#This Row],[نام خانوادگی]],'جداول حقوق و دستمزد'!B:B,12),"")</f>
        <v/>
      </c>
      <c r="Q36" s="21" t="str">
        <f>IF(SUM(ج_ح_تجمیعی[[#This Row],[فروردین]:[اسفند]])&gt;0,SUM(ج_ح_تجمیعی[[#This Row],[فروردین]:[اسفند]]),"")</f>
        <v/>
      </c>
      <c r="R36" s="96" t="str">
        <f>IF(SUMIFS('جداول حقوق و دستمزد'!F:F,'جداول حقوق و دستمزد'!D:D,ج_ح_تجمیعی[[#This Row],[نام]],'جداول حقوق و دستمزد'!E:E,ج_ح_تجمیعی[[#This Row],[نام خانوادگی]],'جداول حقوق و دستمزد'!B:B,1)&gt;0,SUMIFS('جداول حقوق و دستمزد'!F:F,'جداول حقوق و دستمزد'!D:D,ج_ح_تجمیعی[[#This Row],[نام]],'جداول حقوق و دستمزد'!E:E,ج_ح_تجمیعی[[#This Row],[نام خانوادگی]],'جداول حقوق و دستمزد'!B:B,1),"")</f>
        <v/>
      </c>
      <c r="S36" s="21" t="str">
        <f>IF(SUMIFS('جداول حقوق و دستمزد'!F:F,'جداول حقوق و دستمزد'!D:D,ج_ح_تجمیعی[[#This Row],[نام]],'جداول حقوق و دستمزد'!E:E,ج_ح_تجمیعی[[#This Row],[نام خانوادگی]],'جداول حقوق و دستمزد'!B:B,2)&gt;0,SUMIFS('جداول حقوق و دستمزد'!F:F,'جداول حقوق و دستمزد'!D:D,ج_ح_تجمیعی[[#This Row],[نام]],'جداول حقوق و دستمزد'!E:E,ج_ح_تجمیعی[[#This Row],[نام خانوادگی]],'جداول حقوق و دستمزد'!B:B,2),"")</f>
        <v/>
      </c>
      <c r="T36" s="96" t="str">
        <f>IF(SUMIFS('جداول حقوق و دستمزد'!F:F,'جداول حقوق و دستمزد'!D:D,ج_ح_تجمیعی[[#This Row],[نام]],'جداول حقوق و دستمزد'!E:E,ج_ح_تجمیعی[[#This Row],[نام خانوادگی]],'جداول حقوق و دستمزد'!B:B,3)&gt;0,SUMIFS('جداول حقوق و دستمزد'!F:F,'جداول حقوق و دستمزد'!D:D,ج_ح_تجمیعی[[#This Row],[نام]],'جداول حقوق و دستمزد'!E:E,ج_ح_تجمیعی[[#This Row],[نام خانوادگی]],'جداول حقوق و دستمزد'!B:B,3),"")</f>
        <v/>
      </c>
      <c r="U36" s="96" t="str">
        <f>IF(SUMIFS('جداول حقوق و دستمزد'!F:F,'جداول حقوق و دستمزد'!D:D,ج_ح_تجمیعی[[#This Row],[نام]],'جداول حقوق و دستمزد'!E:E,ج_ح_تجمیعی[[#This Row],[نام خانوادگی]],'جداول حقوق و دستمزد'!B:B,4)&gt;0,SUMIFS('جداول حقوق و دستمزد'!F:F,'جداول حقوق و دستمزد'!D:D,ج_ح_تجمیعی[[#This Row],[نام]],'جداول حقوق و دستمزد'!E:E,ج_ح_تجمیعی[[#This Row],[نام خانوادگی]],'جداول حقوق و دستمزد'!B:B,4),"")</f>
        <v/>
      </c>
      <c r="V36" s="96" t="str">
        <f>IF(SUMIFS('جداول حقوق و دستمزد'!F:F,'جداول حقوق و دستمزد'!D:D,ج_ح_تجمیعی[[#This Row],[نام]],'جداول حقوق و دستمزد'!E:E,ج_ح_تجمیعی[[#This Row],[نام خانوادگی]],'جداول حقوق و دستمزد'!B:B,5)&gt;0,SUMIFS('جداول حقوق و دستمزد'!F:F,'جداول حقوق و دستمزد'!D:D,ج_ح_تجمیعی[[#This Row],[نام]],'جداول حقوق و دستمزد'!E:E,ج_ح_تجمیعی[[#This Row],[نام خانوادگی]],'جداول حقوق و دستمزد'!B:B,5),"")</f>
        <v/>
      </c>
      <c r="W36" s="96" t="str">
        <f>IF(SUMIFS('جداول حقوق و دستمزد'!F:F,'جداول حقوق و دستمزد'!D:D,ج_ح_تجمیعی[[#This Row],[نام]],'جداول حقوق و دستمزد'!E:E,ج_ح_تجمیعی[[#This Row],[نام خانوادگی]],'جداول حقوق و دستمزد'!B:B,6)&gt;0,SUMIFS('جداول حقوق و دستمزد'!F:F,'جداول حقوق و دستمزد'!D:D,ج_ح_تجمیعی[[#This Row],[نام]],'جداول حقوق و دستمزد'!E:E,ج_ح_تجمیعی[[#This Row],[نام خانوادگی]],'جداول حقوق و دستمزد'!B:B,6),"")</f>
        <v/>
      </c>
      <c r="X36" s="96" t="str">
        <f>IF(SUMIFS('جداول حقوق و دستمزد'!F:F,'جداول حقوق و دستمزد'!D:D,ج_ح_تجمیعی[[#This Row],[نام]],'جداول حقوق و دستمزد'!E:E,ج_ح_تجمیعی[[#This Row],[نام خانوادگی]],'جداول حقوق و دستمزد'!B:B,7)&gt;0,SUMIFS('جداول حقوق و دستمزد'!F:F,'جداول حقوق و دستمزد'!D:D,ج_ح_تجمیعی[[#This Row],[نام]],'جداول حقوق و دستمزد'!E:E,ج_ح_تجمیعی[[#This Row],[نام خانوادگی]],'جداول حقوق و دستمزد'!B:B,7),"")</f>
        <v/>
      </c>
      <c r="Y36" s="96" t="str">
        <f>IF(SUMIFS('جداول حقوق و دستمزد'!F:F,'جداول حقوق و دستمزد'!D:D,ج_ح_تجمیعی[[#This Row],[نام]],'جداول حقوق و دستمزد'!E:E,ج_ح_تجمیعی[[#This Row],[نام خانوادگی]],'جداول حقوق و دستمزد'!B:B,8)&gt;0,SUMIFS('جداول حقوق و دستمزد'!F:F,'جداول حقوق و دستمزد'!D:D,ج_ح_تجمیعی[[#This Row],[نام]],'جداول حقوق و دستمزد'!E:E,ج_ح_تجمیعی[[#This Row],[نام خانوادگی]],'جداول حقوق و دستمزد'!B:B,8),"")</f>
        <v/>
      </c>
      <c r="Z36" s="96" t="str">
        <f>IF(SUMIFS('جداول حقوق و دستمزد'!F:F,'جداول حقوق و دستمزد'!D:D,ج_ح_تجمیعی[[#This Row],[نام]],'جداول حقوق و دستمزد'!E:E,ج_ح_تجمیعی[[#This Row],[نام خانوادگی]],'جداول حقوق و دستمزد'!B:B,9)&gt;0,SUMIFS('جداول حقوق و دستمزد'!F:F,'جداول حقوق و دستمزد'!D:D,ج_ح_تجمیعی[[#This Row],[نام]],'جداول حقوق و دستمزد'!E:E,ج_ح_تجمیعی[[#This Row],[نام خانوادگی]],'جداول حقوق و دستمزد'!B:B,9),"")</f>
        <v/>
      </c>
      <c r="AA36" s="96" t="str">
        <f>IF(SUMIFS('جداول حقوق و دستمزد'!F:F,'جداول حقوق و دستمزد'!D:D,ج_ح_تجمیعی[[#This Row],[نام]],'جداول حقوق و دستمزد'!E:E,ج_ح_تجمیعی[[#This Row],[نام خانوادگی]],'جداول حقوق و دستمزد'!B:B,10)&gt;0,SUMIFS('جداول حقوق و دستمزد'!F:F,'جداول حقوق و دستمزد'!D:D,ج_ح_تجمیعی[[#This Row],[نام]],'جداول حقوق و دستمزد'!E:E,ج_ح_تجمیعی[[#This Row],[نام خانوادگی]],'جداول حقوق و دستمزد'!B:B,10),"")</f>
        <v/>
      </c>
      <c r="AB36" s="96" t="str">
        <f>IF(SUMIFS('جداول حقوق و دستمزد'!F:F,'جداول حقوق و دستمزد'!D:D,ج_ح_تجمیعی[[#This Row],[نام]],'جداول حقوق و دستمزد'!E:E,ج_ح_تجمیعی[[#This Row],[نام خانوادگی]],'جداول حقوق و دستمزد'!B:B,11)&gt;0,SUMIFS('جداول حقوق و دستمزد'!F:F,'جداول حقوق و دستمزد'!D:D,ج_ح_تجمیعی[[#This Row],[نام]],'جداول حقوق و دستمزد'!E:E,ج_ح_تجمیعی[[#This Row],[نام خانوادگی]],'جداول حقوق و دستمزد'!B:B,11),"")</f>
        <v/>
      </c>
      <c r="AC36" s="96" t="str">
        <f>IF(SUMIFS('جداول حقوق و دستمزد'!F:F,'جداول حقوق و دستمزد'!D:D,ج_ح_تجمیعی[[#This Row],[نام]],'جداول حقوق و دستمزد'!E:E,ج_ح_تجمیعی[[#This Row],[نام خانوادگی]],'جداول حقوق و دستمزد'!B:B,12)&gt;0,SUMIFS('جداول حقوق و دستمزد'!F:F,'جداول حقوق و دستمزد'!D:D,ج_ح_تجمیعی[[#This Row],[نام]],'جداول حقوق و دستمزد'!E:E,ج_ح_تجمیعی[[#This Row],[نام خانوادگی]],'جداول حقوق و دستمزد'!B:B,12),"")</f>
        <v/>
      </c>
      <c r="AD36" s="96">
        <f>SUM(ج_ح_تجمیعی[[#This Row],[Column1]:[Column12]])</f>
        <v>0</v>
      </c>
      <c r="AE36" s="96" t="str">
        <f>IF(ج_ح_تجمیعی[[#This Row],[Column13]]&lt;=0," ",365)</f>
        <v xml:space="preserve"> </v>
      </c>
      <c r="AF36" s="96" t="str">
        <f>IFERROR(معافیت_مالیاتی_ماهانه_حقوق*ج_ح_تجمیعی[[#This Row],[Column13]]/ج_ح_تجمیعی[[#This Row],[Column132]],"")</f>
        <v/>
      </c>
      <c r="AG36" s="96" t="str">
        <f>IF(COUNT(ج_ح_تجمیعی[[#This Row],[ردیف]]),(حداقل_حقوق_ماهانه_30_روزه)*2," ")</f>
        <v xml:space="preserve"> </v>
      </c>
      <c r="AH36" s="96" t="str">
        <f>IF(COUNT(ج_ح_تجمیعی[[#This Row],[ردیف]]),ج_ح_تجمیعی[[#This Row],[Column13]]*ج_ح_تجمیعی[[#This Row],[Column133]]/ج_ح_تجمیعی[[#This Row],[Column132]]," ")</f>
        <v xml:space="preserve"> </v>
      </c>
      <c r="AI36" s="96" t="str">
        <f>IF(COUNT(ج_ح_تجمیعی[[#This Row],[ردیف]]),IF(ج_ح_تجمیعی[[#This Row],[Column1332]]&lt;حداکثر_عیدی,ج_ح_تجمیعی[[#This Row],[Column1332]],حداکثر_عیدی)," ")</f>
        <v xml:space="preserve"> </v>
      </c>
      <c r="AJ36" s="96" t="str">
        <f>IF(COUNT(ج_ح_تجمیعی[[#This Row],[ردیف]]),(حداقل_حقوق_ماهانه_30_روزه+حق_مسکن+حق_خواربار)," ")</f>
        <v xml:space="preserve"> </v>
      </c>
      <c r="AK36" s="96" t="str">
        <f>IF(COUNT(ج_ح_تجمیعی[[#This Row],[ردیف]]),ج_ح_تجمیعی[[#This Row],[Column13]]*ج_ح_تجمیعی[[#This Row],[Column1334]]/ج_ح_تجمیعی[[#This Row],[Column132]]," ")</f>
        <v xml:space="preserve"> </v>
      </c>
    </row>
    <row r="37" spans="1:37" ht="32.1" customHeight="1">
      <c r="A37" s="95"/>
      <c r="B37" s="23"/>
      <c r="C37" s="24"/>
      <c r="D37" s="24" t="s">
        <v>35</v>
      </c>
      <c r="E37" s="100">
        <f>SUBTOTAL(109,ج_ح_تجمیعی[فروردین])</f>
        <v>0</v>
      </c>
      <c r="F37" s="100">
        <f>SUBTOTAL(109,ج_ح_تجمیعی[اردیبهشت])</f>
        <v>0</v>
      </c>
      <c r="G37" s="100">
        <f>SUBTOTAL(109,ج_ح_تجمیعی[خرداد])</f>
        <v>0</v>
      </c>
      <c r="H37" s="100">
        <f>SUBTOTAL(109,ج_ح_تجمیعی[تیر])</f>
        <v>0</v>
      </c>
      <c r="I37" s="100">
        <f>SUBTOTAL(109,ج_ح_تجمیعی[مرداد])</f>
        <v>0</v>
      </c>
      <c r="J37" s="100">
        <f>SUBTOTAL(109,ج_ح_تجمیعی[شهریور])</f>
        <v>0</v>
      </c>
      <c r="K37" s="100">
        <f>SUBTOTAL(109,ج_ح_تجمیعی[مهر])</f>
        <v>0</v>
      </c>
      <c r="L37" s="100">
        <f>SUBTOTAL(109,ج_ح_تجمیعی[آبان])</f>
        <v>0</v>
      </c>
      <c r="M37" s="100">
        <f>SUBTOTAL(109,ج_ح_تجمیعی[آذر])</f>
        <v>0</v>
      </c>
      <c r="N37" s="100">
        <f>SUBTOTAL(109,ج_ح_تجمیعی[دی])</f>
        <v>0</v>
      </c>
      <c r="O37" s="100">
        <f>SUBTOTAL(109,ج_ح_تجمیعی[بهمن])</f>
        <v>0</v>
      </c>
      <c r="P37" s="100">
        <f>SUBTOTAL(109,ج_ح_تجمیعی[اسفند])</f>
        <v>0</v>
      </c>
      <c r="Q37" s="100">
        <f>SUBTOTAL(109,ج_ح_تجمیعی[جمع افقی])</f>
        <v>0</v>
      </c>
      <c r="R37" s="100">
        <f>SUBTOTAL(109,ج_ح_تجمیعی[Column1])</f>
        <v>0</v>
      </c>
      <c r="S37" s="100">
        <f>SUBTOTAL(109,ج_ح_تجمیعی[Column2])</f>
        <v>0</v>
      </c>
      <c r="T37" s="100">
        <f>SUBTOTAL(109,ج_ح_تجمیعی[Column3])</f>
        <v>0</v>
      </c>
      <c r="U37" s="100">
        <f>SUBTOTAL(109,ج_ح_تجمیعی[Column4])</f>
        <v>0</v>
      </c>
      <c r="V37" s="100">
        <f>SUBTOTAL(109,ج_ح_تجمیعی[Column5])</f>
        <v>0</v>
      </c>
      <c r="W37" s="100">
        <f>SUBTOTAL(109,ج_ح_تجمیعی[Column6])</f>
        <v>0</v>
      </c>
      <c r="X37" s="100">
        <f>SUBTOTAL(109,ج_ح_تجمیعی[Column7])</f>
        <v>0</v>
      </c>
      <c r="Y37" s="100">
        <f>SUBTOTAL(109,ج_ح_تجمیعی[Column8])</f>
        <v>0</v>
      </c>
      <c r="Z37" s="100">
        <f>SUBTOTAL(109,ج_ح_تجمیعی[Column9])</f>
        <v>0</v>
      </c>
      <c r="AA37" s="100">
        <f>SUBTOTAL(109,ج_ح_تجمیعی[Column10])</f>
        <v>0</v>
      </c>
      <c r="AB37" s="100">
        <f>SUBTOTAL(109,ج_ح_تجمیعی[Column11])</f>
        <v>0</v>
      </c>
      <c r="AC37" s="100">
        <f>SUBTOTAL(109,ج_ح_تجمیعی[Column12])</f>
        <v>0</v>
      </c>
      <c r="AD37" s="100">
        <f>SUBTOTAL(109,ج_ح_تجمیعی[Column13])</f>
        <v>0</v>
      </c>
      <c r="AE37" s="100">
        <f>SUBTOTAL(109,ج_ح_تجمیعی[Column132])</f>
        <v>0</v>
      </c>
      <c r="AF37" s="100"/>
      <c r="AG37" s="100">
        <f>SUBTOTAL(109,ج_ح_تجمیعی[Column133])</f>
        <v>0</v>
      </c>
      <c r="AH37" s="100">
        <f>SUBTOTAL(109,ج_ح_تجمیعی[Column1332])</f>
        <v>0</v>
      </c>
      <c r="AI37" s="100">
        <f>SUBTOTAL(109,ج_ح_تجمیعی[Column1333])</f>
        <v>0</v>
      </c>
      <c r="AJ37" s="100">
        <f>SUBTOTAL(109,ج_ح_تجمیعی[Column1334])</f>
        <v>0</v>
      </c>
      <c r="AK37" s="100">
        <f>SUBTOTAL(109,ج_ح_تجمیعی[Column134])</f>
        <v>0</v>
      </c>
    </row>
    <row r="38" spans="1:37" ht="8.1" customHeight="1"/>
  </sheetData>
  <sheetProtection formatCells="0" selectLockedCells="1" sort="0" autoFilter="0"/>
  <mergeCells count="20">
    <mergeCell ref="G4:G5"/>
    <mergeCell ref="B2:Q2"/>
    <mergeCell ref="B3:Q3"/>
    <mergeCell ref="B4:B5"/>
    <mergeCell ref="C4:C5"/>
    <mergeCell ref="D4:D5"/>
    <mergeCell ref="E4:E5"/>
    <mergeCell ref="F4:F5"/>
    <mergeCell ref="N4:N5"/>
    <mergeCell ref="O4:O5"/>
    <mergeCell ref="Q4:Q5"/>
    <mergeCell ref="P4:P5"/>
    <mergeCell ref="H4:H5"/>
    <mergeCell ref="I4:I5"/>
    <mergeCell ref="J4:J5"/>
    <mergeCell ref="R4:AC4"/>
    <mergeCell ref="AD4:AD5"/>
    <mergeCell ref="K4:K5"/>
    <mergeCell ref="L4:L5"/>
    <mergeCell ref="M4:M5"/>
  </mergeCells>
  <phoneticPr fontId="30" type="noConversion"/>
  <printOptions horizontalCentered="1"/>
  <pageMargins left="0" right="0" top="0.39370078740157483" bottom="0" header="0" footer="0"/>
  <pageSetup paperSize="9" scale="34" orientation="landscape" r:id="rId1"/>
  <colBreaks count="1" manualBreakCount="1">
    <brk id="16" min="1" max="37" man="1"/>
  </col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X21"/>
  <sheetViews>
    <sheetView rightToLeft="1" tabSelected="1" view="pageBreakPreview" topLeftCell="O15" zoomScale="85" zoomScaleNormal="60" zoomScaleSheetLayoutView="85" workbookViewId="0">
      <selection activeCell="D7" sqref="D7:D18"/>
    </sheetView>
  </sheetViews>
  <sheetFormatPr defaultColWidth="9" defaultRowHeight="18"/>
  <cols>
    <col min="1" max="1" width="1.5" style="1" customWidth="1"/>
    <col min="2" max="3" width="12.5" style="1" customWidth="1"/>
    <col min="4" max="4" width="16.5" style="1" customWidth="1"/>
    <col min="5" max="5" width="14.5" style="1" customWidth="1"/>
    <col min="6" max="24" width="18.5" style="1" customWidth="1"/>
    <col min="25" max="16384" width="9" style="1"/>
  </cols>
  <sheetData>
    <row r="1" spans="1:24" ht="9.9499999999999993" customHeight="1"/>
    <row r="2" spans="1:24" s="7" customFormat="1" ht="39.950000000000003" customHeight="1">
      <c r="A2" s="15"/>
      <c r="B2" s="136" t="str">
        <f>CONCATENATE("شرکت"," ",'اطلاعات شرکت'!B1)</f>
        <v>شرکت پندار حساب شهسوار</v>
      </c>
      <c r="C2" s="136"/>
      <c r="D2" s="136"/>
      <c r="E2" s="136"/>
      <c r="F2" s="136"/>
      <c r="G2" s="136"/>
      <c r="H2" s="136"/>
      <c r="I2" s="136"/>
      <c r="J2" s="136"/>
      <c r="K2" s="136"/>
      <c r="L2" s="136"/>
      <c r="M2" s="136"/>
      <c r="N2" s="136"/>
      <c r="O2" s="136"/>
      <c r="P2" s="136"/>
      <c r="Q2" s="136"/>
      <c r="R2" s="136"/>
      <c r="S2" s="136"/>
      <c r="T2" s="136"/>
      <c r="U2" s="136"/>
      <c r="V2" s="136"/>
      <c r="W2" s="136"/>
      <c r="X2" s="136"/>
    </row>
    <row r="3" spans="1:24" s="7" customFormat="1" ht="50.1" customHeight="1">
      <c r="B3" s="137" t="str">
        <f>CONCATENATE("جدول حقوق و دستمزد سال"," ",'اطلاعات شرکت'!B2)</f>
        <v>جدول حقوق و دستمزد سال 1402</v>
      </c>
      <c r="C3" s="137"/>
      <c r="D3" s="137"/>
      <c r="E3" s="137"/>
      <c r="F3" s="137"/>
      <c r="G3" s="137"/>
      <c r="H3" s="137"/>
      <c r="I3" s="137"/>
      <c r="J3" s="137"/>
      <c r="K3" s="137"/>
      <c r="L3" s="137"/>
      <c r="M3" s="137"/>
      <c r="N3" s="137"/>
      <c r="O3" s="137"/>
      <c r="P3" s="137"/>
      <c r="Q3" s="137"/>
      <c r="R3" s="137"/>
      <c r="S3" s="137"/>
      <c r="T3" s="137"/>
      <c r="U3" s="137"/>
      <c r="V3" s="137"/>
      <c r="W3" s="137"/>
      <c r="X3" s="137"/>
    </row>
    <row r="4" spans="1:24" s="12" customFormat="1" ht="39.950000000000003" customHeight="1">
      <c r="B4" s="138" t="s">
        <v>36</v>
      </c>
      <c r="C4" s="138" t="s">
        <v>78</v>
      </c>
      <c r="D4" s="132" t="s">
        <v>72</v>
      </c>
      <c r="E4" s="132" t="s">
        <v>73</v>
      </c>
      <c r="F4" s="132" t="s">
        <v>37</v>
      </c>
      <c r="G4" s="132" t="s">
        <v>14</v>
      </c>
      <c r="H4" s="132" t="s">
        <v>4</v>
      </c>
      <c r="I4" s="132" t="s">
        <v>5</v>
      </c>
      <c r="J4" s="132" t="s">
        <v>47</v>
      </c>
      <c r="K4" s="132" t="s">
        <v>41</v>
      </c>
      <c r="L4" s="132" t="s">
        <v>38</v>
      </c>
      <c r="M4" s="132" t="s">
        <v>17</v>
      </c>
      <c r="N4" s="140" t="s">
        <v>49</v>
      </c>
      <c r="O4" s="140" t="s">
        <v>77</v>
      </c>
      <c r="P4" s="132" t="s">
        <v>74</v>
      </c>
      <c r="Q4" s="132" t="s">
        <v>75</v>
      </c>
      <c r="R4" s="132" t="s">
        <v>15</v>
      </c>
      <c r="S4" s="132" t="s">
        <v>16</v>
      </c>
      <c r="T4" s="132" t="s">
        <v>58</v>
      </c>
      <c r="U4" s="132" t="s">
        <v>21</v>
      </c>
      <c r="V4" s="132" t="s">
        <v>57</v>
      </c>
      <c r="W4" s="132" t="s">
        <v>76</v>
      </c>
      <c r="X4" s="132" t="s">
        <v>189</v>
      </c>
    </row>
    <row r="5" spans="1:24" s="12" customFormat="1" ht="39.950000000000003" customHeight="1">
      <c r="B5" s="139"/>
      <c r="C5" s="139"/>
      <c r="D5" s="133"/>
      <c r="E5" s="133"/>
      <c r="F5" s="133"/>
      <c r="G5" s="133"/>
      <c r="H5" s="133"/>
      <c r="I5" s="133"/>
      <c r="J5" s="133"/>
      <c r="K5" s="133"/>
      <c r="L5" s="133"/>
      <c r="M5" s="133"/>
      <c r="N5" s="141"/>
      <c r="O5" s="141"/>
      <c r="P5" s="133"/>
      <c r="Q5" s="133"/>
      <c r="R5" s="133"/>
      <c r="S5" s="133"/>
      <c r="T5" s="133"/>
      <c r="U5" s="133"/>
      <c r="V5" s="133"/>
      <c r="W5" s="133"/>
      <c r="X5" s="133"/>
    </row>
    <row r="6" spans="1:24" s="7" customFormat="1" ht="20.100000000000001" customHeight="1">
      <c r="B6" s="16" t="s">
        <v>36</v>
      </c>
      <c r="C6" s="16" t="s">
        <v>78</v>
      </c>
      <c r="D6" s="16" t="s">
        <v>72</v>
      </c>
      <c r="E6" s="16" t="s">
        <v>73</v>
      </c>
      <c r="F6" s="16" t="s">
        <v>37</v>
      </c>
      <c r="G6" s="16" t="s">
        <v>14</v>
      </c>
      <c r="H6" s="16" t="s">
        <v>4</v>
      </c>
      <c r="I6" s="16" t="s">
        <v>5</v>
      </c>
      <c r="J6" s="16" t="s">
        <v>47</v>
      </c>
      <c r="K6" s="16" t="s">
        <v>41</v>
      </c>
      <c r="L6" s="16" t="s">
        <v>38</v>
      </c>
      <c r="M6" s="16" t="s">
        <v>17</v>
      </c>
      <c r="N6" s="16" t="s">
        <v>18</v>
      </c>
      <c r="O6" s="16" t="s">
        <v>80</v>
      </c>
      <c r="P6" s="16" t="s">
        <v>81</v>
      </c>
      <c r="Q6" s="16" t="s">
        <v>82</v>
      </c>
      <c r="R6" s="16" t="s">
        <v>15</v>
      </c>
      <c r="S6" s="16" t="s">
        <v>16</v>
      </c>
      <c r="T6" s="16" t="s">
        <v>20</v>
      </c>
      <c r="U6" s="16" t="s">
        <v>21</v>
      </c>
      <c r="V6" s="16" t="s">
        <v>22</v>
      </c>
      <c r="W6" s="16" t="s">
        <v>39</v>
      </c>
      <c r="X6" s="16" t="s">
        <v>42</v>
      </c>
    </row>
    <row r="7" spans="1:24" ht="50.1" customHeight="1">
      <c r="B7" s="17" t="s">
        <v>24</v>
      </c>
      <c r="C7" s="18">
        <v>1</v>
      </c>
      <c r="D7" s="19"/>
      <c r="E7" s="20"/>
      <c r="F7"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7"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7"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7"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7"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7" s="21">
        <v>0</v>
      </c>
      <c r="L7" s="21">
        <v>0</v>
      </c>
      <c r="M7" s="21">
        <f>IFERROR(ج_ح_دارایی[[#This Row],[حقوق پایه]]+ج_ح_دارایی[[#This Row],[حق اولاد]]+ج_ح_دارایی[[#This Row],[حق مسکن]]+ج_ح_دارایی[[#This Row],[حق خواربار]]+ج_ح_دارایی[[#This Row],[اضافه کاری]],"")</f>
        <v>0</v>
      </c>
      <c r="N7" s="21">
        <f>IFERROR(ج_ح_دارایی[[#This Row],[حقوق پایه]]+ج_ح_دارایی[[#This Row],[حق مسکن]]+ج_ح_دارایی[[#This Row],[حق خواربار]]+ج_ح_دارایی[[#This Row],[اضافه کاری]],"")</f>
        <v>0</v>
      </c>
      <c r="O7" s="21">
        <f>IFERROR(ج_ح_دارایی[[#This Row],[حقوق پایه]]+ج_ح_دارایی[[#This Row],[حق اولاد]]+ج_ح_دارایی[[#This Row],[حق مسکن]]+ج_ح_دارایی[[#This Row],[حق خواربار]]+ج_ح_دارایی[[#This Row],[اضافه کاری]],"")</f>
        <v>0</v>
      </c>
      <c r="P7" s="22">
        <f>IFERROR(ج_ح_دارایی[[#This Row],[جمع حقوق و مزایای مشمول بیمه ]]*7%,"")</f>
        <v>0</v>
      </c>
      <c r="Q7" s="21">
        <f>IFERROR(ج_ح_دارایی[[#This Row],[جمع حقوق و مزایای مشمول بیمه ]]*30%,"")</f>
        <v>0</v>
      </c>
      <c r="R7"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7"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7"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7" s="21">
        <f>IFERROR(ج_ح_دارایی[[#This Row],[سهم بیمه کارمند 7%]]+ج_ح_دارایی[[#This Row],[وام]]+ج_ح_دارایی[[#This Row],[مساعده]]+ج_ح_دارایی[[#This Row],[مالیات پرداختنی]],"")</f>
        <v>0</v>
      </c>
      <c r="V7" s="21">
        <f>IFERROR(ج_ح_دارایی[[#This Row],[جمع حقوق و مزایا]]-ج_ح_دارایی[[#This Row],[جمع کسورات]],"")</f>
        <v>0</v>
      </c>
      <c r="W7" s="21"/>
      <c r="X7" s="111"/>
    </row>
    <row r="8" spans="1:24" ht="50.1" customHeight="1">
      <c r="B8" s="17" t="s">
        <v>25</v>
      </c>
      <c r="C8" s="18">
        <v>2</v>
      </c>
      <c r="D8" s="19"/>
      <c r="E8" s="20"/>
      <c r="F8"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8"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8"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8"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8"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8" s="21">
        <v>0</v>
      </c>
      <c r="L8" s="21">
        <v>0</v>
      </c>
      <c r="M8" s="21">
        <f>IFERROR(ج_ح_دارایی[[#This Row],[حقوق پایه]]+ج_ح_دارایی[[#This Row],[حق اولاد]]+ج_ح_دارایی[[#This Row],[حق مسکن]]+ج_ح_دارایی[[#This Row],[حق خواربار]]+ج_ح_دارایی[[#This Row],[اضافه کاری]],"")</f>
        <v>0</v>
      </c>
      <c r="N8" s="21">
        <f>IFERROR(ج_ح_دارایی[[#This Row],[حقوق پایه]]+ج_ح_دارایی[[#This Row],[حق مسکن]]+ج_ح_دارایی[[#This Row],[حق خواربار]]+ج_ح_دارایی[[#This Row],[اضافه کاری]],"")</f>
        <v>0</v>
      </c>
      <c r="O8" s="21">
        <f>IFERROR(ج_ح_دارایی[[#This Row],[حقوق پایه]]+ج_ح_دارایی[[#This Row],[حق اولاد]]+ج_ح_دارایی[[#This Row],[حق مسکن]]+ج_ح_دارایی[[#This Row],[حق خواربار]]+ج_ح_دارایی[[#This Row],[اضافه کاری]],"")</f>
        <v>0</v>
      </c>
      <c r="P8" s="22">
        <f>IFERROR(ج_ح_دارایی[[#This Row],[جمع حقوق و مزایای مشمول بیمه ]]*7%,"")</f>
        <v>0</v>
      </c>
      <c r="Q8" s="21">
        <f>IFERROR(ج_ح_دارایی[[#This Row],[جمع حقوق و مزایای مشمول بیمه ]]*30%,"")</f>
        <v>0</v>
      </c>
      <c r="R8"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8"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8"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8" s="21">
        <f>IFERROR(ج_ح_دارایی[[#This Row],[سهم بیمه کارمند 7%]]+ج_ح_دارایی[[#This Row],[وام]]+ج_ح_دارایی[[#This Row],[مساعده]]+ج_ح_دارایی[[#This Row],[مالیات پرداختنی]],"")</f>
        <v>0</v>
      </c>
      <c r="V8" s="21">
        <f>IFERROR(ج_ح_دارایی[[#This Row],[جمع حقوق و مزایا]]-ج_ح_دارایی[[#This Row],[جمع کسورات]],"")</f>
        <v>0</v>
      </c>
      <c r="W8" s="21"/>
      <c r="X8" s="111"/>
    </row>
    <row r="9" spans="1:24" ht="50.1" customHeight="1">
      <c r="B9" s="17" t="s">
        <v>40</v>
      </c>
      <c r="C9" s="18">
        <v>3</v>
      </c>
      <c r="D9" s="19"/>
      <c r="E9" s="20"/>
      <c r="F9"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9"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9"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9"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9"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9" s="21">
        <v>0</v>
      </c>
      <c r="L9" s="21">
        <v>0</v>
      </c>
      <c r="M9" s="21">
        <f>IFERROR(ج_ح_دارایی[[#This Row],[حقوق پایه]]+ج_ح_دارایی[[#This Row],[حق اولاد]]+ج_ح_دارایی[[#This Row],[حق مسکن]]+ج_ح_دارایی[[#This Row],[حق خواربار]]+ج_ح_دارایی[[#This Row],[اضافه کاری]],"")</f>
        <v>0</v>
      </c>
      <c r="N9" s="21">
        <f>IFERROR(ج_ح_دارایی[[#This Row],[حقوق پایه]]+ج_ح_دارایی[[#This Row],[حق مسکن]]+ج_ح_دارایی[[#This Row],[حق خواربار]]+ج_ح_دارایی[[#This Row],[اضافه کاری]],"")</f>
        <v>0</v>
      </c>
      <c r="O9" s="21">
        <f>IFERROR(ج_ح_دارایی[[#This Row],[حقوق پایه]]+ج_ح_دارایی[[#This Row],[حق اولاد]]+ج_ح_دارایی[[#This Row],[حق مسکن]]+ج_ح_دارایی[[#This Row],[حق خواربار]]+ج_ح_دارایی[[#This Row],[اضافه کاری]],"")</f>
        <v>0</v>
      </c>
      <c r="P9" s="22">
        <f>IFERROR(ج_ح_دارایی[[#This Row],[جمع حقوق و مزایای مشمول بیمه ]]*7%,"")</f>
        <v>0</v>
      </c>
      <c r="Q9" s="21">
        <f>IFERROR(ج_ح_دارایی[[#This Row],[جمع حقوق و مزایای مشمول بیمه ]]*30%,"")</f>
        <v>0</v>
      </c>
      <c r="R9"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9"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9"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9" s="21">
        <f>IFERROR(ج_ح_دارایی[[#This Row],[سهم بیمه کارمند 7%]]+ج_ح_دارایی[[#This Row],[وام]]+ج_ح_دارایی[[#This Row],[مساعده]]+ج_ح_دارایی[[#This Row],[مالیات پرداختنی]],"")</f>
        <v>0</v>
      </c>
      <c r="V9" s="21">
        <f>IFERROR(ج_ح_دارایی[[#This Row],[جمع حقوق و مزایا]]-ج_ح_دارایی[[#This Row],[جمع کسورات]],"")</f>
        <v>0</v>
      </c>
      <c r="W9" s="21"/>
      <c r="X9" s="111"/>
    </row>
    <row r="10" spans="1:24" ht="50.1" customHeight="1">
      <c r="B10" s="17" t="s">
        <v>26</v>
      </c>
      <c r="C10" s="18">
        <v>4</v>
      </c>
      <c r="D10" s="19"/>
      <c r="E10" s="20"/>
      <c r="F10"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10"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10"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10"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10"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10" s="21">
        <v>0</v>
      </c>
      <c r="L10" s="21">
        <v>0</v>
      </c>
      <c r="M10" s="21">
        <f>IFERROR(ج_ح_دارایی[[#This Row],[حقوق پایه]]+ج_ح_دارایی[[#This Row],[حق اولاد]]+ج_ح_دارایی[[#This Row],[حق مسکن]]+ج_ح_دارایی[[#This Row],[حق خواربار]]+ج_ح_دارایی[[#This Row],[اضافه کاری]],"")</f>
        <v>0</v>
      </c>
      <c r="N10" s="21">
        <f>IFERROR(ج_ح_دارایی[[#This Row],[حقوق پایه]]+ج_ح_دارایی[[#This Row],[حق مسکن]]+ج_ح_دارایی[[#This Row],[حق خواربار]]+ج_ح_دارایی[[#This Row],[اضافه کاری]],"")</f>
        <v>0</v>
      </c>
      <c r="O10" s="21">
        <f>IFERROR(ج_ح_دارایی[[#This Row],[حقوق پایه]]+ج_ح_دارایی[[#This Row],[حق اولاد]]+ج_ح_دارایی[[#This Row],[حق مسکن]]+ج_ح_دارایی[[#This Row],[حق خواربار]]+ج_ح_دارایی[[#This Row],[اضافه کاری]],"")</f>
        <v>0</v>
      </c>
      <c r="P10" s="22">
        <f>IFERROR(ج_ح_دارایی[[#This Row],[جمع حقوق و مزایای مشمول بیمه ]]*7%,"")</f>
        <v>0</v>
      </c>
      <c r="Q10" s="21">
        <f>IFERROR(ج_ح_دارایی[[#This Row],[جمع حقوق و مزایای مشمول بیمه ]]*30%,"")</f>
        <v>0</v>
      </c>
      <c r="R10"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10"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10"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10" s="21">
        <f>IFERROR(ج_ح_دارایی[[#This Row],[سهم بیمه کارمند 7%]]+ج_ح_دارایی[[#This Row],[وام]]+ج_ح_دارایی[[#This Row],[مساعده]]+ج_ح_دارایی[[#This Row],[مالیات پرداختنی]],"")</f>
        <v>0</v>
      </c>
      <c r="V10" s="21">
        <f>IFERROR(ج_ح_دارایی[[#This Row],[جمع حقوق و مزایا]]-ج_ح_دارایی[[#This Row],[جمع کسورات]],"")</f>
        <v>0</v>
      </c>
      <c r="W10" s="21"/>
      <c r="X10" s="111"/>
    </row>
    <row r="11" spans="1:24" ht="50.1" customHeight="1">
      <c r="B11" s="17" t="s">
        <v>27</v>
      </c>
      <c r="C11" s="18">
        <v>5</v>
      </c>
      <c r="D11" s="19"/>
      <c r="E11" s="20"/>
      <c r="F11"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11"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11"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11"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11"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11" s="21">
        <v>0</v>
      </c>
      <c r="L11" s="21">
        <v>0</v>
      </c>
      <c r="M11" s="21">
        <f>IFERROR(ج_ح_دارایی[[#This Row],[حقوق پایه]]+ج_ح_دارایی[[#This Row],[حق اولاد]]+ج_ح_دارایی[[#This Row],[حق مسکن]]+ج_ح_دارایی[[#This Row],[حق خواربار]]+ج_ح_دارایی[[#This Row],[اضافه کاری]],"")</f>
        <v>0</v>
      </c>
      <c r="N11" s="21">
        <f>IFERROR(ج_ح_دارایی[[#This Row],[حقوق پایه]]+ج_ح_دارایی[[#This Row],[حق مسکن]]+ج_ح_دارایی[[#This Row],[حق خواربار]]+ج_ح_دارایی[[#This Row],[اضافه کاری]],"")</f>
        <v>0</v>
      </c>
      <c r="O11" s="21">
        <f>IFERROR(ج_ح_دارایی[[#This Row],[حقوق پایه]]+ج_ح_دارایی[[#This Row],[حق اولاد]]+ج_ح_دارایی[[#This Row],[حق مسکن]]+ج_ح_دارایی[[#This Row],[حق خواربار]]+ج_ح_دارایی[[#This Row],[اضافه کاری]],"")</f>
        <v>0</v>
      </c>
      <c r="P11" s="22">
        <f>IFERROR(ج_ح_دارایی[[#This Row],[جمع حقوق و مزایای مشمول بیمه ]]*7%,"")</f>
        <v>0</v>
      </c>
      <c r="Q11" s="21">
        <f>IFERROR(ج_ح_دارایی[[#This Row],[جمع حقوق و مزایای مشمول بیمه ]]*30%,"")</f>
        <v>0</v>
      </c>
      <c r="R11"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11"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11"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11" s="21">
        <f>IFERROR(ج_ح_دارایی[[#This Row],[سهم بیمه کارمند 7%]]+ج_ح_دارایی[[#This Row],[وام]]+ج_ح_دارایی[[#This Row],[مساعده]]+ج_ح_دارایی[[#This Row],[مالیات پرداختنی]],"")</f>
        <v>0</v>
      </c>
      <c r="V11" s="21">
        <f>IFERROR(ج_ح_دارایی[[#This Row],[جمع حقوق و مزایا]]-ج_ح_دارایی[[#This Row],[جمع کسورات]],"")</f>
        <v>0</v>
      </c>
      <c r="W11" s="21"/>
      <c r="X11" s="111"/>
    </row>
    <row r="12" spans="1:24" ht="50.1" customHeight="1">
      <c r="B12" s="17" t="s">
        <v>28</v>
      </c>
      <c r="C12" s="18">
        <v>6</v>
      </c>
      <c r="D12" s="19"/>
      <c r="E12" s="20"/>
      <c r="F12"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12"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12"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12"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12"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12" s="21">
        <v>0</v>
      </c>
      <c r="L12" s="21">
        <v>0</v>
      </c>
      <c r="M12" s="21">
        <f>IFERROR(ج_ح_دارایی[[#This Row],[حقوق پایه]]+ج_ح_دارایی[[#This Row],[حق اولاد]]+ج_ح_دارایی[[#This Row],[حق مسکن]]+ج_ح_دارایی[[#This Row],[حق خواربار]]+ج_ح_دارایی[[#This Row],[اضافه کاری]],"")</f>
        <v>0</v>
      </c>
      <c r="N12" s="21">
        <f>IFERROR(ج_ح_دارایی[[#This Row],[حقوق پایه]]+ج_ح_دارایی[[#This Row],[حق مسکن]]+ج_ح_دارایی[[#This Row],[حق خواربار]]+ج_ح_دارایی[[#This Row],[اضافه کاری]],"")</f>
        <v>0</v>
      </c>
      <c r="O12" s="21">
        <f>IFERROR(ج_ح_دارایی[[#This Row],[حقوق پایه]]+ج_ح_دارایی[[#This Row],[حق اولاد]]+ج_ح_دارایی[[#This Row],[حق مسکن]]+ج_ح_دارایی[[#This Row],[حق خواربار]]+ج_ح_دارایی[[#This Row],[اضافه کاری]],"")</f>
        <v>0</v>
      </c>
      <c r="P12" s="22">
        <f>IFERROR(ج_ح_دارایی[[#This Row],[جمع حقوق و مزایای مشمول بیمه ]]*7%,"")</f>
        <v>0</v>
      </c>
      <c r="Q12" s="21">
        <f>IFERROR(ج_ح_دارایی[[#This Row],[جمع حقوق و مزایای مشمول بیمه ]]*30%,"")</f>
        <v>0</v>
      </c>
      <c r="R12"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12"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12"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12" s="21">
        <f>IFERROR(ج_ح_دارایی[[#This Row],[سهم بیمه کارمند 7%]]+ج_ح_دارایی[[#This Row],[وام]]+ج_ح_دارایی[[#This Row],[مساعده]]+ج_ح_دارایی[[#This Row],[مالیات پرداختنی]],"")</f>
        <v>0</v>
      </c>
      <c r="V12" s="21">
        <f>IFERROR(ج_ح_دارایی[[#This Row],[جمع حقوق و مزایا]]-ج_ح_دارایی[[#This Row],[جمع کسورات]],"")</f>
        <v>0</v>
      </c>
      <c r="W12" s="21"/>
      <c r="X12" s="111"/>
    </row>
    <row r="13" spans="1:24" ht="50.1" customHeight="1">
      <c r="B13" s="17" t="s">
        <v>29</v>
      </c>
      <c r="C13" s="18">
        <v>7</v>
      </c>
      <c r="D13" s="19"/>
      <c r="E13" s="20"/>
      <c r="F13"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13"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13"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13"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13"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13" s="21">
        <v>0</v>
      </c>
      <c r="L13" s="21">
        <v>0</v>
      </c>
      <c r="M13" s="21">
        <f>IFERROR(ج_ح_دارایی[[#This Row],[حقوق پایه]]+ج_ح_دارایی[[#This Row],[حق اولاد]]+ج_ح_دارایی[[#This Row],[حق مسکن]]+ج_ح_دارایی[[#This Row],[حق خواربار]]+ج_ح_دارایی[[#This Row],[اضافه کاری]],"")</f>
        <v>0</v>
      </c>
      <c r="N13" s="21">
        <f>IFERROR(ج_ح_دارایی[[#This Row],[حقوق پایه]]+ج_ح_دارایی[[#This Row],[حق مسکن]]+ج_ح_دارایی[[#This Row],[حق خواربار]]+ج_ح_دارایی[[#This Row],[اضافه کاری]],"")</f>
        <v>0</v>
      </c>
      <c r="O13" s="21">
        <f>IFERROR(ج_ح_دارایی[[#This Row],[حقوق پایه]]+ج_ح_دارایی[[#This Row],[حق اولاد]]+ج_ح_دارایی[[#This Row],[حق مسکن]]+ج_ح_دارایی[[#This Row],[حق خواربار]]+ج_ح_دارایی[[#This Row],[اضافه کاری]],"")</f>
        <v>0</v>
      </c>
      <c r="P13" s="22">
        <f>IFERROR(ج_ح_دارایی[[#This Row],[جمع حقوق و مزایای مشمول بیمه ]]*7%,"")</f>
        <v>0</v>
      </c>
      <c r="Q13" s="21">
        <f>IFERROR(ج_ح_دارایی[[#This Row],[جمع حقوق و مزایای مشمول بیمه ]]*30%,"")</f>
        <v>0</v>
      </c>
      <c r="R13"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13"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13"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13" s="21">
        <f>IFERROR(ج_ح_دارایی[[#This Row],[سهم بیمه کارمند 7%]]+ج_ح_دارایی[[#This Row],[وام]]+ج_ح_دارایی[[#This Row],[مساعده]]+ج_ح_دارایی[[#This Row],[مالیات پرداختنی]],"")</f>
        <v>0</v>
      </c>
      <c r="V13" s="21">
        <f>IFERROR(ج_ح_دارایی[[#This Row],[جمع حقوق و مزایا]]-ج_ح_دارایی[[#This Row],[جمع کسورات]],"")</f>
        <v>0</v>
      </c>
      <c r="W13" s="21"/>
      <c r="X13" s="111"/>
    </row>
    <row r="14" spans="1:24" ht="50.1" customHeight="1">
      <c r="B14" s="17" t="s">
        <v>30</v>
      </c>
      <c r="C14" s="18">
        <v>8</v>
      </c>
      <c r="D14" s="19"/>
      <c r="E14" s="20"/>
      <c r="F14"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14"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14"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14"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14"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14" s="21">
        <v>0</v>
      </c>
      <c r="L14" s="21">
        <v>0</v>
      </c>
      <c r="M14" s="21">
        <f>IFERROR(ج_ح_دارایی[[#This Row],[حقوق پایه]]+ج_ح_دارایی[[#This Row],[حق اولاد]]+ج_ح_دارایی[[#This Row],[حق مسکن]]+ج_ح_دارایی[[#This Row],[حق خواربار]]+ج_ح_دارایی[[#This Row],[اضافه کاری]],"")</f>
        <v>0</v>
      </c>
      <c r="N14" s="21">
        <f>IFERROR(ج_ح_دارایی[[#This Row],[حقوق پایه]]+ج_ح_دارایی[[#This Row],[حق مسکن]]+ج_ح_دارایی[[#This Row],[حق خواربار]]+ج_ح_دارایی[[#This Row],[اضافه کاری]],"")</f>
        <v>0</v>
      </c>
      <c r="O14" s="21">
        <f>IFERROR(ج_ح_دارایی[[#This Row],[حقوق پایه]]+ج_ح_دارایی[[#This Row],[حق اولاد]]+ج_ح_دارایی[[#This Row],[حق مسکن]]+ج_ح_دارایی[[#This Row],[حق خواربار]]+ج_ح_دارایی[[#This Row],[اضافه کاری]],"")</f>
        <v>0</v>
      </c>
      <c r="P14" s="22">
        <f>IFERROR(ج_ح_دارایی[[#This Row],[جمع حقوق و مزایای مشمول بیمه ]]*7%,"")</f>
        <v>0</v>
      </c>
      <c r="Q14" s="21">
        <f>IFERROR(ج_ح_دارایی[[#This Row],[جمع حقوق و مزایای مشمول بیمه ]]*30%,"")</f>
        <v>0</v>
      </c>
      <c r="R14"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14"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14"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14" s="21">
        <f>IFERROR(ج_ح_دارایی[[#This Row],[سهم بیمه کارمند 7%]]+ج_ح_دارایی[[#This Row],[وام]]+ج_ح_دارایی[[#This Row],[مساعده]]+ج_ح_دارایی[[#This Row],[مالیات پرداختنی]],"")</f>
        <v>0</v>
      </c>
      <c r="V14" s="21">
        <f>IFERROR(ج_ح_دارایی[[#This Row],[جمع حقوق و مزایا]]-ج_ح_دارایی[[#This Row],[جمع کسورات]],"")</f>
        <v>0</v>
      </c>
      <c r="W14" s="21"/>
      <c r="X14" s="111"/>
    </row>
    <row r="15" spans="1:24" ht="50.1" customHeight="1">
      <c r="B15" s="17" t="s">
        <v>31</v>
      </c>
      <c r="C15" s="18">
        <v>9</v>
      </c>
      <c r="D15" s="19"/>
      <c r="E15" s="20"/>
      <c r="F15"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15"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15"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15"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15"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15" s="21">
        <v>0</v>
      </c>
      <c r="L15" s="21">
        <v>0</v>
      </c>
      <c r="M15" s="21">
        <f>IFERROR(ج_ح_دارایی[[#This Row],[حقوق پایه]]+ج_ح_دارایی[[#This Row],[حق اولاد]]+ج_ح_دارایی[[#This Row],[حق مسکن]]+ج_ح_دارایی[[#This Row],[حق خواربار]]+ج_ح_دارایی[[#This Row],[اضافه کاری]],"")</f>
        <v>0</v>
      </c>
      <c r="N15" s="21">
        <f>IFERROR(ج_ح_دارایی[[#This Row],[حقوق پایه]]+ج_ح_دارایی[[#This Row],[حق مسکن]]+ج_ح_دارایی[[#This Row],[حق خواربار]]+ج_ح_دارایی[[#This Row],[اضافه کاری]],"")</f>
        <v>0</v>
      </c>
      <c r="O15" s="21">
        <f>IFERROR(ج_ح_دارایی[[#This Row],[حقوق پایه]]+ج_ح_دارایی[[#This Row],[حق اولاد]]+ج_ح_دارایی[[#This Row],[حق مسکن]]+ج_ح_دارایی[[#This Row],[حق خواربار]]+ج_ح_دارایی[[#This Row],[اضافه کاری]],"")</f>
        <v>0</v>
      </c>
      <c r="P15" s="22">
        <f>IFERROR(ج_ح_دارایی[[#This Row],[جمع حقوق و مزایای مشمول بیمه ]]*7%,"")</f>
        <v>0</v>
      </c>
      <c r="Q15" s="21">
        <f>IFERROR(ج_ح_دارایی[[#This Row],[جمع حقوق و مزایای مشمول بیمه ]]*30%,"")</f>
        <v>0</v>
      </c>
      <c r="R15"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15"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15"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15" s="21">
        <f>IFERROR(ج_ح_دارایی[[#This Row],[سهم بیمه کارمند 7%]]+ج_ح_دارایی[[#This Row],[وام]]+ج_ح_دارایی[[#This Row],[مساعده]]+ج_ح_دارایی[[#This Row],[مالیات پرداختنی]],"")</f>
        <v>0</v>
      </c>
      <c r="V15" s="21">
        <f>IFERROR(ج_ح_دارایی[[#This Row],[جمع حقوق و مزایا]]-ج_ح_دارایی[[#This Row],[جمع کسورات]],"")</f>
        <v>0</v>
      </c>
      <c r="W15" s="21"/>
      <c r="X15" s="111"/>
    </row>
    <row r="16" spans="1:24" ht="50.1" customHeight="1">
      <c r="B16" s="17" t="s">
        <v>32</v>
      </c>
      <c r="C16" s="18">
        <v>10</v>
      </c>
      <c r="D16" s="19"/>
      <c r="E16" s="20"/>
      <c r="F16"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16"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16"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16"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16"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16" s="21">
        <v>0</v>
      </c>
      <c r="L16" s="21">
        <v>0</v>
      </c>
      <c r="M16" s="21">
        <f>IFERROR(ج_ح_دارایی[[#This Row],[حقوق پایه]]+ج_ح_دارایی[[#This Row],[حق اولاد]]+ج_ح_دارایی[[#This Row],[حق مسکن]]+ج_ح_دارایی[[#This Row],[حق خواربار]]+ج_ح_دارایی[[#This Row],[اضافه کاری]],"")</f>
        <v>0</v>
      </c>
      <c r="N16" s="21">
        <f>IFERROR(ج_ح_دارایی[[#This Row],[حقوق پایه]]+ج_ح_دارایی[[#This Row],[حق مسکن]]+ج_ح_دارایی[[#This Row],[حق خواربار]]+ج_ح_دارایی[[#This Row],[اضافه کاری]],"")</f>
        <v>0</v>
      </c>
      <c r="O16" s="21">
        <f>IFERROR(ج_ح_دارایی[[#This Row],[حقوق پایه]]+ج_ح_دارایی[[#This Row],[حق اولاد]]+ج_ح_دارایی[[#This Row],[حق مسکن]]+ج_ح_دارایی[[#This Row],[حق خواربار]]+ج_ح_دارایی[[#This Row],[اضافه کاری]],"")</f>
        <v>0</v>
      </c>
      <c r="P16" s="22">
        <f>IFERROR(ج_ح_دارایی[[#This Row],[جمع حقوق و مزایای مشمول بیمه ]]*7%,"")</f>
        <v>0</v>
      </c>
      <c r="Q16" s="21">
        <f>IFERROR(ج_ح_دارایی[[#This Row],[جمع حقوق و مزایای مشمول بیمه ]]*30%,"")</f>
        <v>0</v>
      </c>
      <c r="R16"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16"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16"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16" s="21">
        <f>IFERROR(ج_ح_دارایی[[#This Row],[سهم بیمه کارمند 7%]]+ج_ح_دارایی[[#This Row],[وام]]+ج_ح_دارایی[[#This Row],[مساعده]]+ج_ح_دارایی[[#This Row],[مالیات پرداختنی]],"")</f>
        <v>0</v>
      </c>
      <c r="V16" s="21">
        <f>IFERROR(ج_ح_دارایی[[#This Row],[جمع حقوق و مزایا]]-ج_ح_دارایی[[#This Row],[جمع کسورات]],"")</f>
        <v>0</v>
      </c>
      <c r="W16" s="21"/>
      <c r="X16" s="111"/>
    </row>
    <row r="17" spans="2:24" ht="50.1" customHeight="1">
      <c r="B17" s="17" t="s">
        <v>33</v>
      </c>
      <c r="C17" s="18">
        <v>11</v>
      </c>
      <c r="D17" s="19"/>
      <c r="E17" s="20"/>
      <c r="F17"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17"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17"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17"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17"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17" s="21">
        <v>0</v>
      </c>
      <c r="L17" s="21">
        <v>0</v>
      </c>
      <c r="M17" s="21">
        <f>IFERROR(ج_ح_دارایی[[#This Row],[حقوق پایه]]+ج_ح_دارایی[[#This Row],[حق اولاد]]+ج_ح_دارایی[[#This Row],[حق مسکن]]+ج_ح_دارایی[[#This Row],[حق خواربار]]+ج_ح_دارایی[[#This Row],[اضافه کاری]],"")</f>
        <v>0</v>
      </c>
      <c r="N17" s="21">
        <f>IFERROR(ج_ح_دارایی[[#This Row],[حقوق پایه]]+ج_ح_دارایی[[#This Row],[حق مسکن]]+ج_ح_دارایی[[#This Row],[حق خواربار]]+ج_ح_دارایی[[#This Row],[اضافه کاری]],"")</f>
        <v>0</v>
      </c>
      <c r="O17" s="21">
        <f>IFERROR(ج_ح_دارایی[[#This Row],[حقوق پایه]]+ج_ح_دارایی[[#This Row],[حق اولاد]]+ج_ح_دارایی[[#This Row],[حق مسکن]]+ج_ح_دارایی[[#This Row],[حق خواربار]]+ج_ح_دارایی[[#This Row],[اضافه کاری]],"")</f>
        <v>0</v>
      </c>
      <c r="P17" s="22">
        <f>IFERROR(ج_ح_دارایی[[#This Row],[جمع حقوق و مزایای مشمول بیمه ]]*7%,"")</f>
        <v>0</v>
      </c>
      <c r="Q17" s="21">
        <f>IFERROR(ج_ح_دارایی[[#This Row],[جمع حقوق و مزایای مشمول بیمه ]]*30%,"")</f>
        <v>0</v>
      </c>
      <c r="R17"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17"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17"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17" s="21">
        <f>IFERROR(ج_ح_دارایی[[#This Row],[سهم بیمه کارمند 7%]]+ج_ح_دارایی[[#This Row],[وام]]+ج_ح_دارایی[[#This Row],[مساعده]]+ج_ح_دارایی[[#This Row],[مالیات پرداختنی]],"")</f>
        <v>0</v>
      </c>
      <c r="V17" s="21">
        <f>IFERROR(ج_ح_دارایی[[#This Row],[جمع حقوق و مزایا]]-ج_ح_دارایی[[#This Row],[جمع کسورات]],"")</f>
        <v>0</v>
      </c>
      <c r="W17" s="21"/>
      <c r="X17" s="111"/>
    </row>
    <row r="18" spans="2:24" ht="50.1" customHeight="1">
      <c r="B18" s="17" t="s">
        <v>34</v>
      </c>
      <c r="C18" s="18">
        <v>12</v>
      </c>
      <c r="D18" s="19"/>
      <c r="E18" s="20"/>
      <c r="F18" s="21">
        <f>IF(SUMIFS('جداول حقوق و دستمزد'!H:H,'جداول حقوق و دستمزد'!E:E,"جمع",'جداول حقوق و دستمزد'!B:B,ج_ح_دارایی[[#This Row],[شماره ماه]])&gt;=0,SUMIFS('جداول حقوق و دستمزد'!H:H,'جداول حقوق و دستمزد'!E:E,"جمع",'جداول حقوق و دستمزد'!B:B,ج_ح_دارایی[[#This Row],[شماره ماه]]),"")</f>
        <v>0</v>
      </c>
      <c r="G18" s="21">
        <f>IF(SUMIFS('جداول حقوق و دستمزد'!M:M,'جداول حقوق و دستمزد'!E:E,"جمع",'جداول حقوق و دستمزد'!B:B,ج_ح_دارایی[[#This Row],[شماره ماه]])&gt;=0,SUMIFS('جداول حقوق و دستمزد'!M:M,'جداول حقوق و دستمزد'!E:E,"جمع",'جداول حقوق و دستمزد'!B:B,ج_ح_دارایی[[#This Row],[شماره ماه]]),"")</f>
        <v>0</v>
      </c>
      <c r="H18" s="21">
        <f>IF(SUMIFS('جداول حقوق و دستمزد'!K:K,'جداول حقوق و دستمزد'!E:E,"جمع",'جداول حقوق و دستمزد'!B:B,ج_ح_دارایی[[#This Row],[شماره ماه]])&gt;=0,SUMIFS('جداول حقوق و دستمزد'!K:K,'جداول حقوق و دستمزد'!E:E,"جمع",'جداول حقوق و دستمزد'!B:B,ج_ح_دارایی[[#This Row],[شماره ماه]]),"")</f>
        <v>0</v>
      </c>
      <c r="I18" s="21">
        <f>IF(SUMIFS('جداول حقوق و دستمزد'!N:N,'جداول حقوق و دستمزد'!E:E,"جمع",'جداول حقوق و دستمزد'!B:B,ج_ح_دارایی[[#This Row],[شماره ماه]])&gt;=0,SUMIFS('جداول حقوق و دستمزد'!N:N,'جداول حقوق و دستمزد'!E:E,"جمع",'جداول حقوق و دستمزد'!B:B,ج_ح_دارایی[[#This Row],[شماره ماه]]),"")</f>
        <v>0</v>
      </c>
      <c r="J18" s="21">
        <f>IF(SUMIFS('جداول حقوق و دستمزد'!J:J,'جداول حقوق و دستمزد'!E:E,"جمع",'جداول حقوق و دستمزد'!B:B,ج_ح_دارایی[[#This Row],[شماره ماه]])&gt;=0,SUMIFS('جداول حقوق و دستمزد'!J:J,'جداول حقوق و دستمزد'!E:E,"جمع",'جداول حقوق و دستمزد'!B:B,ج_ح_دارایی[[#This Row],[شماره ماه]]),"")</f>
        <v>0</v>
      </c>
      <c r="K18" s="21">
        <f>ج_ح_تجمیعی[[#Totals],[Column1333]]</f>
        <v>0</v>
      </c>
      <c r="L18" s="21">
        <f>ج_ح_تجمیعی[[#Totals],[Column134]]</f>
        <v>0</v>
      </c>
      <c r="M18" s="21">
        <f>IFERROR(ج_ح_دارایی[[#This Row],[حقوق پایه]]+ج_ح_دارایی[[#This Row],[حق اولاد]]+ج_ح_دارایی[[#This Row],[حق مسکن]]+ج_ح_دارایی[[#This Row],[حق خواربار]]+ج_ح_دارایی[[#This Row],[اضافه کاری]],"")</f>
        <v>0</v>
      </c>
      <c r="N18" s="21">
        <f>IFERROR(ج_ح_دارایی[[#This Row],[حقوق پایه]]+ج_ح_دارایی[[#This Row],[حق مسکن]]+ج_ح_دارایی[[#This Row],[حق خواربار]]+ج_ح_دارایی[[#This Row],[اضافه کاری]],"")</f>
        <v>0</v>
      </c>
      <c r="O18" s="21">
        <f>IFERROR(ج_ح_دارایی[[#This Row],[حقوق پایه]]+ج_ح_دارایی[[#This Row],[حق اولاد]]+ج_ح_دارایی[[#This Row],[حق مسکن]]+ج_ح_دارایی[[#This Row],[حق خواربار]]+ج_ح_دارایی[[#This Row],[اضافه کاری]],"")</f>
        <v>0</v>
      </c>
      <c r="P18" s="22">
        <f>IFERROR(ج_ح_دارایی[[#This Row],[جمع حقوق و مزایای مشمول بیمه ]]*7%,"")</f>
        <v>0</v>
      </c>
      <c r="Q18" s="21">
        <f>IFERROR(ج_ح_دارایی[[#This Row],[جمع حقوق و مزایای مشمول بیمه ]]*30%,"")</f>
        <v>0</v>
      </c>
      <c r="R18" s="21">
        <f>IF(SUMIFS('جداول حقوق و دستمزد'!R:R,'جداول حقوق و دستمزد'!E:E,"جمع",'جداول حقوق و دستمزد'!B:B,ج_ح_دارایی[[#This Row],[شماره ماه]])&gt;=0,SUMIFS('جداول حقوق و دستمزد'!R:R,'جداول حقوق و دستمزد'!E:E,"جمع",'جداول حقوق و دستمزد'!B:B,ج_ح_دارایی[[#This Row],[شماره ماه]]),"")</f>
        <v>0</v>
      </c>
      <c r="S18" s="21">
        <f>IF(SUMIFS('جداول حقوق و دستمزد'!S:S,'جداول حقوق و دستمزد'!E:E,"جمع",'جداول حقوق و دستمزد'!B:B,ج_ح_دارایی[[#This Row],[شماره ماه]])&gt;=0,SUMIFS('جداول حقوق و دستمزد'!S:S,'جداول حقوق و دستمزد'!E:E,"جمع",'جداول حقوق و دستمزد'!B:B,ج_ح_دارایی[[#This Row],[شماره ماه]]),"")</f>
        <v>0</v>
      </c>
      <c r="T18" s="21">
        <f>IF(SUMIFS('جداول حقوق و دستمزد'!U:U,'جداول حقوق و دستمزد'!E:E,"جمع",'جداول حقوق و دستمزد'!B:B,ج_ح_دارایی[[#This Row],[شماره ماه]])&gt;=0,SUMIFS('جداول حقوق و دستمزد'!U:U,'جداول حقوق و دستمزد'!E:E,"جمع",'جداول حقوق و دستمزد'!B:B,ج_ح_دارایی[[#This Row],[شماره ماه]]),"")</f>
        <v>0</v>
      </c>
      <c r="U18" s="21">
        <f>IFERROR(ج_ح_دارایی[[#This Row],[سهم بیمه کارمند 7%]]+ج_ح_دارایی[[#This Row],[وام]]+ج_ح_دارایی[[#This Row],[مساعده]]+ج_ح_دارایی[[#This Row],[مالیات پرداختنی]],"")</f>
        <v>0</v>
      </c>
      <c r="V18" s="21">
        <f>IFERROR(ج_ح_دارایی[[#This Row],[جمع حقوق و مزایا]]-ج_ح_دارایی[[#This Row],[جمع کسورات]],"")</f>
        <v>0</v>
      </c>
      <c r="W18" s="21"/>
      <c r="X18" s="111"/>
    </row>
    <row r="19" spans="2:24" ht="50.1" customHeight="1">
      <c r="B19" s="23"/>
      <c r="C19" s="23"/>
      <c r="D19" s="24"/>
      <c r="E19" s="24" t="s">
        <v>35</v>
      </c>
      <c r="F19" s="25">
        <f>SUBTOTAL(109,ج_ح_دارایی[حقوق پایه])</f>
        <v>0</v>
      </c>
      <c r="G19" s="25">
        <f>SUBTOTAL(109,ج_ح_دارایی[حق اولاد])</f>
        <v>0</v>
      </c>
      <c r="H19" s="25">
        <f>SUBTOTAL(109,ج_ح_دارایی[حق مسکن])</f>
        <v>0</v>
      </c>
      <c r="I19" s="25">
        <f>SUBTOTAL(109,ج_ح_دارایی[حق خواربار])</f>
        <v>0</v>
      </c>
      <c r="J19" s="25">
        <f>SUBTOTAL(109,ج_ح_دارایی[اضافه کاری])</f>
        <v>0</v>
      </c>
      <c r="K19" s="25">
        <f>SUBTOTAL(109,ج_ح_دارایی[عیدی])</f>
        <v>0</v>
      </c>
      <c r="L19" s="25">
        <f>SUBTOTAL(109,ج_ح_دارایی[بازخرید سنوات])</f>
        <v>0</v>
      </c>
      <c r="M19" s="25">
        <f>SUBTOTAL(109,ج_ح_دارایی[جمع حقوق و مزایا])</f>
        <v>0</v>
      </c>
      <c r="N19" s="25">
        <f>SUBTOTAL(109,ج_ح_دارایی[[جمع حقوق و مزایای مشمول بیمه ]])</f>
        <v>0</v>
      </c>
      <c r="O19" s="25">
        <f>SUBTOTAL(109,ج_ح_دارایی[[جمع حقوق و مزایای مشمول مالیات ]])</f>
        <v>0</v>
      </c>
      <c r="P19" s="25">
        <f>SUBTOTAL(109,ج_ح_دارایی[سهم بیمه کارمند 7%])</f>
        <v>0</v>
      </c>
      <c r="Q19" s="25">
        <f>SUBTOTAL(109,ج_ح_دارایی[کل حق بیمه 30%])</f>
        <v>0</v>
      </c>
      <c r="R19" s="25">
        <f>SUBTOTAL(109,ج_ح_دارایی[وام])</f>
        <v>0</v>
      </c>
      <c r="S19" s="25">
        <f>SUBTOTAL(109,ج_ح_دارایی[مساعده])</f>
        <v>0</v>
      </c>
      <c r="T19" s="25">
        <f>SUBTOTAL(109,ج_ح_دارایی[مالیات پرداختنی])</f>
        <v>0</v>
      </c>
      <c r="U19" s="25">
        <f>SUBTOTAL(109,ج_ح_دارایی[جمع کسورات])</f>
        <v>0</v>
      </c>
      <c r="V19" s="25">
        <f>SUBTOTAL(109,ج_ح_دارایی[خالص قابل پرداخت])</f>
        <v>0</v>
      </c>
      <c r="W19" s="25"/>
      <c r="X19" s="25"/>
    </row>
    <row r="20" spans="2:24" ht="8.1" customHeight="1"/>
    <row r="21" spans="2:24" ht="24.75">
      <c r="Q21" s="101">
        <f>ج_ح_دارایی[[#Totals],[کل حق بیمه 30%]]-ج_ح_دارایی[[#Totals],[سهم بیمه کارمند 7%]]</f>
        <v>0</v>
      </c>
    </row>
  </sheetData>
  <sheetProtection formatCells="0" selectLockedCells="1" sort="0" autoFilter="0"/>
  <mergeCells count="25">
    <mergeCell ref="U4:U5"/>
    <mergeCell ref="V4:V5"/>
    <mergeCell ref="O4:O5"/>
    <mergeCell ref="C4:C5"/>
    <mergeCell ref="M4:M5"/>
    <mergeCell ref="N4:N5"/>
    <mergeCell ref="P4:P5"/>
    <mergeCell ref="Q4:Q5"/>
    <mergeCell ref="T4:T5"/>
    <mergeCell ref="B2:X2"/>
    <mergeCell ref="B3:X3"/>
    <mergeCell ref="B4:B5"/>
    <mergeCell ref="D4:D5"/>
    <mergeCell ref="E4:E5"/>
    <mergeCell ref="F4:F5"/>
    <mergeCell ref="G4:G5"/>
    <mergeCell ref="H4:H5"/>
    <mergeCell ref="I4:I5"/>
    <mergeCell ref="J4:J5"/>
    <mergeCell ref="W4:W5"/>
    <mergeCell ref="X4:X5"/>
    <mergeCell ref="R4:R5"/>
    <mergeCell ref="S4:S5"/>
    <mergeCell ref="K4:K5"/>
    <mergeCell ref="L4:L5"/>
  </mergeCells>
  <printOptions horizontalCentered="1"/>
  <pageMargins left="0" right="0" top="0.39370078740157483" bottom="0" header="0" footer="0"/>
  <pageSetup paperSize="9" scale="32" orientation="landscape" r:id="rId1"/>
  <ignoredErrors>
    <ignoredError sqref="B7:B18" calculatedColumn="1"/>
  </ignoredError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9501F-0455-44A8-86C7-EBDFB74522B9}">
  <dimension ref="A1:D203"/>
  <sheetViews>
    <sheetView rightToLeft="1" view="pageBreakPreview" zoomScale="85" zoomScaleNormal="100" zoomScaleSheetLayoutView="85" workbookViewId="0">
      <selection activeCell="C5" sqref="C5:D5"/>
    </sheetView>
  </sheetViews>
  <sheetFormatPr defaultRowHeight="24.95" customHeight="1"/>
  <cols>
    <col min="1" max="1" width="30.625" style="58" customWidth="1"/>
    <col min="2" max="2" width="15.625" style="61" customWidth="1"/>
    <col min="3" max="3" width="30.625" style="58" customWidth="1"/>
    <col min="4" max="4" width="15.625" style="61" customWidth="1"/>
    <col min="5" max="16384" width="9" style="58"/>
  </cols>
  <sheetData>
    <row r="1" spans="1:4" ht="50.1" customHeight="1">
      <c r="A1" s="143" t="str">
        <f>CONCATENATE("شرکت"," ",'اطلاعات شرکت'!$B$1)</f>
        <v>شرکت پندار حساب شهسوار</v>
      </c>
      <c r="B1" s="143"/>
      <c r="C1" s="143"/>
      <c r="D1" s="143"/>
    </row>
    <row r="2" spans="1:4" ht="24.95" customHeight="1">
      <c r="A2" s="144" t="s">
        <v>125</v>
      </c>
      <c r="B2" s="144"/>
      <c r="C2" s="144"/>
      <c r="D2" s="144"/>
    </row>
    <row r="3" spans="1:4" ht="24.95" customHeight="1">
      <c r="A3" s="144" t="str">
        <f>CONCATENATE("فروردین ماه سال"," ",'اطلاعات شرکت'!$B$2)</f>
        <v>فروردین ماه سال 1402</v>
      </c>
      <c r="B3" s="144"/>
      <c r="C3" s="144"/>
      <c r="D3" s="144"/>
    </row>
    <row r="4" spans="1:4" ht="24.95" customHeight="1" thickBot="1">
      <c r="A4" s="58" t="s">
        <v>127</v>
      </c>
      <c r="B4" s="64" t="e">
        <f>VLOOKUP(D4,ج_ح_فروردین[],2,0)</f>
        <v>#N/A</v>
      </c>
      <c r="C4" s="67" t="e">
        <f>VLOOKUP(D4,ج_ح_فروردین[],3,0)</f>
        <v>#N/A</v>
      </c>
      <c r="D4" s="61">
        <v>1</v>
      </c>
    </row>
    <row r="5" spans="1:4" ht="24.95" customHeight="1" thickBot="1">
      <c r="A5" s="151" t="s">
        <v>128</v>
      </c>
      <c r="B5" s="149"/>
      <c r="C5" s="149" t="s">
        <v>129</v>
      </c>
      <c r="D5" s="150"/>
    </row>
    <row r="6" spans="1:4" ht="24.95" customHeight="1">
      <c r="A6" s="68" t="s">
        <v>11</v>
      </c>
      <c r="B6" s="71" t="e">
        <f>CONCATENATE(VLOOKUP(D4,'جداول حقوق و دستمزد'!C4:W36,4,0)," ","روز")</f>
        <v>#N/A</v>
      </c>
      <c r="C6" s="76" t="s">
        <v>15</v>
      </c>
      <c r="D6" s="78" t="e">
        <f>VLOOKUP(D4,'جداول حقوق و دستمزد'!C4:W36,16,0)</f>
        <v>#N/A</v>
      </c>
    </row>
    <row r="7" spans="1:4" ht="24.95" customHeight="1">
      <c r="A7" s="69" t="s">
        <v>12</v>
      </c>
      <c r="B7" s="72" t="e">
        <f>VLOOKUP(D4,'جداول حقوق و دستمزد'!C4:W36,5,0)</f>
        <v>#N/A</v>
      </c>
      <c r="C7" s="77" t="s">
        <v>16</v>
      </c>
      <c r="D7" s="72" t="e">
        <f>VLOOKUP(D4,'جداول حقوق و دستمزد'!C4:W36,17,0)</f>
        <v>#N/A</v>
      </c>
    </row>
    <row r="8" spans="1:4" ht="24.95" customHeight="1">
      <c r="A8" s="69" t="s">
        <v>37</v>
      </c>
      <c r="B8" s="72" t="e">
        <f>VLOOKUP(D4,'جداول حقوق و دستمزد'!C4:W36,6,0)</f>
        <v>#N/A</v>
      </c>
      <c r="C8" s="77" t="s">
        <v>59</v>
      </c>
      <c r="D8" s="72" t="e">
        <f>VLOOKUP(D4,'جداول حقوق و دستمزد'!C4:W36,18,0)</f>
        <v>#N/A</v>
      </c>
    </row>
    <row r="9" spans="1:4" ht="24.95" customHeight="1" thickBot="1">
      <c r="A9" s="69" t="s">
        <v>51</v>
      </c>
      <c r="B9" s="73" t="e">
        <f>CONCATENATE(VLOOKUP(D4,'جداول حقوق و دستمزد'!C4:W36,7,0)," ","ساعت")</f>
        <v>#N/A</v>
      </c>
      <c r="C9" s="77" t="s">
        <v>58</v>
      </c>
      <c r="D9" s="74" t="e">
        <f>VLOOKUP(D4,'جداول حقوق و دستمزد'!C4:W36,19,0)</f>
        <v>#N/A</v>
      </c>
    </row>
    <row r="10" spans="1:4" ht="24.95" customHeight="1">
      <c r="A10" s="69" t="s">
        <v>47</v>
      </c>
      <c r="B10" s="72" t="e">
        <f>VLOOKUP(D4,'جداول حقوق و دستمزد'!C4:W36,8,0)</f>
        <v>#N/A</v>
      </c>
      <c r="C10" s="145"/>
      <c r="D10" s="146"/>
    </row>
    <row r="11" spans="1:4" ht="24.95" customHeight="1">
      <c r="A11" s="69" t="s">
        <v>4</v>
      </c>
      <c r="B11" s="72" t="e">
        <f>VLOOKUP(D4,'جداول حقوق و دستمزد'!C4:W36,9,0)</f>
        <v>#N/A</v>
      </c>
      <c r="C11" s="147"/>
      <c r="D11" s="146"/>
    </row>
    <row r="12" spans="1:4" ht="24.95" customHeight="1">
      <c r="A12" s="69" t="s">
        <v>14</v>
      </c>
      <c r="B12" s="72" t="e">
        <f>VLOOKUP(D4,'جداول حقوق و دستمزد'!C4:W36,10,0)</f>
        <v>#N/A</v>
      </c>
      <c r="C12" s="147"/>
      <c r="D12" s="146"/>
    </row>
    <row r="13" spans="1:4" ht="24.95" customHeight="1" thickBot="1">
      <c r="A13" s="69" t="s">
        <v>5</v>
      </c>
      <c r="B13" s="74" t="e">
        <f>VLOOKUP(D4,'جداول حقوق و دستمزد'!C4:W36,11,0)</f>
        <v>#N/A</v>
      </c>
      <c r="C13" s="148"/>
      <c r="D13" s="146"/>
    </row>
    <row r="14" spans="1:4" ht="24.95" customHeight="1" thickBot="1">
      <c r="A14" s="70" t="s">
        <v>17</v>
      </c>
      <c r="B14" s="75" t="e">
        <f>VLOOKUP(D4,'جداول حقوق و دستمزد'!C4:W36,13,0)</f>
        <v>#N/A</v>
      </c>
      <c r="C14" s="79" t="s">
        <v>21</v>
      </c>
      <c r="D14" s="80" t="e">
        <f>SUM(D6:D9)</f>
        <v>#N/A</v>
      </c>
    </row>
    <row r="15" spans="1:4" ht="24.95" customHeight="1" thickBot="1">
      <c r="A15" s="65" t="s">
        <v>126</v>
      </c>
      <c r="B15" s="142" t="e" cm="1">
        <f t="array" ref="B15">CONCATENATE([1]!AbH(D15)," ","ریال")</f>
        <v>#VALUE!</v>
      </c>
      <c r="C15" s="142"/>
      <c r="D15" s="66" t="e">
        <f>ROUND(B14-D14,0)</f>
        <v>#N/A</v>
      </c>
    </row>
    <row r="16" spans="1:4" s="63" customFormat="1" ht="39.950000000000003" customHeight="1">
      <c r="A16" s="63" t="s">
        <v>130</v>
      </c>
      <c r="B16" s="62"/>
      <c r="C16" s="81" t="s">
        <v>131</v>
      </c>
      <c r="D16" s="62"/>
    </row>
    <row r="17" spans="1:4" ht="24.95" customHeight="1">
      <c r="A17" s="82"/>
      <c r="B17" s="83"/>
      <c r="C17" s="82"/>
      <c r="D17" s="83"/>
    </row>
    <row r="18" spans="1:4" ht="50.1" customHeight="1">
      <c r="A18" s="143" t="str">
        <f>CONCATENATE("شرکت"," ",'اطلاعات شرکت'!$B$1)</f>
        <v>شرکت پندار حساب شهسوار</v>
      </c>
      <c r="B18" s="143"/>
      <c r="C18" s="143"/>
      <c r="D18" s="143"/>
    </row>
    <row r="19" spans="1:4" ht="24.95" customHeight="1">
      <c r="A19" s="144" t="s">
        <v>125</v>
      </c>
      <c r="B19" s="144"/>
      <c r="C19" s="144"/>
      <c r="D19" s="144"/>
    </row>
    <row r="20" spans="1:4" ht="24.95" customHeight="1">
      <c r="A20" s="144" t="str">
        <f>CONCATENATE("اردیبهشت ماه سال"," ",'اطلاعات شرکت'!$B$2)</f>
        <v>اردیبهشت ماه سال 1402</v>
      </c>
      <c r="B20" s="144"/>
      <c r="C20" s="144"/>
      <c r="D20" s="144"/>
    </row>
    <row r="21" spans="1:4" ht="24.95" customHeight="1" thickBot="1">
      <c r="A21" s="58" t="s">
        <v>127</v>
      </c>
      <c r="B21" s="64" t="e">
        <f>VLOOKUP(D21,ج_ح_اردیبهشت[],2,0)</f>
        <v>#N/A</v>
      </c>
      <c r="C21" s="67" t="e">
        <f>VLOOKUP(D21,ج_ح_اردیبهشت[],3,0)</f>
        <v>#N/A</v>
      </c>
      <c r="D21" s="61">
        <f>D4</f>
        <v>1</v>
      </c>
    </row>
    <row r="22" spans="1:4" ht="24.95" customHeight="1" thickBot="1">
      <c r="A22" s="151" t="s">
        <v>128</v>
      </c>
      <c r="B22" s="149"/>
      <c r="C22" s="149" t="s">
        <v>129</v>
      </c>
      <c r="D22" s="150"/>
    </row>
    <row r="23" spans="1:4" ht="24.95" customHeight="1">
      <c r="A23" s="68" t="s">
        <v>11</v>
      </c>
      <c r="B23" s="71" t="e">
        <f>CONCATENATE(VLOOKUP(D4,'جداول حقوق و دستمزد'!C41:W73,4,0)," ","روز")</f>
        <v>#N/A</v>
      </c>
      <c r="C23" s="76" t="s">
        <v>15</v>
      </c>
      <c r="D23" s="78" t="e">
        <f>VLOOKUP(D4,'جداول حقوق و دستمزد'!C41:W73,16,0)</f>
        <v>#N/A</v>
      </c>
    </row>
    <row r="24" spans="1:4" ht="24.95" customHeight="1">
      <c r="A24" s="69" t="s">
        <v>12</v>
      </c>
      <c r="B24" s="72" t="e">
        <f>VLOOKUP(D4,'جداول حقوق و دستمزد'!C41:W73,5,0)</f>
        <v>#N/A</v>
      </c>
      <c r="C24" s="77" t="s">
        <v>16</v>
      </c>
      <c r="D24" s="72" t="e">
        <f>VLOOKUP(D4,'جداول حقوق و دستمزد'!C41:W73,17,0)</f>
        <v>#N/A</v>
      </c>
    </row>
    <row r="25" spans="1:4" ht="24.95" customHeight="1">
      <c r="A25" s="69" t="s">
        <v>37</v>
      </c>
      <c r="B25" s="72" t="e">
        <f>VLOOKUP(D4,'جداول حقوق و دستمزد'!C41:W73,6,0)</f>
        <v>#N/A</v>
      </c>
      <c r="C25" s="77" t="s">
        <v>59</v>
      </c>
      <c r="D25" s="72" t="e">
        <f>VLOOKUP(D4,'جداول حقوق و دستمزد'!C41:W73,18,0)</f>
        <v>#N/A</v>
      </c>
    </row>
    <row r="26" spans="1:4" ht="24.95" customHeight="1" thickBot="1">
      <c r="A26" s="69" t="s">
        <v>51</v>
      </c>
      <c r="B26" s="73" t="e">
        <f>CONCATENATE(VLOOKUP(D4,'جداول حقوق و دستمزد'!C41:W73,7,0)," ","ساعت")</f>
        <v>#N/A</v>
      </c>
      <c r="C26" s="77" t="s">
        <v>58</v>
      </c>
      <c r="D26" s="74" t="e">
        <f>VLOOKUP(D4,'جداول حقوق و دستمزد'!C4:W36,19,0)</f>
        <v>#N/A</v>
      </c>
    </row>
    <row r="27" spans="1:4" ht="24.95" customHeight="1">
      <c r="A27" s="69" t="s">
        <v>47</v>
      </c>
      <c r="B27" s="72" t="e">
        <f>VLOOKUP(D4,'جداول حقوق و دستمزد'!C41:W73,8,0)</f>
        <v>#N/A</v>
      </c>
      <c r="C27" s="145"/>
      <c r="D27" s="146"/>
    </row>
    <row r="28" spans="1:4" ht="24.95" customHeight="1">
      <c r="A28" s="69" t="s">
        <v>4</v>
      </c>
      <c r="B28" s="72" t="e">
        <f>VLOOKUP(D4,'جداول حقوق و دستمزد'!C41:W73,9,0)</f>
        <v>#N/A</v>
      </c>
      <c r="C28" s="147"/>
      <c r="D28" s="146"/>
    </row>
    <row r="29" spans="1:4" ht="24.95" customHeight="1">
      <c r="A29" s="69" t="s">
        <v>14</v>
      </c>
      <c r="B29" s="72" t="e">
        <f>VLOOKUP(D4,'جداول حقوق و دستمزد'!C41:W73,10,0)</f>
        <v>#N/A</v>
      </c>
      <c r="C29" s="147"/>
      <c r="D29" s="146"/>
    </row>
    <row r="30" spans="1:4" ht="24.95" customHeight="1" thickBot="1">
      <c r="A30" s="69" t="s">
        <v>5</v>
      </c>
      <c r="B30" s="74" t="e">
        <f>VLOOKUP(D4,'جداول حقوق و دستمزد'!C41:W73,11,0)</f>
        <v>#N/A</v>
      </c>
      <c r="C30" s="148"/>
      <c r="D30" s="146"/>
    </row>
    <row r="31" spans="1:4" ht="24.95" customHeight="1" thickBot="1">
      <c r="A31" s="70" t="s">
        <v>17</v>
      </c>
      <c r="B31" s="75" t="e">
        <f>VLOOKUP(D4,'جداول حقوق و دستمزد'!C41:W73,13,0)</f>
        <v>#N/A</v>
      </c>
      <c r="C31" s="79" t="s">
        <v>21</v>
      </c>
      <c r="D31" s="80" t="e">
        <f>SUM(D23:D26)</f>
        <v>#N/A</v>
      </c>
    </row>
    <row r="32" spans="1:4" ht="24.95" customHeight="1" thickBot="1">
      <c r="A32" s="65" t="s">
        <v>126</v>
      </c>
      <c r="B32" s="142" t="e" cm="1">
        <f t="array" ref="B32">CONCATENATE([1]!AbH(D32)," ","ریال")</f>
        <v>#VALUE!</v>
      </c>
      <c r="C32" s="142"/>
      <c r="D32" s="66" t="e">
        <f>ROUND(B31-D31,0)</f>
        <v>#N/A</v>
      </c>
    </row>
    <row r="33" spans="1:4" s="63" customFormat="1" ht="39.950000000000003" customHeight="1">
      <c r="A33" s="63" t="s">
        <v>130</v>
      </c>
      <c r="B33" s="62"/>
      <c r="C33" s="81" t="s">
        <v>131</v>
      </c>
      <c r="D33" s="62"/>
    </row>
    <row r="35" spans="1:4" ht="50.1" customHeight="1">
      <c r="A35" s="143" t="str">
        <f>CONCATENATE("شرکت"," ",'اطلاعات شرکت'!$B$1)</f>
        <v>شرکت پندار حساب شهسوار</v>
      </c>
      <c r="B35" s="143"/>
      <c r="C35" s="143"/>
      <c r="D35" s="143"/>
    </row>
    <row r="36" spans="1:4" ht="24.95" customHeight="1">
      <c r="A36" s="144" t="s">
        <v>125</v>
      </c>
      <c r="B36" s="144"/>
      <c r="C36" s="144"/>
      <c r="D36" s="144"/>
    </row>
    <row r="37" spans="1:4" ht="24.95" customHeight="1">
      <c r="A37" s="144" t="str">
        <f>CONCATENATE("خرداد ماه سال"," ",'اطلاعات شرکت'!$B$2)</f>
        <v>خرداد ماه سال 1402</v>
      </c>
      <c r="B37" s="144"/>
      <c r="C37" s="144"/>
      <c r="D37" s="144"/>
    </row>
    <row r="38" spans="1:4" ht="24.95" customHeight="1" thickBot="1">
      <c r="A38" s="58" t="s">
        <v>127</v>
      </c>
      <c r="B38" s="64" t="e">
        <f>VLOOKUP(D38,ج_ح_خرداد[],2,0)</f>
        <v>#N/A</v>
      </c>
      <c r="C38" s="67" t="e">
        <f>VLOOKUP(D38,ج_ح_خرداد[],3,0)</f>
        <v>#N/A</v>
      </c>
      <c r="D38" s="61">
        <f>D4</f>
        <v>1</v>
      </c>
    </row>
    <row r="39" spans="1:4" ht="24.95" customHeight="1" thickBot="1">
      <c r="A39" s="151" t="s">
        <v>128</v>
      </c>
      <c r="B39" s="149"/>
      <c r="C39" s="149" t="s">
        <v>129</v>
      </c>
      <c r="D39" s="150"/>
    </row>
    <row r="40" spans="1:4" ht="24.95" customHeight="1">
      <c r="A40" s="68" t="s">
        <v>11</v>
      </c>
      <c r="B40" s="71" t="e">
        <f>CONCATENATE(VLOOKUP(D4,'جداول حقوق و دستمزد'!C78:W110,4,0)," ","روز")</f>
        <v>#N/A</v>
      </c>
      <c r="C40" s="76" t="s">
        <v>15</v>
      </c>
      <c r="D40" s="78" t="e">
        <f>VLOOKUP(D4,'جداول حقوق و دستمزد'!C78:W110,16,0)</f>
        <v>#N/A</v>
      </c>
    </row>
    <row r="41" spans="1:4" ht="24.95" customHeight="1">
      <c r="A41" s="69" t="s">
        <v>12</v>
      </c>
      <c r="B41" s="72" t="e">
        <f>VLOOKUP(D4,'جداول حقوق و دستمزد'!C78:W110,5,0)</f>
        <v>#N/A</v>
      </c>
      <c r="C41" s="77" t="s">
        <v>16</v>
      </c>
      <c r="D41" s="72" t="e">
        <f>VLOOKUP(D4,'جداول حقوق و دستمزد'!C78:W110,17,0)</f>
        <v>#N/A</v>
      </c>
    </row>
    <row r="42" spans="1:4" ht="24.95" customHeight="1">
      <c r="A42" s="69" t="s">
        <v>37</v>
      </c>
      <c r="B42" s="72" t="e">
        <f>VLOOKUP(D4,'جداول حقوق و دستمزد'!C78:W110,6,0)</f>
        <v>#N/A</v>
      </c>
      <c r="C42" s="77" t="s">
        <v>59</v>
      </c>
      <c r="D42" s="72" t="e">
        <f>VLOOKUP(D4,'جداول حقوق و دستمزد'!C78:W110,18,0)</f>
        <v>#N/A</v>
      </c>
    </row>
    <row r="43" spans="1:4" ht="24.95" customHeight="1" thickBot="1">
      <c r="A43" s="69" t="s">
        <v>51</v>
      </c>
      <c r="B43" s="73" t="e">
        <f>CONCATENATE(VLOOKUP(D4,'جداول حقوق و دستمزد'!C78:W110,7,0)," ","ساعت")</f>
        <v>#N/A</v>
      </c>
      <c r="C43" s="77" t="s">
        <v>58</v>
      </c>
      <c r="D43" s="74" t="e">
        <f>VLOOKUP(D4,'جداول حقوق و دستمزد'!C78:W110,19,0)</f>
        <v>#N/A</v>
      </c>
    </row>
    <row r="44" spans="1:4" ht="24.95" customHeight="1">
      <c r="A44" s="69" t="s">
        <v>47</v>
      </c>
      <c r="B44" s="72" t="e">
        <f>VLOOKUP(D4,'جداول حقوق و دستمزد'!C78:W110,8,0)</f>
        <v>#N/A</v>
      </c>
      <c r="C44" s="145"/>
      <c r="D44" s="146"/>
    </row>
    <row r="45" spans="1:4" ht="24.95" customHeight="1">
      <c r="A45" s="69" t="s">
        <v>4</v>
      </c>
      <c r="B45" s="72" t="e">
        <f>VLOOKUP(D4,'جداول حقوق و دستمزد'!C78:W110,9,0)</f>
        <v>#N/A</v>
      </c>
      <c r="C45" s="147"/>
      <c r="D45" s="146"/>
    </row>
    <row r="46" spans="1:4" ht="24.95" customHeight="1">
      <c r="A46" s="69" t="s">
        <v>14</v>
      </c>
      <c r="B46" s="72" t="e">
        <f>VLOOKUP(D4,'جداول حقوق و دستمزد'!C78:W110,10,0)</f>
        <v>#N/A</v>
      </c>
      <c r="C46" s="147"/>
      <c r="D46" s="146"/>
    </row>
    <row r="47" spans="1:4" ht="24.95" customHeight="1" thickBot="1">
      <c r="A47" s="69" t="s">
        <v>5</v>
      </c>
      <c r="B47" s="74" t="e">
        <f>VLOOKUP(D4,'جداول حقوق و دستمزد'!C78:W110,11,0)</f>
        <v>#N/A</v>
      </c>
      <c r="C47" s="148"/>
      <c r="D47" s="146"/>
    </row>
    <row r="48" spans="1:4" ht="24.95" customHeight="1" thickBot="1">
      <c r="A48" s="70" t="s">
        <v>17</v>
      </c>
      <c r="B48" s="75" t="e">
        <f>VLOOKUP(D4,'جداول حقوق و دستمزد'!C78:W110,13,0)</f>
        <v>#N/A</v>
      </c>
      <c r="C48" s="79" t="s">
        <v>21</v>
      </c>
      <c r="D48" s="80" t="e">
        <f>SUM(D40:D43)</f>
        <v>#N/A</v>
      </c>
    </row>
    <row r="49" spans="1:4" ht="24.95" customHeight="1" thickBot="1">
      <c r="A49" s="65" t="s">
        <v>126</v>
      </c>
      <c r="B49" s="142" t="e" cm="1">
        <f t="array" ref="B49">CONCATENATE([1]!AbH(D49)," ","ریال")</f>
        <v>#VALUE!</v>
      </c>
      <c r="C49" s="142"/>
      <c r="D49" s="66" t="e">
        <f>ROUND(B48-D48,0)</f>
        <v>#N/A</v>
      </c>
    </row>
    <row r="50" spans="1:4" s="63" customFormat="1" ht="39.950000000000003" customHeight="1">
      <c r="A50" s="63" t="s">
        <v>130</v>
      </c>
      <c r="B50" s="62"/>
      <c r="C50" s="81" t="s">
        <v>131</v>
      </c>
      <c r="D50" s="62"/>
    </row>
    <row r="51" spans="1:4" ht="24.95" customHeight="1">
      <c r="A51" s="82"/>
      <c r="B51" s="83"/>
      <c r="C51" s="82"/>
      <c r="D51" s="83"/>
    </row>
    <row r="52" spans="1:4" ht="50.1" customHeight="1">
      <c r="A52" s="143" t="str">
        <f>CONCATENATE("شرکت"," ",'اطلاعات شرکت'!$B$1)</f>
        <v>شرکت پندار حساب شهسوار</v>
      </c>
      <c r="B52" s="143"/>
      <c r="C52" s="143"/>
      <c r="D52" s="143"/>
    </row>
    <row r="53" spans="1:4" ht="24.95" customHeight="1">
      <c r="A53" s="144" t="s">
        <v>125</v>
      </c>
      <c r="B53" s="144"/>
      <c r="C53" s="144"/>
      <c r="D53" s="144"/>
    </row>
    <row r="54" spans="1:4" ht="24.95" customHeight="1">
      <c r="A54" s="144" t="str">
        <f>CONCATENATE("تیر ماه سال"," ",'اطلاعات شرکت'!$B$2)</f>
        <v>تیر ماه سال 1402</v>
      </c>
      <c r="B54" s="144"/>
      <c r="C54" s="144"/>
      <c r="D54" s="144"/>
    </row>
    <row r="55" spans="1:4" ht="24.95" customHeight="1" thickBot="1">
      <c r="A55" s="58" t="s">
        <v>127</v>
      </c>
      <c r="B55" s="64" t="e">
        <f>VLOOKUP(D55,ج_ح_تیر[],2,0)</f>
        <v>#N/A</v>
      </c>
      <c r="C55" s="67" t="e">
        <f>VLOOKUP(D55,ج_ح_تیر[],3,0)</f>
        <v>#N/A</v>
      </c>
      <c r="D55" s="61">
        <f>D4</f>
        <v>1</v>
      </c>
    </row>
    <row r="56" spans="1:4" ht="24.95" customHeight="1" thickBot="1">
      <c r="A56" s="151" t="s">
        <v>128</v>
      </c>
      <c r="B56" s="149"/>
      <c r="C56" s="149" t="s">
        <v>129</v>
      </c>
      <c r="D56" s="150"/>
    </row>
    <row r="57" spans="1:4" ht="24.95" customHeight="1">
      <c r="A57" s="68" t="s">
        <v>11</v>
      </c>
      <c r="B57" s="71" t="e">
        <f>CONCATENATE(VLOOKUP(D4,'جداول حقوق و دستمزد'!C115:W147,4,0)," ","روز")</f>
        <v>#N/A</v>
      </c>
      <c r="C57" s="76" t="s">
        <v>15</v>
      </c>
      <c r="D57" s="78" t="e">
        <f>VLOOKUP(D4,'جداول حقوق و دستمزد'!C115:W147,16,0)</f>
        <v>#N/A</v>
      </c>
    </row>
    <row r="58" spans="1:4" ht="24.95" customHeight="1">
      <c r="A58" s="69" t="s">
        <v>12</v>
      </c>
      <c r="B58" s="72" t="e">
        <f>VLOOKUP(D4,'جداول حقوق و دستمزد'!C115:W147,5,0)</f>
        <v>#N/A</v>
      </c>
      <c r="C58" s="77" t="s">
        <v>16</v>
      </c>
      <c r="D58" s="72" t="e">
        <f>VLOOKUP(D4,'جداول حقوق و دستمزد'!C115:W147,17,0)</f>
        <v>#N/A</v>
      </c>
    </row>
    <row r="59" spans="1:4" ht="24.95" customHeight="1">
      <c r="A59" s="69" t="s">
        <v>37</v>
      </c>
      <c r="B59" s="72" t="e">
        <f>VLOOKUP(D4,'جداول حقوق و دستمزد'!C115:W147,6,0)</f>
        <v>#N/A</v>
      </c>
      <c r="C59" s="77" t="s">
        <v>59</v>
      </c>
      <c r="D59" s="72" t="e">
        <f>VLOOKUP(D4,'جداول حقوق و دستمزد'!C115:W147,18,0)</f>
        <v>#N/A</v>
      </c>
    </row>
    <row r="60" spans="1:4" ht="24.95" customHeight="1" thickBot="1">
      <c r="A60" s="69" t="s">
        <v>51</v>
      </c>
      <c r="B60" s="73" t="e">
        <f>CONCATENATE(VLOOKUP(D4,'جداول حقوق و دستمزد'!C115:W147,7,0)," ","ساعت")</f>
        <v>#N/A</v>
      </c>
      <c r="C60" s="77" t="s">
        <v>58</v>
      </c>
      <c r="D60" s="74" t="e">
        <f>VLOOKUP(D4,'جداول حقوق و دستمزد'!C115:W147,19,0)</f>
        <v>#N/A</v>
      </c>
    </row>
    <row r="61" spans="1:4" ht="24.95" customHeight="1">
      <c r="A61" s="69" t="s">
        <v>47</v>
      </c>
      <c r="B61" s="72" t="e">
        <f>VLOOKUP(D4,'جداول حقوق و دستمزد'!C115:W147,8,0)</f>
        <v>#N/A</v>
      </c>
      <c r="C61" s="145"/>
      <c r="D61" s="146"/>
    </row>
    <row r="62" spans="1:4" ht="24.95" customHeight="1">
      <c r="A62" s="69" t="s">
        <v>4</v>
      </c>
      <c r="B62" s="72" t="e">
        <f>VLOOKUP(D4,'جداول حقوق و دستمزد'!C115:W147,9,0)</f>
        <v>#N/A</v>
      </c>
      <c r="C62" s="147"/>
      <c r="D62" s="146"/>
    </row>
    <row r="63" spans="1:4" ht="24.95" customHeight="1">
      <c r="A63" s="69" t="s">
        <v>14</v>
      </c>
      <c r="B63" s="72" t="e">
        <f>VLOOKUP(D4,'جداول حقوق و دستمزد'!C115:W147,10,0)</f>
        <v>#N/A</v>
      </c>
      <c r="C63" s="147"/>
      <c r="D63" s="146"/>
    </row>
    <row r="64" spans="1:4" ht="24.95" customHeight="1" thickBot="1">
      <c r="A64" s="69" t="s">
        <v>5</v>
      </c>
      <c r="B64" s="74" t="e">
        <f>VLOOKUP(D4,'جداول حقوق و دستمزد'!C115:W147,11,0)</f>
        <v>#N/A</v>
      </c>
      <c r="C64" s="148"/>
      <c r="D64" s="146"/>
    </row>
    <row r="65" spans="1:4" ht="24.95" customHeight="1" thickBot="1">
      <c r="A65" s="70" t="s">
        <v>17</v>
      </c>
      <c r="B65" s="75" t="e">
        <f>VLOOKUP(D4,'جداول حقوق و دستمزد'!C115:W147,13,0)</f>
        <v>#N/A</v>
      </c>
      <c r="C65" s="79" t="s">
        <v>21</v>
      </c>
      <c r="D65" s="80" t="e">
        <f>SUM(D57:D60)</f>
        <v>#N/A</v>
      </c>
    </row>
    <row r="66" spans="1:4" ht="24.95" customHeight="1" thickBot="1">
      <c r="A66" s="65" t="s">
        <v>126</v>
      </c>
      <c r="B66" s="142" t="e" cm="1">
        <f t="array" ref="B66">CONCATENATE([1]!AbH(D66)," ","ریال")</f>
        <v>#VALUE!</v>
      </c>
      <c r="C66" s="142"/>
      <c r="D66" s="66" t="e">
        <f>ROUND(B65-D65,0)</f>
        <v>#N/A</v>
      </c>
    </row>
    <row r="67" spans="1:4" s="63" customFormat="1" ht="39.950000000000003" customHeight="1">
      <c r="A67" s="63" t="s">
        <v>130</v>
      </c>
      <c r="B67" s="62"/>
      <c r="C67" s="81" t="s">
        <v>131</v>
      </c>
      <c r="D67" s="62"/>
    </row>
    <row r="69" spans="1:4" ht="50.1" customHeight="1">
      <c r="A69" s="143" t="str">
        <f>CONCATENATE("شرکت"," ",'اطلاعات شرکت'!$B$1)</f>
        <v>شرکت پندار حساب شهسوار</v>
      </c>
      <c r="B69" s="143"/>
      <c r="C69" s="143"/>
      <c r="D69" s="143"/>
    </row>
    <row r="70" spans="1:4" ht="24.95" customHeight="1">
      <c r="A70" s="144" t="s">
        <v>125</v>
      </c>
      <c r="B70" s="144"/>
      <c r="C70" s="144"/>
      <c r="D70" s="144"/>
    </row>
    <row r="71" spans="1:4" ht="24.95" customHeight="1">
      <c r="A71" s="144" t="str">
        <f>CONCATENATE("مرداد ماه سال"," ",'اطلاعات شرکت'!$B$2)</f>
        <v>مرداد ماه سال 1402</v>
      </c>
      <c r="B71" s="144"/>
      <c r="C71" s="144"/>
      <c r="D71" s="144"/>
    </row>
    <row r="72" spans="1:4" ht="24.95" customHeight="1" thickBot="1">
      <c r="A72" s="58" t="s">
        <v>127</v>
      </c>
      <c r="B72" s="64" t="e">
        <f>VLOOKUP(D72,ج_ح_مرداد[],2,0)</f>
        <v>#N/A</v>
      </c>
      <c r="C72" s="67" t="e">
        <f>VLOOKUP(D72,ج_ح_مرداد[],3,0)</f>
        <v>#N/A</v>
      </c>
      <c r="D72" s="61">
        <f>D4</f>
        <v>1</v>
      </c>
    </row>
    <row r="73" spans="1:4" ht="24.95" customHeight="1" thickBot="1">
      <c r="A73" s="151" t="s">
        <v>128</v>
      </c>
      <c r="B73" s="149"/>
      <c r="C73" s="149" t="s">
        <v>129</v>
      </c>
      <c r="D73" s="150"/>
    </row>
    <row r="74" spans="1:4" ht="24.95" customHeight="1">
      <c r="A74" s="68" t="s">
        <v>11</v>
      </c>
      <c r="B74" s="71" t="e">
        <f>CONCATENATE(VLOOKUP(D4,'جداول حقوق و دستمزد'!C152:W184,4,0)," ","روز")</f>
        <v>#N/A</v>
      </c>
      <c r="C74" s="76" t="s">
        <v>15</v>
      </c>
      <c r="D74" s="78" t="e">
        <f>VLOOKUP(D4,'جداول حقوق و دستمزد'!C152:W184,16,0)</f>
        <v>#N/A</v>
      </c>
    </row>
    <row r="75" spans="1:4" ht="24.95" customHeight="1">
      <c r="A75" s="69" t="s">
        <v>12</v>
      </c>
      <c r="B75" s="72" t="e">
        <f>VLOOKUP(D4,'جداول حقوق و دستمزد'!C152:W184,5,0)</f>
        <v>#N/A</v>
      </c>
      <c r="C75" s="77" t="s">
        <v>16</v>
      </c>
      <c r="D75" s="72" t="e">
        <f>VLOOKUP(D4,'جداول حقوق و دستمزد'!C152:W184,17,0)</f>
        <v>#N/A</v>
      </c>
    </row>
    <row r="76" spans="1:4" ht="24.95" customHeight="1">
      <c r="A76" s="69" t="s">
        <v>37</v>
      </c>
      <c r="B76" s="72" t="e">
        <f>VLOOKUP(D4,'جداول حقوق و دستمزد'!C152:W184,6,0)</f>
        <v>#N/A</v>
      </c>
      <c r="C76" s="77" t="s">
        <v>59</v>
      </c>
      <c r="D76" s="72" t="e">
        <f>VLOOKUP(D4,'جداول حقوق و دستمزد'!C152:W184,18,0)</f>
        <v>#N/A</v>
      </c>
    </row>
    <row r="77" spans="1:4" ht="24.95" customHeight="1" thickBot="1">
      <c r="A77" s="69" t="s">
        <v>51</v>
      </c>
      <c r="B77" s="73" t="e">
        <f>CONCATENATE(VLOOKUP(D4,'جداول حقوق و دستمزد'!C152:W184,7,0)," ","ساعت")</f>
        <v>#N/A</v>
      </c>
      <c r="C77" s="77" t="s">
        <v>58</v>
      </c>
      <c r="D77" s="74" t="e">
        <f>VLOOKUP(D4,'جداول حقوق و دستمزد'!C152:W184,19,0)</f>
        <v>#N/A</v>
      </c>
    </row>
    <row r="78" spans="1:4" ht="24.95" customHeight="1">
      <c r="A78" s="69" t="s">
        <v>47</v>
      </c>
      <c r="B78" s="72" t="e">
        <f>VLOOKUP(D4,'جداول حقوق و دستمزد'!C152:W184,8,0)</f>
        <v>#N/A</v>
      </c>
      <c r="C78" s="145"/>
      <c r="D78" s="146"/>
    </row>
    <row r="79" spans="1:4" ht="24.95" customHeight="1">
      <c r="A79" s="69" t="s">
        <v>4</v>
      </c>
      <c r="B79" s="72" t="e">
        <f>VLOOKUP(D4,'جداول حقوق و دستمزد'!C152:W184,9,0)</f>
        <v>#N/A</v>
      </c>
      <c r="C79" s="147"/>
      <c r="D79" s="146"/>
    </row>
    <row r="80" spans="1:4" ht="24.95" customHeight="1">
      <c r="A80" s="69" t="s">
        <v>14</v>
      </c>
      <c r="B80" s="72" t="e">
        <f>VLOOKUP(D4,'جداول حقوق و دستمزد'!C152:W184,10,0)</f>
        <v>#N/A</v>
      </c>
      <c r="C80" s="147"/>
      <c r="D80" s="146"/>
    </row>
    <row r="81" spans="1:4" ht="24.95" customHeight="1" thickBot="1">
      <c r="A81" s="69" t="s">
        <v>5</v>
      </c>
      <c r="B81" s="74" t="e">
        <f>VLOOKUP(D4,'جداول حقوق و دستمزد'!C152:W184,11,0)</f>
        <v>#N/A</v>
      </c>
      <c r="C81" s="148"/>
      <c r="D81" s="146"/>
    </row>
    <row r="82" spans="1:4" ht="24.95" customHeight="1" thickBot="1">
      <c r="A82" s="70" t="s">
        <v>17</v>
      </c>
      <c r="B82" s="75" t="e">
        <f>VLOOKUP(D4,'جداول حقوق و دستمزد'!C152:W184,13,0)</f>
        <v>#N/A</v>
      </c>
      <c r="C82" s="79" t="s">
        <v>21</v>
      </c>
      <c r="D82" s="80" t="e">
        <f>SUM(D74:D77)</f>
        <v>#N/A</v>
      </c>
    </row>
    <row r="83" spans="1:4" ht="24.95" customHeight="1" thickBot="1">
      <c r="A83" s="65" t="s">
        <v>126</v>
      </c>
      <c r="B83" s="142" t="e" cm="1">
        <f t="array" ref="B83">CONCATENATE([1]!AbH(D83)," ","ریال")</f>
        <v>#VALUE!</v>
      </c>
      <c r="C83" s="142"/>
      <c r="D83" s="66" t="e">
        <f>ROUND(B82-D82,0)</f>
        <v>#N/A</v>
      </c>
    </row>
    <row r="84" spans="1:4" s="63" customFormat="1" ht="39.950000000000003" customHeight="1">
      <c r="A84" s="63" t="s">
        <v>130</v>
      </c>
      <c r="B84" s="62"/>
      <c r="C84" s="81" t="s">
        <v>131</v>
      </c>
      <c r="D84" s="62"/>
    </row>
    <row r="85" spans="1:4" ht="24.95" customHeight="1">
      <c r="A85" s="82"/>
      <c r="B85" s="83"/>
      <c r="C85" s="82"/>
      <c r="D85" s="83"/>
    </row>
    <row r="86" spans="1:4" ht="50.1" customHeight="1">
      <c r="A86" s="143" t="str">
        <f>CONCATENATE("شرکت"," ",'اطلاعات شرکت'!$B$1)</f>
        <v>شرکت پندار حساب شهسوار</v>
      </c>
      <c r="B86" s="143"/>
      <c r="C86" s="143"/>
      <c r="D86" s="143"/>
    </row>
    <row r="87" spans="1:4" ht="24.95" customHeight="1">
      <c r="A87" s="144" t="s">
        <v>125</v>
      </c>
      <c r="B87" s="144"/>
      <c r="C87" s="144"/>
      <c r="D87" s="144"/>
    </row>
    <row r="88" spans="1:4" ht="24.95" customHeight="1">
      <c r="A88" s="144" t="str">
        <f>CONCATENATE("شهریور ماه سال"," ",'اطلاعات شرکت'!$B$2)</f>
        <v>شهریور ماه سال 1402</v>
      </c>
      <c r="B88" s="144"/>
      <c r="C88" s="144"/>
      <c r="D88" s="144"/>
    </row>
    <row r="89" spans="1:4" ht="24.95" customHeight="1" thickBot="1">
      <c r="A89" s="58" t="s">
        <v>127</v>
      </c>
      <c r="B89" s="64" t="e">
        <f>VLOOKUP(D89,ج_ح_شهریور[],2,0)</f>
        <v>#N/A</v>
      </c>
      <c r="C89" s="67" t="e">
        <f>VLOOKUP(D89,ج_ح_شهریور[],3,0)</f>
        <v>#N/A</v>
      </c>
      <c r="D89" s="61">
        <f>D4</f>
        <v>1</v>
      </c>
    </row>
    <row r="90" spans="1:4" ht="24.95" customHeight="1" thickBot="1">
      <c r="A90" s="151" t="s">
        <v>128</v>
      </c>
      <c r="B90" s="149"/>
      <c r="C90" s="149" t="s">
        <v>129</v>
      </c>
      <c r="D90" s="150"/>
    </row>
    <row r="91" spans="1:4" ht="24.95" customHeight="1">
      <c r="A91" s="68" t="s">
        <v>11</v>
      </c>
      <c r="B91" s="71" t="e">
        <f>CONCATENATE(VLOOKUP(D4,'جداول حقوق و دستمزد'!C189:W221,4,0)," ","روز")</f>
        <v>#N/A</v>
      </c>
      <c r="C91" s="76" t="s">
        <v>15</v>
      </c>
      <c r="D91" s="78" t="e">
        <f>VLOOKUP(D4,'جداول حقوق و دستمزد'!C189:W221,16,0)</f>
        <v>#N/A</v>
      </c>
    </row>
    <row r="92" spans="1:4" ht="24.95" customHeight="1">
      <c r="A92" s="69" t="s">
        <v>12</v>
      </c>
      <c r="B92" s="72" t="e">
        <f>VLOOKUP(D4,'جداول حقوق و دستمزد'!C189:W221,5,0)</f>
        <v>#N/A</v>
      </c>
      <c r="C92" s="77" t="s">
        <v>16</v>
      </c>
      <c r="D92" s="72" t="e">
        <f>VLOOKUP(D4,'جداول حقوق و دستمزد'!C189:W221,17,0)</f>
        <v>#N/A</v>
      </c>
    </row>
    <row r="93" spans="1:4" ht="24.95" customHeight="1">
      <c r="A93" s="69" t="s">
        <v>37</v>
      </c>
      <c r="B93" s="72" t="e">
        <f>VLOOKUP(D4,'جداول حقوق و دستمزد'!C189:W221,6,0)</f>
        <v>#N/A</v>
      </c>
      <c r="C93" s="77" t="s">
        <v>59</v>
      </c>
      <c r="D93" s="72" t="e">
        <f>VLOOKUP(D4,'جداول حقوق و دستمزد'!C189:W221,18,0)</f>
        <v>#N/A</v>
      </c>
    </row>
    <row r="94" spans="1:4" ht="24.95" customHeight="1" thickBot="1">
      <c r="A94" s="69" t="s">
        <v>51</v>
      </c>
      <c r="B94" s="73" t="e">
        <f>CONCATENATE(VLOOKUP(D4,'جداول حقوق و دستمزد'!C189:W221,7,0)," ","ساعت")</f>
        <v>#N/A</v>
      </c>
      <c r="C94" s="77" t="s">
        <v>58</v>
      </c>
      <c r="D94" s="74" t="e">
        <f>VLOOKUP(D4,'جداول حقوق و دستمزد'!C189:W221,19,0)</f>
        <v>#N/A</v>
      </c>
    </row>
    <row r="95" spans="1:4" ht="24.95" customHeight="1">
      <c r="A95" s="69" t="s">
        <v>47</v>
      </c>
      <c r="B95" s="72" t="e">
        <f>VLOOKUP(D4,'جداول حقوق و دستمزد'!C189:W221,8,0)</f>
        <v>#N/A</v>
      </c>
      <c r="C95" s="145"/>
      <c r="D95" s="146"/>
    </row>
    <row r="96" spans="1:4" ht="24.95" customHeight="1">
      <c r="A96" s="69" t="s">
        <v>4</v>
      </c>
      <c r="B96" s="72" t="e">
        <f>VLOOKUP(D4,'جداول حقوق و دستمزد'!C189:W221,9,0)</f>
        <v>#N/A</v>
      </c>
      <c r="C96" s="147"/>
      <c r="D96" s="146"/>
    </row>
    <row r="97" spans="1:4" ht="24.95" customHeight="1">
      <c r="A97" s="69" t="s">
        <v>14</v>
      </c>
      <c r="B97" s="72" t="e">
        <f>VLOOKUP(D4,'جداول حقوق و دستمزد'!C189:W221,10,0)</f>
        <v>#N/A</v>
      </c>
      <c r="C97" s="147"/>
      <c r="D97" s="146"/>
    </row>
    <row r="98" spans="1:4" ht="24.95" customHeight="1" thickBot="1">
      <c r="A98" s="69" t="s">
        <v>5</v>
      </c>
      <c r="B98" s="74" t="e">
        <f>VLOOKUP(D4,'جداول حقوق و دستمزد'!C189:W221,11,0)</f>
        <v>#N/A</v>
      </c>
      <c r="C98" s="148"/>
      <c r="D98" s="146"/>
    </row>
    <row r="99" spans="1:4" ht="24.95" customHeight="1" thickBot="1">
      <c r="A99" s="70" t="s">
        <v>17</v>
      </c>
      <c r="B99" s="75" t="e">
        <f>VLOOKUP(D4,'جداول حقوق و دستمزد'!C189:W221,13,0)</f>
        <v>#N/A</v>
      </c>
      <c r="C99" s="79" t="s">
        <v>21</v>
      </c>
      <c r="D99" s="80" t="e">
        <f>SUM(D91:D94)</f>
        <v>#N/A</v>
      </c>
    </row>
    <row r="100" spans="1:4" ht="24.95" customHeight="1" thickBot="1">
      <c r="A100" s="65" t="s">
        <v>126</v>
      </c>
      <c r="B100" s="142" t="e" cm="1">
        <f t="array" ref="B100">CONCATENATE([1]!AbH(D100)," ","ریال")</f>
        <v>#VALUE!</v>
      </c>
      <c r="C100" s="142"/>
      <c r="D100" s="66" t="e">
        <f>ROUND(B99-D99,0)</f>
        <v>#N/A</v>
      </c>
    </row>
    <row r="101" spans="1:4" s="63" customFormat="1" ht="39.950000000000003" customHeight="1">
      <c r="A101" s="63" t="s">
        <v>130</v>
      </c>
      <c r="B101" s="62"/>
      <c r="C101" s="81" t="s">
        <v>131</v>
      </c>
      <c r="D101" s="62"/>
    </row>
    <row r="103" spans="1:4" ht="50.1" customHeight="1">
      <c r="A103" s="143" t="str">
        <f>CONCATENATE("شرکت"," ",'اطلاعات شرکت'!$B$1)</f>
        <v>شرکت پندار حساب شهسوار</v>
      </c>
      <c r="B103" s="143"/>
      <c r="C103" s="143"/>
      <c r="D103" s="143"/>
    </row>
    <row r="104" spans="1:4" ht="24.95" customHeight="1">
      <c r="A104" s="144" t="s">
        <v>125</v>
      </c>
      <c r="B104" s="144"/>
      <c r="C104" s="144"/>
      <c r="D104" s="144"/>
    </row>
    <row r="105" spans="1:4" ht="24.95" customHeight="1">
      <c r="A105" s="144" t="str">
        <f>CONCATENATE("مهر ماه سال"," ",'اطلاعات شرکت'!$B$2)</f>
        <v>مهر ماه سال 1402</v>
      </c>
      <c r="B105" s="144"/>
      <c r="C105" s="144"/>
      <c r="D105" s="144"/>
    </row>
    <row r="106" spans="1:4" ht="24.95" customHeight="1" thickBot="1">
      <c r="A106" s="58" t="s">
        <v>127</v>
      </c>
      <c r="B106" s="64" t="e">
        <f>VLOOKUP(D106,ج_ح_مهر[],2,0)</f>
        <v>#N/A</v>
      </c>
      <c r="C106" s="67" t="e">
        <f>VLOOKUP(D106,ج_ح_مهر[],3,0)</f>
        <v>#N/A</v>
      </c>
      <c r="D106" s="61">
        <f>D4</f>
        <v>1</v>
      </c>
    </row>
    <row r="107" spans="1:4" ht="24.95" customHeight="1" thickBot="1">
      <c r="A107" s="151" t="s">
        <v>128</v>
      </c>
      <c r="B107" s="149"/>
      <c r="C107" s="149" t="s">
        <v>129</v>
      </c>
      <c r="D107" s="150"/>
    </row>
    <row r="108" spans="1:4" ht="24.95" customHeight="1">
      <c r="A108" s="68" t="s">
        <v>11</v>
      </c>
      <c r="B108" s="71" t="e">
        <f>CONCATENATE(VLOOKUP(D4,'جداول حقوق و دستمزد'!C226:W258,4,0)," ","روز")</f>
        <v>#N/A</v>
      </c>
      <c r="C108" s="76" t="s">
        <v>15</v>
      </c>
      <c r="D108" s="78" t="e">
        <f>VLOOKUP(D4,'جداول حقوق و دستمزد'!C226:W258,16,0)</f>
        <v>#N/A</v>
      </c>
    </row>
    <row r="109" spans="1:4" ht="24.95" customHeight="1">
      <c r="A109" s="69" t="s">
        <v>12</v>
      </c>
      <c r="B109" s="72" t="e">
        <f>VLOOKUP(D4,'جداول حقوق و دستمزد'!C226:W258,5,0)</f>
        <v>#N/A</v>
      </c>
      <c r="C109" s="77" t="s">
        <v>16</v>
      </c>
      <c r="D109" s="72" t="e">
        <f>VLOOKUP(D4,'جداول حقوق و دستمزد'!C226:W258,17,0)</f>
        <v>#N/A</v>
      </c>
    </row>
    <row r="110" spans="1:4" ht="24.95" customHeight="1">
      <c r="A110" s="69" t="s">
        <v>37</v>
      </c>
      <c r="B110" s="72" t="e">
        <f>VLOOKUP(D4,'جداول حقوق و دستمزد'!C226:W258,6,0)</f>
        <v>#N/A</v>
      </c>
      <c r="C110" s="77" t="s">
        <v>59</v>
      </c>
      <c r="D110" s="72" t="e">
        <f>VLOOKUP(D4,'جداول حقوق و دستمزد'!C226:W258,18,0)</f>
        <v>#N/A</v>
      </c>
    </row>
    <row r="111" spans="1:4" ht="24.95" customHeight="1" thickBot="1">
      <c r="A111" s="69" t="s">
        <v>51</v>
      </c>
      <c r="B111" s="73" t="e">
        <f>CONCATENATE(VLOOKUP(D4,'جداول حقوق و دستمزد'!C226:W258,7,0)," ","ساعت")</f>
        <v>#N/A</v>
      </c>
      <c r="C111" s="77" t="s">
        <v>58</v>
      </c>
      <c r="D111" s="74" t="e">
        <f>VLOOKUP(D4,'جداول حقوق و دستمزد'!C226:W258,19,0)</f>
        <v>#N/A</v>
      </c>
    </row>
    <row r="112" spans="1:4" ht="24.95" customHeight="1">
      <c r="A112" s="69" t="s">
        <v>47</v>
      </c>
      <c r="B112" s="72" t="e">
        <f>VLOOKUP(D4,'جداول حقوق و دستمزد'!C226:W258,8,0)</f>
        <v>#N/A</v>
      </c>
      <c r="C112" s="145"/>
      <c r="D112" s="146"/>
    </row>
    <row r="113" spans="1:4" ht="24.95" customHeight="1">
      <c r="A113" s="69" t="s">
        <v>4</v>
      </c>
      <c r="B113" s="72" t="e">
        <f>VLOOKUP(D4,'جداول حقوق و دستمزد'!C226:W258,9,0)</f>
        <v>#N/A</v>
      </c>
      <c r="C113" s="147"/>
      <c r="D113" s="146"/>
    </row>
    <row r="114" spans="1:4" ht="24.95" customHeight="1">
      <c r="A114" s="69" t="s">
        <v>14</v>
      </c>
      <c r="B114" s="72" t="e">
        <f>VLOOKUP(D4,'جداول حقوق و دستمزد'!C226:W258,10,0)</f>
        <v>#N/A</v>
      </c>
      <c r="C114" s="147"/>
      <c r="D114" s="146"/>
    </row>
    <row r="115" spans="1:4" ht="24.95" customHeight="1" thickBot="1">
      <c r="A115" s="69" t="s">
        <v>5</v>
      </c>
      <c r="B115" s="74" t="e">
        <f>VLOOKUP(D4,'جداول حقوق و دستمزد'!C226:W258,11,0)</f>
        <v>#N/A</v>
      </c>
      <c r="C115" s="148"/>
      <c r="D115" s="146"/>
    </row>
    <row r="116" spans="1:4" ht="24.95" customHeight="1" thickBot="1">
      <c r="A116" s="70" t="s">
        <v>17</v>
      </c>
      <c r="B116" s="75" t="e">
        <f>VLOOKUP(D4,'جداول حقوق و دستمزد'!C226:W258,13,0)</f>
        <v>#N/A</v>
      </c>
      <c r="C116" s="79" t="s">
        <v>21</v>
      </c>
      <c r="D116" s="80" t="e">
        <f>SUM(D108:D111)</f>
        <v>#N/A</v>
      </c>
    </row>
    <row r="117" spans="1:4" ht="24.95" customHeight="1" thickBot="1">
      <c r="A117" s="65" t="s">
        <v>126</v>
      </c>
      <c r="B117" s="142" t="e" cm="1">
        <f t="array" ref="B117">CONCATENATE([1]!AbH(D117)," ","ریال")</f>
        <v>#VALUE!</v>
      </c>
      <c r="C117" s="142"/>
      <c r="D117" s="66" t="e">
        <f>ROUND(B116-D116,0)</f>
        <v>#N/A</v>
      </c>
    </row>
    <row r="118" spans="1:4" s="63" customFormat="1" ht="39.950000000000003" customHeight="1">
      <c r="A118" s="63" t="s">
        <v>130</v>
      </c>
      <c r="B118" s="62"/>
      <c r="C118" s="81" t="s">
        <v>131</v>
      </c>
      <c r="D118" s="62"/>
    </row>
    <row r="119" spans="1:4" ht="24.95" customHeight="1">
      <c r="A119" s="82"/>
      <c r="B119" s="83"/>
      <c r="C119" s="82"/>
      <c r="D119" s="83"/>
    </row>
    <row r="120" spans="1:4" ht="50.1" customHeight="1">
      <c r="A120" s="143" t="str">
        <f>CONCATENATE("شرکت"," ",'اطلاعات شرکت'!$B$1)</f>
        <v>شرکت پندار حساب شهسوار</v>
      </c>
      <c r="B120" s="143"/>
      <c r="C120" s="143"/>
      <c r="D120" s="143"/>
    </row>
    <row r="121" spans="1:4" ht="24.95" customHeight="1">
      <c r="A121" s="144" t="s">
        <v>125</v>
      </c>
      <c r="B121" s="144"/>
      <c r="C121" s="144"/>
      <c r="D121" s="144"/>
    </row>
    <row r="122" spans="1:4" ht="24.95" customHeight="1">
      <c r="A122" s="144" t="str">
        <f>CONCATENATE("آبان ماه سال"," ",'اطلاعات شرکت'!$B$2)</f>
        <v>آبان ماه سال 1402</v>
      </c>
      <c r="B122" s="144"/>
      <c r="C122" s="144"/>
      <c r="D122" s="144"/>
    </row>
    <row r="123" spans="1:4" ht="24.95" customHeight="1" thickBot="1">
      <c r="A123" s="58" t="s">
        <v>127</v>
      </c>
      <c r="B123" s="64" t="e">
        <f>VLOOKUP(D123,ج_ح_آبان[],2,0)</f>
        <v>#N/A</v>
      </c>
      <c r="C123" s="67" t="e">
        <f>VLOOKUP(D123,ج_ح_آبان[],3,0)</f>
        <v>#N/A</v>
      </c>
      <c r="D123" s="61">
        <f>D4</f>
        <v>1</v>
      </c>
    </row>
    <row r="124" spans="1:4" ht="24.95" customHeight="1" thickBot="1">
      <c r="A124" s="151" t="s">
        <v>128</v>
      </c>
      <c r="B124" s="149"/>
      <c r="C124" s="149" t="s">
        <v>129</v>
      </c>
      <c r="D124" s="150"/>
    </row>
    <row r="125" spans="1:4" ht="24.95" customHeight="1">
      <c r="A125" s="68" t="s">
        <v>11</v>
      </c>
      <c r="B125" s="71" t="e">
        <f>CONCATENATE(VLOOKUP(D4,'جداول حقوق و دستمزد'!C263:W295,4,0)," ","روز")</f>
        <v>#N/A</v>
      </c>
      <c r="C125" s="76" t="s">
        <v>15</v>
      </c>
      <c r="D125" s="78" t="e">
        <f>VLOOKUP(D4,'جداول حقوق و دستمزد'!C263:W295,16,0)</f>
        <v>#N/A</v>
      </c>
    </row>
    <row r="126" spans="1:4" ht="24.95" customHeight="1">
      <c r="A126" s="69" t="s">
        <v>12</v>
      </c>
      <c r="B126" s="72" t="e">
        <f>VLOOKUP(D4,'جداول حقوق و دستمزد'!C263:W295,5,0)</f>
        <v>#N/A</v>
      </c>
      <c r="C126" s="77" t="s">
        <v>16</v>
      </c>
      <c r="D126" s="72" t="e">
        <f>VLOOKUP(D4,'جداول حقوق و دستمزد'!C263:W295,17,0)</f>
        <v>#N/A</v>
      </c>
    </row>
    <row r="127" spans="1:4" ht="24.95" customHeight="1">
      <c r="A127" s="69" t="s">
        <v>37</v>
      </c>
      <c r="B127" s="72" t="e">
        <f>VLOOKUP(D4,'جداول حقوق و دستمزد'!C263:W295,6,0)</f>
        <v>#N/A</v>
      </c>
      <c r="C127" s="77" t="s">
        <v>59</v>
      </c>
      <c r="D127" s="72" t="e">
        <f>VLOOKUP(D4,'جداول حقوق و دستمزد'!C263:W295,18,0)</f>
        <v>#N/A</v>
      </c>
    </row>
    <row r="128" spans="1:4" ht="24.95" customHeight="1" thickBot="1">
      <c r="A128" s="69" t="s">
        <v>51</v>
      </c>
      <c r="B128" s="73" t="e">
        <f>CONCATENATE(VLOOKUP(D4,'جداول حقوق و دستمزد'!C263:W295,7,0)," ","ساعت")</f>
        <v>#N/A</v>
      </c>
      <c r="C128" s="77" t="s">
        <v>58</v>
      </c>
      <c r="D128" s="74" t="e">
        <f>VLOOKUP(D4,'جداول حقوق و دستمزد'!C263:W295,19,0)</f>
        <v>#N/A</v>
      </c>
    </row>
    <row r="129" spans="1:4" ht="24.95" customHeight="1">
      <c r="A129" s="69" t="s">
        <v>47</v>
      </c>
      <c r="B129" s="72" t="e">
        <f>VLOOKUP(D4,'جداول حقوق و دستمزد'!C263:W295,8,0)</f>
        <v>#N/A</v>
      </c>
      <c r="C129" s="145"/>
      <c r="D129" s="146"/>
    </row>
    <row r="130" spans="1:4" ht="24.95" customHeight="1">
      <c r="A130" s="69" t="s">
        <v>4</v>
      </c>
      <c r="B130" s="72" t="e">
        <f>VLOOKUP(D4,'جداول حقوق و دستمزد'!C263:W295,9,0)</f>
        <v>#N/A</v>
      </c>
      <c r="C130" s="147"/>
      <c r="D130" s="146"/>
    </row>
    <row r="131" spans="1:4" ht="24.95" customHeight="1">
      <c r="A131" s="69" t="s">
        <v>14</v>
      </c>
      <c r="B131" s="72" t="e">
        <f>VLOOKUP(D4,'جداول حقوق و دستمزد'!C263:W295,10,0)</f>
        <v>#N/A</v>
      </c>
      <c r="C131" s="147"/>
      <c r="D131" s="146"/>
    </row>
    <row r="132" spans="1:4" ht="24.95" customHeight="1" thickBot="1">
      <c r="A132" s="69" t="s">
        <v>5</v>
      </c>
      <c r="B132" s="74" t="e">
        <f>VLOOKUP(D4,'جداول حقوق و دستمزد'!C263:W295,11,0)</f>
        <v>#N/A</v>
      </c>
      <c r="C132" s="148"/>
      <c r="D132" s="146"/>
    </row>
    <row r="133" spans="1:4" ht="24.95" customHeight="1" thickBot="1">
      <c r="A133" s="70" t="s">
        <v>17</v>
      </c>
      <c r="B133" s="75" t="e">
        <f>VLOOKUP(D4,'جداول حقوق و دستمزد'!C263:W295,13,0)</f>
        <v>#N/A</v>
      </c>
      <c r="C133" s="79" t="s">
        <v>21</v>
      </c>
      <c r="D133" s="80" t="e">
        <f>SUM(D125:D128)</f>
        <v>#N/A</v>
      </c>
    </row>
    <row r="134" spans="1:4" ht="24.95" customHeight="1" thickBot="1">
      <c r="A134" s="65" t="s">
        <v>126</v>
      </c>
      <c r="B134" s="142" t="e" cm="1">
        <f t="array" ref="B134">CONCATENATE([1]!AbH(D134)," ","ریال")</f>
        <v>#VALUE!</v>
      </c>
      <c r="C134" s="142"/>
      <c r="D134" s="66" t="e">
        <f>ROUND(B133-D133,0)</f>
        <v>#N/A</v>
      </c>
    </row>
    <row r="135" spans="1:4" s="63" customFormat="1" ht="39.950000000000003" customHeight="1">
      <c r="A135" s="63" t="s">
        <v>130</v>
      </c>
      <c r="B135" s="62"/>
      <c r="C135" s="81" t="s">
        <v>131</v>
      </c>
      <c r="D135" s="62"/>
    </row>
    <row r="137" spans="1:4" ht="50.1" customHeight="1">
      <c r="A137" s="143" t="str">
        <f>CONCATENATE("شرکت"," ",'اطلاعات شرکت'!$B$1)</f>
        <v>شرکت پندار حساب شهسوار</v>
      </c>
      <c r="B137" s="143"/>
      <c r="C137" s="143"/>
      <c r="D137" s="143"/>
    </row>
    <row r="138" spans="1:4" ht="24.95" customHeight="1">
      <c r="A138" s="144" t="s">
        <v>125</v>
      </c>
      <c r="B138" s="144"/>
      <c r="C138" s="144"/>
      <c r="D138" s="144"/>
    </row>
    <row r="139" spans="1:4" ht="24.95" customHeight="1">
      <c r="A139" s="144" t="str">
        <f>CONCATENATE("آذر ماه سال"," ",'اطلاعات شرکت'!$B$2)</f>
        <v>آذر ماه سال 1402</v>
      </c>
      <c r="B139" s="144"/>
      <c r="C139" s="144"/>
      <c r="D139" s="144"/>
    </row>
    <row r="140" spans="1:4" ht="24.95" customHeight="1" thickBot="1">
      <c r="A140" s="58" t="s">
        <v>127</v>
      </c>
      <c r="B140" s="64" t="e">
        <f>VLOOKUP(D140,ج_ح_آذر[],2,0)</f>
        <v>#N/A</v>
      </c>
      <c r="C140" s="67" t="e">
        <f>VLOOKUP(D140,ج_ح_آذر[],3,0)</f>
        <v>#N/A</v>
      </c>
      <c r="D140" s="61">
        <f>D4</f>
        <v>1</v>
      </c>
    </row>
    <row r="141" spans="1:4" ht="24.95" customHeight="1" thickBot="1">
      <c r="A141" s="151" t="s">
        <v>128</v>
      </c>
      <c r="B141" s="149"/>
      <c r="C141" s="149" t="s">
        <v>129</v>
      </c>
      <c r="D141" s="150"/>
    </row>
    <row r="142" spans="1:4" ht="24.95" customHeight="1">
      <c r="A142" s="68" t="s">
        <v>11</v>
      </c>
      <c r="B142" s="71" t="e">
        <f>CONCATENATE(VLOOKUP(D4,'جداول حقوق و دستمزد'!C300:W332,4,0)," ","روز")</f>
        <v>#N/A</v>
      </c>
      <c r="C142" s="76" t="s">
        <v>15</v>
      </c>
      <c r="D142" s="78" t="e">
        <f>VLOOKUP(D4,'جداول حقوق و دستمزد'!C300:W332,16,0)</f>
        <v>#N/A</v>
      </c>
    </row>
    <row r="143" spans="1:4" ht="24.95" customHeight="1">
      <c r="A143" s="69" t="s">
        <v>12</v>
      </c>
      <c r="B143" s="72" t="e">
        <f>VLOOKUP(D4,'جداول حقوق و دستمزد'!C300:W332,5,0)</f>
        <v>#N/A</v>
      </c>
      <c r="C143" s="77" t="s">
        <v>16</v>
      </c>
      <c r="D143" s="72" t="e">
        <f>VLOOKUP(D4,'جداول حقوق و دستمزد'!C300:W332,17,0)</f>
        <v>#N/A</v>
      </c>
    </row>
    <row r="144" spans="1:4" ht="24.95" customHeight="1">
      <c r="A144" s="69" t="s">
        <v>37</v>
      </c>
      <c r="B144" s="72" t="e">
        <f>VLOOKUP(D4,'جداول حقوق و دستمزد'!C300:W332,6,0)</f>
        <v>#N/A</v>
      </c>
      <c r="C144" s="77" t="s">
        <v>59</v>
      </c>
      <c r="D144" s="72" t="e">
        <f>VLOOKUP(D4,'جداول حقوق و دستمزد'!C300:W332,18,0)</f>
        <v>#N/A</v>
      </c>
    </row>
    <row r="145" spans="1:4" ht="24.95" customHeight="1" thickBot="1">
      <c r="A145" s="69" t="s">
        <v>51</v>
      </c>
      <c r="B145" s="73" t="e">
        <f>CONCATENATE(VLOOKUP(D4,'جداول حقوق و دستمزد'!C300:W332,7,0)," ","ساعت")</f>
        <v>#N/A</v>
      </c>
      <c r="C145" s="77" t="s">
        <v>58</v>
      </c>
      <c r="D145" s="74" t="e">
        <f>VLOOKUP(D4,'جداول حقوق و دستمزد'!C300:W332,19,0)</f>
        <v>#N/A</v>
      </c>
    </row>
    <row r="146" spans="1:4" ht="24.95" customHeight="1">
      <c r="A146" s="69" t="s">
        <v>47</v>
      </c>
      <c r="B146" s="72" t="e">
        <f>VLOOKUP(D4,'جداول حقوق و دستمزد'!C300:W332,8,0)</f>
        <v>#N/A</v>
      </c>
      <c r="C146" s="145"/>
      <c r="D146" s="146"/>
    </row>
    <row r="147" spans="1:4" ht="24.95" customHeight="1">
      <c r="A147" s="69" t="s">
        <v>4</v>
      </c>
      <c r="B147" s="72" t="e">
        <f>VLOOKUP(D4,'جداول حقوق و دستمزد'!C300:W332,9,0)</f>
        <v>#N/A</v>
      </c>
      <c r="C147" s="147"/>
      <c r="D147" s="146"/>
    </row>
    <row r="148" spans="1:4" ht="24.95" customHeight="1">
      <c r="A148" s="69" t="s">
        <v>14</v>
      </c>
      <c r="B148" s="72" t="e">
        <f>VLOOKUP(D4,'جداول حقوق و دستمزد'!C300:W332,10,0)</f>
        <v>#N/A</v>
      </c>
      <c r="C148" s="147"/>
      <c r="D148" s="146"/>
    </row>
    <row r="149" spans="1:4" ht="24.95" customHeight="1" thickBot="1">
      <c r="A149" s="69" t="s">
        <v>5</v>
      </c>
      <c r="B149" s="74" t="e">
        <f>VLOOKUP(D4,'جداول حقوق و دستمزد'!C300:W332,11,0)</f>
        <v>#N/A</v>
      </c>
      <c r="C149" s="148"/>
      <c r="D149" s="146"/>
    </row>
    <row r="150" spans="1:4" ht="24.95" customHeight="1" thickBot="1">
      <c r="A150" s="70" t="s">
        <v>17</v>
      </c>
      <c r="B150" s="75" t="e">
        <f>VLOOKUP(D4,'جداول حقوق و دستمزد'!C300:W332,13,0)</f>
        <v>#N/A</v>
      </c>
      <c r="C150" s="79" t="s">
        <v>21</v>
      </c>
      <c r="D150" s="80" t="e">
        <f>SUM(D142:D145)</f>
        <v>#N/A</v>
      </c>
    </row>
    <row r="151" spans="1:4" ht="24.95" customHeight="1" thickBot="1">
      <c r="A151" s="65" t="s">
        <v>126</v>
      </c>
      <c r="B151" s="142" t="e" cm="1">
        <f t="array" ref="B151">CONCATENATE([1]!AbH(D151)," ","ریال")</f>
        <v>#VALUE!</v>
      </c>
      <c r="C151" s="142"/>
      <c r="D151" s="66" t="e">
        <f>ROUND(B150-D150,0)</f>
        <v>#N/A</v>
      </c>
    </row>
    <row r="152" spans="1:4" s="63" customFormat="1" ht="39.950000000000003" customHeight="1">
      <c r="A152" s="63" t="s">
        <v>130</v>
      </c>
      <c r="B152" s="62"/>
      <c r="C152" s="81" t="s">
        <v>131</v>
      </c>
      <c r="D152" s="62"/>
    </row>
    <row r="153" spans="1:4" ht="24.95" customHeight="1">
      <c r="A153" s="82"/>
      <c r="B153" s="83"/>
      <c r="C153" s="82"/>
      <c r="D153" s="83"/>
    </row>
    <row r="154" spans="1:4" ht="50.1" customHeight="1">
      <c r="A154" s="143" t="str">
        <f>CONCATENATE("شرکت"," ",'اطلاعات شرکت'!$B$1)</f>
        <v>شرکت پندار حساب شهسوار</v>
      </c>
      <c r="B154" s="143"/>
      <c r="C154" s="143"/>
      <c r="D154" s="143"/>
    </row>
    <row r="155" spans="1:4" ht="24.95" customHeight="1">
      <c r="A155" s="144" t="s">
        <v>125</v>
      </c>
      <c r="B155" s="144"/>
      <c r="C155" s="144"/>
      <c r="D155" s="144"/>
    </row>
    <row r="156" spans="1:4" ht="24.95" customHeight="1">
      <c r="A156" s="144" t="str">
        <f>CONCATENATE("دی ماه سال"," ",'اطلاعات شرکت'!$B$2)</f>
        <v>دی ماه سال 1402</v>
      </c>
      <c r="B156" s="144"/>
      <c r="C156" s="144"/>
      <c r="D156" s="144"/>
    </row>
    <row r="157" spans="1:4" ht="24.95" customHeight="1" thickBot="1">
      <c r="A157" s="58" t="s">
        <v>127</v>
      </c>
      <c r="B157" s="64" t="e">
        <f>VLOOKUP(D157,ج_ح_دی[],2,0)</f>
        <v>#N/A</v>
      </c>
      <c r="C157" s="67" t="e">
        <f>VLOOKUP(D157,ج_ح_دی[],3,0)</f>
        <v>#N/A</v>
      </c>
      <c r="D157" s="61">
        <f>D4</f>
        <v>1</v>
      </c>
    </row>
    <row r="158" spans="1:4" ht="24.95" customHeight="1" thickBot="1">
      <c r="A158" s="151" t="s">
        <v>128</v>
      </c>
      <c r="B158" s="149"/>
      <c r="C158" s="149" t="s">
        <v>129</v>
      </c>
      <c r="D158" s="150"/>
    </row>
    <row r="159" spans="1:4" ht="24.95" customHeight="1">
      <c r="A159" s="68" t="s">
        <v>11</v>
      </c>
      <c r="B159" s="71" t="e">
        <f>CONCATENATE(VLOOKUP(D4,'جداول حقوق و دستمزد'!C337:W369,4,0)," ","روز")</f>
        <v>#N/A</v>
      </c>
      <c r="C159" s="76" t="s">
        <v>15</v>
      </c>
      <c r="D159" s="78" t="e">
        <f>VLOOKUP(D4,'جداول حقوق و دستمزد'!C337:W369,16,0)</f>
        <v>#N/A</v>
      </c>
    </row>
    <row r="160" spans="1:4" ht="24.95" customHeight="1">
      <c r="A160" s="69" t="s">
        <v>12</v>
      </c>
      <c r="B160" s="72" t="e">
        <f>VLOOKUP(D4,'جداول حقوق و دستمزد'!C337:W369,5,0)</f>
        <v>#N/A</v>
      </c>
      <c r="C160" s="77" t="s">
        <v>16</v>
      </c>
      <c r="D160" s="72" t="e">
        <f>VLOOKUP(D4,'جداول حقوق و دستمزد'!C337:W369,17,0)</f>
        <v>#N/A</v>
      </c>
    </row>
    <row r="161" spans="1:4" ht="24.95" customHeight="1">
      <c r="A161" s="69" t="s">
        <v>37</v>
      </c>
      <c r="B161" s="72" t="e">
        <f>VLOOKUP(D4,'جداول حقوق و دستمزد'!C337:W369,6,0)</f>
        <v>#N/A</v>
      </c>
      <c r="C161" s="77" t="s">
        <v>59</v>
      </c>
      <c r="D161" s="72" t="e">
        <f>VLOOKUP(D4,'جداول حقوق و دستمزد'!C337:W369,18,0)</f>
        <v>#N/A</v>
      </c>
    </row>
    <row r="162" spans="1:4" ht="24.95" customHeight="1" thickBot="1">
      <c r="A162" s="69" t="s">
        <v>51</v>
      </c>
      <c r="B162" s="73" t="e">
        <f>CONCATENATE(VLOOKUP(D4,'جداول حقوق و دستمزد'!C337:W369,7,0)," ","ساعت")</f>
        <v>#N/A</v>
      </c>
      <c r="C162" s="77" t="s">
        <v>58</v>
      </c>
      <c r="D162" s="74" t="e">
        <f>VLOOKUP(D4,'جداول حقوق و دستمزد'!C337:W369,19,0)</f>
        <v>#N/A</v>
      </c>
    </row>
    <row r="163" spans="1:4" ht="24.95" customHeight="1">
      <c r="A163" s="69" t="s">
        <v>47</v>
      </c>
      <c r="B163" s="72" t="e">
        <f>VLOOKUP(D4,'جداول حقوق و دستمزد'!C337:W369,8,0)</f>
        <v>#N/A</v>
      </c>
      <c r="C163" s="145"/>
      <c r="D163" s="146"/>
    </row>
    <row r="164" spans="1:4" ht="24.95" customHeight="1">
      <c r="A164" s="69" t="s">
        <v>4</v>
      </c>
      <c r="B164" s="72" t="e">
        <f>VLOOKUP(D4,'جداول حقوق و دستمزد'!C337:W369,9,0)</f>
        <v>#N/A</v>
      </c>
      <c r="C164" s="147"/>
      <c r="D164" s="146"/>
    </row>
    <row r="165" spans="1:4" ht="24.95" customHeight="1">
      <c r="A165" s="69" t="s">
        <v>14</v>
      </c>
      <c r="B165" s="72" t="e">
        <f>VLOOKUP(D4,'جداول حقوق و دستمزد'!C337:W369,10,0)</f>
        <v>#N/A</v>
      </c>
      <c r="C165" s="147"/>
      <c r="D165" s="146"/>
    </row>
    <row r="166" spans="1:4" ht="24.95" customHeight="1" thickBot="1">
      <c r="A166" s="69" t="s">
        <v>5</v>
      </c>
      <c r="B166" s="74" t="e">
        <f>VLOOKUP(D4,'جداول حقوق و دستمزد'!C337:W369,11,0)</f>
        <v>#N/A</v>
      </c>
      <c r="C166" s="148"/>
      <c r="D166" s="146"/>
    </row>
    <row r="167" spans="1:4" ht="24.95" customHeight="1" thickBot="1">
      <c r="A167" s="70" t="s">
        <v>17</v>
      </c>
      <c r="B167" s="75" t="e">
        <f>VLOOKUP(D4,'جداول حقوق و دستمزد'!C337:W369,13,0)</f>
        <v>#N/A</v>
      </c>
      <c r="C167" s="79" t="s">
        <v>21</v>
      </c>
      <c r="D167" s="80" t="e">
        <f>SUM(D159:D162)</f>
        <v>#N/A</v>
      </c>
    </row>
    <row r="168" spans="1:4" ht="24.95" customHeight="1" thickBot="1">
      <c r="A168" s="65" t="s">
        <v>126</v>
      </c>
      <c r="B168" s="142" t="e" cm="1">
        <f t="array" ref="B168">CONCATENATE([1]!AbH(D168)," ","ریال")</f>
        <v>#VALUE!</v>
      </c>
      <c r="C168" s="142"/>
      <c r="D168" s="66" t="e">
        <f>ROUND(B167-D167,0)</f>
        <v>#N/A</v>
      </c>
    </row>
    <row r="169" spans="1:4" s="63" customFormat="1" ht="39.950000000000003" customHeight="1">
      <c r="A169" s="63" t="s">
        <v>130</v>
      </c>
      <c r="B169" s="62"/>
      <c r="C169" s="81" t="s">
        <v>131</v>
      </c>
      <c r="D169" s="62"/>
    </row>
    <row r="171" spans="1:4" ht="50.1" customHeight="1">
      <c r="A171" s="143" t="str">
        <f>CONCATENATE("شرکت"," ",'اطلاعات شرکت'!$B$1)</f>
        <v>شرکت پندار حساب شهسوار</v>
      </c>
      <c r="B171" s="143"/>
      <c r="C171" s="143"/>
      <c r="D171" s="143"/>
    </row>
    <row r="172" spans="1:4" ht="24.95" customHeight="1">
      <c r="A172" s="144" t="s">
        <v>125</v>
      </c>
      <c r="B172" s="144"/>
      <c r="C172" s="144"/>
      <c r="D172" s="144"/>
    </row>
    <row r="173" spans="1:4" ht="24.95" customHeight="1">
      <c r="A173" s="144" t="str">
        <f>CONCATENATE("بهمن ماه سال"," ",'اطلاعات شرکت'!$B$2)</f>
        <v>بهمن ماه سال 1402</v>
      </c>
      <c r="B173" s="144"/>
      <c r="C173" s="144"/>
      <c r="D173" s="144"/>
    </row>
    <row r="174" spans="1:4" ht="24.95" customHeight="1" thickBot="1">
      <c r="A174" s="58" t="s">
        <v>127</v>
      </c>
      <c r="B174" s="64" t="e">
        <f>VLOOKUP(D174,ج_ح_بهمن[],2,0)</f>
        <v>#N/A</v>
      </c>
      <c r="C174" s="67" t="e">
        <f>VLOOKUP(D174,ج_ح_بهمن[],3,0)</f>
        <v>#N/A</v>
      </c>
      <c r="D174" s="61">
        <f>D4</f>
        <v>1</v>
      </c>
    </row>
    <row r="175" spans="1:4" ht="24.95" customHeight="1" thickBot="1">
      <c r="A175" s="151" t="s">
        <v>128</v>
      </c>
      <c r="B175" s="149"/>
      <c r="C175" s="149" t="s">
        <v>129</v>
      </c>
      <c r="D175" s="150"/>
    </row>
    <row r="176" spans="1:4" ht="24.95" customHeight="1">
      <c r="A176" s="68" t="s">
        <v>11</v>
      </c>
      <c r="B176" s="71" t="e">
        <f>CONCATENATE(VLOOKUP(D4,'جداول حقوق و دستمزد'!C369:W406,4,0)," ","روز")</f>
        <v>#N/A</v>
      </c>
      <c r="C176" s="76" t="s">
        <v>15</v>
      </c>
      <c r="D176" s="78" t="e">
        <f>VLOOKUP(D4,'جداول حقوق و دستمزد'!C374:W406,16,0)</f>
        <v>#N/A</v>
      </c>
    </row>
    <row r="177" spans="1:4" ht="24.95" customHeight="1">
      <c r="A177" s="69" t="s">
        <v>12</v>
      </c>
      <c r="B177" s="72" t="e">
        <f>VLOOKUP(D4,'جداول حقوق و دستمزد'!C374:W406,5,0)</f>
        <v>#N/A</v>
      </c>
      <c r="C177" s="77" t="s">
        <v>16</v>
      </c>
      <c r="D177" s="72" t="e">
        <f>VLOOKUP(D4,'جداول حقوق و دستمزد'!C374:W406,17,0)</f>
        <v>#N/A</v>
      </c>
    </row>
    <row r="178" spans="1:4" ht="24.95" customHeight="1">
      <c r="A178" s="69" t="s">
        <v>37</v>
      </c>
      <c r="B178" s="72" t="e">
        <f>VLOOKUP(D4,'جداول حقوق و دستمزد'!C374:W406,6,0)</f>
        <v>#N/A</v>
      </c>
      <c r="C178" s="77" t="s">
        <v>59</v>
      </c>
      <c r="D178" s="72" t="e">
        <f>VLOOKUP(D4,'جداول حقوق و دستمزد'!C374:W406,18,0)</f>
        <v>#N/A</v>
      </c>
    </row>
    <row r="179" spans="1:4" ht="24.95" customHeight="1" thickBot="1">
      <c r="A179" s="69" t="s">
        <v>51</v>
      </c>
      <c r="B179" s="73" t="e">
        <f>CONCATENATE(VLOOKUP(D4,'جداول حقوق و دستمزد'!C374:W406,7,0)," ","ساعت")</f>
        <v>#N/A</v>
      </c>
      <c r="C179" s="77" t="s">
        <v>58</v>
      </c>
      <c r="D179" s="74" t="e">
        <f>VLOOKUP(D4,'جداول حقوق و دستمزد'!C374:W406,19,0)</f>
        <v>#N/A</v>
      </c>
    </row>
    <row r="180" spans="1:4" ht="24.95" customHeight="1">
      <c r="A180" s="69" t="s">
        <v>47</v>
      </c>
      <c r="B180" s="72" t="e">
        <f>VLOOKUP(D4,'جداول حقوق و دستمزد'!C374:W406,8,0)</f>
        <v>#N/A</v>
      </c>
      <c r="C180" s="145"/>
      <c r="D180" s="146"/>
    </row>
    <row r="181" spans="1:4" ht="24.95" customHeight="1">
      <c r="A181" s="69" t="s">
        <v>4</v>
      </c>
      <c r="B181" s="72" t="e">
        <f>VLOOKUP(D4,'جداول حقوق و دستمزد'!C374:W406,9,0)</f>
        <v>#N/A</v>
      </c>
      <c r="C181" s="147"/>
      <c r="D181" s="146"/>
    </row>
    <row r="182" spans="1:4" ht="24.95" customHeight="1">
      <c r="A182" s="69" t="s">
        <v>14</v>
      </c>
      <c r="B182" s="72" t="e">
        <f>VLOOKUP(D4,'جداول حقوق و دستمزد'!C374:W406,10,0)</f>
        <v>#N/A</v>
      </c>
      <c r="C182" s="147"/>
      <c r="D182" s="146"/>
    </row>
    <row r="183" spans="1:4" ht="24.95" customHeight="1" thickBot="1">
      <c r="A183" s="69" t="s">
        <v>5</v>
      </c>
      <c r="B183" s="74" t="e">
        <f>VLOOKUP(D4,'جداول حقوق و دستمزد'!C374:W406,11,0)</f>
        <v>#N/A</v>
      </c>
      <c r="C183" s="148"/>
      <c r="D183" s="146"/>
    </row>
    <row r="184" spans="1:4" ht="24.95" customHeight="1" thickBot="1">
      <c r="A184" s="70" t="s">
        <v>17</v>
      </c>
      <c r="B184" s="75" t="e">
        <f>VLOOKUP(D4,'جداول حقوق و دستمزد'!C374:W406,13,0)</f>
        <v>#N/A</v>
      </c>
      <c r="C184" s="79" t="s">
        <v>21</v>
      </c>
      <c r="D184" s="80" t="e">
        <f>SUM(D176:D179)</f>
        <v>#N/A</v>
      </c>
    </row>
    <row r="185" spans="1:4" ht="24.95" customHeight="1" thickBot="1">
      <c r="A185" s="65" t="s">
        <v>126</v>
      </c>
      <c r="B185" s="142" t="e" cm="1">
        <f t="array" ref="B185">CONCATENATE([1]!AbH(D185)," ","ریال")</f>
        <v>#VALUE!</v>
      </c>
      <c r="C185" s="142"/>
      <c r="D185" s="66" t="e">
        <f>ROUND(B184-D184,0)</f>
        <v>#N/A</v>
      </c>
    </row>
    <row r="186" spans="1:4" s="63" customFormat="1" ht="39.950000000000003" customHeight="1">
      <c r="A186" s="63" t="s">
        <v>130</v>
      </c>
      <c r="B186" s="62"/>
      <c r="C186" s="81" t="s">
        <v>131</v>
      </c>
      <c r="D186" s="62"/>
    </row>
    <row r="187" spans="1:4" ht="24.95" customHeight="1">
      <c r="A187" s="82"/>
      <c r="B187" s="83"/>
      <c r="C187" s="82"/>
      <c r="D187" s="83"/>
    </row>
    <row r="188" spans="1:4" ht="50.1" customHeight="1">
      <c r="A188" s="143" t="str">
        <f>CONCATENATE("شرکت"," ",'اطلاعات شرکت'!$B$1)</f>
        <v>شرکت پندار حساب شهسوار</v>
      </c>
      <c r="B188" s="143"/>
      <c r="C188" s="143"/>
      <c r="D188" s="143"/>
    </row>
    <row r="189" spans="1:4" ht="24.95" customHeight="1">
      <c r="A189" s="144" t="s">
        <v>125</v>
      </c>
      <c r="B189" s="144"/>
      <c r="C189" s="144"/>
      <c r="D189" s="144"/>
    </row>
    <row r="190" spans="1:4" ht="24.95" customHeight="1">
      <c r="A190" s="144" t="str">
        <f>CONCATENATE("اسفند ماه سال"," ",'اطلاعات شرکت'!$B$2)</f>
        <v>اسفند ماه سال 1402</v>
      </c>
      <c r="B190" s="144"/>
      <c r="C190" s="144"/>
      <c r="D190" s="144"/>
    </row>
    <row r="191" spans="1:4" ht="24.95" customHeight="1" thickBot="1">
      <c r="A191" s="58" t="s">
        <v>127</v>
      </c>
      <c r="B191" s="64" t="e">
        <f>VLOOKUP(D191,ج_ح_اسفند[],2,0)</f>
        <v>#N/A</v>
      </c>
      <c r="C191" s="67" t="e">
        <f>VLOOKUP(D191,ج_ح_اسفند[],3,0)</f>
        <v>#N/A</v>
      </c>
      <c r="D191" s="61">
        <f>D4</f>
        <v>1</v>
      </c>
    </row>
    <row r="192" spans="1:4" ht="24.95" customHeight="1" thickBot="1">
      <c r="A192" s="151" t="s">
        <v>128</v>
      </c>
      <c r="B192" s="149"/>
      <c r="C192" s="149" t="s">
        <v>129</v>
      </c>
      <c r="D192" s="150"/>
    </row>
    <row r="193" spans="1:4" ht="24.95" customHeight="1">
      <c r="A193" s="68" t="s">
        <v>11</v>
      </c>
      <c r="B193" s="71" t="e">
        <f>CONCATENATE(VLOOKUP(D4,'جداول حقوق و دستمزد'!C411:W443,4,0)," ","روز")</f>
        <v>#N/A</v>
      </c>
      <c r="C193" s="76" t="s">
        <v>15</v>
      </c>
      <c r="D193" s="78" t="e">
        <f>VLOOKUP(D4,'جداول حقوق و دستمزد'!C411:W443,16,0)</f>
        <v>#N/A</v>
      </c>
    </row>
    <row r="194" spans="1:4" ht="24.95" customHeight="1">
      <c r="A194" s="69" t="s">
        <v>12</v>
      </c>
      <c r="B194" s="72" t="e">
        <f>VLOOKUP(D4,'جداول حقوق و دستمزد'!C411:W443,5,0)</f>
        <v>#N/A</v>
      </c>
      <c r="C194" s="77" t="s">
        <v>16</v>
      </c>
      <c r="D194" s="72" t="e">
        <f>VLOOKUP(D4,'جداول حقوق و دستمزد'!C11:W443,17,0)</f>
        <v>#N/A</v>
      </c>
    </row>
    <row r="195" spans="1:4" ht="24.95" customHeight="1">
      <c r="A195" s="69" t="s">
        <v>37</v>
      </c>
      <c r="B195" s="72" t="e">
        <f>VLOOKUP(D4,'جداول حقوق و دستمزد'!C411:W443,6,0)</f>
        <v>#N/A</v>
      </c>
      <c r="C195" s="77" t="s">
        <v>59</v>
      </c>
      <c r="D195" s="72" t="e">
        <f>VLOOKUP(D4,'جداول حقوق و دستمزد'!C411:W443,18,0)</f>
        <v>#N/A</v>
      </c>
    </row>
    <row r="196" spans="1:4" ht="24.95" customHeight="1" thickBot="1">
      <c r="A196" s="69" t="s">
        <v>51</v>
      </c>
      <c r="B196" s="73" t="e">
        <f>CONCATENATE(VLOOKUP(D4,'جداول حقوق و دستمزد'!C411:W443,7,0)," ","ساعت")</f>
        <v>#N/A</v>
      </c>
      <c r="C196" s="77" t="s">
        <v>58</v>
      </c>
      <c r="D196" s="74" t="e">
        <f>VLOOKUP(D4,'جداول حقوق و دستمزد'!C411:W443,19,0)</f>
        <v>#N/A</v>
      </c>
    </row>
    <row r="197" spans="1:4" ht="24.95" customHeight="1">
      <c r="A197" s="69" t="s">
        <v>47</v>
      </c>
      <c r="B197" s="72" t="e">
        <f>VLOOKUP(D4,'جداول حقوق و دستمزد'!C411:W443,8,0)</f>
        <v>#N/A</v>
      </c>
      <c r="C197" s="145"/>
      <c r="D197" s="146"/>
    </row>
    <row r="198" spans="1:4" ht="24.95" customHeight="1">
      <c r="A198" s="69" t="s">
        <v>4</v>
      </c>
      <c r="B198" s="72" t="e">
        <f>VLOOKUP(D4,'جداول حقوق و دستمزد'!C411:W443,9,0)</f>
        <v>#N/A</v>
      </c>
      <c r="C198" s="147"/>
      <c r="D198" s="146"/>
    </row>
    <row r="199" spans="1:4" ht="24.95" customHeight="1">
      <c r="A199" s="69" t="s">
        <v>14</v>
      </c>
      <c r="B199" s="72" t="e">
        <f>VLOOKUP(D4,'جداول حقوق و دستمزد'!C411:W443,10,0)</f>
        <v>#N/A</v>
      </c>
      <c r="C199" s="147"/>
      <c r="D199" s="146"/>
    </row>
    <row r="200" spans="1:4" ht="24.95" customHeight="1" thickBot="1">
      <c r="A200" s="69" t="s">
        <v>5</v>
      </c>
      <c r="B200" s="74" t="e">
        <f>VLOOKUP(D4,'جداول حقوق و دستمزد'!C41:W443,11,0)</f>
        <v>#N/A</v>
      </c>
      <c r="C200" s="148"/>
      <c r="D200" s="146"/>
    </row>
    <row r="201" spans="1:4" ht="24.95" customHeight="1" thickBot="1">
      <c r="A201" s="70" t="s">
        <v>17</v>
      </c>
      <c r="B201" s="75" t="e">
        <f>VLOOKUP(D4,'جداول حقوق و دستمزد'!C411:W443,13,0)</f>
        <v>#N/A</v>
      </c>
      <c r="C201" s="79" t="s">
        <v>21</v>
      </c>
      <c r="D201" s="80" t="e">
        <f>SUM(D193:D196)</f>
        <v>#N/A</v>
      </c>
    </row>
    <row r="202" spans="1:4" ht="24.95" customHeight="1" thickBot="1">
      <c r="A202" s="65" t="s">
        <v>126</v>
      </c>
      <c r="B202" s="142" t="e" cm="1">
        <f t="array" ref="B202">CONCATENATE([1]!AbH(D202)," ","ریال")</f>
        <v>#VALUE!</v>
      </c>
      <c r="C202" s="142"/>
      <c r="D202" s="66" t="e">
        <f>ROUND(B201-D201,0)</f>
        <v>#N/A</v>
      </c>
    </row>
    <row r="203" spans="1:4" s="63" customFormat="1" ht="39.950000000000003" customHeight="1">
      <c r="A203" s="63" t="s">
        <v>130</v>
      </c>
      <c r="B203" s="62"/>
      <c r="C203" s="81" t="s">
        <v>131</v>
      </c>
      <c r="D203" s="62"/>
    </row>
  </sheetData>
  <mergeCells count="84">
    <mergeCell ref="A120:D120"/>
    <mergeCell ref="A137:D137"/>
    <mergeCell ref="A154:D154"/>
    <mergeCell ref="A171:D171"/>
    <mergeCell ref="C146:D149"/>
    <mergeCell ref="B151:C151"/>
    <mergeCell ref="A121:D121"/>
    <mergeCell ref="A122:D122"/>
    <mergeCell ref="A124:B124"/>
    <mergeCell ref="C124:D124"/>
    <mergeCell ref="C129:D132"/>
    <mergeCell ref="B134:C134"/>
    <mergeCell ref="B168:C168"/>
    <mergeCell ref="A138:D138"/>
    <mergeCell ref="A139:D139"/>
    <mergeCell ref="A141:B141"/>
    <mergeCell ref="C141:D141"/>
    <mergeCell ref="A155:D155"/>
    <mergeCell ref="A156:D156"/>
    <mergeCell ref="A158:B158"/>
    <mergeCell ref="C158:D158"/>
    <mergeCell ref="C163:D166"/>
    <mergeCell ref="A18:D18"/>
    <mergeCell ref="A35:D35"/>
    <mergeCell ref="A52:D52"/>
    <mergeCell ref="A69:D69"/>
    <mergeCell ref="A86:D86"/>
    <mergeCell ref="C107:D107"/>
    <mergeCell ref="C112:D115"/>
    <mergeCell ref="B117:C117"/>
    <mergeCell ref="A87:D87"/>
    <mergeCell ref="A88:D88"/>
    <mergeCell ref="A90:B90"/>
    <mergeCell ref="C90:D90"/>
    <mergeCell ref="C95:D98"/>
    <mergeCell ref="B100:C100"/>
    <mergeCell ref="A103:D103"/>
    <mergeCell ref="B202:C202"/>
    <mergeCell ref="A172:D172"/>
    <mergeCell ref="A173:D173"/>
    <mergeCell ref="A175:B175"/>
    <mergeCell ref="C175:D175"/>
    <mergeCell ref="C180:D183"/>
    <mergeCell ref="B185:C185"/>
    <mergeCell ref="A189:D189"/>
    <mergeCell ref="A190:D190"/>
    <mergeCell ref="A192:B192"/>
    <mergeCell ref="C192:D192"/>
    <mergeCell ref="C197:D200"/>
    <mergeCell ref="A188:D188"/>
    <mergeCell ref="A104:D104"/>
    <mergeCell ref="A105:D105"/>
    <mergeCell ref="A107:B107"/>
    <mergeCell ref="B83:C83"/>
    <mergeCell ref="A53:D53"/>
    <mergeCell ref="A54:D54"/>
    <mergeCell ref="A56:B56"/>
    <mergeCell ref="C56:D56"/>
    <mergeCell ref="C61:D64"/>
    <mergeCell ref="B66:C66"/>
    <mergeCell ref="A70:D70"/>
    <mergeCell ref="A71:D71"/>
    <mergeCell ref="A73:B73"/>
    <mergeCell ref="C73:D73"/>
    <mergeCell ref="C78:D81"/>
    <mergeCell ref="B49:C49"/>
    <mergeCell ref="A19:D19"/>
    <mergeCell ref="A20:D20"/>
    <mergeCell ref="A22:B22"/>
    <mergeCell ref="C22:D22"/>
    <mergeCell ref="C27:D30"/>
    <mergeCell ref="B32:C32"/>
    <mergeCell ref="A36:D36"/>
    <mergeCell ref="A37:D37"/>
    <mergeCell ref="A39:B39"/>
    <mergeCell ref="C39:D39"/>
    <mergeCell ref="C44:D47"/>
    <mergeCell ref="B15:C15"/>
    <mergeCell ref="A1:D1"/>
    <mergeCell ref="A2:D2"/>
    <mergeCell ref="A3:D3"/>
    <mergeCell ref="C10:D13"/>
    <mergeCell ref="C5:D5"/>
    <mergeCell ref="A5:B5"/>
  </mergeCells>
  <printOptions horizontalCentered="1"/>
  <pageMargins left="0" right="0" top="0.5" bottom="0" header="0" footer="0"/>
  <pageSetup paperSize="9" scale="87"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اطلاعات شرکت</vt:lpstr>
      <vt:lpstr>جدول مالیات حقوق سال 1403</vt:lpstr>
      <vt:lpstr>قوانین پایه </vt:lpstr>
      <vt:lpstr>معافیت های مالیاتی و بیمه</vt:lpstr>
      <vt:lpstr>جداول حقوق و دستمزد</vt:lpstr>
      <vt:lpstr>جدول تجمیعی</vt:lpstr>
      <vt:lpstr>لیست ارائه شده به دارایی</vt:lpstr>
      <vt:lpstr>فیش حقوق</vt:lpstr>
      <vt:lpstr>'جداول حقوق و دستمزد'!Print_Area</vt:lpstr>
      <vt:lpstr>'جدول تجمیعی'!Print_Area</vt:lpstr>
      <vt:lpstr>'جدول مالیات حقوق سال 1403'!Print_Area</vt:lpstr>
      <vt:lpstr>'قوانین پایه '!Print_Area</vt:lpstr>
      <vt:lpstr>'لیست ارائه شده به دارایی'!Print_Area</vt:lpstr>
      <vt:lpstr>پایه_سنوات_روزانه</vt:lpstr>
      <vt:lpstr>تعداد_روزهای_کاری_در_هفته</vt:lpstr>
      <vt:lpstr>حداقل_حقوق_پایه_روزانه</vt:lpstr>
      <vt:lpstr>حداقل_حقوق_ماهانه_30_روزه</vt:lpstr>
      <vt:lpstr>حداقل_عیدی</vt:lpstr>
      <vt:lpstr>حداکثر_حقوق_مشمول_بیمه_ماهانه</vt:lpstr>
      <vt:lpstr>حداکثر_عیدی</vt:lpstr>
      <vt:lpstr>حق_اولاد_یک_نفر</vt:lpstr>
      <vt:lpstr>حق_خواربار</vt:lpstr>
      <vt:lpstr>حق_سنوات</vt:lpstr>
      <vt:lpstr>حق_مسکن</vt:lpstr>
      <vt:lpstr>متوسط_ساعت_کاری_روزانه</vt:lpstr>
      <vt:lpstr>مرخصی_سالانه</vt:lpstr>
      <vt:lpstr>مرخصی_ماهانه</vt:lpstr>
      <vt:lpstr>معافیت_مالیاتی_ماهانه_حقوق</vt:lpstr>
    </vt:vector>
  </TitlesOfParts>
  <Company>Gerdoo.Net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Gerdoo</dc:creator>
  <cp:lastModifiedBy>Rasoul Pourfeiz</cp:lastModifiedBy>
  <cp:lastPrinted>2024-03-24T06:07:11Z</cp:lastPrinted>
  <dcterms:created xsi:type="dcterms:W3CDTF">2018-09-04T23:12:03Z</dcterms:created>
  <dcterms:modified xsi:type="dcterms:W3CDTF">2024-04-06T06:17:42Z</dcterms:modified>
</cp:coreProperties>
</file>