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lut-my.sharepoint.com/personal/rasul_satymov_lut_fi/Documents/EWTEC 2025/energyHub - LUT/"/>
    </mc:Choice>
  </mc:AlternateContent>
  <xr:revisionPtr revIDLastSave="438" documentId="13_ncr:1_{8C356AC4-4F9E-45B0-9D13-201B1398A542}" xr6:coauthVersionLast="47" xr6:coauthVersionMax="47" xr10:uidLastSave="{DDEB6012-F8CE-4B19-A1EE-88D85A833A53}"/>
  <bookViews>
    <workbookView xWindow="5940" yWindow="3120" windowWidth="26040" windowHeight="15480" xr2:uid="{A627C0BD-C329-F64B-92EC-F13487A3071D}"/>
  </bookViews>
  <sheets>
    <sheet name="Main" sheetId="1" r:id="rId1"/>
    <sheet name="References" sheetId="2" r:id="rId2"/>
  </sheets>
  <definedNames>
    <definedName name="Excel_BuiltIn_Print_Area" localSheetId="0">NA()</definedName>
    <definedName name="Excel_BuiltIn_Sheet_Title" localSheetId="0">"Resource"</definedName>
    <definedName name="valuevx">42.314159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" i="1" l="1"/>
  <c r="E100" i="1"/>
  <c r="F100" i="1"/>
  <c r="G100" i="1"/>
  <c r="H100" i="1"/>
  <c r="I100" i="1"/>
  <c r="C100" i="1"/>
  <c r="C122" i="1" l="1"/>
  <c r="D122" i="1"/>
  <c r="E122" i="1"/>
  <c r="F122" i="1"/>
  <c r="G122" i="1"/>
  <c r="H122" i="1"/>
  <c r="I122" i="1"/>
  <c r="I121" i="1"/>
  <c r="H121" i="1"/>
  <c r="G121" i="1"/>
  <c r="F121" i="1"/>
  <c r="E121" i="1"/>
  <c r="D121" i="1"/>
  <c r="C121" i="1"/>
  <c r="C104" i="1"/>
  <c r="D104" i="1"/>
  <c r="E104" i="1"/>
  <c r="F104" i="1"/>
  <c r="G104" i="1"/>
  <c r="H104" i="1"/>
  <c r="I104" i="1"/>
  <c r="C103" i="1"/>
  <c r="D103" i="1"/>
  <c r="E103" i="1"/>
  <c r="F103" i="1"/>
  <c r="G103" i="1"/>
  <c r="H103" i="1"/>
  <c r="I103" i="1"/>
  <c r="D78" i="1" l="1"/>
  <c r="E78" i="1"/>
  <c r="F78" i="1"/>
  <c r="G78" i="1"/>
  <c r="H78" i="1"/>
  <c r="I78" i="1"/>
  <c r="C78" i="1"/>
  <c r="F67" i="1"/>
  <c r="G67" i="1"/>
  <c r="C67" i="1"/>
  <c r="F66" i="1"/>
  <c r="G66" i="1"/>
  <c r="H66" i="1"/>
  <c r="H67" i="1" s="1"/>
  <c r="I66" i="1"/>
  <c r="I67" i="1" s="1"/>
  <c r="E66" i="1"/>
  <c r="E67" i="1" s="1"/>
  <c r="D66" i="1"/>
  <c r="D67" i="1" s="1"/>
  <c r="C66" i="1"/>
  <c r="D95" i="1"/>
  <c r="E95" i="1"/>
  <c r="F95" i="1"/>
  <c r="G95" i="1"/>
  <c r="H95" i="1"/>
  <c r="I95" i="1"/>
  <c r="C95" i="1"/>
  <c r="C61" i="1"/>
  <c r="D61" i="1"/>
  <c r="I61" i="1"/>
  <c r="E61" i="1"/>
  <c r="F61" i="1"/>
  <c r="G61" i="1"/>
  <c r="H61" i="1"/>
  <c r="I25" i="1"/>
  <c r="H25" i="1"/>
  <c r="G25" i="1"/>
  <c r="F25" i="1"/>
  <c r="E25" i="1"/>
  <c r="D25" i="1"/>
  <c r="C131" i="1"/>
  <c r="D131" i="1"/>
  <c r="E131" i="1"/>
  <c r="F131" i="1"/>
  <c r="G131" i="1"/>
  <c r="H131" i="1"/>
  <c r="I131" i="1"/>
  <c r="D21" i="1"/>
  <c r="E21" i="1"/>
  <c r="F21" i="1"/>
  <c r="G21" i="1"/>
  <c r="H21" i="1"/>
  <c r="I21" i="1"/>
  <c r="D22" i="1"/>
  <c r="E22" i="1"/>
  <c r="F22" i="1"/>
  <c r="G22" i="1"/>
  <c r="H22" i="1"/>
  <c r="I22" i="1"/>
  <c r="C22" i="1"/>
  <c r="C21" i="1"/>
  <c r="D90" i="1" l="1"/>
  <c r="E90" i="1"/>
  <c r="F90" i="1"/>
  <c r="G90" i="1"/>
  <c r="H90" i="1"/>
  <c r="I90" i="1"/>
  <c r="C90" i="1"/>
  <c r="I112" i="1" l="1"/>
  <c r="H112" i="1"/>
  <c r="G112" i="1"/>
  <c r="F112" i="1"/>
  <c r="E112" i="1"/>
  <c r="D112" i="1"/>
  <c r="C112" i="1"/>
  <c r="D36" i="1"/>
  <c r="E36" i="1"/>
  <c r="F36" i="1"/>
  <c r="G36" i="1"/>
  <c r="H36" i="1"/>
  <c r="I36" i="1"/>
  <c r="C36" i="1"/>
  <c r="D113" i="1"/>
  <c r="E113" i="1"/>
  <c r="F113" i="1"/>
  <c r="G113" i="1"/>
  <c r="H113" i="1"/>
  <c r="I113" i="1"/>
  <c r="C113" i="1"/>
  <c r="D88" i="1"/>
  <c r="E88" i="1"/>
  <c r="F88" i="1"/>
  <c r="G88" i="1"/>
  <c r="H88" i="1"/>
  <c r="I88" i="1"/>
  <c r="C88" i="1"/>
  <c r="D110" i="1"/>
  <c r="E110" i="1"/>
  <c r="F110" i="1"/>
  <c r="G110" i="1"/>
  <c r="H110" i="1"/>
  <c r="I110" i="1"/>
  <c r="C110" i="1"/>
  <c r="D111" i="1"/>
  <c r="E111" i="1"/>
  <c r="F111" i="1"/>
  <c r="G111" i="1"/>
  <c r="H111" i="1"/>
  <c r="I111" i="1"/>
  <c r="C111" i="1"/>
  <c r="D87" i="1"/>
  <c r="E87" i="1"/>
  <c r="F87" i="1"/>
  <c r="G87" i="1"/>
  <c r="H87" i="1"/>
  <c r="I87" i="1"/>
  <c r="C87" i="1"/>
  <c r="D86" i="1"/>
  <c r="E86" i="1"/>
  <c r="F86" i="1"/>
  <c r="G86" i="1"/>
  <c r="H86" i="1"/>
  <c r="I86" i="1"/>
  <c r="C86" i="1"/>
  <c r="I116" i="1" l="1"/>
  <c r="I117" i="1" s="1"/>
  <c r="H116" i="1"/>
  <c r="H117" i="1" s="1"/>
  <c r="G116" i="1"/>
  <c r="G117" i="1" s="1"/>
  <c r="F116" i="1"/>
  <c r="F117" i="1" s="1"/>
  <c r="E116" i="1"/>
  <c r="E117" i="1" s="1"/>
  <c r="D116" i="1"/>
  <c r="D117" i="1" s="1"/>
  <c r="C116" i="1"/>
  <c r="C117" i="1" s="1"/>
  <c r="I107" i="1"/>
  <c r="I108" i="1" s="1"/>
  <c r="H107" i="1"/>
  <c r="H108" i="1" s="1"/>
  <c r="G107" i="1"/>
  <c r="G108" i="1" s="1"/>
  <c r="F107" i="1"/>
  <c r="F108" i="1" s="1"/>
  <c r="E107" i="1"/>
  <c r="E108" i="1" s="1"/>
  <c r="D107" i="1"/>
  <c r="D108" i="1" s="1"/>
  <c r="C107" i="1"/>
  <c r="C108" i="1" s="1"/>
  <c r="D72" i="1"/>
  <c r="E72" i="1"/>
  <c r="F72" i="1"/>
  <c r="G72" i="1"/>
  <c r="H72" i="1"/>
  <c r="I72" i="1"/>
  <c r="C72" i="1"/>
  <c r="E93" i="1"/>
  <c r="G93" i="1"/>
  <c r="I93" i="1"/>
  <c r="H92" i="1"/>
  <c r="H93" i="1" s="1"/>
  <c r="F92" i="1"/>
  <c r="F93" i="1" s="1"/>
  <c r="D92" i="1"/>
  <c r="D93" i="1" s="1"/>
  <c r="D62" i="1"/>
  <c r="E62" i="1"/>
  <c r="F62" i="1"/>
  <c r="G62" i="1"/>
  <c r="H62" i="1"/>
  <c r="I62" i="1"/>
  <c r="C62" i="1"/>
  <c r="I56" i="1"/>
  <c r="H56" i="1"/>
  <c r="G56" i="1"/>
  <c r="F56" i="1"/>
  <c r="E56" i="1"/>
  <c r="D56" i="1"/>
  <c r="C56" i="1"/>
  <c r="D50" i="1"/>
  <c r="E50" i="1"/>
  <c r="F50" i="1"/>
  <c r="G50" i="1"/>
  <c r="H50" i="1"/>
  <c r="I50" i="1"/>
  <c r="C50" i="1"/>
  <c r="I11" i="1"/>
  <c r="H11" i="1"/>
  <c r="G11" i="1"/>
  <c r="F11" i="1"/>
  <c r="E11" i="1"/>
  <c r="D11" i="1"/>
  <c r="C11" i="1"/>
  <c r="C92" i="1" l="1"/>
  <c r="C93" i="1" s="1"/>
</calcChain>
</file>

<file path=xl/sharedStrings.xml><?xml version="1.0" encoding="utf-8"?>
<sst xmlns="http://schemas.openxmlformats.org/spreadsheetml/2006/main" count="514" uniqueCount="149">
  <si>
    <t>PV fixed-tilt</t>
  </si>
  <si>
    <t>CAPEX</t>
  </si>
  <si>
    <t>OPEX</t>
  </si>
  <si>
    <t>Lifetime</t>
  </si>
  <si>
    <t>Onshore Wind</t>
  </si>
  <si>
    <t>Battery</t>
  </si>
  <si>
    <t>Battery Interface</t>
  </si>
  <si>
    <t>Direct Air Capture</t>
  </si>
  <si>
    <t>CO2 Storage</t>
  </si>
  <si>
    <t>Methanation</t>
  </si>
  <si>
    <t>CH4 Storage</t>
  </si>
  <si>
    <t>Unit</t>
  </si>
  <si>
    <t>€/kW,el</t>
  </si>
  <si>
    <t>€/(kW,el*a)</t>
  </si>
  <si>
    <t>years</t>
  </si>
  <si>
    <t>€/kWh,el</t>
  </si>
  <si>
    <t>€/(kWh,el*a)</t>
  </si>
  <si>
    <t>€/kW,NH3,output,LHV</t>
  </si>
  <si>
    <t>€/(kW,NH3,output,LHV*a)</t>
  </si>
  <si>
    <t>€/kWh,th</t>
  </si>
  <si>
    <t>€/(kWh,th*a)</t>
  </si>
  <si>
    <t>€/kWh,CH4,LHV</t>
  </si>
  <si>
    <t>€/(kWh,CH4,LHV*a)</t>
  </si>
  <si>
    <t>€/kW,CH4,output,LHV</t>
  </si>
  <si>
    <t>€/(kW,CH4,output,LHV*a)</t>
  </si>
  <si>
    <t>Methanol Synthesis</t>
  </si>
  <si>
    <t>€/kWh,MeOH,LHV</t>
  </si>
  <si>
    <t>€/(kWh,MeOH,LHV*a)</t>
  </si>
  <si>
    <t>https://doi.org/10.1039/D3EE02951D</t>
  </si>
  <si>
    <t>Fasihi &amp; Breyer (2024)</t>
  </si>
  <si>
    <t>Fischer-Tropsch</t>
  </si>
  <si>
    <t>€/kW,FTLiq,output,LHV</t>
  </si>
  <si>
    <t>€/(kW,FTLiq,output,LHV*a)</t>
  </si>
  <si>
    <t>Liquid Fuel Storage</t>
  </si>
  <si>
    <t>€/kWh,FT-Diesel,LHV</t>
  </si>
  <si>
    <t>Charging eff</t>
  </si>
  <si>
    <t>Discharging eff</t>
  </si>
  <si>
    <t>%</t>
  </si>
  <si>
    <t>kWh,el/kWh,H2</t>
  </si>
  <si>
    <t>Electricity in</t>
  </si>
  <si>
    <t>kWh,el/kWh,NH3</t>
  </si>
  <si>
    <t>Hydrogen in</t>
  </si>
  <si>
    <t>kWh,H2/kWh,NH3</t>
  </si>
  <si>
    <t>kWh,H2/kWh,CH4</t>
  </si>
  <si>
    <t>CO2 in</t>
  </si>
  <si>
    <t>kWh,H2,LHV/kWh,MeOH,LHV</t>
  </si>
  <si>
    <t>kWh,el/kWh,MeOH,LHV</t>
  </si>
  <si>
    <t>kWh,el/kWh,th,FT,LHV</t>
  </si>
  <si>
    <t>kWh,H2/kWh,th,FT,LHV</t>
  </si>
  <si>
    <t>Alkaline Water Electrolyser (HCS)</t>
  </si>
  <si>
    <t>Alkaline Water Electrolyser (BCS)</t>
  </si>
  <si>
    <t>Ammonia Storage</t>
  </si>
  <si>
    <t>Ammonia Synthesis</t>
  </si>
  <si>
    <t>Methanol Storage</t>
  </si>
  <si>
    <t>Ramp up</t>
  </si>
  <si>
    <t>€/kW,NH3,output,LHV/h</t>
  </si>
  <si>
    <t>Minimum load</t>
  </si>
  <si>
    <t>Wave</t>
  </si>
  <si>
    <t>Heat in</t>
  </si>
  <si>
    <t>Heat Pump</t>
  </si>
  <si>
    <t>€/kW,th</t>
  </si>
  <si>
    <t>€/(kW,th*a)</t>
  </si>
  <si>
    <t>-</t>
  </si>
  <si>
    <t>COP</t>
  </si>
  <si>
    <t>Tech</t>
  </si>
  <si>
    <t>Comp</t>
  </si>
  <si>
    <t>€/kW,H2</t>
  </si>
  <si>
    <t>€/(kW,H2*a)</t>
  </si>
  <si>
    <t>PV single-axis tracking</t>
  </si>
  <si>
    <t>€/kg,CO2</t>
  </si>
  <si>
    <t>€/(kg,CO2*a)</t>
  </si>
  <si>
    <t>kWh,el/kg,CO2</t>
  </si>
  <si>
    <t>kWh,th/kg,CO2</t>
  </si>
  <si>
    <t>kg,CO2/kWh,CH4</t>
  </si>
  <si>
    <t>kg,CO2/kWh,MeOH,LHV</t>
  </si>
  <si>
    <t>kg,CO2/kWh,th,FT,LHV</t>
  </si>
  <si>
    <t>PtHeat eff.</t>
  </si>
  <si>
    <t>%-utilisable</t>
  </si>
  <si>
    <t>€/kg,CO2*a</t>
  </si>
  <si>
    <t>Excess heat</t>
  </si>
  <si>
    <t>kWh,th/kWh,NH3,LHV</t>
  </si>
  <si>
    <t>Gas in</t>
  </si>
  <si>
    <t>Electric Heater</t>
  </si>
  <si>
    <t>Thermal Energy Storage</t>
  </si>
  <si>
    <t>kWh,el/kWh,th</t>
  </si>
  <si>
    <t>kWh,el/kWh,CH4</t>
  </si>
  <si>
    <t>Keiner et al. (2025)</t>
  </si>
  <si>
    <t>E/P ratio</t>
  </si>
  <si>
    <t>H2 Storage - lined rock cavern</t>
  </si>
  <si>
    <t>Fasihi et al. (2021)</t>
  </si>
  <si>
    <t>https://doi.org/10.1016/j.apenergy.2020.116170</t>
  </si>
  <si>
    <t>H2 Storage - underground pipe</t>
  </si>
  <si>
    <t>€/kWh,H2,LHV</t>
  </si>
  <si>
    <t>€/(kWh,H2,LHV*a)</t>
  </si>
  <si>
    <t>Reference</t>
  </si>
  <si>
    <t>Title</t>
  </si>
  <si>
    <t>Link</t>
  </si>
  <si>
    <t>Global production potential of green methanol based on variable renewable electricity</t>
  </si>
  <si>
    <t>Global potential of green ammonia based on hybrid PV-wind power plants</t>
  </si>
  <si>
    <t>IEA (2018)</t>
  </si>
  <si>
    <t>https://www.iea.org/reports/costs-and-benefits-of-emergency-stockholding</t>
  </si>
  <si>
    <t>Costs and Benefits of Emergency Stockholding</t>
  </si>
  <si>
    <t>Sodium-ion battery cost projections and their impact on the global energy system transition until 2050</t>
  </si>
  <si>
    <t>submitted</t>
  </si>
  <si>
    <t>Giuliano et al. (2016)</t>
  </si>
  <si>
    <t>https://doi.org/10.2314/GBV:100051305X</t>
  </si>
  <si>
    <t>Satymov et al. (2024)</t>
  </si>
  <si>
    <t>Techno-economic assessment of global and regional wave energy resource potentials and profiles in hourly resolution</t>
  </si>
  <si>
    <t>https://doi.org/10.1016/j.apenergy.2024.123119</t>
  </si>
  <si>
    <t>Vartiainen et al. (2020)</t>
  </si>
  <si>
    <t>Impact of weighted average cost of capital, capital expenditure, and other parameters on future utility‐scale PV levelised cost of electricity</t>
  </si>
  <si>
    <t>https://doi.org/10.1002/pip.3189</t>
  </si>
  <si>
    <t>ETIP-PV (2019)</t>
  </si>
  <si>
    <t>PV the cheapest electricity source almost everywhere</t>
  </si>
  <si>
    <t>https://etip-pv.eu/publications/fact-sheets/</t>
  </si>
  <si>
    <t>Mann et al. (2013)</t>
  </si>
  <si>
    <t>The energy payback time of advanced crystalline silicon PV modules in 2020: a prospective study</t>
  </si>
  <si>
    <t>https://doi.org/10.1002/pip.2363</t>
  </si>
  <si>
    <t>Utility-Scale Solar 2016: An Empirical Analysis of Project Cost, Performance, and Pricing Trends in the United States</t>
  </si>
  <si>
    <t>https://emp.lbl.gov/publications/utility-scale-solar-2016-empirical</t>
  </si>
  <si>
    <t>Bolinger et al. (2017)</t>
  </si>
  <si>
    <t>Wiser et al. (2017)</t>
  </si>
  <si>
    <t>Impacts of Variable Renewable Energy on Bulk Power System Assets, Pricing, and Costs</t>
  </si>
  <si>
    <t>https://eta.lbl.gov/publications/impacts-variable-renewable-energy</t>
  </si>
  <si>
    <t>Lacal et al. (2014)</t>
  </si>
  <si>
    <t>ETRI 2014 - Energy Technology Reference Indicator projections for 2010-2050</t>
  </si>
  <si>
    <t>https://doi.org/10.2790/057687</t>
  </si>
  <si>
    <t>Multi-fuel Internal Combustion Engine</t>
  </si>
  <si>
    <t>Gulagi et al. (2022)</t>
  </si>
  <si>
    <t>The role of renewables for rapid transitioning of the power sector across states in India</t>
  </si>
  <si>
    <t>https://doi.org/10.1038/s41467-022-33048-8</t>
  </si>
  <si>
    <t>Bogdanov et al. (2021)</t>
  </si>
  <si>
    <t>Low-cost renewable electricity as the key driver of the global energy transition towards sustainability</t>
  </si>
  <si>
    <t>https://doi.org/10.1016/j.energy.2021.120467</t>
  </si>
  <si>
    <t>IRENA (2020)</t>
  </si>
  <si>
    <t>Innovation outlook: Thermal energy storage</t>
  </si>
  <si>
    <t>https://www.irena.org/publications/2020/Nov/Innovation-outlook-Thermal-energy-storage</t>
  </si>
  <si>
    <t>Papadias &amp; Ahluwalia (2021)</t>
  </si>
  <si>
    <t>Bulk storage of hydrogen</t>
  </si>
  <si>
    <t>https://doi.org/10.1016/j.ijhydene.2021.08.028</t>
  </si>
  <si>
    <t>Lanphen (2019)</t>
  </si>
  <si>
    <t>https://resolver.tudelft.nl/uuid:d2429b05-1881-4e42-9bb3-ed604bc15255</t>
  </si>
  <si>
    <t>Hydrogen Import Terminal Providing insights in the cost of supply chain elements of various hydrogen carriers for the import of hydrogen</t>
  </si>
  <si>
    <t>DEA (2025)</t>
  </si>
  <si>
    <t>Technology Data for Energy Storage</t>
  </si>
  <si>
    <t>https://ens.dk/en/analyses-and-statistics/technology-data-energy-storage</t>
  </si>
  <si>
    <t>THERMVOLT : Systemvergleich von solarthermischen und photovoltaischen Kraftwerken für die Versorgungssicherheit</t>
  </si>
  <si>
    <t>Global potential of electricity-based methane and Fischer-Tropsch liquids based on variable renewable electricity</t>
  </si>
  <si>
    <t>Fasihi et al. (2025)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</si>
</sst>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\ %"/>
    <numFmt numFmtId="167" formatCode="0.0"/>
    <numFmt numFmtId="168" formatCode="0.000000"/>
  </numFmts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indexed="8"/>
      <name val="Aptos Narrow"/>
      <family val="2"/>
      <scheme val="minor"/>
    </font>
    <font>
      <sz val="12"/>
      <color indexed="8"/>
      <name val="Calibri"/>
      <family val="2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0" fontId="4" fillId="0" borderId="0" xfId="0" applyFont="1"/>
    <xf numFmtId="165" fontId="0" fillId="0" borderId="0" xfId="0" applyNumberFormat="1"/>
    <xf numFmtId="9" fontId="0" fillId="0" borderId="0" xfId="1" applyFont="1"/>
    <xf numFmtId="166" fontId="0" fillId="0" borderId="0" xfId="1" applyNumberFormat="1" applyFont="1"/>
    <xf numFmtId="167" fontId="0" fillId="0" borderId="0" xfId="0" applyNumberFormat="1"/>
    <xf numFmtId="0" fontId="6" fillId="0" borderId="0" xfId="2"/>
    <xf numFmtId="0" fontId="0" fillId="0" borderId="0" xfId="0" applyAlignment="1">
      <alignment wrapText="1"/>
    </xf>
    <xf numFmtId="168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5">
    <dxf>
      <font>
        <b val="0"/>
        <i val="0"/>
        <strike val="0"/>
        <condense val="0"/>
        <extend val="0"/>
        <outline val="0"/>
        <shadow val="0"/>
        <u val="none"/>
        <sz val="11"/>
        <color indexed="58"/>
      </font>
      <fill>
        <patternFill patternType="solid">
          <fgColor indexed="60"/>
          <bgColor indexed="5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sz val="11"/>
        <color indexed="58"/>
      </font>
      <fill>
        <patternFill patternType="solid">
          <fgColor indexed="60"/>
          <bgColor indexed="5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sz val="11"/>
        <color indexed="58"/>
      </font>
      <fill>
        <patternFill patternType="solid">
          <fgColor indexed="60"/>
          <bgColor indexed="5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sz val="11"/>
        <color indexed="58"/>
      </font>
      <fill>
        <patternFill patternType="solid">
          <fgColor indexed="60"/>
          <bgColor indexed="59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2/pip.2363" TargetMode="External"/><Relationship Id="rId13" Type="http://schemas.openxmlformats.org/officeDocument/2006/relationships/hyperlink" Target="https://doi.org/10.1016/j.energy.2021.120467" TargetMode="External"/><Relationship Id="rId3" Type="http://schemas.openxmlformats.org/officeDocument/2006/relationships/hyperlink" Target="https://www.iea.org/reports/costs-and-benefits-of-emergency-stockholding" TargetMode="External"/><Relationship Id="rId7" Type="http://schemas.openxmlformats.org/officeDocument/2006/relationships/hyperlink" Target="https://etip-pv.eu/publications/fact-sheets/" TargetMode="External"/><Relationship Id="rId12" Type="http://schemas.openxmlformats.org/officeDocument/2006/relationships/hyperlink" Target="https://doi.org/10.1038/s41467-022-33048-8" TargetMode="External"/><Relationship Id="rId17" Type="http://schemas.openxmlformats.org/officeDocument/2006/relationships/hyperlink" Target="https://ens.dk/en/analyses-and-statistics/technology-data-energy-storage" TargetMode="External"/><Relationship Id="rId2" Type="http://schemas.openxmlformats.org/officeDocument/2006/relationships/hyperlink" Target="https://doi.org/10.1016/j.apenergy.2020.116170" TargetMode="External"/><Relationship Id="rId16" Type="http://schemas.openxmlformats.org/officeDocument/2006/relationships/hyperlink" Target="https://resolver.tudelft.nl/uuid:d2429b05-1881-4e42-9bb3-ed604bc15255" TargetMode="External"/><Relationship Id="rId1" Type="http://schemas.openxmlformats.org/officeDocument/2006/relationships/hyperlink" Target="https://doi.org/10.1039/D3EE02951D" TargetMode="External"/><Relationship Id="rId6" Type="http://schemas.openxmlformats.org/officeDocument/2006/relationships/hyperlink" Target="https://doi.org/10.1002/pip.3189" TargetMode="External"/><Relationship Id="rId11" Type="http://schemas.openxmlformats.org/officeDocument/2006/relationships/hyperlink" Target="https://doi.org/10.2790/057687" TargetMode="External"/><Relationship Id="rId5" Type="http://schemas.openxmlformats.org/officeDocument/2006/relationships/hyperlink" Target="https://doi.org/10.1016/j.apenergy.2024.123119" TargetMode="External"/><Relationship Id="rId15" Type="http://schemas.openxmlformats.org/officeDocument/2006/relationships/hyperlink" Target="https://doi.org/10.1016/j.ijhydene.2021.08.028" TargetMode="External"/><Relationship Id="rId10" Type="http://schemas.openxmlformats.org/officeDocument/2006/relationships/hyperlink" Target="https://eta.lbl.gov/publications/impacts-variable-renewable-energy" TargetMode="External"/><Relationship Id="rId4" Type="http://schemas.openxmlformats.org/officeDocument/2006/relationships/hyperlink" Target="https://doi.org/10.2314/GBV:100051305X" TargetMode="External"/><Relationship Id="rId9" Type="http://schemas.openxmlformats.org/officeDocument/2006/relationships/hyperlink" Target="https://emp.lbl.gov/publications/utility-scale-solar-2016-empirical" TargetMode="External"/><Relationship Id="rId14" Type="http://schemas.openxmlformats.org/officeDocument/2006/relationships/hyperlink" Target="https://www.irena.org/publications/2020/Nov/Innovation-outlook-Thermal-energy-stor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5D8B-C384-7F4E-B62D-18C2AE8BAA09}">
  <dimension ref="A1:M134"/>
  <sheetViews>
    <sheetView tabSelected="1" zoomScale="85" zoomScaleNormal="85" workbookViewId="0">
      <selection activeCell="L95" sqref="L95"/>
    </sheetView>
  </sheetViews>
  <sheetFormatPr defaultColWidth="11.5" defaultRowHeight="15.75" x14ac:dyDescent="0.25"/>
  <cols>
    <col min="1" max="1" width="31.875" bestFit="1" customWidth="1"/>
    <col min="2" max="2" width="13" bestFit="1" customWidth="1"/>
    <col min="10" max="10" width="25" bestFit="1" customWidth="1"/>
    <col min="11" max="11" width="19.5" bestFit="1" customWidth="1"/>
    <col min="12" max="12" width="24.125" bestFit="1" customWidth="1"/>
    <col min="13" max="13" width="17.75" bestFit="1" customWidth="1"/>
  </cols>
  <sheetData>
    <row r="1" spans="1:13" x14ac:dyDescent="0.25">
      <c r="A1" s="1" t="s">
        <v>64</v>
      </c>
      <c r="B1" s="1" t="s">
        <v>65</v>
      </c>
      <c r="C1" s="1">
        <v>2020</v>
      </c>
      <c r="D1" s="1">
        <v>2025</v>
      </c>
      <c r="E1" s="1">
        <v>2030</v>
      </c>
      <c r="F1" s="1">
        <v>2035</v>
      </c>
      <c r="G1" s="1">
        <v>2040</v>
      </c>
      <c r="H1" s="1">
        <v>2045</v>
      </c>
      <c r="I1" s="1">
        <v>2050</v>
      </c>
      <c r="J1" s="1" t="s">
        <v>11</v>
      </c>
    </row>
    <row r="2" spans="1:13" x14ac:dyDescent="0.25">
      <c r="A2" t="s">
        <v>0</v>
      </c>
      <c r="B2" t="s">
        <v>1</v>
      </c>
      <c r="C2">
        <v>475</v>
      </c>
      <c r="D2">
        <v>370</v>
      </c>
      <c r="E2">
        <v>306</v>
      </c>
      <c r="F2">
        <v>237</v>
      </c>
      <c r="G2">
        <v>207</v>
      </c>
      <c r="H2">
        <v>184</v>
      </c>
      <c r="I2">
        <v>166</v>
      </c>
      <c r="J2" t="s">
        <v>12</v>
      </c>
      <c r="K2" t="s">
        <v>109</v>
      </c>
      <c r="L2" t="s">
        <v>112</v>
      </c>
      <c r="M2" t="s">
        <v>115</v>
      </c>
    </row>
    <row r="3" spans="1:13" x14ac:dyDescent="0.25">
      <c r="A3" t="s">
        <v>0</v>
      </c>
      <c r="B3" t="s">
        <v>2</v>
      </c>
      <c r="C3">
        <v>7.76</v>
      </c>
      <c r="D3">
        <v>6.51</v>
      </c>
      <c r="E3">
        <v>5.66</v>
      </c>
      <c r="F3">
        <v>5</v>
      </c>
      <c r="G3">
        <v>4.47</v>
      </c>
      <c r="H3">
        <v>4.04</v>
      </c>
      <c r="I3">
        <v>3.7</v>
      </c>
      <c r="J3" t="s">
        <v>13</v>
      </c>
      <c r="K3" t="s">
        <v>109</v>
      </c>
      <c r="L3" t="s">
        <v>112</v>
      </c>
      <c r="M3" t="s">
        <v>115</v>
      </c>
    </row>
    <row r="4" spans="1:13" x14ac:dyDescent="0.25">
      <c r="A4" t="s">
        <v>0</v>
      </c>
      <c r="B4" t="s">
        <v>3</v>
      </c>
      <c r="C4">
        <v>30</v>
      </c>
      <c r="D4">
        <v>35</v>
      </c>
      <c r="E4">
        <v>35</v>
      </c>
      <c r="F4">
        <v>35</v>
      </c>
      <c r="G4">
        <v>40</v>
      </c>
      <c r="H4">
        <v>40</v>
      </c>
      <c r="I4">
        <v>40</v>
      </c>
      <c r="J4" t="s">
        <v>14</v>
      </c>
      <c r="K4" t="s">
        <v>109</v>
      </c>
      <c r="L4" t="s">
        <v>112</v>
      </c>
      <c r="M4" t="s">
        <v>115</v>
      </c>
    </row>
    <row r="6" spans="1:13" x14ac:dyDescent="0.25">
      <c r="A6" t="s">
        <v>68</v>
      </c>
      <c r="B6" t="s">
        <v>1</v>
      </c>
      <c r="C6">
        <v>523</v>
      </c>
      <c r="D6">
        <v>407</v>
      </c>
      <c r="E6">
        <v>337</v>
      </c>
      <c r="F6">
        <v>261</v>
      </c>
      <c r="G6">
        <v>228</v>
      </c>
      <c r="H6">
        <v>202</v>
      </c>
      <c r="I6">
        <v>183</v>
      </c>
      <c r="J6" t="s">
        <v>12</v>
      </c>
      <c r="K6" t="s">
        <v>112</v>
      </c>
      <c r="L6" t="s">
        <v>115</v>
      </c>
      <c r="M6" t="s">
        <v>120</v>
      </c>
    </row>
    <row r="7" spans="1:13" x14ac:dyDescent="0.25">
      <c r="A7" t="s">
        <v>68</v>
      </c>
      <c r="B7" t="s">
        <v>2</v>
      </c>
      <c r="C7">
        <v>9.4</v>
      </c>
      <c r="D7">
        <v>7.88</v>
      </c>
      <c r="E7">
        <v>6.86</v>
      </c>
      <c r="F7">
        <v>5.5</v>
      </c>
      <c r="G7">
        <v>4.92</v>
      </c>
      <c r="H7">
        <v>4.4400000000000004</v>
      </c>
      <c r="I7">
        <v>4.07</v>
      </c>
      <c r="J7" t="s">
        <v>13</v>
      </c>
      <c r="K7" t="s">
        <v>112</v>
      </c>
      <c r="L7" t="s">
        <v>115</v>
      </c>
      <c r="M7" t="s">
        <v>120</v>
      </c>
    </row>
    <row r="8" spans="1:13" x14ac:dyDescent="0.25">
      <c r="A8" t="s">
        <v>68</v>
      </c>
      <c r="B8" t="s">
        <v>3</v>
      </c>
      <c r="C8">
        <v>30</v>
      </c>
      <c r="D8">
        <v>35</v>
      </c>
      <c r="E8">
        <v>35</v>
      </c>
      <c r="F8">
        <v>35</v>
      </c>
      <c r="G8">
        <v>40</v>
      </c>
      <c r="H8">
        <v>40</v>
      </c>
      <c r="I8">
        <v>40</v>
      </c>
      <c r="J8" t="s">
        <v>14</v>
      </c>
      <c r="K8" t="s">
        <v>112</v>
      </c>
      <c r="L8" t="s">
        <v>115</v>
      </c>
      <c r="M8" t="s">
        <v>120</v>
      </c>
    </row>
    <row r="10" spans="1:13" x14ac:dyDescent="0.25">
      <c r="A10" t="s">
        <v>4</v>
      </c>
      <c r="B10" t="s">
        <v>1</v>
      </c>
      <c r="C10">
        <v>1150</v>
      </c>
      <c r="D10">
        <v>1060</v>
      </c>
      <c r="E10">
        <v>1000</v>
      </c>
      <c r="F10">
        <v>965</v>
      </c>
      <c r="G10">
        <v>940</v>
      </c>
      <c r="H10">
        <v>915</v>
      </c>
      <c r="I10">
        <v>900</v>
      </c>
      <c r="J10" s="2" t="s">
        <v>12</v>
      </c>
      <c r="K10" t="s">
        <v>121</v>
      </c>
      <c r="L10" t="s">
        <v>124</v>
      </c>
    </row>
    <row r="11" spans="1:13" x14ac:dyDescent="0.25">
      <c r="A11" t="s">
        <v>4</v>
      </c>
      <c r="B11" t="s">
        <v>2</v>
      </c>
      <c r="C11">
        <f t="shared" ref="C11:I11" si="0">C10*0.02</f>
        <v>23</v>
      </c>
      <c r="D11">
        <f t="shared" si="0"/>
        <v>21.2</v>
      </c>
      <c r="E11">
        <f t="shared" si="0"/>
        <v>20</v>
      </c>
      <c r="F11">
        <f t="shared" si="0"/>
        <v>19.3</v>
      </c>
      <c r="G11">
        <f t="shared" si="0"/>
        <v>18.8</v>
      </c>
      <c r="H11">
        <f t="shared" si="0"/>
        <v>18.3</v>
      </c>
      <c r="I11">
        <f t="shared" si="0"/>
        <v>18</v>
      </c>
      <c r="J11" s="2" t="s">
        <v>13</v>
      </c>
      <c r="K11" t="s">
        <v>121</v>
      </c>
      <c r="L11" t="s">
        <v>124</v>
      </c>
    </row>
    <row r="12" spans="1:13" x14ac:dyDescent="0.25">
      <c r="A12" t="s">
        <v>4</v>
      </c>
      <c r="B12" t="s">
        <v>3</v>
      </c>
      <c r="C12">
        <v>25</v>
      </c>
      <c r="D12">
        <v>25</v>
      </c>
      <c r="E12">
        <v>30</v>
      </c>
      <c r="F12">
        <v>30</v>
      </c>
      <c r="G12">
        <v>30</v>
      </c>
      <c r="H12">
        <v>30</v>
      </c>
      <c r="I12">
        <v>30</v>
      </c>
      <c r="J12" t="s">
        <v>14</v>
      </c>
      <c r="K12" t="s">
        <v>121</v>
      </c>
      <c r="L12" t="s">
        <v>124</v>
      </c>
    </row>
    <row r="14" spans="1:13" x14ac:dyDescent="0.25">
      <c r="A14" t="s">
        <v>57</v>
      </c>
      <c r="B14" t="s">
        <v>1</v>
      </c>
      <c r="C14">
        <v>21000</v>
      </c>
      <c r="D14">
        <v>5200</v>
      </c>
      <c r="E14">
        <v>2800</v>
      </c>
      <c r="F14">
        <v>2300</v>
      </c>
      <c r="G14">
        <v>2100</v>
      </c>
      <c r="H14">
        <v>1900</v>
      </c>
      <c r="I14">
        <v>1800</v>
      </c>
      <c r="J14" s="2" t="s">
        <v>12</v>
      </c>
      <c r="K14" t="s">
        <v>106</v>
      </c>
    </row>
    <row r="15" spans="1:13" x14ac:dyDescent="0.25">
      <c r="A15" t="s">
        <v>57</v>
      </c>
      <c r="B15" t="s">
        <v>2</v>
      </c>
      <c r="C15">
        <v>1057</v>
      </c>
      <c r="D15">
        <v>221</v>
      </c>
      <c r="E15">
        <v>77</v>
      </c>
      <c r="F15">
        <v>58</v>
      </c>
      <c r="G15">
        <v>50</v>
      </c>
      <c r="H15">
        <v>46</v>
      </c>
      <c r="I15">
        <v>43</v>
      </c>
      <c r="J15" s="2" t="s">
        <v>13</v>
      </c>
      <c r="K15" t="s">
        <v>106</v>
      </c>
    </row>
    <row r="16" spans="1:13" x14ac:dyDescent="0.25">
      <c r="A16" t="s">
        <v>57</v>
      </c>
      <c r="B16" t="s">
        <v>3</v>
      </c>
      <c r="C16">
        <v>20</v>
      </c>
      <c r="D16">
        <v>20</v>
      </c>
      <c r="E16">
        <v>25</v>
      </c>
      <c r="F16">
        <v>25</v>
      </c>
      <c r="G16">
        <v>30</v>
      </c>
      <c r="H16">
        <v>30</v>
      </c>
      <c r="I16">
        <v>30</v>
      </c>
      <c r="J16" t="s">
        <v>14</v>
      </c>
      <c r="K16" t="s">
        <v>106</v>
      </c>
    </row>
    <row r="18" spans="1:11" x14ac:dyDescent="0.25">
      <c r="A18" t="s">
        <v>127</v>
      </c>
      <c r="B18" t="s">
        <v>1</v>
      </c>
      <c r="C18">
        <v>569</v>
      </c>
      <c r="D18">
        <v>553</v>
      </c>
      <c r="E18">
        <v>537</v>
      </c>
      <c r="F18">
        <v>522</v>
      </c>
      <c r="G18">
        <v>506</v>
      </c>
      <c r="H18">
        <v>491</v>
      </c>
      <c r="I18">
        <v>475</v>
      </c>
      <c r="J18" s="2" t="s">
        <v>12</v>
      </c>
      <c r="K18" t="s">
        <v>128</v>
      </c>
    </row>
    <row r="19" spans="1:11" x14ac:dyDescent="0.25">
      <c r="A19" t="s">
        <v>127</v>
      </c>
      <c r="B19" t="s">
        <v>2</v>
      </c>
      <c r="C19">
        <v>6.2</v>
      </c>
      <c r="D19">
        <v>6.2</v>
      </c>
      <c r="E19">
        <v>6.2</v>
      </c>
      <c r="F19">
        <v>6.2</v>
      </c>
      <c r="G19">
        <v>6.2</v>
      </c>
      <c r="H19">
        <v>6.2</v>
      </c>
      <c r="I19">
        <v>6.2</v>
      </c>
      <c r="J19" s="2" t="s">
        <v>13</v>
      </c>
      <c r="K19" t="s">
        <v>128</v>
      </c>
    </row>
    <row r="20" spans="1:11" x14ac:dyDescent="0.25">
      <c r="A20" t="s">
        <v>127</v>
      </c>
      <c r="B20" t="s">
        <v>3</v>
      </c>
      <c r="C20">
        <v>30</v>
      </c>
      <c r="D20">
        <v>30</v>
      </c>
      <c r="E20">
        <v>30</v>
      </c>
      <c r="F20">
        <v>30</v>
      </c>
      <c r="G20">
        <v>30</v>
      </c>
      <c r="H20">
        <v>30</v>
      </c>
      <c r="I20">
        <v>30</v>
      </c>
      <c r="J20" t="s">
        <v>14</v>
      </c>
      <c r="K20" t="s">
        <v>128</v>
      </c>
    </row>
    <row r="21" spans="1:11" x14ac:dyDescent="0.25">
      <c r="A21" t="s">
        <v>127</v>
      </c>
      <c r="B21" t="s">
        <v>41</v>
      </c>
      <c r="C21" s="6">
        <f>0.47</f>
        <v>0.47</v>
      </c>
      <c r="D21" s="6">
        <f t="shared" ref="D21:I22" si="1">0.47</f>
        <v>0.47</v>
      </c>
      <c r="E21" s="6">
        <f t="shared" si="1"/>
        <v>0.47</v>
      </c>
      <c r="F21" s="6">
        <f t="shared" si="1"/>
        <v>0.47</v>
      </c>
      <c r="G21" s="6">
        <f t="shared" si="1"/>
        <v>0.47</v>
      </c>
      <c r="H21" s="6">
        <f t="shared" si="1"/>
        <v>0.47</v>
      </c>
      <c r="I21" s="6">
        <f t="shared" si="1"/>
        <v>0.47</v>
      </c>
      <c r="J21" t="s">
        <v>38</v>
      </c>
      <c r="K21" t="s">
        <v>128</v>
      </c>
    </row>
    <row r="22" spans="1:11" x14ac:dyDescent="0.25">
      <c r="A22" t="s">
        <v>127</v>
      </c>
      <c r="B22" t="s">
        <v>81</v>
      </c>
      <c r="C22" s="6">
        <f>0.47</f>
        <v>0.47</v>
      </c>
      <c r="D22" s="6">
        <f t="shared" si="1"/>
        <v>0.47</v>
      </c>
      <c r="E22" s="6">
        <f t="shared" si="1"/>
        <v>0.47</v>
      </c>
      <c r="F22" s="6">
        <f t="shared" si="1"/>
        <v>0.47</v>
      </c>
      <c r="G22" s="6">
        <f t="shared" si="1"/>
        <v>0.47</v>
      </c>
      <c r="H22" s="6">
        <f t="shared" si="1"/>
        <v>0.47</v>
      </c>
      <c r="I22" s="6">
        <f t="shared" si="1"/>
        <v>0.47</v>
      </c>
      <c r="J22" t="s">
        <v>85</v>
      </c>
      <c r="K22" t="s">
        <v>128</v>
      </c>
    </row>
    <row r="24" spans="1:11" x14ac:dyDescent="0.25">
      <c r="A24" t="s">
        <v>5</v>
      </c>
      <c r="B24" t="s">
        <v>1</v>
      </c>
      <c r="C24">
        <v>234</v>
      </c>
      <c r="D24">
        <v>116.3</v>
      </c>
      <c r="E24">
        <v>76</v>
      </c>
      <c r="F24">
        <v>56.9</v>
      </c>
      <c r="G24">
        <v>48.6</v>
      </c>
      <c r="H24">
        <v>44.2</v>
      </c>
      <c r="I24">
        <v>41.7</v>
      </c>
      <c r="J24" t="s">
        <v>15</v>
      </c>
      <c r="K24" t="s">
        <v>86</v>
      </c>
    </row>
    <row r="25" spans="1:11" x14ac:dyDescent="0.25">
      <c r="A25" t="s">
        <v>5</v>
      </c>
      <c r="B25" t="s">
        <v>2</v>
      </c>
      <c r="C25">
        <v>3.28</v>
      </c>
      <c r="D25">
        <f>D24*1.7%</f>
        <v>1.9771000000000001</v>
      </c>
      <c r="E25">
        <f>E24*2%</f>
        <v>1.52</v>
      </c>
      <c r="F25">
        <f>F24*2.3%</f>
        <v>1.3087</v>
      </c>
      <c r="G25">
        <f>G24*2.5%</f>
        <v>1.2150000000000001</v>
      </c>
      <c r="H25">
        <f>H24*2.6%</f>
        <v>1.1492000000000002</v>
      </c>
      <c r="I25">
        <f>I24*2.8%</f>
        <v>1.1676</v>
      </c>
      <c r="J25" t="s">
        <v>16</v>
      </c>
      <c r="K25" t="s">
        <v>86</v>
      </c>
    </row>
    <row r="26" spans="1:11" x14ac:dyDescent="0.25">
      <c r="A26" t="s">
        <v>5</v>
      </c>
      <c r="B26" t="s">
        <v>3</v>
      </c>
      <c r="C26">
        <v>20</v>
      </c>
      <c r="D26">
        <v>20</v>
      </c>
      <c r="E26">
        <v>20</v>
      </c>
      <c r="F26">
        <v>20</v>
      </c>
      <c r="G26">
        <v>20</v>
      </c>
      <c r="H26">
        <v>20</v>
      </c>
      <c r="I26">
        <v>20</v>
      </c>
      <c r="J26" t="s">
        <v>14</v>
      </c>
      <c r="K26" t="s">
        <v>86</v>
      </c>
    </row>
    <row r="27" spans="1:11" x14ac:dyDescent="0.25">
      <c r="A27" t="s">
        <v>5</v>
      </c>
      <c r="B27" t="s">
        <v>35</v>
      </c>
      <c r="C27" s="4">
        <v>0.96</v>
      </c>
      <c r="D27" s="4">
        <v>0.96</v>
      </c>
      <c r="E27" s="4">
        <v>0.96</v>
      </c>
      <c r="F27" s="4">
        <v>0.96</v>
      </c>
      <c r="G27" s="4">
        <v>0.96</v>
      </c>
      <c r="H27" s="4">
        <v>0.96</v>
      </c>
      <c r="I27" s="4">
        <v>0.96</v>
      </c>
      <c r="J27" t="s">
        <v>37</v>
      </c>
      <c r="K27" t="s">
        <v>86</v>
      </c>
    </row>
    <row r="28" spans="1:11" x14ac:dyDescent="0.25">
      <c r="A28" t="s">
        <v>5</v>
      </c>
      <c r="B28" t="s">
        <v>36</v>
      </c>
      <c r="C28" s="4">
        <v>0.96</v>
      </c>
      <c r="D28" s="4">
        <v>0.96</v>
      </c>
      <c r="E28" s="4">
        <v>0.96</v>
      </c>
      <c r="F28" s="4">
        <v>0.96</v>
      </c>
      <c r="G28" s="4">
        <v>0.96</v>
      </c>
      <c r="H28" s="4">
        <v>0.96</v>
      </c>
      <c r="I28" s="4">
        <v>0.96</v>
      </c>
      <c r="J28" t="s">
        <v>37</v>
      </c>
      <c r="K28" t="s">
        <v>86</v>
      </c>
    </row>
    <row r="29" spans="1:11" x14ac:dyDescent="0.25">
      <c r="A29" t="s">
        <v>5</v>
      </c>
      <c r="B29" t="s">
        <v>87</v>
      </c>
      <c r="C29">
        <v>6</v>
      </c>
      <c r="D29">
        <v>6</v>
      </c>
      <c r="E29">
        <v>6</v>
      </c>
      <c r="F29">
        <v>6</v>
      </c>
      <c r="G29">
        <v>6</v>
      </c>
      <c r="H29">
        <v>6</v>
      </c>
      <c r="I29">
        <v>6</v>
      </c>
      <c r="J29" t="s">
        <v>62</v>
      </c>
      <c r="K29" t="s">
        <v>86</v>
      </c>
    </row>
    <row r="31" spans="1:11" x14ac:dyDescent="0.25">
      <c r="A31" t="s">
        <v>6</v>
      </c>
      <c r="B31" t="s">
        <v>1</v>
      </c>
      <c r="C31">
        <v>117</v>
      </c>
      <c r="D31">
        <v>76</v>
      </c>
      <c r="E31">
        <v>55</v>
      </c>
      <c r="F31">
        <v>44</v>
      </c>
      <c r="G31">
        <v>37</v>
      </c>
      <c r="H31">
        <v>33</v>
      </c>
      <c r="I31">
        <v>30</v>
      </c>
      <c r="J31" s="2" t="s">
        <v>12</v>
      </c>
      <c r="K31" t="s">
        <v>104</v>
      </c>
    </row>
    <row r="32" spans="1:11" x14ac:dyDescent="0.25">
      <c r="A32" t="s">
        <v>6</v>
      </c>
      <c r="B32" t="s">
        <v>2</v>
      </c>
      <c r="C32">
        <v>1.64</v>
      </c>
      <c r="D32">
        <v>1.29</v>
      </c>
      <c r="E32">
        <v>1.1000000000000001</v>
      </c>
      <c r="F32">
        <v>1.01</v>
      </c>
      <c r="G32">
        <v>0.93</v>
      </c>
      <c r="H32">
        <v>0.86</v>
      </c>
      <c r="I32">
        <v>0.84</v>
      </c>
      <c r="J32" s="2" t="s">
        <v>13</v>
      </c>
      <c r="K32" t="s">
        <v>104</v>
      </c>
    </row>
    <row r="33" spans="1:12" x14ac:dyDescent="0.25">
      <c r="A33" t="s">
        <v>6</v>
      </c>
      <c r="B33" t="s">
        <v>3</v>
      </c>
      <c r="C33">
        <v>20</v>
      </c>
      <c r="D33">
        <v>20</v>
      </c>
      <c r="E33">
        <v>20</v>
      </c>
      <c r="F33">
        <v>20</v>
      </c>
      <c r="G33">
        <v>20</v>
      </c>
      <c r="H33">
        <v>20</v>
      </c>
      <c r="I33">
        <v>20</v>
      </c>
      <c r="J33" t="s">
        <v>14</v>
      </c>
      <c r="K33" t="s">
        <v>104</v>
      </c>
    </row>
    <row r="35" spans="1:12" x14ac:dyDescent="0.25">
      <c r="A35" t="s">
        <v>59</v>
      </c>
      <c r="B35" t="s">
        <v>1</v>
      </c>
      <c r="C35">
        <v>660</v>
      </c>
      <c r="D35">
        <v>618</v>
      </c>
      <c r="E35">
        <v>590</v>
      </c>
      <c r="F35">
        <v>568</v>
      </c>
      <c r="G35">
        <v>554</v>
      </c>
      <c r="H35">
        <v>540</v>
      </c>
      <c r="I35">
        <v>530</v>
      </c>
      <c r="J35" s="2" t="s">
        <v>60</v>
      </c>
      <c r="K35" t="s">
        <v>29</v>
      </c>
      <c r="L35" s="12"/>
    </row>
    <row r="36" spans="1:12" x14ac:dyDescent="0.25">
      <c r="A36" t="s">
        <v>59</v>
      </c>
      <c r="B36" t="s">
        <v>2</v>
      </c>
      <c r="C36">
        <f>2%*C35</f>
        <v>13.200000000000001</v>
      </c>
      <c r="D36">
        <f t="shared" ref="D36:I36" si="2">2%*D35</f>
        <v>12.36</v>
      </c>
      <c r="E36">
        <f t="shared" si="2"/>
        <v>11.8</v>
      </c>
      <c r="F36">
        <f t="shared" si="2"/>
        <v>11.36</v>
      </c>
      <c r="G36">
        <f t="shared" si="2"/>
        <v>11.08</v>
      </c>
      <c r="H36">
        <f t="shared" si="2"/>
        <v>10.8</v>
      </c>
      <c r="I36">
        <f t="shared" si="2"/>
        <v>10.6</v>
      </c>
      <c r="J36" s="2" t="s">
        <v>61</v>
      </c>
      <c r="K36" t="s">
        <v>29</v>
      </c>
    </row>
    <row r="37" spans="1:12" x14ac:dyDescent="0.25">
      <c r="A37" t="s">
        <v>59</v>
      </c>
      <c r="B37" t="s">
        <v>3</v>
      </c>
      <c r="C37">
        <v>25</v>
      </c>
      <c r="D37">
        <v>25</v>
      </c>
      <c r="E37">
        <v>25</v>
      </c>
      <c r="F37">
        <v>25</v>
      </c>
      <c r="G37">
        <v>25</v>
      </c>
      <c r="H37">
        <v>25</v>
      </c>
      <c r="I37">
        <v>25</v>
      </c>
      <c r="J37" t="s">
        <v>14</v>
      </c>
      <c r="K37" t="s">
        <v>29</v>
      </c>
    </row>
    <row r="38" spans="1:12" x14ac:dyDescent="0.25">
      <c r="A38" t="s">
        <v>59</v>
      </c>
      <c r="B38" t="s">
        <v>63</v>
      </c>
      <c r="C38">
        <v>2.5</v>
      </c>
      <c r="D38">
        <v>2.5</v>
      </c>
      <c r="E38">
        <v>2.5</v>
      </c>
      <c r="F38">
        <v>2.5</v>
      </c>
      <c r="G38">
        <v>2.5</v>
      </c>
      <c r="H38">
        <v>2.5</v>
      </c>
      <c r="I38">
        <v>2.5</v>
      </c>
      <c r="J38" t="s">
        <v>62</v>
      </c>
      <c r="K38" t="s">
        <v>29</v>
      </c>
    </row>
    <row r="40" spans="1:12" x14ac:dyDescent="0.25">
      <c r="A40" t="s">
        <v>82</v>
      </c>
      <c r="B40" t="s">
        <v>1</v>
      </c>
      <c r="C40">
        <v>100</v>
      </c>
      <c r="D40">
        <v>100</v>
      </c>
      <c r="E40">
        <v>75</v>
      </c>
      <c r="F40">
        <v>75</v>
      </c>
      <c r="G40">
        <v>75</v>
      </c>
      <c r="H40">
        <v>75</v>
      </c>
      <c r="I40">
        <v>75</v>
      </c>
      <c r="J40" s="2" t="s">
        <v>60</v>
      </c>
      <c r="K40" t="s">
        <v>131</v>
      </c>
    </row>
    <row r="41" spans="1:12" x14ac:dyDescent="0.25">
      <c r="A41" t="s">
        <v>82</v>
      </c>
      <c r="B41" t="s">
        <v>2</v>
      </c>
      <c r="C41">
        <v>1.47</v>
      </c>
      <c r="D41">
        <v>1.47</v>
      </c>
      <c r="E41">
        <v>1.47</v>
      </c>
      <c r="F41">
        <v>1.47</v>
      </c>
      <c r="G41">
        <v>1.47</v>
      </c>
      <c r="H41">
        <v>1.47</v>
      </c>
      <c r="I41">
        <v>1.47</v>
      </c>
      <c r="J41" s="2" t="s">
        <v>61</v>
      </c>
      <c r="K41" t="s">
        <v>131</v>
      </c>
    </row>
    <row r="42" spans="1:12" x14ac:dyDescent="0.25">
      <c r="A42" t="s">
        <v>82</v>
      </c>
      <c r="B42" t="s">
        <v>3</v>
      </c>
      <c r="C42">
        <v>35</v>
      </c>
      <c r="D42">
        <v>35</v>
      </c>
      <c r="E42">
        <v>35</v>
      </c>
      <c r="F42">
        <v>35</v>
      </c>
      <c r="G42">
        <v>35</v>
      </c>
      <c r="H42">
        <v>35</v>
      </c>
      <c r="I42">
        <v>35</v>
      </c>
      <c r="J42" t="s">
        <v>14</v>
      </c>
      <c r="K42" t="s">
        <v>131</v>
      </c>
    </row>
    <row r="43" spans="1:12" x14ac:dyDescent="0.25">
      <c r="A43" t="s">
        <v>82</v>
      </c>
      <c r="B43" t="s">
        <v>39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 t="s">
        <v>84</v>
      </c>
      <c r="K43" t="s">
        <v>131</v>
      </c>
    </row>
    <row r="45" spans="1:12" x14ac:dyDescent="0.25">
      <c r="A45" t="s">
        <v>83</v>
      </c>
      <c r="B45" t="s">
        <v>1</v>
      </c>
      <c r="C45">
        <v>27.5</v>
      </c>
      <c r="D45">
        <v>24.6</v>
      </c>
      <c r="E45">
        <v>21.7</v>
      </c>
      <c r="F45">
        <v>19.524999999999999</v>
      </c>
      <c r="G45">
        <v>17.350000000000001</v>
      </c>
      <c r="H45">
        <v>15.175000000000001</v>
      </c>
      <c r="I45">
        <v>13</v>
      </c>
      <c r="J45" s="2" t="s">
        <v>19</v>
      </c>
      <c r="K45" t="s">
        <v>134</v>
      </c>
    </row>
    <row r="46" spans="1:12" x14ac:dyDescent="0.25">
      <c r="A46" t="s">
        <v>83</v>
      </c>
      <c r="B46" t="s">
        <v>2</v>
      </c>
      <c r="C46">
        <v>0.6</v>
      </c>
      <c r="D46">
        <v>0.45</v>
      </c>
      <c r="E46">
        <v>0.45</v>
      </c>
      <c r="F46">
        <v>0.375</v>
      </c>
      <c r="G46">
        <v>0.3</v>
      </c>
      <c r="H46">
        <v>0.3</v>
      </c>
      <c r="I46">
        <v>0.3</v>
      </c>
      <c r="J46" s="2" t="s">
        <v>20</v>
      </c>
      <c r="K46" t="s">
        <v>134</v>
      </c>
    </row>
    <row r="47" spans="1:12" x14ac:dyDescent="0.25">
      <c r="A47" t="s">
        <v>83</v>
      </c>
      <c r="B47" t="s">
        <v>3</v>
      </c>
      <c r="C47">
        <v>25</v>
      </c>
      <c r="D47">
        <v>25</v>
      </c>
      <c r="E47">
        <v>25</v>
      </c>
      <c r="F47">
        <v>30</v>
      </c>
      <c r="G47">
        <v>30</v>
      </c>
      <c r="H47">
        <v>30</v>
      </c>
      <c r="I47">
        <v>30</v>
      </c>
      <c r="J47" t="s">
        <v>14</v>
      </c>
      <c r="K47" t="s">
        <v>134</v>
      </c>
    </row>
    <row r="49" spans="1:12" x14ac:dyDescent="0.25">
      <c r="A49" t="s">
        <v>50</v>
      </c>
      <c r="B49" t="s">
        <v>1</v>
      </c>
      <c r="C49">
        <v>818</v>
      </c>
      <c r="D49">
        <v>597</v>
      </c>
      <c r="E49">
        <v>415</v>
      </c>
      <c r="F49">
        <v>301</v>
      </c>
      <c r="G49">
        <v>239</v>
      </c>
      <c r="H49">
        <v>202</v>
      </c>
      <c r="I49">
        <v>180</v>
      </c>
      <c r="J49" s="2" t="s">
        <v>66</v>
      </c>
      <c r="K49" t="s">
        <v>29</v>
      </c>
    </row>
    <row r="50" spans="1:12" x14ac:dyDescent="0.25">
      <c r="A50" t="s">
        <v>50</v>
      </c>
      <c r="B50" t="s">
        <v>2</v>
      </c>
      <c r="C50">
        <f>C49*3.5%</f>
        <v>28.630000000000003</v>
      </c>
      <c r="D50">
        <f t="shared" ref="D50:I50" si="3">D49*3.5%</f>
        <v>20.895000000000003</v>
      </c>
      <c r="E50">
        <f t="shared" si="3"/>
        <v>14.525000000000002</v>
      </c>
      <c r="F50">
        <f t="shared" si="3"/>
        <v>10.535</v>
      </c>
      <c r="G50">
        <f t="shared" si="3"/>
        <v>8.3650000000000002</v>
      </c>
      <c r="H50">
        <f t="shared" si="3"/>
        <v>7.07</v>
      </c>
      <c r="I50">
        <f t="shared" si="3"/>
        <v>6.3000000000000007</v>
      </c>
      <c r="J50" s="2" t="s">
        <v>67</v>
      </c>
      <c r="K50" t="s">
        <v>29</v>
      </c>
    </row>
    <row r="51" spans="1:12" x14ac:dyDescent="0.25">
      <c r="A51" t="s">
        <v>50</v>
      </c>
      <c r="B51" t="s">
        <v>3</v>
      </c>
      <c r="C51">
        <v>30</v>
      </c>
      <c r="D51">
        <v>30</v>
      </c>
      <c r="E51">
        <v>30</v>
      </c>
      <c r="F51">
        <v>30</v>
      </c>
      <c r="G51">
        <v>30</v>
      </c>
      <c r="H51">
        <v>30</v>
      </c>
      <c r="I51">
        <v>30</v>
      </c>
      <c r="J51" t="s">
        <v>14</v>
      </c>
      <c r="K51" t="s">
        <v>29</v>
      </c>
    </row>
    <row r="52" spans="1:12" x14ac:dyDescent="0.25">
      <c r="A52" t="s">
        <v>50</v>
      </c>
      <c r="B52" t="s">
        <v>39</v>
      </c>
      <c r="C52">
        <v>1.4259999999999999</v>
      </c>
      <c r="D52">
        <v>1.4259999999999999</v>
      </c>
      <c r="E52">
        <v>1.4259999999999999</v>
      </c>
      <c r="F52">
        <v>1.4259999999999999</v>
      </c>
      <c r="G52">
        <v>1.4259999999999999</v>
      </c>
      <c r="H52">
        <v>1.4259999999999999</v>
      </c>
      <c r="I52">
        <v>1.4259999999999999</v>
      </c>
      <c r="J52" t="s">
        <v>38</v>
      </c>
      <c r="K52" t="s">
        <v>29</v>
      </c>
    </row>
    <row r="53" spans="1:12" x14ac:dyDescent="0.25">
      <c r="A53" t="s">
        <v>50</v>
      </c>
      <c r="B53" t="s">
        <v>76</v>
      </c>
      <c r="C53" s="10">
        <v>0.22700000000000001</v>
      </c>
      <c r="D53" s="10">
        <v>0.214</v>
      </c>
      <c r="E53" s="10">
        <v>0.2</v>
      </c>
      <c r="F53" s="10">
        <v>0.187</v>
      </c>
      <c r="G53" s="10">
        <v>0.17299999999999999</v>
      </c>
      <c r="H53" s="10">
        <v>0.16</v>
      </c>
      <c r="I53" s="10">
        <v>0.14699999999999999</v>
      </c>
      <c r="J53" t="s">
        <v>77</v>
      </c>
      <c r="K53" t="s">
        <v>29</v>
      </c>
    </row>
    <row r="55" spans="1:12" x14ac:dyDescent="0.25">
      <c r="A55" t="s">
        <v>49</v>
      </c>
      <c r="B55" t="s">
        <v>1</v>
      </c>
      <c r="C55">
        <v>1080</v>
      </c>
      <c r="D55">
        <v>882</v>
      </c>
      <c r="E55">
        <v>649</v>
      </c>
      <c r="F55">
        <v>480</v>
      </c>
      <c r="G55">
        <v>383</v>
      </c>
      <c r="H55">
        <v>324</v>
      </c>
      <c r="I55">
        <v>290</v>
      </c>
      <c r="J55" s="2" t="s">
        <v>66</v>
      </c>
      <c r="K55" t="s">
        <v>29</v>
      </c>
    </row>
    <row r="56" spans="1:12" x14ac:dyDescent="0.25">
      <c r="A56" t="s">
        <v>49</v>
      </c>
      <c r="B56" t="s">
        <v>2</v>
      </c>
      <c r="C56">
        <f>C55*3.5%</f>
        <v>37.800000000000004</v>
      </c>
      <c r="D56">
        <f t="shared" ref="D56" si="4">D55*3.5%</f>
        <v>30.870000000000005</v>
      </c>
      <c r="E56">
        <f t="shared" ref="E56" si="5">E55*3.5%</f>
        <v>22.715000000000003</v>
      </c>
      <c r="F56">
        <f t="shared" ref="F56" si="6">F55*3.5%</f>
        <v>16.8</v>
      </c>
      <c r="G56">
        <f t="shared" ref="G56" si="7">G55*3.5%</f>
        <v>13.405000000000001</v>
      </c>
      <c r="H56">
        <f t="shared" ref="H56" si="8">H55*3.5%</f>
        <v>11.340000000000002</v>
      </c>
      <c r="I56">
        <f t="shared" ref="I56" si="9">I55*3.5%</f>
        <v>10.15</v>
      </c>
      <c r="J56" s="2" t="s">
        <v>67</v>
      </c>
      <c r="K56" t="s">
        <v>29</v>
      </c>
    </row>
    <row r="57" spans="1:12" x14ac:dyDescent="0.25">
      <c r="A57" t="s">
        <v>49</v>
      </c>
      <c r="B57" t="s">
        <v>3</v>
      </c>
      <c r="C57">
        <v>30</v>
      </c>
      <c r="D57">
        <v>30</v>
      </c>
      <c r="E57">
        <v>30</v>
      </c>
      <c r="F57">
        <v>30</v>
      </c>
      <c r="G57">
        <v>30</v>
      </c>
      <c r="H57">
        <v>30</v>
      </c>
      <c r="I57">
        <v>30</v>
      </c>
      <c r="J57" t="s">
        <v>14</v>
      </c>
      <c r="K57" t="s">
        <v>29</v>
      </c>
    </row>
    <row r="58" spans="1:12" x14ac:dyDescent="0.25">
      <c r="A58" t="s">
        <v>49</v>
      </c>
      <c r="B58" t="s">
        <v>39</v>
      </c>
      <c r="C58">
        <v>1.4259999999999999</v>
      </c>
      <c r="D58">
        <v>1.4259999999999999</v>
      </c>
      <c r="E58">
        <v>1.4259999999999999</v>
      </c>
      <c r="F58">
        <v>1.4259999999999999</v>
      </c>
      <c r="G58">
        <v>1.4259999999999999</v>
      </c>
      <c r="H58">
        <v>1.4259999999999999</v>
      </c>
      <c r="I58">
        <v>1.4259999999999999</v>
      </c>
      <c r="J58" t="s">
        <v>38</v>
      </c>
      <c r="K58" t="s">
        <v>29</v>
      </c>
    </row>
    <row r="59" spans="1:12" x14ac:dyDescent="0.25">
      <c r="A59" t="s">
        <v>49</v>
      </c>
      <c r="B59" t="s">
        <v>76</v>
      </c>
      <c r="C59" s="10">
        <v>0.22700000000000001</v>
      </c>
      <c r="D59" s="10">
        <v>0.214</v>
      </c>
      <c r="E59" s="10">
        <v>0.2</v>
      </c>
      <c r="F59" s="10">
        <v>0.187</v>
      </c>
      <c r="G59" s="10">
        <v>0.17299999999999999</v>
      </c>
      <c r="H59" s="10">
        <v>0.16</v>
      </c>
      <c r="I59" s="10">
        <v>0.14699999999999999</v>
      </c>
      <c r="J59" t="s">
        <v>77</v>
      </c>
      <c r="K59" t="s">
        <v>29</v>
      </c>
    </row>
    <row r="61" spans="1:12" x14ac:dyDescent="0.25">
      <c r="A61" t="s">
        <v>88</v>
      </c>
      <c r="B61" t="s">
        <v>1</v>
      </c>
      <c r="C61">
        <f>1.44*141.88/119.96</f>
        <v>1.7031277092364121</v>
      </c>
      <c r="D61">
        <f>1.44*141.88/119.96</f>
        <v>1.7031277092364121</v>
      </c>
      <c r="E61">
        <f t="shared" ref="E61:H61" si="10">1.25*141.88/119.96</f>
        <v>1.4784094698232744</v>
      </c>
      <c r="F61">
        <f t="shared" si="10"/>
        <v>1.4784094698232744</v>
      </c>
      <c r="G61">
        <f t="shared" si="10"/>
        <v>1.4784094698232744</v>
      </c>
      <c r="H61">
        <f t="shared" si="10"/>
        <v>1.4784094698232744</v>
      </c>
      <c r="I61">
        <f>1.25*141.88/119.96</f>
        <v>1.4784094698232744</v>
      </c>
      <c r="J61" t="s">
        <v>92</v>
      </c>
      <c r="K61" t="s">
        <v>29</v>
      </c>
      <c r="L61" t="s">
        <v>137</v>
      </c>
    </row>
    <row r="62" spans="1:12" x14ac:dyDescent="0.25">
      <c r="A62" t="s">
        <v>88</v>
      </c>
      <c r="B62" t="s">
        <v>2</v>
      </c>
      <c r="C62">
        <f>C61*4%</f>
        <v>6.8125108369456483E-2</v>
      </c>
      <c r="D62">
        <f t="shared" ref="D62:I62" si="11">D61*4%</f>
        <v>6.8125108369456483E-2</v>
      </c>
      <c r="E62">
        <f t="shared" si="11"/>
        <v>5.9136378792930974E-2</v>
      </c>
      <c r="F62">
        <f t="shared" si="11"/>
        <v>5.9136378792930974E-2</v>
      </c>
      <c r="G62">
        <f t="shared" si="11"/>
        <v>5.9136378792930974E-2</v>
      </c>
      <c r="H62">
        <f t="shared" si="11"/>
        <v>5.9136378792930974E-2</v>
      </c>
      <c r="I62">
        <f t="shared" si="11"/>
        <v>5.9136378792930974E-2</v>
      </c>
      <c r="J62" t="s">
        <v>93</v>
      </c>
      <c r="K62" t="s">
        <v>29</v>
      </c>
      <c r="L62" t="s">
        <v>137</v>
      </c>
    </row>
    <row r="63" spans="1:12" x14ac:dyDescent="0.25">
      <c r="A63" t="s">
        <v>88</v>
      </c>
      <c r="B63" t="s">
        <v>3</v>
      </c>
      <c r="C63">
        <v>30</v>
      </c>
      <c r="D63">
        <v>30</v>
      </c>
      <c r="E63">
        <v>30</v>
      </c>
      <c r="F63">
        <v>30</v>
      </c>
      <c r="G63">
        <v>30</v>
      </c>
      <c r="H63">
        <v>30</v>
      </c>
      <c r="I63">
        <v>30</v>
      </c>
      <c r="J63" t="s">
        <v>14</v>
      </c>
      <c r="K63" t="s">
        <v>29</v>
      </c>
      <c r="L63" t="s">
        <v>137</v>
      </c>
    </row>
    <row r="64" spans="1:12" x14ac:dyDescent="0.25">
      <c r="A64" t="s">
        <v>88</v>
      </c>
      <c r="B64" t="s">
        <v>87</v>
      </c>
      <c r="C64">
        <v>240</v>
      </c>
      <c r="D64">
        <v>240</v>
      </c>
      <c r="E64">
        <v>240</v>
      </c>
      <c r="F64">
        <v>240</v>
      </c>
      <c r="G64">
        <v>240</v>
      </c>
      <c r="H64">
        <v>240</v>
      </c>
      <c r="I64">
        <v>240</v>
      </c>
      <c r="J64" t="s">
        <v>62</v>
      </c>
      <c r="K64" t="s">
        <v>29</v>
      </c>
      <c r="L64" t="s">
        <v>137</v>
      </c>
    </row>
    <row r="66" spans="1:11" x14ac:dyDescent="0.25">
      <c r="A66" t="s">
        <v>91</v>
      </c>
      <c r="B66" t="s">
        <v>1</v>
      </c>
      <c r="C66" s="5">
        <f>12.5*141.88/119.96</f>
        <v>14.784094698232744</v>
      </c>
      <c r="D66" s="5">
        <f t="shared" ref="D66" si="12">12.5*141.88/119.96</f>
        <v>14.784094698232744</v>
      </c>
      <c r="E66" s="5">
        <f>12.25*141.88/119.96</f>
        <v>14.488412804268091</v>
      </c>
      <c r="F66" s="5">
        <f t="shared" ref="F66:I66" si="13">12.25*141.88/119.96</f>
        <v>14.488412804268091</v>
      </c>
      <c r="G66" s="5">
        <f t="shared" si="13"/>
        <v>14.488412804268091</v>
      </c>
      <c r="H66" s="5">
        <f t="shared" si="13"/>
        <v>14.488412804268091</v>
      </c>
      <c r="I66" s="5">
        <f t="shared" si="13"/>
        <v>14.488412804268091</v>
      </c>
      <c r="J66" t="s">
        <v>92</v>
      </c>
      <c r="K66" t="s">
        <v>29</v>
      </c>
    </row>
    <row r="67" spans="1:11" x14ac:dyDescent="0.25">
      <c r="A67" t="s">
        <v>91</v>
      </c>
      <c r="B67" t="s">
        <v>2</v>
      </c>
      <c r="C67" s="5">
        <f>C66*1%</f>
        <v>0.14784094698232744</v>
      </c>
      <c r="D67" s="5">
        <f t="shared" ref="D67:I67" si="14">D66*1%</f>
        <v>0.14784094698232744</v>
      </c>
      <c r="E67" s="5">
        <f t="shared" si="14"/>
        <v>0.14488412804268092</v>
      </c>
      <c r="F67" s="5">
        <f t="shared" si="14"/>
        <v>0.14488412804268092</v>
      </c>
      <c r="G67" s="5">
        <f t="shared" si="14"/>
        <v>0.14488412804268092</v>
      </c>
      <c r="H67" s="5">
        <f t="shared" si="14"/>
        <v>0.14488412804268092</v>
      </c>
      <c r="I67" s="5">
        <f t="shared" si="14"/>
        <v>0.14488412804268092</v>
      </c>
      <c r="J67" t="s">
        <v>93</v>
      </c>
      <c r="K67" t="s">
        <v>29</v>
      </c>
    </row>
    <row r="68" spans="1:11" x14ac:dyDescent="0.25">
      <c r="A68" t="s">
        <v>91</v>
      </c>
      <c r="B68" t="s">
        <v>3</v>
      </c>
      <c r="C68">
        <v>30</v>
      </c>
      <c r="D68">
        <v>30</v>
      </c>
      <c r="E68">
        <v>30</v>
      </c>
      <c r="F68">
        <v>30</v>
      </c>
      <c r="G68">
        <v>30</v>
      </c>
      <c r="H68">
        <v>30</v>
      </c>
      <c r="I68">
        <v>30</v>
      </c>
      <c r="J68" t="s">
        <v>14</v>
      </c>
      <c r="K68" t="s">
        <v>29</v>
      </c>
    </row>
    <row r="69" spans="1:11" x14ac:dyDescent="0.25">
      <c r="A69" t="s">
        <v>91</v>
      </c>
      <c r="B69" t="s">
        <v>87</v>
      </c>
      <c r="C69">
        <v>6</v>
      </c>
      <c r="D69">
        <v>6</v>
      </c>
      <c r="E69">
        <v>6</v>
      </c>
      <c r="F69">
        <v>6</v>
      </c>
      <c r="G69">
        <v>6</v>
      </c>
      <c r="H69">
        <v>6</v>
      </c>
      <c r="I69">
        <v>6</v>
      </c>
      <c r="J69" t="s">
        <v>62</v>
      </c>
      <c r="K69" t="s">
        <v>29</v>
      </c>
    </row>
    <row r="71" spans="1:11" x14ac:dyDescent="0.25">
      <c r="A71" t="s">
        <v>7</v>
      </c>
      <c r="B71" t="s">
        <v>1</v>
      </c>
      <c r="C71">
        <v>2.3780000000000001</v>
      </c>
      <c r="D71">
        <v>2.3780000000000001</v>
      </c>
      <c r="E71">
        <v>0.81</v>
      </c>
      <c r="F71">
        <v>0.56100000000000005</v>
      </c>
      <c r="G71">
        <v>0.41699999999999998</v>
      </c>
      <c r="H71">
        <v>0.35199999999999998</v>
      </c>
      <c r="I71">
        <v>0.315</v>
      </c>
      <c r="J71" s="2" t="s">
        <v>78</v>
      </c>
      <c r="K71" t="s">
        <v>29</v>
      </c>
    </row>
    <row r="72" spans="1:11" x14ac:dyDescent="0.25">
      <c r="A72" t="s">
        <v>7</v>
      </c>
      <c r="B72" t="s">
        <v>2</v>
      </c>
      <c r="C72">
        <f>C71*4%</f>
        <v>9.512000000000001E-2</v>
      </c>
      <c r="D72">
        <f t="shared" ref="D72:I72" si="15">D71*4%</f>
        <v>9.512000000000001E-2</v>
      </c>
      <c r="E72">
        <f t="shared" si="15"/>
        <v>3.2400000000000005E-2</v>
      </c>
      <c r="F72">
        <f t="shared" si="15"/>
        <v>2.2440000000000002E-2</v>
      </c>
      <c r="G72">
        <f t="shared" si="15"/>
        <v>1.668E-2</v>
      </c>
      <c r="H72">
        <f t="shared" si="15"/>
        <v>1.4079999999999999E-2</v>
      </c>
      <c r="I72">
        <f t="shared" si="15"/>
        <v>1.26E-2</v>
      </c>
      <c r="J72" s="2" t="s">
        <v>78</v>
      </c>
      <c r="K72" t="s">
        <v>29</v>
      </c>
    </row>
    <row r="73" spans="1:11" x14ac:dyDescent="0.25">
      <c r="A73" t="s">
        <v>7</v>
      </c>
      <c r="B73" t="s">
        <v>3</v>
      </c>
      <c r="C73">
        <v>20</v>
      </c>
      <c r="D73">
        <v>25</v>
      </c>
      <c r="E73">
        <v>25</v>
      </c>
      <c r="F73">
        <v>30</v>
      </c>
      <c r="G73">
        <v>30</v>
      </c>
      <c r="H73">
        <v>30</v>
      </c>
      <c r="I73">
        <v>30</v>
      </c>
      <c r="J73" t="s">
        <v>14</v>
      </c>
      <c r="K73" t="s">
        <v>29</v>
      </c>
    </row>
    <row r="74" spans="1:11" x14ac:dyDescent="0.25">
      <c r="A74" t="s">
        <v>7</v>
      </c>
      <c r="B74" t="s">
        <v>39</v>
      </c>
      <c r="C74">
        <v>0.7</v>
      </c>
      <c r="D74">
        <v>0.7</v>
      </c>
      <c r="E74">
        <v>0.309</v>
      </c>
      <c r="F74">
        <v>0.27500000000000002</v>
      </c>
      <c r="G74">
        <v>0.25</v>
      </c>
      <c r="H74">
        <v>0.23699999999999999</v>
      </c>
      <c r="I74">
        <v>0.22900000000000001</v>
      </c>
      <c r="J74" t="s">
        <v>71</v>
      </c>
      <c r="K74" t="s">
        <v>29</v>
      </c>
    </row>
    <row r="75" spans="1:11" x14ac:dyDescent="0.25">
      <c r="A75" t="s">
        <v>7</v>
      </c>
      <c r="B75" t="s">
        <v>58</v>
      </c>
      <c r="C75">
        <v>3</v>
      </c>
      <c r="D75">
        <v>3</v>
      </c>
      <c r="E75">
        <v>1.3260000000000001</v>
      </c>
      <c r="F75">
        <v>1.179</v>
      </c>
      <c r="G75">
        <v>1.0720000000000001</v>
      </c>
      <c r="H75">
        <v>1.016</v>
      </c>
      <c r="I75">
        <v>0.98099999999999998</v>
      </c>
      <c r="J75" t="s">
        <v>72</v>
      </c>
      <c r="K75" t="s">
        <v>29</v>
      </c>
    </row>
    <row r="77" spans="1:11" x14ac:dyDescent="0.25">
      <c r="A77" t="s">
        <v>8</v>
      </c>
      <c r="B77" t="s">
        <v>1</v>
      </c>
      <c r="C77">
        <v>3.56</v>
      </c>
      <c r="D77">
        <v>3.56</v>
      </c>
      <c r="E77">
        <v>3.56</v>
      </c>
      <c r="F77">
        <v>3.56</v>
      </c>
      <c r="G77">
        <v>3.56</v>
      </c>
      <c r="H77">
        <v>3.56</v>
      </c>
      <c r="I77">
        <v>3.56</v>
      </c>
      <c r="J77" s="2" t="s">
        <v>69</v>
      </c>
      <c r="K77" t="s">
        <v>29</v>
      </c>
    </row>
    <row r="78" spans="1:11" x14ac:dyDescent="0.25">
      <c r="A78" t="s">
        <v>8</v>
      </c>
      <c r="B78" t="s">
        <v>2</v>
      </c>
      <c r="C78">
        <f>C77*1.2%</f>
        <v>4.2720000000000001E-2</v>
      </c>
      <c r="D78">
        <f t="shared" ref="D78:I78" si="16">D77*1.2%</f>
        <v>4.2720000000000001E-2</v>
      </c>
      <c r="E78">
        <f t="shared" si="16"/>
        <v>4.2720000000000001E-2</v>
      </c>
      <c r="F78">
        <f t="shared" si="16"/>
        <v>4.2720000000000001E-2</v>
      </c>
      <c r="G78">
        <f t="shared" si="16"/>
        <v>4.2720000000000001E-2</v>
      </c>
      <c r="H78">
        <f t="shared" si="16"/>
        <v>4.2720000000000001E-2</v>
      </c>
      <c r="I78">
        <f t="shared" si="16"/>
        <v>4.2720000000000001E-2</v>
      </c>
      <c r="J78" s="2" t="s">
        <v>70</v>
      </c>
      <c r="K78" t="s">
        <v>29</v>
      </c>
    </row>
    <row r="79" spans="1:11" x14ac:dyDescent="0.25">
      <c r="A79" t="s">
        <v>8</v>
      </c>
      <c r="B79" t="s">
        <v>3</v>
      </c>
      <c r="C79">
        <v>30</v>
      </c>
      <c r="D79">
        <v>30</v>
      </c>
      <c r="E79">
        <v>30</v>
      </c>
      <c r="F79">
        <v>30</v>
      </c>
      <c r="G79">
        <v>30</v>
      </c>
      <c r="H79">
        <v>30</v>
      </c>
      <c r="I79">
        <v>30</v>
      </c>
      <c r="J79" t="s">
        <v>14</v>
      </c>
      <c r="K79" t="s">
        <v>29</v>
      </c>
    </row>
    <row r="80" spans="1:11" x14ac:dyDescent="0.25">
      <c r="A80" t="s">
        <v>8</v>
      </c>
      <c r="B80" t="s">
        <v>39</v>
      </c>
      <c r="C80">
        <v>9.9000000000000005E-2</v>
      </c>
      <c r="D80">
        <v>9.9000000000000005E-2</v>
      </c>
      <c r="E80">
        <v>9.9000000000000005E-2</v>
      </c>
      <c r="F80">
        <v>9.9000000000000005E-2</v>
      </c>
      <c r="G80">
        <v>9.9000000000000005E-2</v>
      </c>
      <c r="H80">
        <v>9.9000000000000005E-2</v>
      </c>
      <c r="I80">
        <v>9.9000000000000005E-2</v>
      </c>
      <c r="J80" t="s">
        <v>71</v>
      </c>
      <c r="K80" t="s">
        <v>29</v>
      </c>
    </row>
    <row r="81" spans="1:12" x14ac:dyDescent="0.25">
      <c r="A81" t="s">
        <v>8</v>
      </c>
      <c r="B81" t="s">
        <v>87</v>
      </c>
      <c r="C81">
        <v>6</v>
      </c>
      <c r="D81">
        <v>6</v>
      </c>
      <c r="E81">
        <v>6</v>
      </c>
      <c r="F81">
        <v>6</v>
      </c>
      <c r="G81">
        <v>6</v>
      </c>
      <c r="H81">
        <v>6</v>
      </c>
      <c r="I81">
        <v>6</v>
      </c>
      <c r="J81" t="s">
        <v>62</v>
      </c>
      <c r="K81" t="s">
        <v>29</v>
      </c>
    </row>
    <row r="83" spans="1:12" x14ac:dyDescent="0.25">
      <c r="A83" t="s">
        <v>52</v>
      </c>
      <c r="B83" t="s">
        <v>1</v>
      </c>
      <c r="C83">
        <v>1053</v>
      </c>
      <c r="D83">
        <v>1053</v>
      </c>
      <c r="E83">
        <v>1053</v>
      </c>
      <c r="F83">
        <v>1053</v>
      </c>
      <c r="G83">
        <v>1053</v>
      </c>
      <c r="H83">
        <v>1053</v>
      </c>
      <c r="I83">
        <v>1053</v>
      </c>
      <c r="J83" t="s">
        <v>17</v>
      </c>
      <c r="K83" t="s">
        <v>89</v>
      </c>
    </row>
    <row r="84" spans="1:12" x14ac:dyDescent="0.25">
      <c r="A84" t="s">
        <v>52</v>
      </c>
      <c r="B84" t="s">
        <v>2</v>
      </c>
      <c r="C84">
        <v>42.1</v>
      </c>
      <c r="D84">
        <v>42.1</v>
      </c>
      <c r="E84">
        <v>42.1</v>
      </c>
      <c r="F84">
        <v>42.1</v>
      </c>
      <c r="G84">
        <v>42.1</v>
      </c>
      <c r="H84">
        <v>42.1</v>
      </c>
      <c r="I84">
        <v>42.1</v>
      </c>
      <c r="J84" t="s">
        <v>18</v>
      </c>
      <c r="K84" t="s">
        <v>89</v>
      </c>
    </row>
    <row r="85" spans="1:12" x14ac:dyDescent="0.25">
      <c r="A85" t="s">
        <v>52</v>
      </c>
      <c r="B85" t="s">
        <v>3</v>
      </c>
      <c r="C85">
        <v>30</v>
      </c>
      <c r="D85">
        <v>30</v>
      </c>
      <c r="E85">
        <v>30</v>
      </c>
      <c r="F85">
        <v>30</v>
      </c>
      <c r="G85">
        <v>30</v>
      </c>
      <c r="H85">
        <v>30</v>
      </c>
      <c r="I85">
        <v>30</v>
      </c>
      <c r="J85" t="s">
        <v>14</v>
      </c>
      <c r="K85" t="s">
        <v>89</v>
      </c>
    </row>
    <row r="86" spans="1:12" x14ac:dyDescent="0.25">
      <c r="A86" t="s">
        <v>52</v>
      </c>
      <c r="B86" t="s">
        <v>39</v>
      </c>
      <c r="C86">
        <f>738/5250</f>
        <v>0.14057142857142857</v>
      </c>
      <c r="D86">
        <f t="shared" ref="D86:I86" si="17">738/5250</f>
        <v>0.14057142857142857</v>
      </c>
      <c r="E86">
        <f t="shared" si="17"/>
        <v>0.14057142857142857</v>
      </c>
      <c r="F86">
        <f t="shared" si="17"/>
        <v>0.14057142857142857</v>
      </c>
      <c r="G86">
        <f t="shared" si="17"/>
        <v>0.14057142857142857</v>
      </c>
      <c r="H86">
        <f t="shared" si="17"/>
        <v>0.14057142857142857</v>
      </c>
      <c r="I86">
        <f t="shared" si="17"/>
        <v>0.14057142857142857</v>
      </c>
      <c r="J86" t="s">
        <v>40</v>
      </c>
      <c r="K86" t="s">
        <v>29</v>
      </c>
    </row>
    <row r="87" spans="1:12" x14ac:dyDescent="0.25">
      <c r="A87" t="s">
        <v>52</v>
      </c>
      <c r="B87" t="s">
        <v>41</v>
      </c>
      <c r="C87">
        <f>179.3*33.33/5250</f>
        <v>1.1382988571428572</v>
      </c>
      <c r="D87">
        <f t="shared" ref="D87:I87" si="18">179.3*33.33/5250</f>
        <v>1.1382988571428572</v>
      </c>
      <c r="E87">
        <f t="shared" si="18"/>
        <v>1.1382988571428572</v>
      </c>
      <c r="F87">
        <f t="shared" si="18"/>
        <v>1.1382988571428572</v>
      </c>
      <c r="G87">
        <f t="shared" si="18"/>
        <v>1.1382988571428572</v>
      </c>
      <c r="H87">
        <f t="shared" si="18"/>
        <v>1.1382988571428572</v>
      </c>
      <c r="I87">
        <f t="shared" si="18"/>
        <v>1.1382988571428572</v>
      </c>
      <c r="J87" t="s">
        <v>42</v>
      </c>
      <c r="K87" t="s">
        <v>29</v>
      </c>
    </row>
    <row r="88" spans="1:12" x14ac:dyDescent="0.25">
      <c r="A88" t="s">
        <v>52</v>
      </c>
      <c r="B88" t="s">
        <v>54</v>
      </c>
      <c r="C88">
        <f>2/5250</f>
        <v>3.8095238095238096E-4</v>
      </c>
      <c r="D88">
        <f t="shared" ref="D88:I88" si="19">2/5250</f>
        <v>3.8095238095238096E-4</v>
      </c>
      <c r="E88">
        <f t="shared" si="19"/>
        <v>3.8095238095238096E-4</v>
      </c>
      <c r="F88">
        <f t="shared" si="19"/>
        <v>3.8095238095238096E-4</v>
      </c>
      <c r="G88">
        <f t="shared" si="19"/>
        <v>3.8095238095238096E-4</v>
      </c>
      <c r="H88">
        <f t="shared" si="19"/>
        <v>3.8095238095238096E-4</v>
      </c>
      <c r="I88">
        <f t="shared" si="19"/>
        <v>3.8095238095238096E-4</v>
      </c>
      <c r="J88" t="s">
        <v>55</v>
      </c>
      <c r="K88" t="s">
        <v>29</v>
      </c>
    </row>
    <row r="89" spans="1:12" x14ac:dyDescent="0.25">
      <c r="A89" t="s">
        <v>52</v>
      </c>
      <c r="B89" t="s">
        <v>56</v>
      </c>
      <c r="C89" s="4">
        <v>0.5</v>
      </c>
      <c r="D89" s="4">
        <v>0.5</v>
      </c>
      <c r="E89" s="4">
        <v>0.5</v>
      </c>
      <c r="F89" s="4">
        <v>0.5</v>
      </c>
      <c r="G89" s="4">
        <v>0.5</v>
      </c>
      <c r="H89" s="4">
        <v>0.5</v>
      </c>
      <c r="I89" s="4">
        <v>0.5</v>
      </c>
      <c r="J89" t="s">
        <v>37</v>
      </c>
      <c r="K89" t="s">
        <v>29</v>
      </c>
    </row>
    <row r="90" spans="1:12" x14ac:dyDescent="0.25">
      <c r="A90" t="s">
        <v>52</v>
      </c>
      <c r="B90" t="s">
        <v>79</v>
      </c>
      <c r="C90" s="8">
        <f>1129/5250</f>
        <v>0.21504761904761904</v>
      </c>
      <c r="D90" s="8">
        <f t="shared" ref="D90:I90" si="20">1129/5250</f>
        <v>0.21504761904761904</v>
      </c>
      <c r="E90" s="8">
        <f t="shared" si="20"/>
        <v>0.21504761904761904</v>
      </c>
      <c r="F90" s="8">
        <f t="shared" si="20"/>
        <v>0.21504761904761904</v>
      </c>
      <c r="G90" s="8">
        <f t="shared" si="20"/>
        <v>0.21504761904761904</v>
      </c>
      <c r="H90" s="8">
        <f t="shared" si="20"/>
        <v>0.21504761904761904</v>
      </c>
      <c r="I90" s="8">
        <f t="shared" si="20"/>
        <v>0.21504761904761904</v>
      </c>
      <c r="J90" t="s">
        <v>80</v>
      </c>
      <c r="K90" t="s">
        <v>29</v>
      </c>
    </row>
    <row r="92" spans="1:12" x14ac:dyDescent="0.25">
      <c r="A92" t="s">
        <v>51</v>
      </c>
      <c r="B92" t="s">
        <v>1</v>
      </c>
      <c r="C92">
        <f t="shared" ref="C92" si="21">D92</f>
        <v>0.31900000000000001</v>
      </c>
      <c r="D92">
        <f>E92</f>
        <v>0.31900000000000001</v>
      </c>
      <c r="E92">
        <v>0.31900000000000001</v>
      </c>
      <c r="F92">
        <f>(E92+G92)/2</f>
        <v>0.3095</v>
      </c>
      <c r="G92">
        <v>0.3</v>
      </c>
      <c r="H92">
        <f>(G92+I92)/2</f>
        <v>0.29299999999999998</v>
      </c>
      <c r="I92">
        <v>0.28599999999999998</v>
      </c>
      <c r="J92" t="s">
        <v>19</v>
      </c>
      <c r="K92" t="s">
        <v>140</v>
      </c>
    </row>
    <row r="93" spans="1:12" x14ac:dyDescent="0.25">
      <c r="A93" t="s">
        <v>51</v>
      </c>
      <c r="B93" t="s">
        <v>2</v>
      </c>
      <c r="C93" s="5">
        <f>C92*2%</f>
        <v>6.3800000000000003E-3</v>
      </c>
      <c r="D93" s="5">
        <f t="shared" ref="D93:I93" si="22">D92*2%</f>
        <v>6.3800000000000003E-3</v>
      </c>
      <c r="E93" s="5">
        <f t="shared" si="22"/>
        <v>6.3800000000000003E-3</v>
      </c>
      <c r="F93" s="5">
        <f t="shared" si="22"/>
        <v>6.1900000000000002E-3</v>
      </c>
      <c r="G93" s="5">
        <f t="shared" si="22"/>
        <v>6.0000000000000001E-3</v>
      </c>
      <c r="H93" s="5">
        <f t="shared" si="22"/>
        <v>5.8599999999999998E-3</v>
      </c>
      <c r="I93" s="5">
        <f t="shared" si="22"/>
        <v>5.7199999999999994E-3</v>
      </c>
      <c r="J93" t="s">
        <v>20</v>
      </c>
      <c r="K93" t="s">
        <v>140</v>
      </c>
    </row>
    <row r="94" spans="1:12" x14ac:dyDescent="0.25">
      <c r="A94" t="s">
        <v>51</v>
      </c>
      <c r="B94" t="s">
        <v>3</v>
      </c>
      <c r="C94">
        <v>30</v>
      </c>
      <c r="D94">
        <v>30</v>
      </c>
      <c r="E94">
        <v>30</v>
      </c>
      <c r="F94">
        <v>30</v>
      </c>
      <c r="G94">
        <v>30</v>
      </c>
      <c r="H94">
        <v>30</v>
      </c>
      <c r="I94">
        <v>30</v>
      </c>
      <c r="J94" t="s">
        <v>14</v>
      </c>
      <c r="K94" t="s">
        <v>140</v>
      </c>
    </row>
    <row r="95" spans="1:12" x14ac:dyDescent="0.25">
      <c r="A95" t="s">
        <v>51</v>
      </c>
      <c r="B95" t="s">
        <v>87</v>
      </c>
      <c r="C95" s="11">
        <f>1/4.2%</f>
        <v>23.809523809523807</v>
      </c>
      <c r="D95" s="11">
        <f t="shared" ref="D95:I95" si="23">1/4.2%</f>
        <v>23.809523809523807</v>
      </c>
      <c r="E95" s="11">
        <f t="shared" si="23"/>
        <v>23.809523809523807</v>
      </c>
      <c r="F95" s="11">
        <f t="shared" si="23"/>
        <v>23.809523809523807</v>
      </c>
      <c r="G95" s="11">
        <f t="shared" si="23"/>
        <v>23.809523809523807</v>
      </c>
      <c r="H95" s="11">
        <f t="shared" si="23"/>
        <v>23.809523809523807</v>
      </c>
      <c r="I95" s="11">
        <f t="shared" si="23"/>
        <v>23.809523809523807</v>
      </c>
      <c r="J95" t="s">
        <v>62</v>
      </c>
      <c r="K95" t="s">
        <v>89</v>
      </c>
      <c r="L95" s="12"/>
    </row>
    <row r="97" spans="1:11" x14ac:dyDescent="0.25">
      <c r="A97" t="s">
        <v>9</v>
      </c>
      <c r="B97" t="s">
        <v>1</v>
      </c>
      <c r="C97">
        <v>162</v>
      </c>
      <c r="D97">
        <v>161</v>
      </c>
      <c r="E97">
        <v>159</v>
      </c>
      <c r="F97">
        <v>125</v>
      </c>
      <c r="G97">
        <v>107</v>
      </c>
      <c r="H97">
        <v>107</v>
      </c>
      <c r="I97">
        <v>107</v>
      </c>
      <c r="J97" t="s">
        <v>23</v>
      </c>
      <c r="K97" t="s">
        <v>148</v>
      </c>
    </row>
    <row r="98" spans="1:11" x14ac:dyDescent="0.25">
      <c r="A98" t="s">
        <v>9</v>
      </c>
      <c r="B98" t="s">
        <v>2</v>
      </c>
      <c r="C98">
        <v>6.5</v>
      </c>
      <c r="D98">
        <v>6.4</v>
      </c>
      <c r="E98">
        <v>6.4</v>
      </c>
      <c r="F98">
        <v>5</v>
      </c>
      <c r="G98">
        <v>4.3</v>
      </c>
      <c r="H98">
        <v>4.3</v>
      </c>
      <c r="I98">
        <v>4.3</v>
      </c>
      <c r="J98" t="s">
        <v>24</v>
      </c>
      <c r="K98" t="s">
        <v>148</v>
      </c>
    </row>
    <row r="99" spans="1:11" x14ac:dyDescent="0.25">
      <c r="A99" t="s">
        <v>9</v>
      </c>
      <c r="B99" t="s">
        <v>3</v>
      </c>
      <c r="C99">
        <v>30</v>
      </c>
      <c r="D99">
        <v>30</v>
      </c>
      <c r="E99">
        <v>30</v>
      </c>
      <c r="F99">
        <v>30</v>
      </c>
      <c r="G99">
        <v>30</v>
      </c>
      <c r="H99">
        <v>30</v>
      </c>
      <c r="I99">
        <v>30</v>
      </c>
      <c r="J99" t="s">
        <v>14</v>
      </c>
      <c r="K99" t="s">
        <v>148</v>
      </c>
    </row>
    <row r="100" spans="1:11" x14ac:dyDescent="0.25">
      <c r="A100" t="s">
        <v>9</v>
      </c>
      <c r="B100" t="s">
        <v>41</v>
      </c>
      <c r="C100" s="8">
        <f>1/0.821405747470283</f>
        <v>1.2174251313431164</v>
      </c>
      <c r="D100" s="8">
        <f t="shared" ref="D100:I100" si="24">1/0.821405747470283</f>
        <v>1.2174251313431164</v>
      </c>
      <c r="E100" s="8">
        <f t="shared" si="24"/>
        <v>1.2174251313431164</v>
      </c>
      <c r="F100" s="8">
        <f t="shared" si="24"/>
        <v>1.2174251313431164</v>
      </c>
      <c r="G100" s="8">
        <f t="shared" si="24"/>
        <v>1.2174251313431164</v>
      </c>
      <c r="H100" s="8">
        <f t="shared" si="24"/>
        <v>1.2174251313431164</v>
      </c>
      <c r="I100" s="8">
        <f t="shared" si="24"/>
        <v>1.2174251313431164</v>
      </c>
      <c r="J100" t="s">
        <v>43</v>
      </c>
      <c r="K100" t="s">
        <v>148</v>
      </c>
    </row>
    <row r="101" spans="1:11" x14ac:dyDescent="0.25">
      <c r="A101" t="s">
        <v>9</v>
      </c>
      <c r="B101" t="s">
        <v>44</v>
      </c>
      <c r="C101" s="8">
        <v>0.19757574</v>
      </c>
      <c r="D101" s="8">
        <v>0.19757574</v>
      </c>
      <c r="E101" s="8">
        <v>0.19757574</v>
      </c>
      <c r="F101" s="8">
        <v>0.19757574</v>
      </c>
      <c r="G101" s="8">
        <v>0.19757574</v>
      </c>
      <c r="H101" s="8">
        <v>0.19757574</v>
      </c>
      <c r="I101" s="8">
        <v>0.19757574</v>
      </c>
      <c r="J101" t="s">
        <v>73</v>
      </c>
      <c r="K101" t="s">
        <v>148</v>
      </c>
    </row>
    <row r="103" spans="1:11" x14ac:dyDescent="0.25">
      <c r="A103" t="s">
        <v>10</v>
      </c>
      <c r="B103" t="s">
        <v>1</v>
      </c>
      <c r="C103" s="14">
        <f t="shared" ref="C103:H103" si="25">(0.0002365565202+2.60668341818182E-06)*1000</f>
        <v>0.23916320361818183</v>
      </c>
      <c r="D103" s="14">
        <f t="shared" si="25"/>
        <v>0.23916320361818183</v>
      </c>
      <c r="E103" s="14">
        <f t="shared" si="25"/>
        <v>0.23916320361818183</v>
      </c>
      <c r="F103" s="14">
        <f t="shared" si="25"/>
        <v>0.23916320361818183</v>
      </c>
      <c r="G103" s="14">
        <f t="shared" si="25"/>
        <v>0.23916320361818183</v>
      </c>
      <c r="H103" s="14">
        <f t="shared" si="25"/>
        <v>0.23916320361818183</v>
      </c>
      <c r="I103" s="14">
        <f>(0.0002365565202+2.60668341818182E-06)*1000</f>
        <v>0.23916320361818183</v>
      </c>
      <c r="J103" s="3" t="s">
        <v>21</v>
      </c>
      <c r="K103" t="s">
        <v>143</v>
      </c>
    </row>
    <row r="104" spans="1:11" x14ac:dyDescent="0.25">
      <c r="A104" t="s">
        <v>10</v>
      </c>
      <c r="B104" t="s">
        <v>2</v>
      </c>
      <c r="C104" s="14">
        <f t="shared" ref="C104:H104" si="26">1.269827208/1000</f>
        <v>1.2698272079999999E-3</v>
      </c>
      <c r="D104" s="14">
        <f t="shared" si="26"/>
        <v>1.2698272079999999E-3</v>
      </c>
      <c r="E104" s="14">
        <f t="shared" si="26"/>
        <v>1.2698272079999999E-3</v>
      </c>
      <c r="F104" s="14">
        <f t="shared" si="26"/>
        <v>1.2698272079999999E-3</v>
      </c>
      <c r="G104" s="14">
        <f t="shared" si="26"/>
        <v>1.2698272079999999E-3</v>
      </c>
      <c r="H104" s="14">
        <f t="shared" si="26"/>
        <v>1.2698272079999999E-3</v>
      </c>
      <c r="I104" s="14">
        <f>1.269827208/1000</f>
        <v>1.2698272079999999E-3</v>
      </c>
      <c r="J104" s="3" t="s">
        <v>22</v>
      </c>
      <c r="K104" t="s">
        <v>143</v>
      </c>
    </row>
    <row r="105" spans="1:11" x14ac:dyDescent="0.25">
      <c r="A105" t="s">
        <v>10</v>
      </c>
      <c r="B105" t="s">
        <v>3</v>
      </c>
      <c r="C105">
        <v>50</v>
      </c>
      <c r="D105">
        <v>50</v>
      </c>
      <c r="E105">
        <v>50</v>
      </c>
      <c r="F105">
        <v>50</v>
      </c>
      <c r="G105">
        <v>50</v>
      </c>
      <c r="H105">
        <v>50</v>
      </c>
      <c r="I105">
        <v>50</v>
      </c>
      <c r="J105" t="s">
        <v>14</v>
      </c>
      <c r="K105" t="s">
        <v>143</v>
      </c>
    </row>
    <row r="107" spans="1:11" x14ac:dyDescent="0.25">
      <c r="A107" t="s">
        <v>25</v>
      </c>
      <c r="B107" t="s">
        <v>1</v>
      </c>
      <c r="C107">
        <f>4598/5.58</f>
        <v>824.01433691756267</v>
      </c>
      <c r="D107">
        <f>4598/5.58</f>
        <v>824.01433691756267</v>
      </c>
      <c r="E107">
        <f>3947/5.58</f>
        <v>707.34767025089604</v>
      </c>
      <c r="F107">
        <f>3947/5.58</f>
        <v>707.34767025089604</v>
      </c>
      <c r="G107">
        <f>3389/5.58</f>
        <v>607.34767025089604</v>
      </c>
      <c r="H107">
        <f>3389/5.58</f>
        <v>607.34767025089604</v>
      </c>
      <c r="I107">
        <f>3100/5.58</f>
        <v>555.55555555555554</v>
      </c>
      <c r="J107" s="3" t="s">
        <v>26</v>
      </c>
      <c r="K107" t="s">
        <v>29</v>
      </c>
    </row>
    <row r="108" spans="1:11" x14ac:dyDescent="0.25">
      <c r="A108" t="s">
        <v>25</v>
      </c>
      <c r="B108" t="s">
        <v>2</v>
      </c>
      <c r="C108">
        <f>C107*4%</f>
        <v>32.960573476702507</v>
      </c>
      <c r="D108">
        <f t="shared" ref="D108:I108" si="27">D107*4%</f>
        <v>32.960573476702507</v>
      </c>
      <c r="E108">
        <f t="shared" si="27"/>
        <v>28.293906810035843</v>
      </c>
      <c r="F108">
        <f t="shared" si="27"/>
        <v>28.293906810035843</v>
      </c>
      <c r="G108">
        <f t="shared" si="27"/>
        <v>24.293906810035843</v>
      </c>
      <c r="H108">
        <f t="shared" si="27"/>
        <v>24.293906810035843</v>
      </c>
      <c r="I108">
        <f t="shared" si="27"/>
        <v>22.222222222222221</v>
      </c>
      <c r="J108" s="3" t="s">
        <v>27</v>
      </c>
      <c r="K108" t="s">
        <v>29</v>
      </c>
    </row>
    <row r="109" spans="1:11" x14ac:dyDescent="0.25">
      <c r="A109" t="s">
        <v>25</v>
      </c>
      <c r="B109" t="s">
        <v>3</v>
      </c>
      <c r="C109">
        <v>30</v>
      </c>
      <c r="D109">
        <v>30</v>
      </c>
      <c r="E109">
        <v>30</v>
      </c>
      <c r="F109">
        <v>30</v>
      </c>
      <c r="G109">
        <v>30</v>
      </c>
      <c r="H109">
        <v>30</v>
      </c>
      <c r="I109">
        <v>30</v>
      </c>
      <c r="J109" t="s">
        <v>14</v>
      </c>
      <c r="K109" t="s">
        <v>29</v>
      </c>
    </row>
    <row r="110" spans="1:11" x14ac:dyDescent="0.25">
      <c r="A110" t="s">
        <v>25</v>
      </c>
      <c r="B110" t="s">
        <v>39</v>
      </c>
      <c r="C110">
        <f>169/5580</f>
        <v>3.0286738351254481E-2</v>
      </c>
      <c r="D110">
        <f t="shared" ref="D110:I110" si="28">169/5580</f>
        <v>3.0286738351254481E-2</v>
      </c>
      <c r="E110">
        <f t="shared" si="28"/>
        <v>3.0286738351254481E-2</v>
      </c>
      <c r="F110">
        <f t="shared" si="28"/>
        <v>3.0286738351254481E-2</v>
      </c>
      <c r="G110">
        <f t="shared" si="28"/>
        <v>3.0286738351254481E-2</v>
      </c>
      <c r="H110">
        <f t="shared" si="28"/>
        <v>3.0286738351254481E-2</v>
      </c>
      <c r="I110">
        <f t="shared" si="28"/>
        <v>3.0286738351254481E-2</v>
      </c>
      <c r="J110" t="s">
        <v>46</v>
      </c>
      <c r="K110" t="s">
        <v>29</v>
      </c>
    </row>
    <row r="111" spans="1:11" x14ac:dyDescent="0.25">
      <c r="A111" t="s">
        <v>25</v>
      </c>
      <c r="B111" t="s">
        <v>41</v>
      </c>
      <c r="C111">
        <f>0.199*33333/5580</f>
        <v>1.1887575268817205</v>
      </c>
      <c r="D111">
        <f t="shared" ref="D111:I111" si="29">0.199*33333/5580</f>
        <v>1.1887575268817205</v>
      </c>
      <c r="E111">
        <f t="shared" si="29"/>
        <v>1.1887575268817205</v>
      </c>
      <c r="F111">
        <f t="shared" si="29"/>
        <v>1.1887575268817205</v>
      </c>
      <c r="G111">
        <f t="shared" si="29"/>
        <v>1.1887575268817205</v>
      </c>
      <c r="H111">
        <f t="shared" si="29"/>
        <v>1.1887575268817205</v>
      </c>
      <c r="I111">
        <f t="shared" si="29"/>
        <v>1.1887575268817205</v>
      </c>
      <c r="J111" t="s">
        <v>45</v>
      </c>
      <c r="K111" t="s">
        <v>29</v>
      </c>
    </row>
    <row r="112" spans="1:11" x14ac:dyDescent="0.25">
      <c r="A112" t="s">
        <v>25</v>
      </c>
      <c r="B112" t="s">
        <v>44</v>
      </c>
      <c r="C112">
        <f t="shared" ref="C112:I112" si="30">(1.46/5580)*1000</f>
        <v>0.26164874551971323</v>
      </c>
      <c r="D112">
        <f t="shared" si="30"/>
        <v>0.26164874551971323</v>
      </c>
      <c r="E112">
        <f t="shared" si="30"/>
        <v>0.26164874551971323</v>
      </c>
      <c r="F112">
        <f t="shared" si="30"/>
        <v>0.26164874551971323</v>
      </c>
      <c r="G112">
        <f t="shared" si="30"/>
        <v>0.26164874551971323</v>
      </c>
      <c r="H112">
        <f t="shared" si="30"/>
        <v>0.26164874551971323</v>
      </c>
      <c r="I112">
        <f t="shared" si="30"/>
        <v>0.26164874551971323</v>
      </c>
      <c r="J112" t="s">
        <v>74</v>
      </c>
      <c r="K112" t="s">
        <v>29</v>
      </c>
    </row>
    <row r="113" spans="1:11" x14ac:dyDescent="0.25">
      <c r="A113" t="s">
        <v>25</v>
      </c>
      <c r="B113" t="s">
        <v>54</v>
      </c>
      <c r="C113">
        <f>2/5580</f>
        <v>3.5842293906810036E-4</v>
      </c>
      <c r="D113">
        <f t="shared" ref="D113:I113" si="31">2/5580</f>
        <v>3.5842293906810036E-4</v>
      </c>
      <c r="E113">
        <f t="shared" si="31"/>
        <v>3.5842293906810036E-4</v>
      </c>
      <c r="F113">
        <f t="shared" si="31"/>
        <v>3.5842293906810036E-4</v>
      </c>
      <c r="G113">
        <f t="shared" si="31"/>
        <v>3.5842293906810036E-4</v>
      </c>
      <c r="H113">
        <f t="shared" si="31"/>
        <v>3.5842293906810036E-4</v>
      </c>
      <c r="I113">
        <f t="shared" si="31"/>
        <v>3.5842293906810036E-4</v>
      </c>
      <c r="J113" s="3" t="s">
        <v>26</v>
      </c>
      <c r="K113" t="s">
        <v>29</v>
      </c>
    </row>
    <row r="114" spans="1:11" x14ac:dyDescent="0.25">
      <c r="A114" t="s">
        <v>25</v>
      </c>
      <c r="B114" t="s">
        <v>56</v>
      </c>
      <c r="C114" s="4">
        <v>0.5</v>
      </c>
      <c r="D114" s="4">
        <v>0.5</v>
      </c>
      <c r="E114" s="4">
        <v>0.5</v>
      </c>
      <c r="F114" s="4">
        <v>0.5</v>
      </c>
      <c r="G114" s="4">
        <v>0.5</v>
      </c>
      <c r="H114" s="4">
        <v>0.5</v>
      </c>
      <c r="I114" s="4">
        <v>0.5</v>
      </c>
      <c r="J114" t="s">
        <v>37</v>
      </c>
      <c r="K114" t="s">
        <v>29</v>
      </c>
    </row>
    <row r="116" spans="1:11" x14ac:dyDescent="0.25">
      <c r="A116" t="s">
        <v>53</v>
      </c>
      <c r="B116" t="s">
        <v>1</v>
      </c>
      <c r="C116">
        <f>71/5580</f>
        <v>1.2724014336917562E-2</v>
      </c>
      <c r="D116">
        <f>71/5580</f>
        <v>1.2724014336917562E-2</v>
      </c>
      <c r="E116">
        <f>61/5580</f>
        <v>1.0931899641577061E-2</v>
      </c>
      <c r="F116">
        <f>61/5580</f>
        <v>1.0931899641577061E-2</v>
      </c>
      <c r="G116">
        <f>52/5580</f>
        <v>9.3189964157706102E-3</v>
      </c>
      <c r="H116">
        <f>52/5580</f>
        <v>9.3189964157706102E-3</v>
      </c>
      <c r="I116">
        <f>48/5580</f>
        <v>8.6021505376344086E-3</v>
      </c>
      <c r="J116" s="3" t="s">
        <v>26</v>
      </c>
      <c r="K116" t="s">
        <v>29</v>
      </c>
    </row>
    <row r="117" spans="1:11" x14ac:dyDescent="0.25">
      <c r="A117" t="s">
        <v>53</v>
      </c>
      <c r="B117" t="s">
        <v>2</v>
      </c>
      <c r="C117">
        <f>C116*4%</f>
        <v>5.0896057347670247E-4</v>
      </c>
      <c r="D117">
        <f t="shared" ref="D117:I117" si="32">D116*4%</f>
        <v>5.0896057347670247E-4</v>
      </c>
      <c r="E117">
        <f t="shared" si="32"/>
        <v>4.3727598566308245E-4</v>
      </c>
      <c r="F117">
        <f t="shared" si="32"/>
        <v>4.3727598566308245E-4</v>
      </c>
      <c r="G117">
        <f t="shared" si="32"/>
        <v>3.7275985663082439E-4</v>
      </c>
      <c r="H117">
        <f t="shared" si="32"/>
        <v>3.7275985663082439E-4</v>
      </c>
      <c r="I117">
        <f t="shared" si="32"/>
        <v>3.4408602150537638E-4</v>
      </c>
      <c r="J117" s="3" t="s">
        <v>27</v>
      </c>
      <c r="K117" t="s">
        <v>29</v>
      </c>
    </row>
    <row r="118" spans="1:11" x14ac:dyDescent="0.25">
      <c r="A118" t="s">
        <v>53</v>
      </c>
      <c r="B118" t="s">
        <v>3</v>
      </c>
      <c r="C118">
        <v>30</v>
      </c>
      <c r="D118">
        <v>30</v>
      </c>
      <c r="E118">
        <v>30</v>
      </c>
      <c r="F118">
        <v>30</v>
      </c>
      <c r="G118">
        <v>30</v>
      </c>
      <c r="H118">
        <v>30</v>
      </c>
      <c r="I118">
        <v>30</v>
      </c>
      <c r="J118" t="s">
        <v>14</v>
      </c>
      <c r="K118" t="s">
        <v>29</v>
      </c>
    </row>
    <row r="119" spans="1:11" x14ac:dyDescent="0.25">
      <c r="A119" t="s">
        <v>53</v>
      </c>
      <c r="B119" t="s">
        <v>87</v>
      </c>
      <c r="C119">
        <v>168</v>
      </c>
      <c r="D119">
        <v>168</v>
      </c>
      <c r="E119">
        <v>168</v>
      </c>
      <c r="F119">
        <v>168</v>
      </c>
      <c r="G119">
        <v>168</v>
      </c>
      <c r="H119">
        <v>168</v>
      </c>
      <c r="I119">
        <v>168</v>
      </c>
      <c r="J119" t="s">
        <v>62</v>
      </c>
      <c r="K119" t="s">
        <v>29</v>
      </c>
    </row>
    <row r="121" spans="1:11" x14ac:dyDescent="0.25">
      <c r="A121" t="s">
        <v>30</v>
      </c>
      <c r="B121" t="s">
        <v>1</v>
      </c>
      <c r="C121" s="6">
        <f>1866*45460/43237</f>
        <v>1961.9390799546684</v>
      </c>
      <c r="D121" s="6">
        <f>1850*45460/43237</f>
        <v>1945.1164511876402</v>
      </c>
      <c r="E121" s="6">
        <f>1827*45460/43237</f>
        <v>1920.9339223350371</v>
      </c>
      <c r="F121" s="6">
        <f>1453*45460/43237</f>
        <v>1527.7049749057521</v>
      </c>
      <c r="G121" s="6">
        <f>1162*45460/43237</f>
        <v>1221.743414205426</v>
      </c>
      <c r="H121" s="6">
        <f>1116*45460/43237</f>
        <v>1173.3783565002198</v>
      </c>
      <c r="I121" s="6">
        <f>1101*45460/43237</f>
        <v>1157.6071420311307</v>
      </c>
      <c r="J121" t="s">
        <v>31</v>
      </c>
      <c r="K121" t="s">
        <v>148</v>
      </c>
    </row>
    <row r="122" spans="1:11" x14ac:dyDescent="0.25">
      <c r="A122" t="s">
        <v>30</v>
      </c>
      <c r="B122" t="s">
        <v>2</v>
      </c>
      <c r="C122" s="6">
        <f t="shared" ref="C122:H122" si="33">C121*4%</f>
        <v>78.477563198186743</v>
      </c>
      <c r="D122" s="6">
        <f t="shared" si="33"/>
        <v>77.804658047505612</v>
      </c>
      <c r="E122" s="6">
        <f t="shared" si="33"/>
        <v>76.837356893401491</v>
      </c>
      <c r="F122" s="6">
        <f t="shared" si="33"/>
        <v>61.108198996230087</v>
      </c>
      <c r="G122" s="6">
        <f t="shared" si="33"/>
        <v>48.869736568217043</v>
      </c>
      <c r="H122" s="6">
        <f t="shared" si="33"/>
        <v>46.935134260008788</v>
      </c>
      <c r="I122" s="6">
        <f>I121*4%</f>
        <v>46.304285681245226</v>
      </c>
      <c r="J122" t="s">
        <v>32</v>
      </c>
      <c r="K122" t="s">
        <v>148</v>
      </c>
    </row>
    <row r="123" spans="1:11" x14ac:dyDescent="0.25">
      <c r="A123" t="s">
        <v>30</v>
      </c>
      <c r="B123" t="s">
        <v>3</v>
      </c>
      <c r="C123">
        <v>30</v>
      </c>
      <c r="D123">
        <v>30</v>
      </c>
      <c r="E123">
        <v>30</v>
      </c>
      <c r="F123">
        <v>30</v>
      </c>
      <c r="G123">
        <v>30</v>
      </c>
      <c r="H123">
        <v>30</v>
      </c>
      <c r="I123">
        <v>30</v>
      </c>
      <c r="J123" t="s">
        <v>14</v>
      </c>
      <c r="K123" t="s">
        <v>148</v>
      </c>
    </row>
    <row r="124" spans="1:11" x14ac:dyDescent="0.25">
      <c r="A124" t="s">
        <v>30</v>
      </c>
      <c r="B124" t="s">
        <v>39</v>
      </c>
      <c r="C124">
        <v>5.1999999999999998E-2</v>
      </c>
      <c r="D124">
        <v>5.1999999999999998E-2</v>
      </c>
      <c r="E124">
        <v>5.1999999999999998E-2</v>
      </c>
      <c r="F124">
        <v>5.1999999999999998E-2</v>
      </c>
      <c r="G124">
        <v>5.1999999999999998E-2</v>
      </c>
      <c r="H124">
        <v>5.1999999999999998E-2</v>
      </c>
      <c r="I124">
        <v>5.1999999999999998E-2</v>
      </c>
      <c r="J124" t="s">
        <v>47</v>
      </c>
      <c r="K124" t="s">
        <v>148</v>
      </c>
    </row>
    <row r="125" spans="1:11" x14ac:dyDescent="0.25">
      <c r="A125" t="s">
        <v>30</v>
      </c>
      <c r="B125" t="s">
        <v>41</v>
      </c>
      <c r="C125">
        <v>1.5169999999999999</v>
      </c>
      <c r="D125">
        <v>1.5169999999999999</v>
      </c>
      <c r="E125">
        <v>1.5169999999999999</v>
      </c>
      <c r="F125">
        <v>1.5169999999999999</v>
      </c>
      <c r="G125">
        <v>1.5169999999999999</v>
      </c>
      <c r="H125">
        <v>1.5169999999999999</v>
      </c>
      <c r="I125">
        <v>1.5169999999999999</v>
      </c>
      <c r="J125" t="s">
        <v>48</v>
      </c>
      <c r="K125" t="s">
        <v>148</v>
      </c>
    </row>
    <row r="126" spans="1:11" x14ac:dyDescent="0.25">
      <c r="A126" t="s">
        <v>30</v>
      </c>
      <c r="B126" t="s">
        <v>44</v>
      </c>
      <c r="C126" s="6">
        <v>0.26</v>
      </c>
      <c r="D126" s="6">
        <v>0.26</v>
      </c>
      <c r="E126" s="6">
        <v>0.26</v>
      </c>
      <c r="F126" s="6">
        <v>0.26</v>
      </c>
      <c r="G126" s="6">
        <v>0.26</v>
      </c>
      <c r="H126" s="6">
        <v>0.26</v>
      </c>
      <c r="I126" s="6">
        <v>0.26</v>
      </c>
      <c r="J126" t="s">
        <v>75</v>
      </c>
      <c r="K126" t="s">
        <v>148</v>
      </c>
    </row>
    <row r="127" spans="1:11" x14ac:dyDescent="0.25">
      <c r="A127" t="s">
        <v>30</v>
      </c>
      <c r="B127" t="s">
        <v>56</v>
      </c>
      <c r="C127" s="4">
        <v>0.5</v>
      </c>
      <c r="D127" s="4">
        <v>0.5</v>
      </c>
      <c r="E127" s="4">
        <v>0.5</v>
      </c>
      <c r="F127" s="4">
        <v>0.5</v>
      </c>
      <c r="G127" s="4">
        <v>0.5</v>
      </c>
      <c r="H127" s="4">
        <v>0.5</v>
      </c>
      <c r="I127" s="4">
        <v>0.5</v>
      </c>
      <c r="J127" t="s">
        <v>37</v>
      </c>
      <c r="K127" t="s">
        <v>148</v>
      </c>
    </row>
    <row r="128" spans="1:11" x14ac:dyDescent="0.25">
      <c r="A128" t="s">
        <v>30</v>
      </c>
      <c r="B128" t="s">
        <v>79</v>
      </c>
      <c r="C128" s="9">
        <v>0.107387838799426</v>
      </c>
      <c r="D128" s="9">
        <v>0.107387838799426</v>
      </c>
      <c r="E128" s="9">
        <v>0.107387838799426</v>
      </c>
      <c r="F128" s="9">
        <v>0.107387838799426</v>
      </c>
      <c r="G128" s="9">
        <v>0.107387838799426</v>
      </c>
      <c r="H128" s="9">
        <v>0.107387838799426</v>
      </c>
      <c r="I128" s="9">
        <v>0.107387838799426</v>
      </c>
      <c r="J128" t="s">
        <v>77</v>
      </c>
      <c r="K128" t="s">
        <v>148</v>
      </c>
    </row>
    <row r="130" spans="1:11" x14ac:dyDescent="0.25">
      <c r="A130" t="s">
        <v>33</v>
      </c>
      <c r="B130" t="s">
        <v>1</v>
      </c>
      <c r="C130">
        <v>1.4114346498573382E-2</v>
      </c>
      <c r="D130">
        <v>1.4114346498573382E-2</v>
      </c>
      <c r="E130">
        <v>1.4247244854168294E-2</v>
      </c>
      <c r="F130">
        <v>1.4247244854168294E-2</v>
      </c>
      <c r="G130">
        <v>1.4247244854168294E-2</v>
      </c>
      <c r="H130">
        <v>1.4247244854168294E-2</v>
      </c>
      <c r="I130">
        <v>1.4247244854168294E-2</v>
      </c>
      <c r="J130" t="s">
        <v>34</v>
      </c>
      <c r="K130" s="7" t="s">
        <v>99</v>
      </c>
    </row>
    <row r="131" spans="1:11" x14ac:dyDescent="0.25">
      <c r="A131" t="s">
        <v>33</v>
      </c>
      <c r="B131" t="s">
        <v>2</v>
      </c>
      <c r="C131">
        <f t="shared" ref="C131:H131" si="34">C130*4%</f>
        <v>5.6457385994293529E-4</v>
      </c>
      <c r="D131">
        <f t="shared" si="34"/>
        <v>5.6457385994293529E-4</v>
      </c>
      <c r="E131">
        <f t="shared" si="34"/>
        <v>5.698897941667318E-4</v>
      </c>
      <c r="F131">
        <f t="shared" si="34"/>
        <v>5.698897941667318E-4</v>
      </c>
      <c r="G131">
        <f t="shared" si="34"/>
        <v>5.698897941667318E-4</v>
      </c>
      <c r="H131">
        <f t="shared" si="34"/>
        <v>5.698897941667318E-4</v>
      </c>
      <c r="I131">
        <f>I130*4%</f>
        <v>5.698897941667318E-4</v>
      </c>
      <c r="J131" t="s">
        <v>34</v>
      </c>
      <c r="K131" s="7" t="s">
        <v>99</v>
      </c>
    </row>
    <row r="132" spans="1:11" x14ac:dyDescent="0.25">
      <c r="A132" t="s">
        <v>33</v>
      </c>
      <c r="B132" t="s">
        <v>3</v>
      </c>
      <c r="C132">
        <v>30</v>
      </c>
      <c r="D132">
        <v>30</v>
      </c>
      <c r="E132">
        <v>30</v>
      </c>
      <c r="F132">
        <v>30</v>
      </c>
      <c r="G132">
        <v>30</v>
      </c>
      <c r="H132">
        <v>30</v>
      </c>
      <c r="I132">
        <v>30</v>
      </c>
      <c r="J132" t="s">
        <v>14</v>
      </c>
      <c r="K132" s="7" t="s">
        <v>99</v>
      </c>
    </row>
    <row r="134" spans="1:11" x14ac:dyDescent="0.25">
      <c r="I134" s="9"/>
    </row>
  </sheetData>
  <conditionalFormatting sqref="C3:I8">
    <cfRule type="containsText" dxfId="4" priority="5" operator="containsText" text="x">
      <formula>NOT(ISERROR(SEARCH("x",C3)))</formula>
    </cfRule>
  </conditionalFormatting>
  <conditionalFormatting sqref="C26:I29">
    <cfRule type="expression" dxfId="3" priority="4" stopIfTrue="1">
      <formula>NOT(ISERROR(SEARCH("x",C26)))</formula>
    </cfRule>
  </conditionalFormatting>
  <conditionalFormatting sqref="C32:I33">
    <cfRule type="expression" dxfId="2" priority="3" stopIfTrue="1">
      <formula>NOT(ISERROR(SEARCH("x",C32)))</formula>
    </cfRule>
  </conditionalFormatting>
  <conditionalFormatting sqref="C123:I128">
    <cfRule type="expression" dxfId="1" priority="1" stopIfTrue="1">
      <formula>NOT(ISERROR(SEARCH("x",C123)))</formula>
    </cfRule>
  </conditionalFormatting>
  <conditionalFormatting sqref="J3:J5 J7:J8">
    <cfRule type="expression" dxfId="0" priority="2" stopIfTrue="1">
      <formula>NOT(ISERROR(SEARCH("x",J3)))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44638-5774-48FB-9FB1-FD95B712A55D}">
  <dimension ref="A3:C23"/>
  <sheetViews>
    <sheetView topLeftCell="A2" workbookViewId="0">
      <selection activeCell="A23" sqref="A23"/>
    </sheetView>
  </sheetViews>
  <sheetFormatPr defaultRowHeight="15.75" x14ac:dyDescent="0.25"/>
  <cols>
    <col min="1" max="1" width="24.125" bestFit="1" customWidth="1"/>
    <col min="2" max="2" width="114.625" bestFit="1" customWidth="1"/>
    <col min="3" max="3" width="75.125" bestFit="1" customWidth="1"/>
  </cols>
  <sheetData>
    <row r="3" spans="1:3" x14ac:dyDescent="0.25">
      <c r="A3" s="1" t="s">
        <v>94</v>
      </c>
      <c r="B3" s="1" t="s">
        <v>95</v>
      </c>
      <c r="C3" s="1" t="s">
        <v>96</v>
      </c>
    </row>
    <row r="5" spans="1:3" x14ac:dyDescent="0.25">
      <c r="A5" t="s">
        <v>112</v>
      </c>
      <c r="B5" t="s">
        <v>113</v>
      </c>
      <c r="C5" s="12" t="s">
        <v>114</v>
      </c>
    </row>
    <row r="6" spans="1:3" x14ac:dyDescent="0.25">
      <c r="A6" t="s">
        <v>120</v>
      </c>
      <c r="B6" t="s">
        <v>118</v>
      </c>
      <c r="C6" s="12" t="s">
        <v>119</v>
      </c>
    </row>
    <row r="7" spans="1:3" x14ac:dyDescent="0.25">
      <c r="A7" t="s">
        <v>29</v>
      </c>
      <c r="B7" t="s">
        <v>97</v>
      </c>
      <c r="C7" s="12" t="s">
        <v>28</v>
      </c>
    </row>
    <row r="8" spans="1:3" x14ac:dyDescent="0.25">
      <c r="A8" t="s">
        <v>89</v>
      </c>
      <c r="B8" t="s">
        <v>98</v>
      </c>
      <c r="C8" s="12" t="s">
        <v>90</v>
      </c>
    </row>
    <row r="9" spans="1:3" x14ac:dyDescent="0.25">
      <c r="A9" t="s">
        <v>104</v>
      </c>
      <c r="B9" t="s">
        <v>146</v>
      </c>
      <c r="C9" s="12" t="s">
        <v>105</v>
      </c>
    </row>
    <row r="10" spans="1:3" x14ac:dyDescent="0.25">
      <c r="A10" t="s">
        <v>128</v>
      </c>
      <c r="B10" t="s">
        <v>129</v>
      </c>
      <c r="C10" s="12" t="s">
        <v>130</v>
      </c>
    </row>
    <row r="11" spans="1:3" x14ac:dyDescent="0.25">
      <c r="A11" s="7" t="s">
        <v>99</v>
      </c>
      <c r="B11" t="s">
        <v>101</v>
      </c>
      <c r="C11" s="12" t="s">
        <v>100</v>
      </c>
    </row>
    <row r="12" spans="1:3" x14ac:dyDescent="0.25">
      <c r="A12" t="s">
        <v>86</v>
      </c>
      <c r="B12" t="s">
        <v>102</v>
      </c>
      <c r="C12" t="s">
        <v>103</v>
      </c>
    </row>
    <row r="13" spans="1:3" x14ac:dyDescent="0.25">
      <c r="A13" t="s">
        <v>124</v>
      </c>
      <c r="B13" t="s">
        <v>125</v>
      </c>
      <c r="C13" s="12" t="s">
        <v>126</v>
      </c>
    </row>
    <row r="14" spans="1:3" x14ac:dyDescent="0.25">
      <c r="A14" t="s">
        <v>115</v>
      </c>
      <c r="B14" t="s">
        <v>116</v>
      </c>
      <c r="C14" s="12" t="s">
        <v>117</v>
      </c>
    </row>
    <row r="15" spans="1:3" x14ac:dyDescent="0.25">
      <c r="A15" t="s">
        <v>106</v>
      </c>
      <c r="B15" t="s">
        <v>107</v>
      </c>
      <c r="C15" s="12" t="s">
        <v>108</v>
      </c>
    </row>
    <row r="16" spans="1:3" x14ac:dyDescent="0.25">
      <c r="A16" t="s">
        <v>109</v>
      </c>
      <c r="B16" t="s">
        <v>110</v>
      </c>
      <c r="C16" s="12" t="s">
        <v>111</v>
      </c>
    </row>
    <row r="17" spans="1:3" x14ac:dyDescent="0.25">
      <c r="A17" t="s">
        <v>121</v>
      </c>
      <c r="B17" t="s">
        <v>122</v>
      </c>
      <c r="C17" s="12" t="s">
        <v>123</v>
      </c>
    </row>
    <row r="18" spans="1:3" x14ac:dyDescent="0.25">
      <c r="A18" t="s">
        <v>131</v>
      </c>
      <c r="B18" t="s">
        <v>132</v>
      </c>
      <c r="C18" s="12" t="s">
        <v>133</v>
      </c>
    </row>
    <row r="19" spans="1:3" x14ac:dyDescent="0.25">
      <c r="A19" t="s">
        <v>134</v>
      </c>
      <c r="B19" t="s">
        <v>135</v>
      </c>
      <c r="C19" s="12" t="s">
        <v>136</v>
      </c>
    </row>
    <row r="20" spans="1:3" x14ac:dyDescent="0.25">
      <c r="A20" t="s">
        <v>137</v>
      </c>
      <c r="B20" t="s">
        <v>138</v>
      </c>
      <c r="C20" s="12" t="s">
        <v>139</v>
      </c>
    </row>
    <row r="21" spans="1:3" x14ac:dyDescent="0.25">
      <c r="A21" t="s">
        <v>140</v>
      </c>
      <c r="B21" s="13" t="s">
        <v>142</v>
      </c>
      <c r="C21" s="12" t="s">
        <v>141</v>
      </c>
    </row>
    <row r="22" spans="1:3" x14ac:dyDescent="0.25">
      <c r="A22" t="s">
        <v>143</v>
      </c>
      <c r="B22" t="s">
        <v>144</v>
      </c>
      <c r="C22" s="12" t="s">
        <v>145</v>
      </c>
    </row>
    <row r="23" spans="1:3" x14ac:dyDescent="0.25">
      <c r="A23" t="s">
        <v>148</v>
      </c>
      <c r="B23" t="s">
        <v>147</v>
      </c>
      <c r="C23" t="s">
        <v>103</v>
      </c>
    </row>
  </sheetData>
  <sortState xmlns:xlrd2="http://schemas.microsoft.com/office/spreadsheetml/2017/richdata2" ref="A6:C17">
    <sortCondition ref="A5:A17"/>
  </sortState>
  <hyperlinks>
    <hyperlink ref="C7" r:id="rId1" xr:uid="{9D69F7EF-1444-4709-8186-994189B97086}"/>
    <hyperlink ref="C8" r:id="rId2" xr:uid="{508F0032-69CD-472E-AB1E-329AEEE82DA7}"/>
    <hyperlink ref="C11" r:id="rId3" xr:uid="{ECBE578B-0F14-4FF4-8AB9-FC7F0395411A}"/>
    <hyperlink ref="C9" r:id="rId4" xr:uid="{E22ACDBD-6ACC-46B8-9C97-EA33AE0C3278}"/>
    <hyperlink ref="C15" r:id="rId5" xr:uid="{81154D62-8A4D-4685-B320-BA2E38F1D7C4}"/>
    <hyperlink ref="C16" r:id="rId6" xr:uid="{5E87C0A2-C01F-4E41-B132-C5A12C1BBB88}"/>
    <hyperlink ref="C5" r:id="rId7" xr:uid="{EF4E87A9-C413-48BC-9380-B7B186D32899}"/>
    <hyperlink ref="C14" r:id="rId8" xr:uid="{FFE678C0-7624-42C7-98F1-79665C81F835}"/>
    <hyperlink ref="C6" r:id="rId9" xr:uid="{0EFE0E8B-48DB-4AE5-8E05-9D3E2E7C3BAA}"/>
    <hyperlink ref="C17" r:id="rId10" xr:uid="{C63963A8-4984-45EA-84CC-ACFE109C5119}"/>
    <hyperlink ref="C13" r:id="rId11" xr:uid="{C63240E8-CCD6-472D-AB88-8610705F5032}"/>
    <hyperlink ref="C10" r:id="rId12" xr:uid="{1D95DEC5-7E13-441D-B774-5C8BC35DDB60}"/>
    <hyperlink ref="C18" r:id="rId13" xr:uid="{A6407768-476B-4869-97AA-F62DF18A0A30}"/>
    <hyperlink ref="C19" r:id="rId14" xr:uid="{886ACFD7-8814-4771-9EDA-DDBA92187195}"/>
    <hyperlink ref="C20" r:id="rId15" xr:uid="{470FEC0B-2C99-4656-9A71-98555FE3A5E9}"/>
    <hyperlink ref="C21" r:id="rId16" xr:uid="{926AFD79-3C3D-4432-AD88-67D6E2A8309D}"/>
    <hyperlink ref="C22" r:id="rId17" xr:uid="{C3CD425E-5C03-4EA9-A959-D62A5351D2E9}"/>
  </hyperlink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d97530e-8f27-4137-a2a9-5cb4dcf26f2e}" enabled="0" method="" siteId="{9d97530e-8f27-4137-a2a9-5cb4dcf26f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Tansu Galimova</dc:creator>
  <cp:lastModifiedBy>Rasul Satymov (LUT)</cp:lastModifiedBy>
  <dcterms:created xsi:type="dcterms:W3CDTF">2025-03-09T10:18:03Z</dcterms:created>
  <dcterms:modified xsi:type="dcterms:W3CDTF">2025-06-03T07:27:06Z</dcterms:modified>
</cp:coreProperties>
</file>